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3.xml" ContentType="application/vnd.ms-excel.controlproperties+xml"/>
  <Override PartName="/xl/comments2.xml" ContentType="application/vnd.openxmlformats-officedocument.spreadsheetml.comments+xml"/>
  <Override PartName="/xl/drawings/drawing4.xml" ContentType="application/vnd.openxmlformats-officedocument.drawing+xml"/>
  <Override PartName="/xl/ctrlProps/ctrlProp4.xml" ContentType="application/vnd.ms-excel.controlproperties+xml"/>
  <Override PartName="/xl/comments3.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7.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8.xml" ContentType="application/vnd.openxmlformats-officedocument.drawing+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9.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0.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1.xml" ContentType="application/vnd.openxmlformats-officedocument.drawing+xml"/>
  <Override PartName="/xl/tables/table1.xml" ContentType="application/vnd.openxmlformats-officedocument.spreadsheetml.table+xml"/>
  <Override PartName="/xl/comments8.xml" ContentType="application/vnd.openxmlformats-officedocument.spreadsheetml.comments+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2.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chart28.xml" ContentType="application/vnd.openxmlformats-officedocument.drawingml.chart+xml"/>
  <Override PartName="/xl/drawings/drawing13.xml" ContentType="application/vnd.openxmlformats-officedocument.drawing+xml"/>
  <Override PartName="/xl/charts/chart29.xml" ContentType="application/vnd.openxmlformats-officedocument.drawingml.chart+xml"/>
  <Override PartName="/xl/charts/style27.xml" ContentType="application/vnd.ms-office.chartstyle+xml"/>
  <Override PartName="/xl/charts/colors27.xml" ContentType="application/vnd.ms-office.chartcolorstyle+xml"/>
  <Override PartName="/xl/charts/chart30.xml" ContentType="application/vnd.openxmlformats-officedocument.drawingml.chart+xml"/>
  <Override PartName="/xl/charts/style28.xml" ContentType="application/vnd.ms-office.chartstyle+xml"/>
  <Override PartName="/xl/charts/colors28.xml" ContentType="application/vnd.ms-office.chartcolorstyle+xml"/>
  <Override PartName="/xl/charts/chart31.xml" ContentType="application/vnd.openxmlformats-officedocument.drawingml.chart+xml"/>
  <Override PartName="/xl/charts/style29.xml" ContentType="application/vnd.ms-office.chartstyle+xml"/>
  <Override PartName="/xl/charts/colors29.xml" ContentType="application/vnd.ms-office.chartcolorstyle+xml"/>
  <Override PartName="/xl/charts/chart32.xml" ContentType="application/vnd.openxmlformats-officedocument.drawingml.chart+xml"/>
  <Override PartName="/xl/charts/style30.xml" ContentType="application/vnd.ms-office.chartstyle+xml"/>
  <Override PartName="/xl/charts/colors30.xml" ContentType="application/vnd.ms-office.chartcolorstyle+xml"/>
  <Override PartName="/xl/charts/chart33.xml" ContentType="application/vnd.openxmlformats-officedocument.drawingml.chart+xml"/>
  <Override PartName="/xl/charts/style31.xml" ContentType="application/vnd.ms-office.chartstyle+xml"/>
  <Override PartName="/xl/charts/colors31.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810" codeName="{801CCD77-7B78-1753-DF39-40050F3742D7}"/>
  <workbookPr codeName="ThisWorkbook" defaultThemeVersion="124226"/>
  <mc:AlternateContent xmlns:mc="http://schemas.openxmlformats.org/markup-compatibility/2006">
    <mc:Choice Requires="x15">
      <x15ac:absPath xmlns:x15ac="http://schemas.microsoft.com/office/spreadsheetml/2010/11/ac" url="/Users/mgillera/Documents/GitHub/binder/truck-app/"/>
    </mc:Choice>
  </mc:AlternateContent>
  <xr:revisionPtr revIDLastSave="0" documentId="13_ncr:1_{79D643E4-BAB7-2944-A771-5429CA7BBF07}" xr6:coauthVersionLast="45" xr6:coauthVersionMax="45" xr10:uidLastSave="{00000000-0000-0000-0000-000000000000}"/>
  <bookViews>
    <workbookView xWindow="6720" yWindow="460" windowWidth="25480" windowHeight="19580" tabRatio="926" activeTab="3" xr2:uid="{00000000-000D-0000-FFFF-FFFF00000000}"/>
  </bookViews>
  <sheets>
    <sheet name="Change log" sheetId="28" r:id="rId1"/>
    <sheet name="User Notes" sheetId="18" r:id="rId2"/>
    <sheet name="Run Model" sheetId="6" r:id="rId3"/>
    <sheet name="Inputs 7&amp;8 Sleep" sheetId="1" r:id="rId4"/>
    <sheet name="Inputs 7&amp;8 Day" sheetId="12" r:id="rId5"/>
    <sheet name="Inputs 7&amp;8 SU" sheetId="22" r:id="rId6"/>
    <sheet name="Fuel Prices" sheetId="4" r:id="rId7"/>
    <sheet name="7&amp;8 Sleep" sheetId="11" r:id="rId8"/>
    <sheet name="7&amp;8 Day" sheetId="13" r:id="rId9"/>
    <sheet name="7&amp;8 SU" sheetId="21" r:id="rId10"/>
    <sheet name="Mkt Pen Veh-Mi" sheetId="15" r:id="rId11"/>
    <sheet name="Market Penetration" sheetId="14" r:id="rId12"/>
    <sheet name="Mkt Pen Veh-Mi (2)" sheetId="20" r:id="rId13"/>
    <sheet name="CentShrbyTech" sheetId="24" r:id="rId14"/>
    <sheet name="Fuel2ShrbyTech" sheetId="25" r:id="rId15"/>
    <sheet name="MPG" sheetId="26" r:id="rId16"/>
    <sheet name="Veh Price" sheetId="27" r:id="rId17"/>
    <sheet name="FuelAvail" sheetId="23" r:id="rId18"/>
    <sheet name="Market Data" sheetId="5" r:id="rId19"/>
    <sheet name="Adoption Decision" sheetId="7" r:id="rId20"/>
    <sheet name="S-curves" sheetId="9" r:id="rId21"/>
  </sheets>
  <functionGroups builtInGroupCount="19"/>
  <definedNames>
    <definedName name="_xlnm._FilterDatabase" localSheetId="3" hidden="1">'Inputs 7&amp;8 Sleep'!#REF!</definedName>
    <definedName name="AdoptCols">'Adoption Decision'!$B$11:$F$11</definedName>
    <definedName name="AdoptCurve">'Adoption Decision'!$D$11:$F$11</definedName>
    <definedName name="AdoptDec">'Adoption Decision'!$B$12:$F$97</definedName>
    <definedName name="BaseFuels">'Fuel Prices'!$AH$10:$AO$10</definedName>
    <definedName name="CDRANGE_CLS1">'Inputs 7&amp;8 Sleep'!$Z$22:$AE$65</definedName>
    <definedName name="CDRANGE_CLS2">'Inputs 7&amp;8 Day'!$Z$22:$AE$65</definedName>
    <definedName name="CDRANGE_CLS3">'Inputs 7&amp;8 SU'!$Z$22:$AE$65</definedName>
    <definedName name="CentShr">CentShrbyTech!$B$5:$S$5</definedName>
    <definedName name="Cls1CentDailyRng">'Market Data'!$C$126:$C$136</definedName>
    <definedName name="Cls1CentTruckShr">'Market Data'!$F$126:$F$136</definedName>
    <definedName name="Cls1CentVMT">'Market Data'!$B$126:$B$136</definedName>
    <definedName name="Cls1CentVMTShr">'Market Data'!$G$126:$G$136</definedName>
    <definedName name="Cls1MktShrA">'7&amp;8 Sleep'!$BD$24:$BD$67</definedName>
    <definedName name="Cls1MktShrB">'7&amp;8 Sleep'!$BE$24:$BE$67</definedName>
    <definedName name="Cls1MktShrC">'7&amp;8 Sleep'!$BF$24:$BF$67</definedName>
    <definedName name="Cls1MktShrCentA">'7&amp;8 Sleep'!$B$76:$L$119</definedName>
    <definedName name="Cls1MktShrCentB">'7&amp;8 Sleep'!$B$128:$L$171</definedName>
    <definedName name="Cls1MktShrCentC">'7&amp;8 Sleep'!$B$180:$L$223</definedName>
    <definedName name="Cls1MktShrCentD">'7&amp;8 Sleep'!$B$233:$L$276</definedName>
    <definedName name="Cls1MktShrCentE">'7&amp;8 Sleep'!$B$286:$L$329</definedName>
    <definedName name="Cls1MktShrD">'7&amp;8 Sleep'!$BG$24:$BG$67</definedName>
    <definedName name="Cls1MktShrE">'7&amp;8 Sleep'!$BH$24:$BH$67</definedName>
    <definedName name="Cls1MktShrNCentA">'7&amp;8 Sleep'!$O$76:$Y$119</definedName>
    <definedName name="Cls1MktShrNCentB">'7&amp;8 Sleep'!$O$128:$Y$171</definedName>
    <definedName name="Cls1MktShrNCentC">'7&amp;8 Sleep'!$O$180:$Y$223</definedName>
    <definedName name="Cls1MktShrNCentD">'7&amp;8 Sleep'!$O$233:$Y$276</definedName>
    <definedName name="Cls1MktShrNCentE">'7&amp;8 Sleep'!$O$286:$Y$329</definedName>
    <definedName name="Cls1NCentDailyRng">'Market Data'!$E$126:$E$136</definedName>
    <definedName name="Cls1NCentTruckShr">'Market Data'!$H$126:$H$136</definedName>
    <definedName name="Cls1NCentVMT">'Market Data'!$D$126:$D$136</definedName>
    <definedName name="Cls1NCentVMTShr">'Market Data'!$I$126:$I$136</definedName>
    <definedName name="Cls1TechACentShr">'7&amp;8 Sleep'!$AH$76:$AH$119</definedName>
    <definedName name="Cls1TechBCentShr">'7&amp;8 Sleep'!$AH$128:$AH$171</definedName>
    <definedName name="Cls1TechCCentShr">'7&amp;8 Sleep'!$AH$180:$AH$223</definedName>
    <definedName name="Cls1TechDCentShr">'7&amp;8 Sleep'!$AH$233:$AH$276</definedName>
    <definedName name="Cls1TechECentShr">'7&amp;8 Sleep'!$AH$286:$AH$329</definedName>
    <definedName name="Cls2CentDailyRng">'Market Data'!$M$126:$M$136</definedName>
    <definedName name="Cls2CentTruckShr">'Market Data'!$P$126:$P$136</definedName>
    <definedName name="Cls2CentVMT">'Market Data'!$L$126:$L$136</definedName>
    <definedName name="Cls2CentVMTShr">'Market Data'!$Q$126:$Q$136</definedName>
    <definedName name="Cls2MktShrA">'7&amp;8 Day'!$BD$24:$BD$67</definedName>
    <definedName name="Cls2MktShrB">'7&amp;8 Day'!$BE$24:$BE$67</definedName>
    <definedName name="Cls2MktShrC">'7&amp;8 Day'!$BF$24:$BF$67</definedName>
    <definedName name="Cls2MktShrCentA">'7&amp;8 Day'!$B$76:$L$119</definedName>
    <definedName name="Cls2MktShrCentB">'7&amp;8 Day'!$B$128:$L$171</definedName>
    <definedName name="Cls2MktShrCentC">'7&amp;8 Day'!$B$180:$L$223</definedName>
    <definedName name="Cls2MktShrCentD">'7&amp;8 Day'!$B$233:$L$276</definedName>
    <definedName name="Cls2MktShrCentE">'7&amp;8 Day'!$B$286:$L$329</definedName>
    <definedName name="Cls2MktShrD">'7&amp;8 Day'!$BG$24:$BG$67</definedName>
    <definedName name="Cls2MktShrE">'7&amp;8 Day'!$BH$24:$BH$67</definedName>
    <definedName name="Cls2MktShrNCentA">'7&amp;8 Day'!$O$76:$Y$119</definedName>
    <definedName name="Cls2MktShrNCentB">'7&amp;8 Day'!$O$128:$Y$171</definedName>
    <definedName name="Cls2MktShrNCentC">'7&amp;8 Day'!$O$180:$Y$223</definedName>
    <definedName name="Cls2MktShrNCentD">'7&amp;8 Day'!$O$233:$Y$276</definedName>
    <definedName name="Cls2MktShrNCentE">'7&amp;8 Day'!$O$286:$Y$329</definedName>
    <definedName name="Cls2NCentDailyRng">'Market Data'!$O$126:$O$136</definedName>
    <definedName name="Cls2NCentTruckShr">'Market Data'!$R$126:$R$136</definedName>
    <definedName name="Cls2NCentVMT">'Market Data'!$N$126:$N$136</definedName>
    <definedName name="Cls2NCentVMTShr">'Market Data'!$S$126:$S$136</definedName>
    <definedName name="Cls2TechACentShr">'7&amp;8 Day'!$AH$76:$AH$119</definedName>
    <definedName name="Cls2TechBCentShr">'7&amp;8 Day'!$AH$128:$AH$171</definedName>
    <definedName name="Cls2TechCCentShr">'7&amp;8 Day'!$AH$180:$AH$223</definedName>
    <definedName name="Cls2TechDCentShr">'7&amp;8 Day'!$AH$233:$AH$276</definedName>
    <definedName name="Cls2TechECentShr">'7&amp;8 Day'!$AH$286:$AH$329</definedName>
    <definedName name="Cls3CentDailyRng">'Market Data'!$W$126:$W$136</definedName>
    <definedName name="Cls3CentTruckShr">'Market Data'!$Z$126:$Z$136</definedName>
    <definedName name="Cls3CentVMT">'Market Data'!$V$126:$V$136</definedName>
    <definedName name="Cls3CentVMTShr">'Market Data'!$AA$126:$AA$136</definedName>
    <definedName name="Cls3MktShrA">'7&amp;8 SU'!$BD$24:$BD$67</definedName>
    <definedName name="Cls3MktShrB">'7&amp;8 SU'!$BE$24:$BE$67</definedName>
    <definedName name="Cls3MktShrC">'7&amp;8 SU'!$BF$24:$BF$67</definedName>
    <definedName name="Cls3MktShrCentA">'7&amp;8 SU'!$B$76:$L$119</definedName>
    <definedName name="Cls3MktShrCentB">'7&amp;8 SU'!$B$128:$L$171</definedName>
    <definedName name="Cls3MktShrCentC">'7&amp;8 SU'!$B$180:$L$223</definedName>
    <definedName name="Cls3MktShrCentD">'7&amp;8 SU'!$B$233:$L$276</definedName>
    <definedName name="Cls3MktShrCentE">'7&amp;8 SU'!$B$286:$L$329</definedName>
    <definedName name="Cls3MktShrD">'7&amp;8 SU'!$BG$24:$BG$67</definedName>
    <definedName name="Cls3MktShrE">'7&amp;8 SU'!$BH$24:$BH$67</definedName>
    <definedName name="Cls3MktShrNCentA">'7&amp;8 SU'!$O$76:$Y$119</definedName>
    <definedName name="Cls3MktShrNCentB">'7&amp;8 SU'!$O$128:$Y$171</definedName>
    <definedName name="Cls3MktShrNCentC">'7&amp;8 SU'!$O$180:$Y$223</definedName>
    <definedName name="Cls3MktShrNCentD">'7&amp;8 SU'!$O$233:$Y$276</definedName>
    <definedName name="Cls3MktShrNCentE">'7&amp;8 SU'!$O$286:$Y$329</definedName>
    <definedName name="Cls3NCentDailyRng">'Market Data'!$Y$126:$Y$136</definedName>
    <definedName name="Cls3NCentTruckShr">'Market Data'!$AB$126:$AB$136</definedName>
    <definedName name="Cls3NCentVMT">'Market Data'!$X$126:$X$136</definedName>
    <definedName name="Cls3NCentVMTShr">'Market Data'!$AC$126:$AC$136</definedName>
    <definedName name="Cls3TechACentShr">'7&amp;8 SU'!$AH$76:$AH$119</definedName>
    <definedName name="Cls3TechBCentShr">'7&amp;8 SU'!$AH$128:$AH$171</definedName>
    <definedName name="Cls3TechCCentShr">'7&amp;8 SU'!$AH$180:$AH$223</definedName>
    <definedName name="Cls3TechDCentShr">'7&amp;8 SU'!$AH$233:$AH$276</definedName>
    <definedName name="Cls3TechECentShr">'7&amp;8 SU'!$AH$286:$AH$329</definedName>
    <definedName name="Cohorts">'Market Data'!$A$126:$A$136</definedName>
    <definedName name="COST_Cls1">'Inputs 7&amp;8 Sleep'!$C$22:$H$65</definedName>
    <definedName name="COST_Cls2">'Inputs 7&amp;8 Day'!$C$22:$H$65</definedName>
    <definedName name="COST_Cls3">'Inputs 7&amp;8 SU'!$C$22:$H$65</definedName>
    <definedName name="disc_rate">'Run Model'!$C$6</definedName>
    <definedName name="FirstCostInd">'S-curves'!$L$9:$M$48</definedName>
    <definedName name="FltShr">CentShrbyTech!$B$10:$S$53</definedName>
    <definedName name="fuel_avail">FuelAvail!$C$6:$K$49</definedName>
    <definedName name="FUEL1MPG_78SU">'Inputs 7&amp;8 Day'!$N$22:$S$65</definedName>
    <definedName name="FUEL1MPG_Cls1">'Inputs 7&amp;8 Sleep'!$N$22:$S$65</definedName>
    <definedName name="FUEL1MPG_Cls2">'Inputs 7&amp;8 Day'!$N$22:$S$65</definedName>
    <definedName name="FUEL1MPG_Cls3">'Inputs 7&amp;8 SU'!$N$22:$S$65</definedName>
    <definedName name="Fuel2HDStock">Fuel2ShrbyTech!$B$8:$S$8</definedName>
    <definedName name="FUEL2MPG_Cls1">'Inputs 7&amp;8 Sleep'!$T$22:$Y$65</definedName>
    <definedName name="FUEL2MPG_Cls2">'Inputs 7&amp;8 Day'!$T$22:$Y$65</definedName>
    <definedName name="FUEL2MPG_Cls3">'Inputs 7&amp;8 SU'!$T$22:$Y$65</definedName>
    <definedName name="Fuel2Shr">Fuel2ShrbyTech!$B$10:$S$53</definedName>
    <definedName name="FuelCls1A">'Inputs 7&amp;8 Sleep'!$F$9</definedName>
    <definedName name="FuelCls1B">'Inputs 7&amp;8 Sleep'!$F$10</definedName>
    <definedName name="FuelCls1C">'Inputs 7&amp;8 Sleep'!$F$11</definedName>
    <definedName name="FuelCls1D">'Inputs 7&amp;8 Sleep'!$F$12</definedName>
    <definedName name="FuelCls1E">'Inputs 7&amp;8 Sleep'!$F$13</definedName>
    <definedName name="FuelCls2A">'Inputs 7&amp;8 Day'!$F$9</definedName>
    <definedName name="FuelCls2B">'Inputs 7&amp;8 Day'!$F$10</definedName>
    <definedName name="FuelCls2C">'Inputs 7&amp;8 Day'!$F$11</definedName>
    <definedName name="FuelCls2D">'Inputs 7&amp;8 Day'!$F$12</definedName>
    <definedName name="FuelCls2E">'Inputs 7&amp;8 Day'!$F$13</definedName>
    <definedName name="FuelCls3A">'Inputs 7&amp;8 SU'!$F$9</definedName>
    <definedName name="FuelCls3B">'Inputs 7&amp;8 SU'!$F$10</definedName>
    <definedName name="FuelCls3C">'Inputs 7&amp;8 SU'!$F$11</definedName>
    <definedName name="FuelCls3D">'Inputs 7&amp;8 SU'!$F$12</definedName>
    <definedName name="FuelCls3E">'Inputs 7&amp;8 SU'!$F$13</definedName>
    <definedName name="FuelCostInd">'S-curves'!$N$9:$O$48</definedName>
    <definedName name="FuelHDStock">'Veh Price'!$B$8:$S$8</definedName>
    <definedName name="FuelPriceCent">'Fuel Prices'!$AG$11:$AP$54</definedName>
    <definedName name="FuelPriceCols">'Fuel Prices'!$AG$10:$AP$10</definedName>
    <definedName name="FuelPriceIn">'Fuel Prices'!$W$11:$AE$54</definedName>
    <definedName name="FuelPriceNCent">'Fuel Prices'!$K$11:$T$54</definedName>
    <definedName name="Fuels">'Fuel Prices'!$AH$10:$AP$10</definedName>
    <definedName name="Fuels2">'Fuel Prices'!$AR$12:$AR$21</definedName>
    <definedName name="FuelTypes">'Fuel Prices'!$AH$10:$AO$10</definedName>
    <definedName name="HVDiesel">'Fuel Prices'!$M$3</definedName>
    <definedName name="HVGasoline">'Fuel Prices'!$M$4</definedName>
    <definedName name="ICostFactLU" localSheetId="20">'S-curves'!$Y$9:$Z$39</definedName>
    <definedName name="ICostFactLU">'S-curves'!$Y$9:$Z$39</definedName>
    <definedName name="IncCost_Cls1">'7&amp;8 Sleep'!$C$24:$G$67</definedName>
    <definedName name="IncCost_Cls2">'7&amp;8 Day'!$C$24:$G$67</definedName>
    <definedName name="IncCost_Cls3">'7&amp;8 SU'!$C$24:$G$67</definedName>
    <definedName name="IncCostCls1A">'Inputs 7&amp;8 Sleep'!$D$22:$D$65</definedName>
    <definedName name="IncCostCls1B">'Inputs 7&amp;8 Sleep'!$E$22:$E$65</definedName>
    <definedName name="IncCostCls1C">'Inputs 7&amp;8 Sleep'!$F$22:$F$65</definedName>
    <definedName name="IncCostCls1D">'Inputs 7&amp;8 Sleep'!$G$22:$G$65</definedName>
    <definedName name="IncCostCls1E">'Inputs 7&amp;8 Sleep'!$H$22:$H$65</definedName>
    <definedName name="IncCostCls2A">'Inputs 7&amp;8 Day'!$D$22:$D$65</definedName>
    <definedName name="IncCostCls2B">'Inputs 7&amp;8 Day'!$E$22:$E$65</definedName>
    <definedName name="IncCostCls2C">'Inputs 7&amp;8 Day'!$F$22:$F$65</definedName>
    <definedName name="IncCostCls2D">'Inputs 7&amp;8 Day'!$G$22:$G$65</definedName>
    <definedName name="IncCostCls2E">'Inputs 7&amp;8 Day'!$H$22:$H$65</definedName>
    <definedName name="IncCostCls3A">'Inputs 7&amp;8 SU'!$D$22:$D$65</definedName>
    <definedName name="IncCostCls3B">'Inputs 7&amp;8 SU'!$E$22:$E$65</definedName>
    <definedName name="IncCostCls3C">'Inputs 7&amp;8 SU'!$F$22:$F$65</definedName>
    <definedName name="IncCostCls3D">'Inputs 7&amp;8 SU'!$G$22:$G$65</definedName>
    <definedName name="IncCostCls3E">'Inputs 7&amp;8 SU'!$H$22:$H$65</definedName>
    <definedName name="MktPenMi">'Mkt Pen Veh-Mi'!$B$9:$S$52</definedName>
    <definedName name="MktPenSales">'Market Penetration'!$B$9:$S$52</definedName>
    <definedName name="MoPayback_Comb">'7&amp;8 Sleep'!$Y$24:$AC$67</definedName>
    <definedName name="MoPayback_SU">'7&amp;8 Day'!$Y$24:$AC$67</definedName>
    <definedName name="MoSavings_Comb">'7&amp;8 Sleep'!$T$24:$X$67</definedName>
    <definedName name="MoSavings_SU">'7&amp;8 Day'!$T$24:$X$67</definedName>
    <definedName name="MPG">MPG!$B$9:$S$52</definedName>
    <definedName name="mpgFbase">'Inputs 7&amp;8 Sleep'!$P$8</definedName>
    <definedName name="NPVadjrate" localSheetId="20">'S-curves'!$AL$8:$AN$8</definedName>
    <definedName name="NPVadjrate">'S-curves'!$AL$8:$AN$8</definedName>
    <definedName name="OPDAYS_Cls1">'Inputs 7&amp;8 Sleep'!$E$3</definedName>
    <definedName name="OPDAYS_Cls2">'Inputs 7&amp;8 Day'!$E$3</definedName>
    <definedName name="OPDAYS_Cls3">'Inputs 7&amp;8 SU'!$E$3</definedName>
    <definedName name="plugs_per_station">FuelAvail!$Q$6</definedName>
    <definedName name="_xlnm.Print_Area" localSheetId="18">'Market Data'!$A$1:$AD$156</definedName>
    <definedName name="_xlnm.Print_Area" localSheetId="11">'Market Penetration'!$A$3:$O$52</definedName>
    <definedName name="_xlnm.Print_Area" localSheetId="10">'Mkt Pen Veh-Mi'!$A$3:$O$52</definedName>
    <definedName name="_xlnm.Print_Area" localSheetId="12">'Mkt Pen Veh-Mi (2)'!$A$3:$O$52</definedName>
    <definedName name="_xlnm.Print_Titles" localSheetId="8">'7&amp;8 Day'!$A:$A</definedName>
    <definedName name="_xlnm.Print_Titles" localSheetId="7">'7&amp;8 Sleep'!$A:$A</definedName>
    <definedName name="_xlnm.Print_Titles" localSheetId="4">'Inputs 7&amp;8 Day'!$B:$B,'Inputs 7&amp;8 Day'!$1:$66</definedName>
    <definedName name="_xlnm.Print_Titles" localSheetId="3">'Inputs 7&amp;8 Sleep'!$B:$B,'Inputs 7&amp;8 Sleep'!$1:$67</definedName>
    <definedName name="RtimeCls1Cent1">'Run Model'!$D$14</definedName>
    <definedName name="RtimeCls1Cent2">'7&amp;8 Sleep'!$P$4</definedName>
    <definedName name="RtimeCls1NCent1">'Run Model'!$D$15</definedName>
    <definedName name="RtimeCls1NCent2">'7&amp;8 Sleep'!$P$5</definedName>
    <definedName name="RtimeCls2Cent1">'Run Model'!$D$16</definedName>
    <definedName name="RtimeCls2Cent2">'7&amp;8 Day'!$L$4</definedName>
    <definedName name="RtimeCls2NCent1">'Run Model'!$D$17</definedName>
    <definedName name="RtimeCls2NCent2">'7&amp;8 Day'!$L$5</definedName>
    <definedName name="RtimeCls3Cent1">'Run Model'!$D$18</definedName>
    <definedName name="RtimeCls3Cent2">'7&amp;8 SU'!$P$4</definedName>
    <definedName name="RtimeCls3NCent1">'Run Model'!$D$19</definedName>
    <definedName name="RtimeCls3NCent2">'7&amp;8 SU'!$P$5</definedName>
    <definedName name="SCdata" localSheetId="20">'S-curves'!$A$9:$B$34</definedName>
    <definedName name="SCdata">'S-curves'!$A$9:$B$34</definedName>
    <definedName name="SUBSIDY_Cls1">'Inputs 7&amp;8 Sleep'!$I$22:$M$65</definedName>
    <definedName name="SUBSIDY_Cls2">'Inputs 7&amp;8 Day'!$I$22:$M$65</definedName>
    <definedName name="SUBSIDY_Cls3">'Inputs 7&amp;8 SU'!$I$22:$M$65</definedName>
    <definedName name="TECH_OPT_COLS_Cls1">'Inputs 7&amp;8 Sleep'!$C$7:$O$7</definedName>
    <definedName name="TECH_OPT_COLS_Cls2">'Inputs 7&amp;8 Day'!$C$7:$O$7</definedName>
    <definedName name="TECH_OPT_COLS_Cls3">'Inputs 7&amp;8 SU'!$C$7:$O$7</definedName>
    <definedName name="TECH_OPT_DESC_Cls1">'Inputs 7&amp;8 Sleep'!$C$8:$C$13</definedName>
    <definedName name="TECH_OPT_DESC_Cls2">'Inputs 7&amp;8 Day'!$C$8:$C$13</definedName>
    <definedName name="TECH_OPT_DESC_Cls3">'Inputs 7&amp;8 SU'!$C$8:$C$13</definedName>
    <definedName name="TECH_OPT_FUEL1_Cls1">'Inputs 7&amp;8 Sleep'!$F$8:$F$13</definedName>
    <definedName name="TECH_OPT_FUEL1_Cls2">'Inputs 7&amp;8 Day'!$F$8:$F$13</definedName>
    <definedName name="TECH_OPT_FUEL1_Cls3">'Inputs 7&amp;8 SU'!$F$8:$F$13</definedName>
    <definedName name="TECH_OPT_FUEL2_Cls1">'Inputs 7&amp;8 Sleep'!$G$8:$G$13</definedName>
    <definedName name="TECH_OPT_FUEL2_Cls2">'Inputs 7&amp;8 Day'!$G$8:$G$13</definedName>
    <definedName name="TECH_OPT_FUEL2_Cls3">'Inputs 7&amp;8 SU'!$G$8:$G$13</definedName>
    <definedName name="TECH_OPT_PARAMS_Cls1">'Inputs 7&amp;8 Sleep'!$C$8:$O$13</definedName>
    <definedName name="TECH_OPT_PARAMS_Cls2">'Inputs 7&amp;8 Day'!$C$8:$O$13</definedName>
    <definedName name="TECH_OPT_PARAMS_Cls3">'Inputs 7&amp;8 SU'!$C$8:$O$13</definedName>
    <definedName name="TECH_OPT_ROWS_Cls1">'Inputs 7&amp;8 Sleep'!$B$8:$B$13</definedName>
    <definedName name="TECH_OPT_ROWS_Cls2">'Inputs 7&amp;8 Day'!$B$8:$B$13</definedName>
    <definedName name="TECH_OPT_ROWS_Cls3">'Inputs 7&amp;8 SU'!$B$8:$B$13</definedName>
    <definedName name="TechACls1">'Inputs 7&amp;8 Sleep'!$C$9</definedName>
    <definedName name="TechACls2">'Inputs 7&amp;8 Day'!$C$9</definedName>
    <definedName name="TechACls3">'Inputs 7&amp;8 SU'!$C$9</definedName>
    <definedName name="TechBCls1">'Inputs 7&amp;8 Sleep'!$C$10</definedName>
    <definedName name="TechBCls2">'Inputs 7&amp;8 Day'!$C$10</definedName>
    <definedName name="TechBCls3">'Inputs 7&amp;8 SU'!$C$10</definedName>
    <definedName name="TechCCls1">'Inputs 7&amp;8 Sleep'!$C$11</definedName>
    <definedName name="TechCCls2">'Inputs 7&amp;8 Day'!$C$11</definedName>
    <definedName name="TechCCls3">'Inputs 7&amp;8 SU'!$C$11</definedName>
    <definedName name="TechDCls1">'Inputs 7&amp;8 Sleep'!$C$12</definedName>
    <definedName name="TechDCls2">'Inputs 7&amp;8 Day'!$C$12</definedName>
    <definedName name="TechDCls3">'Inputs 7&amp;8 SU'!$C$12</definedName>
    <definedName name="TechECls1">'Inputs 7&amp;8 Sleep'!$C$13</definedName>
    <definedName name="TechECls2">'Inputs 7&amp;8 Day'!$C$13</definedName>
    <definedName name="TechECls3">'Inputs 7&amp;8 SU'!$C$13</definedName>
    <definedName name="TechHDStock">'Veh Price'!$B$7:$S$7</definedName>
    <definedName name="TECHOPTS_Cls1">'Inputs 7&amp;8 Sleep'!$C$20:$H$20</definedName>
    <definedName name="TECHOPTS_Cls2">'Inputs 7&amp;8 Day'!$C$20:$H$20</definedName>
    <definedName name="TECHOPTS_Cls3">'Inputs 7&amp;8 SU'!$C$20:$H$20</definedName>
    <definedName name="TorF">FuelAvail!$D$53:$D$54</definedName>
    <definedName name="VehPrice">'Veh Price'!$B$9:$S$52</definedName>
    <definedName name="Years">'Inputs 7&amp;8 Sleep'!$B$22:$B$65</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9" l="1"/>
  <c r="S23" i="4" l="1"/>
  <c r="S22" i="4"/>
  <c r="S21" i="4"/>
  <c r="S20" i="4"/>
  <c r="S19" i="4"/>
  <c r="S18" i="4"/>
  <c r="S17" i="4"/>
  <c r="S16" i="4"/>
  <c r="S15" i="4"/>
  <c r="S14" i="4"/>
  <c r="S13" i="4"/>
  <c r="S12" i="4"/>
  <c r="S11" i="4"/>
  <c r="C35" i="1" l="1"/>
  <c r="C34" i="1"/>
  <c r="C33" i="1"/>
  <c r="AE54" i="4" l="1"/>
  <c r="AE53" i="4"/>
  <c r="AE52" i="4"/>
  <c r="AE51" i="4"/>
  <c r="AE50" i="4"/>
  <c r="AE49" i="4"/>
  <c r="AE48" i="4"/>
  <c r="AE47" i="4"/>
  <c r="AE46" i="4"/>
  <c r="AE45" i="4"/>
  <c r="AE44" i="4"/>
  <c r="AE43" i="4"/>
  <c r="AE42" i="4"/>
  <c r="AE41" i="4"/>
  <c r="AE40" i="4"/>
  <c r="AE39" i="4"/>
  <c r="AE38" i="4"/>
  <c r="AE37" i="4"/>
  <c r="AE36" i="4"/>
  <c r="AE35" i="4"/>
  <c r="AE34" i="4"/>
  <c r="AE33" i="4"/>
  <c r="AE32" i="4"/>
  <c r="AE31" i="4"/>
  <c r="AE30" i="4"/>
  <c r="AE29" i="4"/>
  <c r="AE28" i="4"/>
  <c r="AE27" i="4"/>
  <c r="AE26" i="4"/>
  <c r="AE25" i="4"/>
  <c r="AE24" i="4"/>
  <c r="AE23" i="4"/>
  <c r="AO23" i="4" s="1"/>
  <c r="AE22" i="4"/>
  <c r="AO22" i="4" s="1"/>
  <c r="AE21" i="4"/>
  <c r="AO21" i="4" s="1"/>
  <c r="AE20" i="4"/>
  <c r="AO20" i="4" s="1"/>
  <c r="AE19" i="4"/>
  <c r="AO19" i="4" s="1"/>
  <c r="AE18" i="4"/>
  <c r="AO18" i="4" s="1"/>
  <c r="AE17" i="4"/>
  <c r="AO17" i="4" s="1"/>
  <c r="AE16" i="4"/>
  <c r="AO16" i="4" s="1"/>
  <c r="AE15" i="4"/>
  <c r="AO15" i="4" s="1"/>
  <c r="AE14" i="4"/>
  <c r="AO14" i="4" s="1"/>
  <c r="AE13" i="4"/>
  <c r="AO13" i="4" s="1"/>
  <c r="AE12" i="4"/>
  <c r="AO12" i="4" s="1"/>
  <c r="AE11" i="4"/>
  <c r="AO11" i="4" s="1"/>
  <c r="AC54" i="4"/>
  <c r="AC53" i="4"/>
  <c r="AC52" i="4"/>
  <c r="AC51" i="4"/>
  <c r="AC50" i="4"/>
  <c r="AC49" i="4"/>
  <c r="AC48" i="4"/>
  <c r="AC47" i="4"/>
  <c r="AC46" i="4"/>
  <c r="AC45" i="4"/>
  <c r="AC44" i="4"/>
  <c r="AC43" i="4"/>
  <c r="AC42" i="4"/>
  <c r="AC41" i="4"/>
  <c r="AC40" i="4"/>
  <c r="AC39" i="4"/>
  <c r="AC38" i="4"/>
  <c r="AC37" i="4"/>
  <c r="AC36" i="4"/>
  <c r="AC35" i="4"/>
  <c r="AC34" i="4"/>
  <c r="AC33" i="4"/>
  <c r="AC32" i="4"/>
  <c r="AC31" i="4"/>
  <c r="AC30" i="4"/>
  <c r="AC29" i="4"/>
  <c r="AC28" i="4"/>
  <c r="AC27" i="4"/>
  <c r="AC26" i="4"/>
  <c r="AC25" i="4"/>
  <c r="AC24" i="4"/>
  <c r="AC23" i="4"/>
  <c r="AC22" i="4"/>
  <c r="AC21" i="4"/>
  <c r="AC20" i="4"/>
  <c r="AC19" i="4"/>
  <c r="AC18" i="4"/>
  <c r="AC17" i="4"/>
  <c r="AC16" i="4"/>
  <c r="AC15" i="4"/>
  <c r="AC14" i="4"/>
  <c r="AC13" i="4"/>
  <c r="AC12" i="4"/>
  <c r="AC11" i="4"/>
  <c r="AA54" i="4"/>
  <c r="AA53" i="4"/>
  <c r="AA52" i="4"/>
  <c r="AA51" i="4"/>
  <c r="AA50" i="4"/>
  <c r="AA49" i="4"/>
  <c r="AA48" i="4"/>
  <c r="AA47" i="4"/>
  <c r="AA46" i="4"/>
  <c r="AA45" i="4"/>
  <c r="AA44" i="4"/>
  <c r="AA43" i="4"/>
  <c r="AA42" i="4"/>
  <c r="AA41" i="4"/>
  <c r="AA40" i="4"/>
  <c r="AA39" i="4"/>
  <c r="AA38" i="4"/>
  <c r="AA37" i="4"/>
  <c r="AA36" i="4"/>
  <c r="AA35" i="4"/>
  <c r="AA34" i="4"/>
  <c r="AA33" i="4"/>
  <c r="AA32" i="4"/>
  <c r="AA31" i="4"/>
  <c r="AA30" i="4"/>
  <c r="AA29" i="4"/>
  <c r="AA28" i="4"/>
  <c r="AA27" i="4"/>
  <c r="AA26" i="4"/>
  <c r="AA25" i="4"/>
  <c r="AA24" i="4"/>
  <c r="AA23" i="4"/>
  <c r="AA22" i="4"/>
  <c r="AA21" i="4"/>
  <c r="AA20" i="4"/>
  <c r="AA19" i="4"/>
  <c r="AA18" i="4"/>
  <c r="AA17" i="4"/>
  <c r="AA16" i="4"/>
  <c r="AA15" i="4"/>
  <c r="AA14" i="4"/>
  <c r="AA13" i="4"/>
  <c r="AA12" i="4"/>
  <c r="AA11" i="4"/>
  <c r="AZ12" i="4"/>
  <c r="F12" i="4" s="1"/>
  <c r="AZ13" i="4"/>
  <c r="F13" i="4" s="1"/>
  <c r="AZ14" i="4"/>
  <c r="F14" i="4" s="1"/>
  <c r="AZ15" i="4"/>
  <c r="F15" i="4" s="1"/>
  <c r="AZ16" i="4"/>
  <c r="F16" i="4" s="1"/>
  <c r="AZ17" i="4"/>
  <c r="F17" i="4" s="1"/>
  <c r="AZ18" i="4"/>
  <c r="F18" i="4" s="1"/>
  <c r="AZ19" i="4"/>
  <c r="F19" i="4" s="1"/>
  <c r="AZ20" i="4"/>
  <c r="F20" i="4" s="1"/>
  <c r="AZ21" i="4"/>
  <c r="F21" i="4" s="1"/>
  <c r="AZ22" i="4"/>
  <c r="F22" i="4" s="1"/>
  <c r="AZ23" i="4"/>
  <c r="AZ11" i="4"/>
  <c r="F11" i="4" s="1"/>
  <c r="AY12" i="4"/>
  <c r="D12" i="4" s="1"/>
  <c r="AY13" i="4"/>
  <c r="D13" i="4" s="1"/>
  <c r="AY14" i="4"/>
  <c r="D14" i="4" s="1"/>
  <c r="AY15" i="4"/>
  <c r="D15" i="4" s="1"/>
  <c r="AY16" i="4"/>
  <c r="D16" i="4" s="1"/>
  <c r="AY17" i="4"/>
  <c r="D17" i="4" s="1"/>
  <c r="AY18" i="4"/>
  <c r="D18" i="4" s="1"/>
  <c r="AY19" i="4"/>
  <c r="D19" i="4" s="1"/>
  <c r="AY20" i="4"/>
  <c r="D20" i="4" s="1"/>
  <c r="AY21" i="4"/>
  <c r="D21" i="4" s="1"/>
  <c r="AY22" i="4"/>
  <c r="D22" i="4" s="1"/>
  <c r="AY23" i="4"/>
  <c r="AY11" i="4"/>
  <c r="D11" i="4" s="1"/>
  <c r="AW12" i="4"/>
  <c r="AW13" i="4"/>
  <c r="AW14" i="4"/>
  <c r="AW15" i="4"/>
  <c r="AW16" i="4"/>
  <c r="AW17" i="4"/>
  <c r="AW18" i="4"/>
  <c r="AW19" i="4"/>
  <c r="AW20" i="4"/>
  <c r="AW21" i="4"/>
  <c r="AW22" i="4"/>
  <c r="AW23" i="4"/>
  <c r="AW11" i="4"/>
  <c r="AX12" i="4"/>
  <c r="AX13" i="4"/>
  <c r="AX14" i="4"/>
  <c r="AX15" i="4"/>
  <c r="AX16" i="4"/>
  <c r="AX17" i="4"/>
  <c r="AX18" i="4"/>
  <c r="AX19" i="4"/>
  <c r="AX20" i="4"/>
  <c r="AX21" i="4"/>
  <c r="AX22" i="4"/>
  <c r="AX23" i="4"/>
  <c r="AX11" i="4"/>
  <c r="Q51" i="22" l="1"/>
  <c r="Q52" i="22" s="1"/>
  <c r="Q53" i="22" s="1"/>
  <c r="Q54" i="22" s="1"/>
  <c r="Q55" i="22" s="1"/>
  <c r="Q56" i="22" s="1"/>
  <c r="Q57" i="22" s="1"/>
  <c r="Q58" i="22" s="1"/>
  <c r="Q59" i="22" s="1"/>
  <c r="Q60" i="22" s="1"/>
  <c r="Q61" i="22" s="1"/>
  <c r="Q62" i="22" s="1"/>
  <c r="Q63" i="22" s="1"/>
  <c r="Q64" i="22" s="1"/>
  <c r="Q65" i="22" s="1"/>
  <c r="P46" i="22"/>
  <c r="P47" i="22" s="1"/>
  <c r="P48" i="22" s="1"/>
  <c r="P49" i="22" s="1"/>
  <c r="P50" i="22" s="1"/>
  <c r="P51" i="22" s="1"/>
  <c r="P52" i="22" s="1"/>
  <c r="P53" i="22" s="1"/>
  <c r="P54" i="22" s="1"/>
  <c r="P55" i="22" s="1"/>
  <c r="P56" i="22" s="1"/>
  <c r="P57" i="22" s="1"/>
  <c r="P58" i="22" s="1"/>
  <c r="P59" i="22" s="1"/>
  <c r="P60" i="22" s="1"/>
  <c r="P61" i="22" s="1"/>
  <c r="P62" i="22" s="1"/>
  <c r="P63" i="22" s="1"/>
  <c r="P64" i="22" s="1"/>
  <c r="P65" i="22" s="1"/>
  <c r="O46" i="22"/>
  <c r="O47" i="22" s="1"/>
  <c r="O48" i="22" s="1"/>
  <c r="O49" i="22" s="1"/>
  <c r="O50" i="22" s="1"/>
  <c r="O51" i="22" s="1"/>
  <c r="O52" i="22" s="1"/>
  <c r="O53" i="22" s="1"/>
  <c r="O54" i="22" s="1"/>
  <c r="O55" i="22" s="1"/>
  <c r="O56" i="22" s="1"/>
  <c r="O57" i="22" s="1"/>
  <c r="O58" i="22" s="1"/>
  <c r="O59" i="22" s="1"/>
  <c r="O60" i="22" s="1"/>
  <c r="O61" i="22" s="1"/>
  <c r="O62" i="22" s="1"/>
  <c r="O63" i="22" s="1"/>
  <c r="O64" i="22" s="1"/>
  <c r="O65" i="22" s="1"/>
  <c r="P46" i="12"/>
  <c r="P47" i="12" s="1"/>
  <c r="P48" i="12" s="1"/>
  <c r="P49" i="12" s="1"/>
  <c r="P50" i="12" s="1"/>
  <c r="P51" i="12" s="1"/>
  <c r="P52" i="12" s="1"/>
  <c r="P53" i="12" s="1"/>
  <c r="P54" i="12" s="1"/>
  <c r="P55" i="12" s="1"/>
  <c r="P56" i="12" s="1"/>
  <c r="P57" i="12" s="1"/>
  <c r="P58" i="12" s="1"/>
  <c r="P59" i="12" s="1"/>
  <c r="P60" i="12" s="1"/>
  <c r="P61" i="12" s="1"/>
  <c r="P62" i="12" s="1"/>
  <c r="P63" i="12" s="1"/>
  <c r="P64" i="12" s="1"/>
  <c r="P65" i="12" s="1"/>
  <c r="O46" i="12"/>
  <c r="O47" i="12" s="1"/>
  <c r="O48" i="12" s="1"/>
  <c r="O49" i="12" s="1"/>
  <c r="O50" i="12" s="1"/>
  <c r="O51" i="12" s="1"/>
  <c r="O52" i="12" s="1"/>
  <c r="O53" i="12" s="1"/>
  <c r="O54" i="12" s="1"/>
  <c r="O55" i="12" s="1"/>
  <c r="O56" i="12" s="1"/>
  <c r="O57" i="12" s="1"/>
  <c r="O58" i="12" s="1"/>
  <c r="O59" i="12" s="1"/>
  <c r="O60" i="12" s="1"/>
  <c r="O61" i="12" s="1"/>
  <c r="O62" i="12" s="1"/>
  <c r="O63" i="12" s="1"/>
  <c r="O64" i="12" s="1"/>
  <c r="O65" i="12" s="1"/>
  <c r="O24" i="12" l="1"/>
  <c r="O23" i="12" s="1"/>
  <c r="O22" i="12" s="1"/>
  <c r="P24" i="12"/>
  <c r="P23" i="12" s="1"/>
  <c r="P22" i="12" s="1"/>
  <c r="AE21" i="22" l="1"/>
  <c r="AD21" i="22"/>
  <c r="AC21" i="22"/>
  <c r="AB21" i="22"/>
  <c r="AA21" i="22"/>
  <c r="AE21" i="12"/>
  <c r="AD21" i="12"/>
  <c r="AC21" i="12"/>
  <c r="AB21" i="12"/>
  <c r="AA21" i="12"/>
  <c r="BQ65" i="1" l="1"/>
  <c r="BP36" i="1" l="1"/>
  <c r="BP37" i="1"/>
  <c r="BP38" i="1"/>
  <c r="BP39" i="1"/>
  <c r="BP40" i="1"/>
  <c r="BP41" i="1"/>
  <c r="BP42" i="1"/>
  <c r="BP43" i="1"/>
  <c r="BP44" i="1"/>
  <c r="BP45" i="1"/>
  <c r="BP46" i="1"/>
  <c r="BP47" i="1"/>
  <c r="BP48" i="1"/>
  <c r="BP49" i="1"/>
  <c r="BP50" i="1"/>
  <c r="BP51" i="1"/>
  <c r="BP52" i="1"/>
  <c r="BP53" i="1"/>
  <c r="BP54" i="1"/>
  <c r="BP55" i="1"/>
  <c r="BP56" i="1"/>
  <c r="BP57" i="1"/>
  <c r="BP58" i="1"/>
  <c r="BP59" i="1"/>
  <c r="BP60" i="1"/>
  <c r="BP61" i="1"/>
  <c r="BP62" i="1"/>
  <c r="BP63" i="1"/>
  <c r="BP64" i="1"/>
  <c r="BP65" i="1"/>
  <c r="BP35" i="1"/>
  <c r="AO55" i="4" l="1"/>
  <c r="AO56" i="4"/>
  <c r="AO57" i="4"/>
  <c r="AO58" i="4"/>
  <c r="AL24" i="9"/>
  <c r="AM24" i="9" s="1"/>
  <c r="AN24" i="9" s="1"/>
  <c r="AN23" i="9" s="1"/>
  <c r="AN22" i="9" s="1"/>
  <c r="AN21" i="9" s="1"/>
  <c r="AN20" i="9" s="1"/>
  <c r="AN19" i="9" s="1"/>
  <c r="AN18" i="9" s="1"/>
  <c r="AN17" i="9" s="1"/>
  <c r="AN16" i="9" s="1"/>
  <c r="AN15" i="9" s="1"/>
  <c r="AN14" i="9" s="1"/>
  <c r="AN13" i="9" s="1"/>
  <c r="AN12" i="9" s="1"/>
  <c r="AN11" i="9" s="1"/>
  <c r="AN10" i="9" s="1"/>
  <c r="AN9" i="9" s="1"/>
  <c r="AL25" i="9"/>
  <c r="AM25" i="9" s="1"/>
  <c r="AN25" i="9" s="1"/>
  <c r="U40" i="4" s="1"/>
  <c r="AL26" i="9"/>
  <c r="AM26" i="9" s="1"/>
  <c r="AN26" i="9" s="1"/>
  <c r="U41" i="4" s="1"/>
  <c r="AL27" i="9"/>
  <c r="AM27" i="9" s="1"/>
  <c r="AN27" i="9" s="1"/>
  <c r="U42" i="4" s="1"/>
  <c r="AL28" i="9"/>
  <c r="AM28" i="9" s="1"/>
  <c r="AN28" i="9" s="1"/>
  <c r="U43" i="4" s="1"/>
  <c r="AL29" i="9"/>
  <c r="AM29" i="9" s="1"/>
  <c r="AN29" i="9" s="1"/>
  <c r="AL30" i="9"/>
  <c r="AM30" i="9" s="1"/>
  <c r="AN30" i="9" s="1"/>
  <c r="AL31" i="9"/>
  <c r="AM31" i="9" s="1"/>
  <c r="AN31" i="9" s="1"/>
  <c r="AL32" i="9"/>
  <c r="AM32" i="9" s="1"/>
  <c r="AN32" i="9" s="1"/>
  <c r="AL33" i="9"/>
  <c r="AM33" i="9" s="1"/>
  <c r="AN33" i="9" s="1"/>
  <c r="U48" i="4" s="1"/>
  <c r="AL34" i="9"/>
  <c r="AM34" i="9" s="1"/>
  <c r="AN34" i="9" s="1"/>
  <c r="U49" i="4" s="1"/>
  <c r="AL35" i="9"/>
  <c r="AM35" i="9" s="1"/>
  <c r="AN35" i="9" s="1"/>
  <c r="U50" i="4" s="1"/>
  <c r="AL36" i="9"/>
  <c r="AM36" i="9" s="1"/>
  <c r="AN36" i="9" s="1"/>
  <c r="U51" i="4" s="1"/>
  <c r="AL37" i="9"/>
  <c r="AM37" i="9" s="1"/>
  <c r="AN37" i="9" s="1"/>
  <c r="AL38" i="9"/>
  <c r="AM38" i="9" s="1"/>
  <c r="AN38" i="9" s="1"/>
  <c r="U53" i="4" s="1"/>
  <c r="AL39" i="9"/>
  <c r="AM39" i="9" s="1"/>
  <c r="AN39" i="9" s="1"/>
  <c r="S42" i="4" l="1"/>
  <c r="AO42" i="4"/>
  <c r="S49" i="4"/>
  <c r="AO49" i="4"/>
  <c r="S41" i="4"/>
  <c r="AO41" i="4"/>
  <c r="S50" i="4"/>
  <c r="AO50" i="4"/>
  <c r="S48" i="4"/>
  <c r="AO48" i="4"/>
  <c r="S40" i="4"/>
  <c r="AO40" i="4"/>
  <c r="S51" i="4"/>
  <c r="AO51" i="4"/>
  <c r="S53" i="4"/>
  <c r="AO53" i="4"/>
  <c r="S43" i="4"/>
  <c r="AO43" i="4"/>
  <c r="U45" i="4"/>
  <c r="U44" i="4"/>
  <c r="U47" i="4"/>
  <c r="U54" i="4"/>
  <c r="U46" i="4"/>
  <c r="U52" i="4"/>
  <c r="U39" i="4"/>
  <c r="Y29" i="23"/>
  <c r="Z29" i="23"/>
  <c r="Z30" i="23"/>
  <c r="Z31" i="23"/>
  <c r="Z32" i="23"/>
  <c r="Z33" i="23"/>
  <c r="Z34" i="23"/>
  <c r="Z35" i="23"/>
  <c r="Z36" i="23"/>
  <c r="Z37" i="23"/>
  <c r="Z38" i="23"/>
  <c r="Z39" i="23"/>
  <c r="Z40" i="23"/>
  <c r="Z41" i="23"/>
  <c r="Z42" i="23"/>
  <c r="Z43" i="23"/>
  <c r="Z44" i="23"/>
  <c r="Z45" i="23"/>
  <c r="Z46" i="23"/>
  <c r="Z47" i="23"/>
  <c r="Z48" i="23"/>
  <c r="Z49" i="23"/>
  <c r="Z50" i="23"/>
  <c r="Z51" i="23"/>
  <c r="Z52" i="23"/>
  <c r="Z53" i="23"/>
  <c r="Z54" i="23"/>
  <c r="Z55" i="23"/>
  <c r="Z56" i="23"/>
  <c r="Z57" i="23"/>
  <c r="Z58" i="23"/>
  <c r="Z59" i="23"/>
  <c r="Z60" i="23"/>
  <c r="Z61" i="23"/>
  <c r="Z62" i="23"/>
  <c r="Z63" i="23"/>
  <c r="Z64" i="23"/>
  <c r="Z65" i="23"/>
  <c r="Z66" i="23"/>
  <c r="S39" i="4" l="1"/>
  <c r="AO39" i="4"/>
  <c r="S52" i="4"/>
  <c r="AO52" i="4"/>
  <c r="S46" i="4"/>
  <c r="AO46" i="4"/>
  <c r="S54" i="4"/>
  <c r="AO54" i="4"/>
  <c r="S47" i="4"/>
  <c r="AO47" i="4"/>
  <c r="S44" i="4"/>
  <c r="AO44" i="4"/>
  <c r="S45" i="4"/>
  <c r="AO45" i="4"/>
  <c r="Y30" i="23"/>
  <c r="U38" i="4"/>
  <c r="B11" i="9"/>
  <c r="B12" i="9"/>
  <c r="B13" i="9"/>
  <c r="B14" i="9"/>
  <c r="B15" i="9"/>
  <c r="B16" i="9"/>
  <c r="B17" i="9"/>
  <c r="B18" i="9"/>
  <c r="B19" i="9"/>
  <c r="B20" i="9"/>
  <c r="B21" i="9"/>
  <c r="B22" i="9"/>
  <c r="B23" i="9"/>
  <c r="B24" i="9"/>
  <c r="B25" i="9"/>
  <c r="B26" i="9"/>
  <c r="B27" i="9"/>
  <c r="B28" i="9"/>
  <c r="B29" i="9"/>
  <c r="B30" i="9"/>
  <c r="B31" i="9"/>
  <c r="B32" i="9"/>
  <c r="B33" i="9"/>
  <c r="B34" i="9"/>
  <c r="S38" i="4" l="1"/>
  <c r="AO38" i="4"/>
  <c r="Y31" i="23"/>
  <c r="U37" i="4"/>
  <c r="G21" i="1"/>
  <c r="S37" i="4" l="1"/>
  <c r="AO37" i="4"/>
  <c r="Y32" i="23"/>
  <c r="U36" i="4"/>
  <c r="L11" i="4"/>
  <c r="M11" i="4"/>
  <c r="N11" i="4"/>
  <c r="O11" i="4"/>
  <c r="P11" i="4"/>
  <c r="Q11" i="4"/>
  <c r="R11" i="4"/>
  <c r="L12" i="4"/>
  <c r="M12" i="4"/>
  <c r="N12" i="4"/>
  <c r="O12" i="4"/>
  <c r="P12" i="4"/>
  <c r="Q12" i="4"/>
  <c r="R12" i="4"/>
  <c r="L13" i="4"/>
  <c r="M13" i="4"/>
  <c r="N13" i="4"/>
  <c r="O13" i="4"/>
  <c r="P13" i="4"/>
  <c r="Q13" i="4"/>
  <c r="R13" i="4"/>
  <c r="L14" i="4"/>
  <c r="M14" i="4"/>
  <c r="N14" i="4"/>
  <c r="O14" i="4"/>
  <c r="P14" i="4"/>
  <c r="Q14" i="4"/>
  <c r="R14" i="4"/>
  <c r="L15" i="4"/>
  <c r="M15" i="4"/>
  <c r="N15" i="4"/>
  <c r="O15" i="4"/>
  <c r="P15" i="4"/>
  <c r="Q15" i="4"/>
  <c r="R15" i="4"/>
  <c r="L16" i="4"/>
  <c r="M16" i="4"/>
  <c r="N16" i="4"/>
  <c r="O16" i="4"/>
  <c r="P16" i="4"/>
  <c r="Q16" i="4"/>
  <c r="R16" i="4"/>
  <c r="L17" i="4"/>
  <c r="M17" i="4"/>
  <c r="N17" i="4"/>
  <c r="O17" i="4"/>
  <c r="P17" i="4"/>
  <c r="Q17" i="4"/>
  <c r="R17" i="4"/>
  <c r="L18" i="4"/>
  <c r="M18" i="4"/>
  <c r="N18" i="4"/>
  <c r="O18" i="4"/>
  <c r="P18" i="4"/>
  <c r="Q18" i="4"/>
  <c r="R18" i="4"/>
  <c r="L19" i="4"/>
  <c r="M19" i="4"/>
  <c r="N19" i="4"/>
  <c r="O19" i="4"/>
  <c r="P19" i="4"/>
  <c r="Q19" i="4"/>
  <c r="R19" i="4"/>
  <c r="L21" i="4"/>
  <c r="M21" i="4"/>
  <c r="N21" i="4"/>
  <c r="O21" i="4"/>
  <c r="P21" i="4"/>
  <c r="Q21" i="4"/>
  <c r="R21" i="4"/>
  <c r="L22" i="4"/>
  <c r="M22" i="4"/>
  <c r="N22" i="4"/>
  <c r="O22" i="4"/>
  <c r="P22" i="4"/>
  <c r="Q22" i="4"/>
  <c r="R22" i="4"/>
  <c r="L23" i="4"/>
  <c r="M23" i="4"/>
  <c r="N23" i="4"/>
  <c r="O23" i="4"/>
  <c r="P23" i="4"/>
  <c r="Q23" i="4"/>
  <c r="R23" i="4"/>
  <c r="L24" i="4"/>
  <c r="M24" i="4"/>
  <c r="N24" i="4"/>
  <c r="O24" i="4"/>
  <c r="P24" i="4"/>
  <c r="Q24" i="4"/>
  <c r="R24" i="4"/>
  <c r="L25" i="4"/>
  <c r="M25" i="4"/>
  <c r="N25" i="4"/>
  <c r="O25" i="4"/>
  <c r="P25" i="4"/>
  <c r="Q25" i="4"/>
  <c r="R25" i="4"/>
  <c r="L26" i="4"/>
  <c r="M26" i="4"/>
  <c r="N26" i="4"/>
  <c r="O26" i="4"/>
  <c r="P26" i="4"/>
  <c r="Q26" i="4"/>
  <c r="R26" i="4"/>
  <c r="L27" i="4"/>
  <c r="M27" i="4"/>
  <c r="N27" i="4"/>
  <c r="O27" i="4"/>
  <c r="P27" i="4"/>
  <c r="Q27" i="4"/>
  <c r="R27" i="4"/>
  <c r="L28" i="4"/>
  <c r="M28" i="4"/>
  <c r="N28" i="4"/>
  <c r="O28" i="4"/>
  <c r="P28" i="4"/>
  <c r="Q28" i="4"/>
  <c r="R28" i="4"/>
  <c r="L29" i="4"/>
  <c r="M29" i="4"/>
  <c r="N29" i="4"/>
  <c r="O29" i="4"/>
  <c r="P29" i="4"/>
  <c r="Q29" i="4"/>
  <c r="R29" i="4"/>
  <c r="L30" i="4"/>
  <c r="M30" i="4"/>
  <c r="N30" i="4"/>
  <c r="O30" i="4"/>
  <c r="P30" i="4"/>
  <c r="Q30" i="4"/>
  <c r="R30" i="4"/>
  <c r="L31" i="4"/>
  <c r="M31" i="4"/>
  <c r="N31" i="4"/>
  <c r="O31" i="4"/>
  <c r="P31" i="4"/>
  <c r="Q31" i="4"/>
  <c r="R31" i="4"/>
  <c r="L32" i="4"/>
  <c r="M32" i="4"/>
  <c r="N32" i="4"/>
  <c r="O32" i="4"/>
  <c r="P32" i="4"/>
  <c r="Q32" i="4"/>
  <c r="R32" i="4"/>
  <c r="L33" i="4"/>
  <c r="M33" i="4"/>
  <c r="N33" i="4"/>
  <c r="O33" i="4"/>
  <c r="P33" i="4"/>
  <c r="Q33" i="4"/>
  <c r="R33" i="4"/>
  <c r="L34" i="4"/>
  <c r="M34" i="4"/>
  <c r="N34" i="4"/>
  <c r="O34" i="4"/>
  <c r="P34" i="4"/>
  <c r="Q34" i="4"/>
  <c r="R34" i="4"/>
  <c r="L35" i="4"/>
  <c r="M35" i="4"/>
  <c r="N35" i="4"/>
  <c r="O35" i="4"/>
  <c r="P35" i="4"/>
  <c r="Q35" i="4"/>
  <c r="R35" i="4"/>
  <c r="L36" i="4"/>
  <c r="M36" i="4"/>
  <c r="N36" i="4"/>
  <c r="O36" i="4"/>
  <c r="P36" i="4"/>
  <c r="Q36" i="4"/>
  <c r="R36" i="4"/>
  <c r="L37" i="4"/>
  <c r="M37" i="4"/>
  <c r="N37" i="4"/>
  <c r="O37" i="4"/>
  <c r="P37" i="4"/>
  <c r="Q37" i="4"/>
  <c r="R37" i="4"/>
  <c r="L38" i="4"/>
  <c r="M38" i="4"/>
  <c r="N38" i="4"/>
  <c r="O38" i="4"/>
  <c r="P38" i="4"/>
  <c r="Q38" i="4"/>
  <c r="R38" i="4"/>
  <c r="L39" i="4"/>
  <c r="M39" i="4"/>
  <c r="N39" i="4"/>
  <c r="O39" i="4"/>
  <c r="P39" i="4"/>
  <c r="Q39" i="4"/>
  <c r="R39" i="4"/>
  <c r="L40" i="4"/>
  <c r="M40" i="4"/>
  <c r="N40" i="4"/>
  <c r="O40" i="4"/>
  <c r="P40" i="4"/>
  <c r="Q40" i="4"/>
  <c r="R40" i="4"/>
  <c r="L41" i="4"/>
  <c r="M41" i="4"/>
  <c r="N41" i="4"/>
  <c r="O41" i="4"/>
  <c r="P41" i="4"/>
  <c r="Q41" i="4"/>
  <c r="R41" i="4"/>
  <c r="L42" i="4"/>
  <c r="M42" i="4"/>
  <c r="N42" i="4"/>
  <c r="O42" i="4"/>
  <c r="P42" i="4"/>
  <c r="Q42" i="4"/>
  <c r="R42" i="4"/>
  <c r="L43" i="4"/>
  <c r="M43" i="4"/>
  <c r="N43" i="4"/>
  <c r="O43" i="4"/>
  <c r="P43" i="4"/>
  <c r="Q43" i="4"/>
  <c r="R43" i="4"/>
  <c r="L44" i="4"/>
  <c r="M44" i="4"/>
  <c r="N44" i="4"/>
  <c r="O44" i="4"/>
  <c r="P44" i="4"/>
  <c r="Q44" i="4"/>
  <c r="R44" i="4"/>
  <c r="L45" i="4"/>
  <c r="M45" i="4"/>
  <c r="N45" i="4"/>
  <c r="O45" i="4"/>
  <c r="P45" i="4"/>
  <c r="Q45" i="4"/>
  <c r="R45" i="4"/>
  <c r="L46" i="4"/>
  <c r="M46" i="4"/>
  <c r="N46" i="4"/>
  <c r="O46" i="4"/>
  <c r="P46" i="4"/>
  <c r="Q46" i="4"/>
  <c r="R46" i="4"/>
  <c r="L47" i="4"/>
  <c r="M47" i="4"/>
  <c r="N47" i="4"/>
  <c r="O47" i="4"/>
  <c r="P47" i="4"/>
  <c r="Q47" i="4"/>
  <c r="R47" i="4"/>
  <c r="L48" i="4"/>
  <c r="M48" i="4"/>
  <c r="N48" i="4"/>
  <c r="O48" i="4"/>
  <c r="P48" i="4"/>
  <c r="Q48" i="4"/>
  <c r="R48" i="4"/>
  <c r="L49" i="4"/>
  <c r="M49" i="4"/>
  <c r="N49" i="4"/>
  <c r="O49" i="4"/>
  <c r="P49" i="4"/>
  <c r="Q49" i="4"/>
  <c r="R49" i="4"/>
  <c r="L50" i="4"/>
  <c r="M50" i="4"/>
  <c r="N50" i="4"/>
  <c r="O50" i="4"/>
  <c r="P50" i="4"/>
  <c r="Q50" i="4"/>
  <c r="R50" i="4"/>
  <c r="L51" i="4"/>
  <c r="M51" i="4"/>
  <c r="N51" i="4"/>
  <c r="O51" i="4"/>
  <c r="P51" i="4"/>
  <c r="Q51" i="4"/>
  <c r="R51" i="4"/>
  <c r="L52" i="4"/>
  <c r="M52" i="4"/>
  <c r="N52" i="4"/>
  <c r="O52" i="4"/>
  <c r="P52" i="4"/>
  <c r="Q52" i="4"/>
  <c r="R52" i="4"/>
  <c r="L53" i="4"/>
  <c r="M53" i="4"/>
  <c r="N53" i="4"/>
  <c r="O53" i="4"/>
  <c r="P53" i="4"/>
  <c r="Q53" i="4"/>
  <c r="R53" i="4"/>
  <c r="L54" i="4"/>
  <c r="M54" i="4"/>
  <c r="N54" i="4"/>
  <c r="O54" i="4"/>
  <c r="P54" i="4"/>
  <c r="Q54" i="4"/>
  <c r="R54" i="4"/>
  <c r="M20" i="4"/>
  <c r="N20" i="4"/>
  <c r="O20" i="4"/>
  <c r="P20" i="4"/>
  <c r="Q20" i="4"/>
  <c r="R20" i="4"/>
  <c r="L20" i="4"/>
  <c r="S36" i="4" l="1"/>
  <c r="AO36" i="4"/>
  <c r="Y33" i="23"/>
  <c r="U35" i="4"/>
  <c r="P2" i="4"/>
  <c r="AF19" i="4" s="1"/>
  <c r="AP19" i="4" s="1"/>
  <c r="S35" i="4" l="1"/>
  <c r="AO35" i="4"/>
  <c r="Y34" i="23"/>
  <c r="U34" i="4"/>
  <c r="J30" i="4"/>
  <c r="T30" i="4" s="1"/>
  <c r="AF33" i="4"/>
  <c r="AP33" i="4" s="1"/>
  <c r="J53" i="4"/>
  <c r="T53" i="4" s="1"/>
  <c r="J37" i="4"/>
  <c r="T37" i="4" s="1"/>
  <c r="J21" i="4"/>
  <c r="T21" i="4" s="1"/>
  <c r="J20" i="4"/>
  <c r="T20" i="4" s="1"/>
  <c r="J47" i="4"/>
  <c r="T47" i="4" s="1"/>
  <c r="J39" i="4"/>
  <c r="T39" i="4" s="1"/>
  <c r="J31" i="4"/>
  <c r="T31" i="4" s="1"/>
  <c r="J23" i="4"/>
  <c r="T23" i="4" s="1"/>
  <c r="AF50" i="4"/>
  <c r="AP50" i="4" s="1"/>
  <c r="AF42" i="4"/>
  <c r="AP42" i="4" s="1"/>
  <c r="AF34" i="4"/>
  <c r="AP34" i="4" s="1"/>
  <c r="AF26" i="4"/>
  <c r="AP26" i="4" s="1"/>
  <c r="J38" i="4"/>
  <c r="T38" i="4" s="1"/>
  <c r="AF24" i="4"/>
  <c r="AP24" i="4" s="1"/>
  <c r="J52" i="4"/>
  <c r="T52" i="4" s="1"/>
  <c r="J44" i="4"/>
  <c r="T44" i="4" s="1"/>
  <c r="J36" i="4"/>
  <c r="T36" i="4" s="1"/>
  <c r="J28" i="4"/>
  <c r="T28" i="4" s="1"/>
  <c r="AF20" i="4"/>
  <c r="AP20" i="4" s="1"/>
  <c r="AF47" i="4"/>
  <c r="AP47" i="4" s="1"/>
  <c r="AF39" i="4"/>
  <c r="AP39" i="4" s="1"/>
  <c r="AF31" i="4"/>
  <c r="AP31" i="4" s="1"/>
  <c r="AF23" i="4"/>
  <c r="AP23" i="4" s="1"/>
  <c r="J22" i="4"/>
  <c r="T22" i="4" s="1"/>
  <c r="AF25" i="4"/>
  <c r="AP25" i="4" s="1"/>
  <c r="J29" i="4"/>
  <c r="T29" i="4" s="1"/>
  <c r="AF32" i="4"/>
  <c r="AP32" i="4" s="1"/>
  <c r="J51" i="4"/>
  <c r="T51" i="4" s="1"/>
  <c r="J43" i="4"/>
  <c r="T43" i="4" s="1"/>
  <c r="J35" i="4"/>
  <c r="T35" i="4" s="1"/>
  <c r="J27" i="4"/>
  <c r="T27" i="4" s="1"/>
  <c r="AF54" i="4"/>
  <c r="AP54" i="4" s="1"/>
  <c r="AF46" i="4"/>
  <c r="AP46" i="4" s="1"/>
  <c r="AF38" i="4"/>
  <c r="AP38" i="4" s="1"/>
  <c r="AF30" i="4"/>
  <c r="AP30" i="4" s="1"/>
  <c r="AF22" i="4"/>
  <c r="AP22" i="4" s="1"/>
  <c r="J54" i="4"/>
  <c r="T54" i="4" s="1"/>
  <c r="AF49" i="4"/>
  <c r="AP49" i="4" s="1"/>
  <c r="J45" i="4"/>
  <c r="T45" i="4" s="1"/>
  <c r="AF48" i="4"/>
  <c r="AP48" i="4" s="1"/>
  <c r="J50" i="4"/>
  <c r="T50" i="4" s="1"/>
  <c r="J42" i="4"/>
  <c r="T42" i="4" s="1"/>
  <c r="J34" i="4"/>
  <c r="T34" i="4" s="1"/>
  <c r="J26" i="4"/>
  <c r="T26" i="4" s="1"/>
  <c r="AF53" i="4"/>
  <c r="AP53" i="4" s="1"/>
  <c r="AF45" i="4"/>
  <c r="AP45" i="4" s="1"/>
  <c r="AF37" i="4"/>
  <c r="AP37" i="4" s="1"/>
  <c r="AF29" i="4"/>
  <c r="AP29" i="4" s="1"/>
  <c r="AF21" i="4"/>
  <c r="AP21" i="4" s="1"/>
  <c r="J46" i="4"/>
  <c r="T46" i="4" s="1"/>
  <c r="AF41" i="4"/>
  <c r="AP41" i="4" s="1"/>
  <c r="AF40" i="4"/>
  <c r="AP40" i="4" s="1"/>
  <c r="J49" i="4"/>
  <c r="T49" i="4" s="1"/>
  <c r="J41" i="4"/>
  <c r="T41" i="4" s="1"/>
  <c r="J33" i="4"/>
  <c r="T33" i="4" s="1"/>
  <c r="J25" i="4"/>
  <c r="T25" i="4" s="1"/>
  <c r="AF52" i="4"/>
  <c r="AP52" i="4" s="1"/>
  <c r="AF44" i="4"/>
  <c r="AP44" i="4" s="1"/>
  <c r="AF36" i="4"/>
  <c r="AP36" i="4" s="1"/>
  <c r="AF28" i="4"/>
  <c r="AP28" i="4" s="1"/>
  <c r="J19" i="4"/>
  <c r="T19" i="4" s="1"/>
  <c r="J48" i="4"/>
  <c r="T48" i="4" s="1"/>
  <c r="J40" i="4"/>
  <c r="T40" i="4" s="1"/>
  <c r="J32" i="4"/>
  <c r="T32" i="4" s="1"/>
  <c r="J24" i="4"/>
  <c r="T24" i="4" s="1"/>
  <c r="AF51" i="4"/>
  <c r="AP51" i="4" s="1"/>
  <c r="AF43" i="4"/>
  <c r="AP43" i="4" s="1"/>
  <c r="AF35" i="4"/>
  <c r="AP35" i="4" s="1"/>
  <c r="AF27" i="4"/>
  <c r="AP27" i="4" s="1"/>
  <c r="U10" i="26"/>
  <c r="U11" i="26"/>
  <c r="U12" i="26"/>
  <c r="U13" i="26"/>
  <c r="U14" i="26"/>
  <c r="U15" i="26"/>
  <c r="U16" i="26"/>
  <c r="U17" i="26"/>
  <c r="U18" i="26"/>
  <c r="U19" i="26"/>
  <c r="U20" i="26"/>
  <c r="U21" i="26"/>
  <c r="U22" i="26"/>
  <c r="U23" i="26"/>
  <c r="U24" i="26"/>
  <c r="U25" i="26"/>
  <c r="U26" i="26"/>
  <c r="U27" i="26"/>
  <c r="U28" i="26"/>
  <c r="U29" i="26"/>
  <c r="U30" i="26"/>
  <c r="U31" i="26"/>
  <c r="U32" i="26"/>
  <c r="U33" i="26"/>
  <c r="U34" i="26"/>
  <c r="U35" i="26"/>
  <c r="U36" i="26"/>
  <c r="U37" i="26"/>
  <c r="U38" i="26"/>
  <c r="U39" i="26"/>
  <c r="U40" i="26"/>
  <c r="U41" i="26"/>
  <c r="U42" i="26"/>
  <c r="U43" i="26"/>
  <c r="U44" i="26"/>
  <c r="U45" i="26"/>
  <c r="U46" i="26"/>
  <c r="U47" i="26"/>
  <c r="U48" i="26"/>
  <c r="U49" i="26"/>
  <c r="U50" i="26"/>
  <c r="U51" i="26"/>
  <c r="U52" i="26"/>
  <c r="U9" i="26"/>
  <c r="AM8" i="26"/>
  <c r="AL8" i="26"/>
  <c r="AK8" i="26"/>
  <c r="AJ8" i="26"/>
  <c r="AI8" i="26"/>
  <c r="AH8" i="26"/>
  <c r="AG8" i="26"/>
  <c r="AF8" i="26"/>
  <c r="AE8" i="26"/>
  <c r="AD8" i="26"/>
  <c r="AC8" i="26"/>
  <c r="AB8" i="26"/>
  <c r="AA8" i="26"/>
  <c r="Z8" i="26"/>
  <c r="Y8" i="26"/>
  <c r="X8" i="26"/>
  <c r="W8" i="26"/>
  <c r="V8" i="26"/>
  <c r="AM7" i="26"/>
  <c r="AL7" i="26"/>
  <c r="AK7" i="26"/>
  <c r="AJ7" i="26"/>
  <c r="AI7" i="26"/>
  <c r="AH7" i="26"/>
  <c r="AG7" i="26"/>
  <c r="AF7" i="26"/>
  <c r="AE7" i="26"/>
  <c r="AD7" i="26"/>
  <c r="AC7" i="26"/>
  <c r="AB7" i="26"/>
  <c r="AA7" i="26"/>
  <c r="Z7" i="26"/>
  <c r="Y7" i="26"/>
  <c r="X7" i="26"/>
  <c r="W7" i="26"/>
  <c r="V7" i="26"/>
  <c r="S34" i="4" l="1"/>
  <c r="AO34" i="4"/>
  <c r="Y35" i="23"/>
  <c r="U33" i="4"/>
  <c r="AD8" i="5"/>
  <c r="AD45" i="5"/>
  <c r="AD47" i="5"/>
  <c r="AD48" i="5"/>
  <c r="AD7" i="5"/>
  <c r="T8" i="5"/>
  <c r="T45" i="5"/>
  <c r="T47" i="5"/>
  <c r="T48" i="5"/>
  <c r="T7" i="5"/>
  <c r="AD9" i="23"/>
  <c r="AE9" i="23"/>
  <c r="AD10" i="23"/>
  <c r="AE10" i="23"/>
  <c r="AE11" i="23"/>
  <c r="AE12" i="23"/>
  <c r="AE13" i="23"/>
  <c r="AE14" i="23"/>
  <c r="AE15" i="23"/>
  <c r="AE16" i="23"/>
  <c r="AE17" i="23"/>
  <c r="AE18" i="23"/>
  <c r="AE19" i="23"/>
  <c r="AE20" i="23"/>
  <c r="AE21" i="23"/>
  <c r="AE22" i="23"/>
  <c r="AE23" i="23"/>
  <c r="AE24" i="23"/>
  <c r="AE25" i="23"/>
  <c r="AE26" i="23"/>
  <c r="AE27" i="23"/>
  <c r="AE28" i="23"/>
  <c r="AE8" i="23"/>
  <c r="AD8" i="23"/>
  <c r="S33" i="4" l="1"/>
  <c r="AO33" i="4"/>
  <c r="Y36" i="23"/>
  <c r="U32" i="4"/>
  <c r="Q36" i="23"/>
  <c r="Q37" i="23"/>
  <c r="Q38" i="23"/>
  <c r="Q39" i="23"/>
  <c r="Q40" i="23"/>
  <c r="Q41" i="23"/>
  <c r="Q42" i="23"/>
  <c r="Q43" i="23"/>
  <c r="Q44" i="23"/>
  <c r="Q45" i="23"/>
  <c r="Q46" i="23"/>
  <c r="Q47" i="23"/>
  <c r="Q48" i="23"/>
  <c r="Q49" i="23"/>
  <c r="Q50" i="23"/>
  <c r="Q51" i="23"/>
  <c r="Q52" i="23"/>
  <c r="Q53" i="23"/>
  <c r="Q54" i="23"/>
  <c r="Q55" i="23"/>
  <c r="Q56" i="23"/>
  <c r="Q57" i="23"/>
  <c r="Q58" i="23"/>
  <c r="Q59" i="23"/>
  <c r="Q60" i="23"/>
  <c r="Q61" i="23"/>
  <c r="Q62" i="23"/>
  <c r="Q63" i="23"/>
  <c r="Q64" i="23"/>
  <c r="Q65" i="23"/>
  <c r="Q66" i="23"/>
  <c r="Q35" i="23"/>
  <c r="S32" i="4" l="1"/>
  <c r="AO32" i="4"/>
  <c r="Y37" i="23"/>
  <c r="U31" i="4"/>
  <c r="Y21" i="22"/>
  <c r="X21" i="22"/>
  <c r="W21" i="22"/>
  <c r="V21" i="22"/>
  <c r="U21" i="22"/>
  <c r="H21" i="22"/>
  <c r="G21" i="22"/>
  <c r="F21" i="22"/>
  <c r="E21" i="22"/>
  <c r="D21" i="22"/>
  <c r="Y21" i="12"/>
  <c r="X21" i="12"/>
  <c r="W21" i="12"/>
  <c r="V21" i="12"/>
  <c r="U21" i="12"/>
  <c r="H21" i="12"/>
  <c r="G21" i="12"/>
  <c r="F21" i="12"/>
  <c r="E21" i="12"/>
  <c r="D21" i="12"/>
  <c r="AE21" i="1"/>
  <c r="AD21" i="1"/>
  <c r="AC21" i="1"/>
  <c r="AB21" i="1"/>
  <c r="AA21" i="1"/>
  <c r="Y21" i="1"/>
  <c r="X21" i="1"/>
  <c r="W21" i="1"/>
  <c r="V21" i="1"/>
  <c r="U21" i="1"/>
  <c r="H21" i="1"/>
  <c r="F21" i="1"/>
  <c r="E21" i="1"/>
  <c r="D21" i="1"/>
  <c r="S31" i="4" l="1"/>
  <c r="AO31" i="4"/>
  <c r="Y38" i="23"/>
  <c r="U30" i="4"/>
  <c r="J8" i="5"/>
  <c r="J45" i="5"/>
  <c r="J47" i="5"/>
  <c r="J48" i="5"/>
  <c r="J7" i="5"/>
  <c r="Y16" i="11"/>
  <c r="Y17" i="11" s="1"/>
  <c r="S30" i="4" l="1"/>
  <c r="AO30" i="4"/>
  <c r="Y39" i="23"/>
  <c r="U29" i="4"/>
  <c r="S21" i="22"/>
  <c r="R21" i="22"/>
  <c r="Q21" i="22"/>
  <c r="P21" i="22"/>
  <c r="O21" i="22"/>
  <c r="S21" i="12"/>
  <c r="R21" i="12"/>
  <c r="Q21" i="12"/>
  <c r="P21" i="12"/>
  <c r="O21" i="12"/>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P21" i="1"/>
  <c r="Q21" i="1"/>
  <c r="R21" i="1"/>
  <c r="S21" i="1"/>
  <c r="O21" i="1"/>
  <c r="S29" i="4" l="1"/>
  <c r="AO29" i="4"/>
  <c r="Y40" i="23"/>
  <c r="U28" i="4"/>
  <c r="S28" i="4" l="1"/>
  <c r="AO28" i="4"/>
  <c r="Y41" i="23"/>
  <c r="U27" i="4"/>
  <c r="AF12" i="4"/>
  <c r="AP12" i="4" s="1"/>
  <c r="AF13" i="4"/>
  <c r="AP13" i="4" s="1"/>
  <c r="AF14" i="4"/>
  <c r="AP14" i="4" s="1"/>
  <c r="AF15" i="4"/>
  <c r="AP15" i="4" s="1"/>
  <c r="AF16" i="4"/>
  <c r="AP16" i="4" s="1"/>
  <c r="AF17" i="4"/>
  <c r="AP17" i="4" s="1"/>
  <c r="AF18" i="4"/>
  <c r="AP18" i="4" s="1"/>
  <c r="AF11" i="4"/>
  <c r="AP11" i="4" s="1"/>
  <c r="J12" i="4"/>
  <c r="T12" i="4" s="1"/>
  <c r="J13" i="4"/>
  <c r="T13" i="4" s="1"/>
  <c r="J14" i="4"/>
  <c r="T14" i="4" s="1"/>
  <c r="J15" i="4"/>
  <c r="T15" i="4" s="1"/>
  <c r="J16" i="4"/>
  <c r="T16" i="4" s="1"/>
  <c r="J17" i="4"/>
  <c r="T17" i="4" s="1"/>
  <c r="J18" i="4"/>
  <c r="T18" i="4" s="1"/>
  <c r="J11" i="4"/>
  <c r="T11" i="4" s="1"/>
  <c r="S27" i="4" l="1"/>
  <c r="AO27" i="4"/>
  <c r="Y42" i="23"/>
  <c r="U26" i="4"/>
  <c r="Q26" i="23"/>
  <c r="Q25" i="23"/>
  <c r="Q24" i="23"/>
  <c r="Q23" i="23"/>
  <c r="Q22" i="23"/>
  <c r="AD22" i="23" s="1"/>
  <c r="Q21" i="23"/>
  <c r="AD21" i="23" s="1"/>
  <c r="Q20" i="23"/>
  <c r="AD20" i="23" s="1"/>
  <c r="Q19" i="23"/>
  <c r="AD19" i="23" s="1"/>
  <c r="Q18" i="23"/>
  <c r="AD18" i="23" s="1"/>
  <c r="Q17" i="23"/>
  <c r="AD17" i="23" s="1"/>
  <c r="Q16" i="23"/>
  <c r="AD16" i="23" s="1"/>
  <c r="Q15" i="23"/>
  <c r="AD15" i="23" s="1"/>
  <c r="Q14" i="23"/>
  <c r="AD14" i="23" s="1"/>
  <c r="Q13" i="23"/>
  <c r="AD13" i="23" s="1"/>
  <c r="Q12" i="23"/>
  <c r="AD12" i="23" s="1"/>
  <c r="Q11" i="23"/>
  <c r="AD11" i="23" s="1"/>
  <c r="S26" i="4" l="1"/>
  <c r="AO26" i="4"/>
  <c r="AD24" i="23"/>
  <c r="AD25" i="23"/>
  <c r="AD26" i="23"/>
  <c r="AD23" i="23"/>
  <c r="Y43" i="23"/>
  <c r="U25" i="4"/>
  <c r="Q34" i="23"/>
  <c r="Q33" i="23"/>
  <c r="Q32" i="23"/>
  <c r="Q31" i="23"/>
  <c r="Q30" i="23"/>
  <c r="Q29" i="23"/>
  <c r="Q28" i="23"/>
  <c r="Q27" i="23"/>
  <c r="S25" i="4" l="1"/>
  <c r="AO25" i="4"/>
  <c r="AD27" i="23"/>
  <c r="AD28" i="23"/>
  <c r="Y44" i="23"/>
  <c r="U24" i="4"/>
  <c r="W69" i="11"/>
  <c r="S24" i="4" l="1"/>
  <c r="AO24" i="4"/>
  <c r="Y45" i="23"/>
  <c r="N52" i="27"/>
  <c r="N51" i="27"/>
  <c r="N50" i="27"/>
  <c r="N49" i="27"/>
  <c r="N48" i="27"/>
  <c r="N47" i="27"/>
  <c r="N46" i="27"/>
  <c r="N45" i="27"/>
  <c r="N44" i="27"/>
  <c r="N43" i="27"/>
  <c r="N42" i="27"/>
  <c r="N41" i="27"/>
  <c r="N40" i="27"/>
  <c r="N39" i="27"/>
  <c r="N38" i="27"/>
  <c r="N37" i="27"/>
  <c r="N36" i="27"/>
  <c r="N35" i="27"/>
  <c r="N34" i="27"/>
  <c r="N33" i="27"/>
  <c r="N32" i="27"/>
  <c r="N31" i="27"/>
  <c r="N30" i="27"/>
  <c r="N29" i="27"/>
  <c r="N28" i="27"/>
  <c r="N27" i="27"/>
  <c r="N26" i="27"/>
  <c r="N25" i="27"/>
  <c r="N24" i="27"/>
  <c r="N23" i="27"/>
  <c r="N22" i="27"/>
  <c r="N21" i="27"/>
  <c r="N20" i="27"/>
  <c r="N19" i="27"/>
  <c r="N18" i="27"/>
  <c r="N17" i="27"/>
  <c r="N16" i="27"/>
  <c r="N15" i="27"/>
  <c r="N14" i="27"/>
  <c r="N13" i="27"/>
  <c r="N12"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B12" i="27"/>
  <c r="G12" i="27" s="1"/>
  <c r="B13" i="27"/>
  <c r="C13" i="27" s="1"/>
  <c r="B14" i="27"/>
  <c r="C14" i="27" s="1"/>
  <c r="B15" i="27"/>
  <c r="D15" i="27" s="1"/>
  <c r="B16" i="27"/>
  <c r="G16" i="27" s="1"/>
  <c r="B17" i="27"/>
  <c r="C17" i="27" s="1"/>
  <c r="B18" i="27"/>
  <c r="C18" i="27" s="1"/>
  <c r="B19" i="27"/>
  <c r="D19" i="27" s="1"/>
  <c r="B20" i="27"/>
  <c r="F20" i="27" s="1"/>
  <c r="B21" i="27"/>
  <c r="C21" i="27" s="1"/>
  <c r="B22" i="27"/>
  <c r="C22" i="27" s="1"/>
  <c r="B23" i="27"/>
  <c r="D23" i="27" s="1"/>
  <c r="B24" i="27"/>
  <c r="F24" i="27" s="1"/>
  <c r="B25" i="27"/>
  <c r="C25" i="27" s="1"/>
  <c r="B26" i="27"/>
  <c r="C26" i="27" s="1"/>
  <c r="B27" i="27"/>
  <c r="D27" i="27" s="1"/>
  <c r="B28" i="27"/>
  <c r="F28" i="27" s="1"/>
  <c r="B29" i="27"/>
  <c r="C29" i="27" s="1"/>
  <c r="B30" i="27"/>
  <c r="C30" i="27" s="1"/>
  <c r="B31" i="27"/>
  <c r="D31" i="27" s="1"/>
  <c r="B32" i="27"/>
  <c r="F32" i="27" s="1"/>
  <c r="B33" i="27"/>
  <c r="C33" i="27" s="1"/>
  <c r="B34" i="27"/>
  <c r="C34" i="27" s="1"/>
  <c r="B35" i="27"/>
  <c r="D35" i="27" s="1"/>
  <c r="B36" i="27"/>
  <c r="F36" i="27" s="1"/>
  <c r="B37" i="27"/>
  <c r="C37" i="27" s="1"/>
  <c r="B38" i="27"/>
  <c r="C38" i="27" s="1"/>
  <c r="B39" i="27"/>
  <c r="E39" i="27" s="1"/>
  <c r="B40" i="27"/>
  <c r="F40" i="27" s="1"/>
  <c r="B41" i="27"/>
  <c r="C41" i="27" s="1"/>
  <c r="B42" i="27"/>
  <c r="C42" i="27" s="1"/>
  <c r="B43" i="27"/>
  <c r="D43" i="27" s="1"/>
  <c r="B44" i="27"/>
  <c r="F44" i="27" s="1"/>
  <c r="B45" i="27"/>
  <c r="C45" i="27" s="1"/>
  <c r="B46" i="27"/>
  <c r="C46" i="27" s="1"/>
  <c r="B47" i="27"/>
  <c r="D47" i="27" s="1"/>
  <c r="B48" i="27"/>
  <c r="G48" i="27" s="1"/>
  <c r="B49" i="27"/>
  <c r="C49" i="27" s="1"/>
  <c r="B50" i="27"/>
  <c r="C50" i="27" s="1"/>
  <c r="B51" i="27"/>
  <c r="E51" i="27" s="1"/>
  <c r="B52" i="27"/>
  <c r="G52" i="27" s="1"/>
  <c r="S8" i="27"/>
  <c r="R8" i="27"/>
  <c r="Q8" i="27"/>
  <c r="P8" i="27"/>
  <c r="O8" i="27"/>
  <c r="N8" i="27"/>
  <c r="M8" i="27"/>
  <c r="L8" i="27"/>
  <c r="K8" i="27"/>
  <c r="J8" i="27"/>
  <c r="I8" i="27"/>
  <c r="H8" i="27"/>
  <c r="G8" i="27"/>
  <c r="F8" i="27"/>
  <c r="E8" i="27"/>
  <c r="D8" i="27"/>
  <c r="C8" i="27"/>
  <c r="B8" i="27"/>
  <c r="S7" i="27"/>
  <c r="R7" i="27"/>
  <c r="Q7" i="27"/>
  <c r="P7" i="27"/>
  <c r="O7" i="27"/>
  <c r="N7" i="27"/>
  <c r="M7" i="27"/>
  <c r="L7" i="27"/>
  <c r="K7" i="27"/>
  <c r="J7" i="27"/>
  <c r="I7" i="27"/>
  <c r="H7" i="27"/>
  <c r="G7" i="27"/>
  <c r="F7" i="27"/>
  <c r="E7" i="27"/>
  <c r="D7" i="27"/>
  <c r="C7" i="27"/>
  <c r="B7" i="27"/>
  <c r="Y46" i="23" l="1"/>
  <c r="D36" i="27"/>
  <c r="F50" i="27"/>
  <c r="R31" i="27"/>
  <c r="D49" i="27"/>
  <c r="K36" i="27"/>
  <c r="I27" i="27"/>
  <c r="G50" i="27"/>
  <c r="G38" i="27"/>
  <c r="D33" i="27"/>
  <c r="M41" i="27"/>
  <c r="R47" i="27"/>
  <c r="P26" i="27"/>
  <c r="E41" i="27"/>
  <c r="C36" i="27"/>
  <c r="G30" i="27"/>
  <c r="F16" i="27"/>
  <c r="K32" i="27"/>
  <c r="C52" i="27"/>
  <c r="D16" i="27"/>
  <c r="I50" i="27"/>
  <c r="D20" i="27"/>
  <c r="M49" i="27"/>
  <c r="I36" i="27"/>
  <c r="I23" i="27"/>
  <c r="D48" i="27"/>
  <c r="G42" i="27"/>
  <c r="E33" i="27"/>
  <c r="E29" i="27"/>
  <c r="C24" i="27"/>
  <c r="D12" i="27"/>
  <c r="I47" i="27"/>
  <c r="K33" i="27"/>
  <c r="P30" i="27"/>
  <c r="R35" i="27"/>
  <c r="K52" i="27"/>
  <c r="P42" i="27"/>
  <c r="D32" i="27"/>
  <c r="F22" i="27"/>
  <c r="C16" i="27"/>
  <c r="M45" i="27"/>
  <c r="F49" i="27"/>
  <c r="E45" i="27"/>
  <c r="G26" i="27"/>
  <c r="G18" i="27"/>
  <c r="I51" i="27"/>
  <c r="K48" i="27"/>
  <c r="I35" i="27"/>
  <c r="I31" i="27"/>
  <c r="M21" i="27"/>
  <c r="P22" i="27"/>
  <c r="R27" i="27"/>
  <c r="P38" i="27"/>
  <c r="R43" i="27"/>
  <c r="D52" i="27"/>
  <c r="E49" i="27"/>
  <c r="F34" i="27"/>
  <c r="F21" i="27"/>
  <c r="K44" i="27"/>
  <c r="I39" i="27"/>
  <c r="K21" i="27"/>
  <c r="P50" i="27"/>
  <c r="E21" i="27"/>
  <c r="F17" i="27"/>
  <c r="M50" i="27"/>
  <c r="M47" i="27"/>
  <c r="K24" i="27"/>
  <c r="I21" i="27"/>
  <c r="R23" i="27"/>
  <c r="P34" i="27"/>
  <c r="R39" i="27"/>
  <c r="F33" i="27"/>
  <c r="D24" i="27"/>
  <c r="D21" i="27"/>
  <c r="D17" i="27"/>
  <c r="K50" i="27"/>
  <c r="K47" i="27"/>
  <c r="I43" i="27"/>
  <c r="M33" i="27"/>
  <c r="M29" i="27"/>
  <c r="I24" i="27"/>
  <c r="K28" i="27"/>
  <c r="R51" i="27"/>
  <c r="F45" i="27"/>
  <c r="F42" i="27"/>
  <c r="F30" i="27"/>
  <c r="F12" i="27"/>
  <c r="J52" i="27"/>
  <c r="L49" i="27"/>
  <c r="J48" i="27"/>
  <c r="L45" i="27"/>
  <c r="J44" i="27"/>
  <c r="L41" i="27"/>
  <c r="J40" i="27"/>
  <c r="L37" i="27"/>
  <c r="J36" i="27"/>
  <c r="L33" i="27"/>
  <c r="J32" i="27"/>
  <c r="L29" i="27"/>
  <c r="J28" i="27"/>
  <c r="L25" i="27"/>
  <c r="J24" i="27"/>
  <c r="L21" i="27"/>
  <c r="O21" i="27"/>
  <c r="Q22" i="27"/>
  <c r="S23" i="27"/>
  <c r="O25" i="27"/>
  <c r="Q26" i="27"/>
  <c r="S27" i="27"/>
  <c r="O29" i="27"/>
  <c r="Q30" i="27"/>
  <c r="S31" i="27"/>
  <c r="O33" i="27"/>
  <c r="Q34" i="27"/>
  <c r="S35" i="27"/>
  <c r="O37" i="27"/>
  <c r="Q38" i="27"/>
  <c r="S39" i="27"/>
  <c r="O41" i="27"/>
  <c r="Q42" i="27"/>
  <c r="S43" i="27"/>
  <c r="O45" i="27"/>
  <c r="Q46" i="27"/>
  <c r="S47" i="27"/>
  <c r="O49" i="27"/>
  <c r="Q50" i="27"/>
  <c r="S51" i="27"/>
  <c r="I52" i="27"/>
  <c r="K49" i="27"/>
  <c r="I48" i="27"/>
  <c r="M46" i="27"/>
  <c r="K45" i="27"/>
  <c r="I44" i="27"/>
  <c r="M42" i="27"/>
  <c r="K41" i="27"/>
  <c r="I40" i="27"/>
  <c r="M38" i="27"/>
  <c r="K37" i="27"/>
  <c r="M34" i="27"/>
  <c r="I32" i="27"/>
  <c r="M30" i="27"/>
  <c r="K29" i="27"/>
  <c r="I28" i="27"/>
  <c r="M26" i="27"/>
  <c r="K25" i="27"/>
  <c r="M22" i="27"/>
  <c r="P21" i="27"/>
  <c r="R22" i="27"/>
  <c r="P25" i="27"/>
  <c r="R26" i="27"/>
  <c r="P29" i="27"/>
  <c r="R30" i="27"/>
  <c r="P33" i="27"/>
  <c r="R34" i="27"/>
  <c r="P37" i="27"/>
  <c r="R38" i="27"/>
  <c r="P41" i="27"/>
  <c r="R42" i="27"/>
  <c r="P45" i="27"/>
  <c r="R46" i="27"/>
  <c r="P49" i="27"/>
  <c r="R50" i="27"/>
  <c r="C48" i="27"/>
  <c r="D45" i="27"/>
  <c r="F41" i="27"/>
  <c r="F38" i="27"/>
  <c r="F29" i="27"/>
  <c r="F26" i="27"/>
  <c r="E17" i="27"/>
  <c r="G14" i="27"/>
  <c r="C12" i="27"/>
  <c r="L50" i="27"/>
  <c r="J49" i="27"/>
  <c r="L46" i="27"/>
  <c r="J45" i="27"/>
  <c r="L42" i="27"/>
  <c r="J41" i="27"/>
  <c r="L38" i="27"/>
  <c r="J37" i="27"/>
  <c r="L34" i="27"/>
  <c r="J33" i="27"/>
  <c r="L30" i="27"/>
  <c r="J29" i="27"/>
  <c r="L26" i="27"/>
  <c r="J25" i="27"/>
  <c r="L22" i="27"/>
  <c r="J21" i="27"/>
  <c r="Q21" i="27"/>
  <c r="S22" i="27"/>
  <c r="O24" i="27"/>
  <c r="Q25" i="27"/>
  <c r="S26" i="27"/>
  <c r="O28" i="27"/>
  <c r="Q29" i="27"/>
  <c r="S30" i="27"/>
  <c r="O32" i="27"/>
  <c r="Q33" i="27"/>
  <c r="S34" i="27"/>
  <c r="O36" i="27"/>
  <c r="Q37" i="27"/>
  <c r="S38" i="27"/>
  <c r="O40" i="27"/>
  <c r="Q41" i="27"/>
  <c r="S42" i="27"/>
  <c r="O44" i="27"/>
  <c r="Q45" i="27"/>
  <c r="S46" i="27"/>
  <c r="O48" i="27"/>
  <c r="Q49" i="27"/>
  <c r="S50" i="27"/>
  <c r="O52" i="27"/>
  <c r="M51" i="27"/>
  <c r="I49" i="27"/>
  <c r="K46" i="27"/>
  <c r="I45" i="27"/>
  <c r="M43" i="27"/>
  <c r="K42" i="27"/>
  <c r="I41" i="27"/>
  <c r="M39" i="27"/>
  <c r="K38" i="27"/>
  <c r="I37" i="27"/>
  <c r="M35" i="27"/>
  <c r="K34" i="27"/>
  <c r="I33" i="27"/>
  <c r="M31" i="27"/>
  <c r="K30" i="27"/>
  <c r="I29" i="27"/>
  <c r="M27" i="27"/>
  <c r="K26" i="27"/>
  <c r="I25" i="27"/>
  <c r="M23" i="27"/>
  <c r="K22" i="27"/>
  <c r="R21" i="27"/>
  <c r="P24" i="27"/>
  <c r="R25" i="27"/>
  <c r="P28" i="27"/>
  <c r="R29" i="27"/>
  <c r="P32" i="27"/>
  <c r="R33" i="27"/>
  <c r="P36" i="27"/>
  <c r="R37" i="27"/>
  <c r="P40" i="27"/>
  <c r="R41" i="27"/>
  <c r="P44" i="27"/>
  <c r="R45" i="27"/>
  <c r="P48" i="27"/>
  <c r="R49" i="27"/>
  <c r="P52" i="27"/>
  <c r="C44" i="27"/>
  <c r="D41" i="27"/>
  <c r="F37" i="27"/>
  <c r="G34" i="27"/>
  <c r="C32" i="27"/>
  <c r="D29" i="27"/>
  <c r="F25" i="27"/>
  <c r="G22" i="27"/>
  <c r="C20" i="27"/>
  <c r="F13" i="27"/>
  <c r="L51" i="27"/>
  <c r="J50" i="27"/>
  <c r="L47" i="27"/>
  <c r="J46" i="27"/>
  <c r="L43" i="27"/>
  <c r="J42" i="27"/>
  <c r="L39" i="27"/>
  <c r="J38" i="27"/>
  <c r="L35" i="27"/>
  <c r="J34" i="27"/>
  <c r="L31" i="27"/>
  <c r="J30" i="27"/>
  <c r="L27" i="27"/>
  <c r="J26" i="27"/>
  <c r="L23" i="27"/>
  <c r="J22" i="27"/>
  <c r="S21" i="27"/>
  <c r="O23" i="27"/>
  <c r="Q24" i="27"/>
  <c r="S25" i="27"/>
  <c r="O27" i="27"/>
  <c r="Q28" i="27"/>
  <c r="S29" i="27"/>
  <c r="O31" i="27"/>
  <c r="Q32" i="27"/>
  <c r="S33" i="27"/>
  <c r="O35" i="27"/>
  <c r="Q36" i="27"/>
  <c r="S37" i="27"/>
  <c r="O39" i="27"/>
  <c r="Q40" i="27"/>
  <c r="S41" i="27"/>
  <c r="O43" i="27"/>
  <c r="Q44" i="27"/>
  <c r="S45" i="27"/>
  <c r="O47" i="27"/>
  <c r="Q48" i="27"/>
  <c r="S49" i="27"/>
  <c r="O51" i="27"/>
  <c r="Q52" i="27"/>
  <c r="M37" i="27"/>
  <c r="P46" i="27"/>
  <c r="G46" i="27"/>
  <c r="E37" i="27"/>
  <c r="E25" i="27"/>
  <c r="E13" i="27"/>
  <c r="M52" i="27"/>
  <c r="K51" i="27"/>
  <c r="M48" i="27"/>
  <c r="I46" i="27"/>
  <c r="M44" i="27"/>
  <c r="K43" i="27"/>
  <c r="I42" i="27"/>
  <c r="M40" i="27"/>
  <c r="K39" i="27"/>
  <c r="I38" i="27"/>
  <c r="M36" i="27"/>
  <c r="K35" i="27"/>
  <c r="I34" i="27"/>
  <c r="M32" i="27"/>
  <c r="K31" i="27"/>
  <c r="I30" i="27"/>
  <c r="M28" i="27"/>
  <c r="K27" i="27"/>
  <c r="I26" i="27"/>
  <c r="M24" i="27"/>
  <c r="K23" i="27"/>
  <c r="I22" i="27"/>
  <c r="P23" i="27"/>
  <c r="R24" i="27"/>
  <c r="P27" i="27"/>
  <c r="R28" i="27"/>
  <c r="P31" i="27"/>
  <c r="R32" i="27"/>
  <c r="P35" i="27"/>
  <c r="R36" i="27"/>
  <c r="P39" i="27"/>
  <c r="R40" i="27"/>
  <c r="P43" i="27"/>
  <c r="R44" i="27"/>
  <c r="P47" i="27"/>
  <c r="R48" i="27"/>
  <c r="P51" i="27"/>
  <c r="R52" i="27"/>
  <c r="K40" i="27"/>
  <c r="M25" i="27"/>
  <c r="F46" i="27"/>
  <c r="C40" i="27"/>
  <c r="D37" i="27"/>
  <c r="C28" i="27"/>
  <c r="D25" i="27"/>
  <c r="D13" i="27"/>
  <c r="L52" i="27"/>
  <c r="J51" i="27"/>
  <c r="L48" i="27"/>
  <c r="J47" i="27"/>
  <c r="L44" i="27"/>
  <c r="J43" i="27"/>
  <c r="L40" i="27"/>
  <c r="J39" i="27"/>
  <c r="L36" i="27"/>
  <c r="J35" i="27"/>
  <c r="L32" i="27"/>
  <c r="J31" i="27"/>
  <c r="L28" i="27"/>
  <c r="J27" i="27"/>
  <c r="L24" i="27"/>
  <c r="J23" i="27"/>
  <c r="O22" i="27"/>
  <c r="Q23" i="27"/>
  <c r="S24" i="27"/>
  <c r="O26" i="27"/>
  <c r="Q27" i="27"/>
  <c r="S28" i="27"/>
  <c r="O30" i="27"/>
  <c r="Q31" i="27"/>
  <c r="S32" i="27"/>
  <c r="O34" i="27"/>
  <c r="Q35" i="27"/>
  <c r="S36" i="27"/>
  <c r="O38" i="27"/>
  <c r="Q39" i="27"/>
  <c r="S40" i="27"/>
  <c r="O42" i="27"/>
  <c r="Q43" i="27"/>
  <c r="S44" i="27"/>
  <c r="O46" i="27"/>
  <c r="Q47" i="27"/>
  <c r="S48" i="27"/>
  <c r="O50" i="27"/>
  <c r="Q51" i="27"/>
  <c r="S52" i="27"/>
  <c r="F52" i="27"/>
  <c r="D51" i="27"/>
  <c r="F48" i="27"/>
  <c r="D39" i="27"/>
  <c r="E52" i="27"/>
  <c r="C51" i="27"/>
  <c r="G49" i="27"/>
  <c r="E48" i="27"/>
  <c r="C47" i="27"/>
  <c r="G45" i="27"/>
  <c r="E44" i="27"/>
  <c r="C43" i="27"/>
  <c r="G41" i="27"/>
  <c r="E40" i="27"/>
  <c r="C39" i="27"/>
  <c r="G37" i="27"/>
  <c r="E36" i="27"/>
  <c r="C35" i="27"/>
  <c r="G33" i="27"/>
  <c r="E32" i="27"/>
  <c r="C31" i="27"/>
  <c r="G29" i="27"/>
  <c r="E28" i="27"/>
  <c r="C27" i="27"/>
  <c r="G25" i="27"/>
  <c r="E24" i="27"/>
  <c r="C23" i="27"/>
  <c r="G21" i="27"/>
  <c r="E20" i="27"/>
  <c r="C19" i="27"/>
  <c r="G17" i="27"/>
  <c r="E16" i="27"/>
  <c r="C15" i="27"/>
  <c r="G13" i="27"/>
  <c r="E12" i="27"/>
  <c r="D44" i="27"/>
  <c r="D40" i="27"/>
  <c r="D28" i="27"/>
  <c r="F18" i="27"/>
  <c r="F14" i="27"/>
  <c r="G51" i="27"/>
  <c r="E50" i="27"/>
  <c r="G47" i="27"/>
  <c r="E46" i="27"/>
  <c r="G43" i="27"/>
  <c r="E42" i="27"/>
  <c r="G39" i="27"/>
  <c r="E38" i="27"/>
  <c r="G35" i="27"/>
  <c r="E34" i="27"/>
  <c r="G31" i="27"/>
  <c r="E30" i="27"/>
  <c r="G27" i="27"/>
  <c r="E26" i="27"/>
  <c r="G23" i="27"/>
  <c r="E22" i="27"/>
  <c r="G19" i="27"/>
  <c r="E18" i="27"/>
  <c r="G15" i="27"/>
  <c r="E14" i="27"/>
  <c r="F51" i="27"/>
  <c r="D50" i="27"/>
  <c r="F47" i="27"/>
  <c r="D46" i="27"/>
  <c r="F43" i="27"/>
  <c r="D42" i="27"/>
  <c r="F39" i="27"/>
  <c r="D38" i="27"/>
  <c r="F35" i="27"/>
  <c r="D34" i="27"/>
  <c r="F31" i="27"/>
  <c r="D30" i="27"/>
  <c r="F27" i="27"/>
  <c r="D26" i="27"/>
  <c r="F23" i="27"/>
  <c r="D22" i="27"/>
  <c r="F19" i="27"/>
  <c r="D18" i="27"/>
  <c r="F15" i="27"/>
  <c r="D14" i="27"/>
  <c r="E47" i="27"/>
  <c r="G44" i="27"/>
  <c r="E43" i="27"/>
  <c r="G40" i="27"/>
  <c r="G36" i="27"/>
  <c r="E35" i="27"/>
  <c r="G32" i="27"/>
  <c r="E31" i="27"/>
  <c r="G28" i="27"/>
  <c r="E27" i="27"/>
  <c r="G24" i="27"/>
  <c r="E23" i="27"/>
  <c r="G20" i="27"/>
  <c r="E19" i="27"/>
  <c r="E15" i="27"/>
  <c r="Y47" i="23" l="1"/>
  <c r="Z6" i="4"/>
  <c r="Z12" i="4" s="1"/>
  <c r="AJ12" i="4" s="1"/>
  <c r="Y6" i="4"/>
  <c r="X6" i="4"/>
  <c r="AB6" i="4"/>
  <c r="AD6" i="4"/>
  <c r="AD14" i="4" s="1"/>
  <c r="AN14" i="4" s="1"/>
  <c r="Y48" i="23" l="1"/>
  <c r="AB19" i="4"/>
  <c r="AL19" i="4" s="1"/>
  <c r="AB11" i="4"/>
  <c r="AB16" i="4"/>
  <c r="AB15" i="4"/>
  <c r="AB14" i="4"/>
  <c r="AB12" i="4"/>
  <c r="AB13" i="4"/>
  <c r="X18" i="4"/>
  <c r="AH18" i="4" s="1"/>
  <c r="X15" i="4"/>
  <c r="X11" i="4"/>
  <c r="X14" i="4"/>
  <c r="X13" i="4"/>
  <c r="X16" i="4"/>
  <c r="X12" i="4"/>
  <c r="Y25" i="4"/>
  <c r="AI25" i="4" s="1"/>
  <c r="Y11" i="4"/>
  <c r="Y14" i="4"/>
  <c r="Y15" i="4"/>
  <c r="Y13" i="4"/>
  <c r="Y16" i="4"/>
  <c r="Y12" i="4"/>
  <c r="AD29" i="4"/>
  <c r="AN29" i="4" s="1"/>
  <c r="AD21" i="4"/>
  <c r="AN21" i="4" s="1"/>
  <c r="AD13" i="4"/>
  <c r="AN13" i="4" s="1"/>
  <c r="AB34" i="4"/>
  <c r="AL34" i="4" s="1"/>
  <c r="AB26" i="4"/>
  <c r="AL26" i="4" s="1"/>
  <c r="AD45" i="4"/>
  <c r="AN45" i="4" s="1"/>
  <c r="AB18" i="4"/>
  <c r="AL18" i="4" s="1"/>
  <c r="AD37" i="4"/>
  <c r="AN37" i="4" s="1"/>
  <c r="Z11" i="4"/>
  <c r="AJ11" i="4" s="1"/>
  <c r="X49" i="4"/>
  <c r="AH49" i="4" s="1"/>
  <c r="Z43" i="4"/>
  <c r="AJ43" i="4" s="1"/>
  <c r="X41" i="4"/>
  <c r="AH41" i="4" s="1"/>
  <c r="Z35" i="4"/>
  <c r="AJ35" i="4" s="1"/>
  <c r="Z51" i="4"/>
  <c r="AJ51" i="4" s="1"/>
  <c r="AB50" i="4"/>
  <c r="AL50" i="4" s="1"/>
  <c r="X33" i="4"/>
  <c r="AH33" i="4" s="1"/>
  <c r="Z27" i="4"/>
  <c r="AJ27" i="4" s="1"/>
  <c r="AD53" i="4"/>
  <c r="AN53" i="4" s="1"/>
  <c r="AB42" i="4"/>
  <c r="AL42" i="4" s="1"/>
  <c r="X25" i="4"/>
  <c r="AH25" i="4" s="1"/>
  <c r="Z19" i="4"/>
  <c r="AJ19" i="4" s="1"/>
  <c r="AD52" i="4"/>
  <c r="AN52" i="4" s="1"/>
  <c r="AD44" i="4"/>
  <c r="AN44" i="4" s="1"/>
  <c r="AD36" i="4"/>
  <c r="AN36" i="4" s="1"/>
  <c r="AD28" i="4"/>
  <c r="AN28" i="4" s="1"/>
  <c r="AD20" i="4"/>
  <c r="AN20" i="4" s="1"/>
  <c r="AD12" i="4"/>
  <c r="AN12" i="4" s="1"/>
  <c r="AB49" i="4"/>
  <c r="AL49" i="4" s="1"/>
  <c r="AB41" i="4"/>
  <c r="AL41" i="4" s="1"/>
  <c r="AB33" i="4"/>
  <c r="AL33" i="4" s="1"/>
  <c r="AB25" i="4"/>
  <c r="AL25" i="4" s="1"/>
  <c r="X48" i="4"/>
  <c r="AH48" i="4" s="1"/>
  <c r="X40" i="4"/>
  <c r="AH40" i="4" s="1"/>
  <c r="X32" i="4"/>
  <c r="AH32" i="4" s="1"/>
  <c r="X24" i="4"/>
  <c r="AH24" i="4" s="1"/>
  <c r="Y17" i="4"/>
  <c r="AI17" i="4" s="1"/>
  <c r="Y47" i="4"/>
  <c r="AI47" i="4" s="1"/>
  <c r="Y39" i="4"/>
  <c r="AI39" i="4" s="1"/>
  <c r="Y31" i="4"/>
  <c r="AI31" i="4" s="1"/>
  <c r="Y23" i="4"/>
  <c r="AI23" i="4" s="1"/>
  <c r="Z50" i="4"/>
  <c r="AJ50" i="4" s="1"/>
  <c r="Z42" i="4"/>
  <c r="AJ42" i="4" s="1"/>
  <c r="Z34" i="4"/>
  <c r="AJ34" i="4" s="1"/>
  <c r="Z26" i="4"/>
  <c r="AJ26" i="4" s="1"/>
  <c r="Z18" i="4"/>
  <c r="AJ18" i="4" s="1"/>
  <c r="AD51" i="4"/>
  <c r="AN51" i="4" s="1"/>
  <c r="AD43" i="4"/>
  <c r="AN43" i="4" s="1"/>
  <c r="AD35" i="4"/>
  <c r="AN35" i="4" s="1"/>
  <c r="AD27" i="4"/>
  <c r="AN27" i="4" s="1"/>
  <c r="AD19" i="4"/>
  <c r="AN19" i="4" s="1"/>
  <c r="AB48" i="4"/>
  <c r="AL48" i="4" s="1"/>
  <c r="AB40" i="4"/>
  <c r="AL40" i="4" s="1"/>
  <c r="AB32" i="4"/>
  <c r="AL32" i="4" s="1"/>
  <c r="AB24" i="4"/>
  <c r="AL24" i="4" s="1"/>
  <c r="X17" i="4"/>
  <c r="AH17" i="4" s="1"/>
  <c r="X47" i="4"/>
  <c r="AH47" i="4" s="1"/>
  <c r="X39" i="4"/>
  <c r="AH39" i="4" s="1"/>
  <c r="X31" i="4"/>
  <c r="AH31" i="4" s="1"/>
  <c r="X23" i="4"/>
  <c r="AH23" i="4" s="1"/>
  <c r="Y54" i="4"/>
  <c r="AI54" i="4" s="1"/>
  <c r="Y46" i="4"/>
  <c r="AI46" i="4" s="1"/>
  <c r="Y38" i="4"/>
  <c r="AI38" i="4" s="1"/>
  <c r="Y30" i="4"/>
  <c r="AI30" i="4" s="1"/>
  <c r="Y22" i="4"/>
  <c r="AI22" i="4" s="1"/>
  <c r="Z49" i="4"/>
  <c r="AJ49" i="4" s="1"/>
  <c r="Z41" i="4"/>
  <c r="AJ41" i="4" s="1"/>
  <c r="Z33" i="4"/>
  <c r="AJ33" i="4" s="1"/>
  <c r="Z25" i="4"/>
  <c r="AJ25" i="4" s="1"/>
  <c r="Z17" i="4"/>
  <c r="AJ17" i="4" s="1"/>
  <c r="AD50" i="4"/>
  <c r="AN50" i="4" s="1"/>
  <c r="AD42" i="4"/>
  <c r="AN42" i="4" s="1"/>
  <c r="AD34" i="4"/>
  <c r="AN34" i="4" s="1"/>
  <c r="AD26" i="4"/>
  <c r="AN26" i="4" s="1"/>
  <c r="AD18" i="4"/>
  <c r="AN18" i="4" s="1"/>
  <c r="AB17" i="4"/>
  <c r="AL17" i="4" s="1"/>
  <c r="AB47" i="4"/>
  <c r="AL47" i="4" s="1"/>
  <c r="AB39" i="4"/>
  <c r="AL39" i="4" s="1"/>
  <c r="AB31" i="4"/>
  <c r="AL31" i="4" s="1"/>
  <c r="AB23" i="4"/>
  <c r="AL23" i="4" s="1"/>
  <c r="X54" i="4"/>
  <c r="AH54" i="4" s="1"/>
  <c r="X46" i="4"/>
  <c r="AH46" i="4" s="1"/>
  <c r="X38" i="4"/>
  <c r="AH38" i="4" s="1"/>
  <c r="X30" i="4"/>
  <c r="AH30" i="4" s="1"/>
  <c r="X22" i="4"/>
  <c r="AH22" i="4" s="1"/>
  <c r="Y53" i="4"/>
  <c r="AI53" i="4" s="1"/>
  <c r="Y45" i="4"/>
  <c r="AI45" i="4" s="1"/>
  <c r="Y37" i="4"/>
  <c r="AI37" i="4" s="1"/>
  <c r="Y29" i="4"/>
  <c r="AI29" i="4" s="1"/>
  <c r="Y21" i="4"/>
  <c r="AI21" i="4" s="1"/>
  <c r="Z48" i="4"/>
  <c r="AJ48" i="4" s="1"/>
  <c r="Z40" i="4"/>
  <c r="AJ40" i="4" s="1"/>
  <c r="Z32" i="4"/>
  <c r="AJ32" i="4" s="1"/>
  <c r="Z24" i="4"/>
  <c r="AJ24" i="4" s="1"/>
  <c r="Z16" i="4"/>
  <c r="AJ16" i="4" s="1"/>
  <c r="AD49" i="4"/>
  <c r="AN49" i="4" s="1"/>
  <c r="AD41" i="4"/>
  <c r="AN41" i="4" s="1"/>
  <c r="AD33" i="4"/>
  <c r="AN33" i="4" s="1"/>
  <c r="AD25" i="4"/>
  <c r="AN25" i="4" s="1"/>
  <c r="AD17" i="4"/>
  <c r="AN17" i="4" s="1"/>
  <c r="AB54" i="4"/>
  <c r="AL54" i="4" s="1"/>
  <c r="AB46" i="4"/>
  <c r="AL46" i="4" s="1"/>
  <c r="AB38" i="4"/>
  <c r="AL38" i="4" s="1"/>
  <c r="AB30" i="4"/>
  <c r="AL30" i="4" s="1"/>
  <c r="AB22" i="4"/>
  <c r="AL22" i="4" s="1"/>
  <c r="X53" i="4"/>
  <c r="AH53" i="4" s="1"/>
  <c r="X45" i="4"/>
  <c r="AH45" i="4" s="1"/>
  <c r="X37" i="4"/>
  <c r="AH37" i="4" s="1"/>
  <c r="X29" i="4"/>
  <c r="AH29" i="4" s="1"/>
  <c r="X21" i="4"/>
  <c r="AH21" i="4" s="1"/>
  <c r="Y52" i="4"/>
  <c r="AI52" i="4" s="1"/>
  <c r="Y44" i="4"/>
  <c r="AI44" i="4" s="1"/>
  <c r="Y36" i="4"/>
  <c r="AI36" i="4" s="1"/>
  <c r="Y28" i="4"/>
  <c r="AI28" i="4" s="1"/>
  <c r="Y20" i="4"/>
  <c r="AI20" i="4" s="1"/>
  <c r="Z47" i="4"/>
  <c r="AJ47" i="4" s="1"/>
  <c r="Z39" i="4"/>
  <c r="AJ39" i="4" s="1"/>
  <c r="Z31" i="4"/>
  <c r="AJ31" i="4" s="1"/>
  <c r="Z23" i="4"/>
  <c r="AJ23" i="4" s="1"/>
  <c r="Z15" i="4"/>
  <c r="AJ15" i="4" s="1"/>
  <c r="Y48" i="4"/>
  <c r="AI48" i="4" s="1"/>
  <c r="Y40" i="4"/>
  <c r="AI40" i="4" s="1"/>
  <c r="Y32" i="4"/>
  <c r="AI32" i="4" s="1"/>
  <c r="Y24" i="4"/>
  <c r="AI24" i="4" s="1"/>
  <c r="AD48" i="4"/>
  <c r="AN48" i="4" s="1"/>
  <c r="AD40" i="4"/>
  <c r="AN40" i="4" s="1"/>
  <c r="AD32" i="4"/>
  <c r="AN32" i="4" s="1"/>
  <c r="AD24" i="4"/>
  <c r="AN24" i="4" s="1"/>
  <c r="AD16" i="4"/>
  <c r="AN16" i="4" s="1"/>
  <c r="AB53" i="4"/>
  <c r="AL53" i="4" s="1"/>
  <c r="AB45" i="4"/>
  <c r="AL45" i="4" s="1"/>
  <c r="AB37" i="4"/>
  <c r="AL37" i="4" s="1"/>
  <c r="AB29" i="4"/>
  <c r="AL29" i="4" s="1"/>
  <c r="AB21" i="4"/>
  <c r="AL21" i="4" s="1"/>
  <c r="X52" i="4"/>
  <c r="AH52" i="4" s="1"/>
  <c r="X44" i="4"/>
  <c r="AH44" i="4" s="1"/>
  <c r="X36" i="4"/>
  <c r="AH36" i="4" s="1"/>
  <c r="X28" i="4"/>
  <c r="AH28" i="4" s="1"/>
  <c r="X20" i="4"/>
  <c r="AH20" i="4" s="1"/>
  <c r="Y51" i="4"/>
  <c r="AI51" i="4" s="1"/>
  <c r="Y43" i="4"/>
  <c r="AI43" i="4" s="1"/>
  <c r="Y35" i="4"/>
  <c r="AI35" i="4" s="1"/>
  <c r="Y27" i="4"/>
  <c r="AI27" i="4" s="1"/>
  <c r="Y19" i="4"/>
  <c r="AI19" i="4" s="1"/>
  <c r="Z54" i="4"/>
  <c r="AJ54" i="4" s="1"/>
  <c r="Z46" i="4"/>
  <c r="AJ46" i="4" s="1"/>
  <c r="Z38" i="4"/>
  <c r="AJ38" i="4" s="1"/>
  <c r="Z30" i="4"/>
  <c r="AJ30" i="4" s="1"/>
  <c r="Z22" i="4"/>
  <c r="AJ22" i="4" s="1"/>
  <c r="Z14" i="4"/>
  <c r="AJ14" i="4" s="1"/>
  <c r="AD11" i="4"/>
  <c r="AN11" i="4" s="1"/>
  <c r="AD47" i="4"/>
  <c r="AN47" i="4" s="1"/>
  <c r="AD39" i="4"/>
  <c r="AN39" i="4" s="1"/>
  <c r="AD31" i="4"/>
  <c r="AN31" i="4" s="1"/>
  <c r="AD23" i="4"/>
  <c r="AN23" i="4" s="1"/>
  <c r="AD15" i="4"/>
  <c r="AN15" i="4" s="1"/>
  <c r="AB52" i="4"/>
  <c r="AL52" i="4" s="1"/>
  <c r="AB44" i="4"/>
  <c r="AL44" i="4" s="1"/>
  <c r="AB36" i="4"/>
  <c r="AL36" i="4" s="1"/>
  <c r="AB28" i="4"/>
  <c r="AL28" i="4" s="1"/>
  <c r="AB20" i="4"/>
  <c r="AL20" i="4" s="1"/>
  <c r="X51" i="4"/>
  <c r="AH51" i="4" s="1"/>
  <c r="X43" i="4"/>
  <c r="AH43" i="4" s="1"/>
  <c r="X35" i="4"/>
  <c r="AH35" i="4" s="1"/>
  <c r="X27" i="4"/>
  <c r="AH27" i="4" s="1"/>
  <c r="X19" i="4"/>
  <c r="AH19" i="4" s="1"/>
  <c r="Y50" i="4"/>
  <c r="AI50" i="4" s="1"/>
  <c r="Y42" i="4"/>
  <c r="AI42" i="4" s="1"/>
  <c r="Y34" i="4"/>
  <c r="AI34" i="4" s="1"/>
  <c r="Y26" i="4"/>
  <c r="AI26" i="4" s="1"/>
  <c r="Y18" i="4"/>
  <c r="AI18" i="4" s="1"/>
  <c r="Z53" i="4"/>
  <c r="AJ53" i="4" s="1"/>
  <c r="Z45" i="4"/>
  <c r="AJ45" i="4" s="1"/>
  <c r="Z37" i="4"/>
  <c r="AJ37" i="4" s="1"/>
  <c r="Z29" i="4"/>
  <c r="AJ29" i="4" s="1"/>
  <c r="Z21" i="4"/>
  <c r="AJ21" i="4" s="1"/>
  <c r="Z13" i="4"/>
  <c r="AJ13" i="4" s="1"/>
  <c r="AD54" i="4"/>
  <c r="AN54" i="4" s="1"/>
  <c r="AD46" i="4"/>
  <c r="AN46" i="4" s="1"/>
  <c r="AD38" i="4"/>
  <c r="AN38" i="4" s="1"/>
  <c r="AD30" i="4"/>
  <c r="AN30" i="4" s="1"/>
  <c r="AD22" i="4"/>
  <c r="AN22" i="4" s="1"/>
  <c r="AB51" i="4"/>
  <c r="AL51" i="4" s="1"/>
  <c r="AB43" i="4"/>
  <c r="AL43" i="4" s="1"/>
  <c r="AB35" i="4"/>
  <c r="AL35" i="4" s="1"/>
  <c r="AB27" i="4"/>
  <c r="AL27" i="4" s="1"/>
  <c r="X50" i="4"/>
  <c r="AH50" i="4" s="1"/>
  <c r="X42" i="4"/>
  <c r="AH42" i="4" s="1"/>
  <c r="X34" i="4"/>
  <c r="AH34" i="4" s="1"/>
  <c r="X26" i="4"/>
  <c r="AH26" i="4" s="1"/>
  <c r="Y49" i="4"/>
  <c r="AI49" i="4" s="1"/>
  <c r="Y41" i="4"/>
  <c r="AI41" i="4" s="1"/>
  <c r="Y33" i="4"/>
  <c r="AI33" i="4" s="1"/>
  <c r="Z52" i="4"/>
  <c r="AJ52" i="4" s="1"/>
  <c r="Z44" i="4"/>
  <c r="AJ44" i="4" s="1"/>
  <c r="Z36" i="4"/>
  <c r="AJ36" i="4" s="1"/>
  <c r="Z28" i="4"/>
  <c r="AJ28" i="4" s="1"/>
  <c r="Z20" i="4"/>
  <c r="AJ20" i="4" s="1"/>
  <c r="H33" i="12"/>
  <c r="G33" i="12"/>
  <c r="F33" i="12"/>
  <c r="E33" i="12"/>
  <c r="D33" i="12"/>
  <c r="AE33" i="22"/>
  <c r="AE32" i="22" s="1"/>
  <c r="AE31" i="22" s="1"/>
  <c r="AE30" i="22" s="1"/>
  <c r="AE29" i="22" s="1"/>
  <c r="AE28" i="22" s="1"/>
  <c r="AE27" i="22" s="1"/>
  <c r="AE26" i="22" s="1"/>
  <c r="AE25" i="22" s="1"/>
  <c r="AE24" i="22" s="1"/>
  <c r="AE23" i="22" s="1"/>
  <c r="AE22" i="22" s="1"/>
  <c r="AD33" i="22"/>
  <c r="AD32" i="22" s="1"/>
  <c r="AD31" i="22" s="1"/>
  <c r="AD30" i="22" s="1"/>
  <c r="AD29" i="22" s="1"/>
  <c r="AD28" i="22" s="1"/>
  <c r="AD27" i="22" s="1"/>
  <c r="AD26" i="22" s="1"/>
  <c r="AD25" i="22" s="1"/>
  <c r="AD24" i="22" s="1"/>
  <c r="AD23" i="22" s="1"/>
  <c r="AD22" i="22" s="1"/>
  <c r="AC33" i="22"/>
  <c r="AC32" i="22" s="1"/>
  <c r="AC31" i="22" s="1"/>
  <c r="AC30" i="22" s="1"/>
  <c r="AC29" i="22" s="1"/>
  <c r="AC28" i="22" s="1"/>
  <c r="AC27" i="22" s="1"/>
  <c r="AC26" i="22" s="1"/>
  <c r="AC25" i="22" s="1"/>
  <c r="AC24" i="22" s="1"/>
  <c r="AC23" i="22" s="1"/>
  <c r="AC22" i="22" s="1"/>
  <c r="AB33" i="22"/>
  <c r="AB32" i="22" s="1"/>
  <c r="AB31" i="22" s="1"/>
  <c r="AB30" i="22" s="1"/>
  <c r="AB29" i="22" s="1"/>
  <c r="AB28" i="22" s="1"/>
  <c r="AB27" i="22" s="1"/>
  <c r="AB26" i="22" s="1"/>
  <c r="AB25" i="22" s="1"/>
  <c r="AB24" i="22" s="1"/>
  <c r="AB23" i="22" s="1"/>
  <c r="AB22" i="22" s="1"/>
  <c r="AA33" i="22"/>
  <c r="AA32" i="22" s="1"/>
  <c r="AA31" i="22" s="1"/>
  <c r="AA30" i="22" s="1"/>
  <c r="AA29" i="22" s="1"/>
  <c r="AA28" i="22" s="1"/>
  <c r="AA27" i="22" s="1"/>
  <c r="AA26" i="22" s="1"/>
  <c r="AA25" i="22" s="1"/>
  <c r="AA24" i="22" s="1"/>
  <c r="AA23" i="22" s="1"/>
  <c r="AA22" i="22" s="1"/>
  <c r="Y34" i="22"/>
  <c r="Y33" i="22" s="1"/>
  <c r="Y32" i="22" s="1"/>
  <c r="Y31" i="22" s="1"/>
  <c r="Y30" i="22" s="1"/>
  <c r="Y29" i="22" s="1"/>
  <c r="Y28" i="22" s="1"/>
  <c r="Y27" i="22" s="1"/>
  <c r="Y26" i="22" s="1"/>
  <c r="Y25" i="22" s="1"/>
  <c r="Y24" i="22" s="1"/>
  <c r="Y23" i="22" s="1"/>
  <c r="Y22" i="22" s="1"/>
  <c r="V33" i="22"/>
  <c r="V32" i="22" s="1"/>
  <c r="V31" i="22" s="1"/>
  <c r="X33" i="22"/>
  <c r="X32" i="22" s="1"/>
  <c r="X31" i="22" s="1"/>
  <c r="X30" i="22" s="1"/>
  <c r="X29" i="22" s="1"/>
  <c r="X28" i="22" s="1"/>
  <c r="X27" i="22" s="1"/>
  <c r="X26" i="22" s="1"/>
  <c r="X25" i="22" s="1"/>
  <c r="X24" i="22" s="1"/>
  <c r="X23" i="22" s="1"/>
  <c r="X22" i="22" s="1"/>
  <c r="W33" i="22"/>
  <c r="W32" i="22" s="1"/>
  <c r="W31" i="22" s="1"/>
  <c r="W30" i="22" s="1"/>
  <c r="W29" i="22" s="1"/>
  <c r="W28" i="22" s="1"/>
  <c r="W27" i="22" s="1"/>
  <c r="W26" i="22" s="1"/>
  <c r="W25" i="22" s="1"/>
  <c r="W24" i="22" s="1"/>
  <c r="W23" i="22" s="1"/>
  <c r="W22" i="22" s="1"/>
  <c r="U33" i="22"/>
  <c r="U32" i="22" s="1"/>
  <c r="U31" i="22" s="1"/>
  <c r="U30" i="22" s="1"/>
  <c r="U29" i="22" s="1"/>
  <c r="U28" i="22" s="1"/>
  <c r="U27" i="22" s="1"/>
  <c r="U26" i="22" s="1"/>
  <c r="U25" i="22" s="1"/>
  <c r="U24" i="22" s="1"/>
  <c r="U23" i="22" s="1"/>
  <c r="U22" i="22" s="1"/>
  <c r="S33" i="22"/>
  <c r="S32" i="22" s="1"/>
  <c r="S31" i="22" s="1"/>
  <c r="S30" i="22" s="1"/>
  <c r="S29" i="22" s="1"/>
  <c r="S28" i="22" s="1"/>
  <c r="S27" i="22" s="1"/>
  <c r="S26" i="22" s="1"/>
  <c r="S25" i="22" s="1"/>
  <c r="S24" i="22" s="1"/>
  <c r="S23" i="22" s="1"/>
  <c r="S22" i="22" s="1"/>
  <c r="R33" i="22"/>
  <c r="R32" i="22" s="1"/>
  <c r="R31" i="22" s="1"/>
  <c r="R30" i="22" s="1"/>
  <c r="R29" i="22" s="1"/>
  <c r="R28" i="22" s="1"/>
  <c r="R27" i="22" s="1"/>
  <c r="R26" i="22" s="1"/>
  <c r="R25" i="22" s="1"/>
  <c r="R24" i="22" s="1"/>
  <c r="R23" i="22" s="1"/>
  <c r="R22" i="22" s="1"/>
  <c r="Q33" i="22"/>
  <c r="Q32" i="22" s="1"/>
  <c r="Q31" i="22" s="1"/>
  <c r="Q30" i="22" s="1"/>
  <c r="Q29" i="22" s="1"/>
  <c r="Q28" i="22" s="1"/>
  <c r="Q27" i="22" s="1"/>
  <c r="Q26" i="22" s="1"/>
  <c r="Q25" i="22" s="1"/>
  <c r="Q24" i="22" s="1"/>
  <c r="Q23" i="22" s="1"/>
  <c r="Q22" i="22" s="1"/>
  <c r="P33" i="22"/>
  <c r="P32" i="22" s="1"/>
  <c r="P31" i="22" s="1"/>
  <c r="P30" i="22" s="1"/>
  <c r="P29" i="22" s="1"/>
  <c r="P28" i="22" s="1"/>
  <c r="P27" i="22" s="1"/>
  <c r="P26" i="22" s="1"/>
  <c r="P25" i="22" s="1"/>
  <c r="P24" i="22" s="1"/>
  <c r="P23" i="22" s="1"/>
  <c r="P22" i="22" s="1"/>
  <c r="O33" i="22"/>
  <c r="O32" i="22" s="1"/>
  <c r="O31" i="22" s="1"/>
  <c r="O30" i="22" s="1"/>
  <c r="O29" i="22" s="1"/>
  <c r="O28" i="22" s="1"/>
  <c r="O27" i="22" s="1"/>
  <c r="O26" i="22" s="1"/>
  <c r="O25" i="22" s="1"/>
  <c r="O24" i="22" s="1"/>
  <c r="O23" i="22" s="1"/>
  <c r="O22" i="22" s="1"/>
  <c r="H33" i="22"/>
  <c r="G33" i="22"/>
  <c r="F33" i="22"/>
  <c r="E33" i="22"/>
  <c r="P20" i="27" s="1"/>
  <c r="D33" i="22"/>
  <c r="T24" i="22"/>
  <c r="T23" i="22" s="1"/>
  <c r="T22" i="22" s="1"/>
  <c r="Z24" i="22"/>
  <c r="Z23" i="22" s="1"/>
  <c r="Z22" i="22" s="1"/>
  <c r="AE24" i="12"/>
  <c r="AE23" i="12" s="1"/>
  <c r="AE22" i="12" s="1"/>
  <c r="AD24" i="12"/>
  <c r="AD23" i="12" s="1"/>
  <c r="AD22" i="12" s="1"/>
  <c r="AC24" i="12"/>
  <c r="AC23" i="12" s="1"/>
  <c r="AC22" i="12" s="1"/>
  <c r="AB24" i="12"/>
  <c r="AB23" i="12" s="1"/>
  <c r="AB22" i="12" s="1"/>
  <c r="AA24" i="12"/>
  <c r="AA23" i="12" s="1"/>
  <c r="AA22" i="12" s="1"/>
  <c r="Z24" i="12"/>
  <c r="Z23" i="12" s="1"/>
  <c r="Z22" i="12" s="1"/>
  <c r="Y24" i="12"/>
  <c r="Y23" i="12" s="1"/>
  <c r="Y22" i="12" s="1"/>
  <c r="X24" i="12"/>
  <c r="X23" i="12" s="1"/>
  <c r="X22" i="12" s="1"/>
  <c r="W24" i="12"/>
  <c r="W23" i="12" s="1"/>
  <c r="W22" i="12" s="1"/>
  <c r="V24" i="12"/>
  <c r="V23" i="12" s="1"/>
  <c r="V22" i="12" s="1"/>
  <c r="U24" i="12"/>
  <c r="U23" i="12" s="1"/>
  <c r="U22" i="12" s="1"/>
  <c r="T24" i="12"/>
  <c r="T23" i="12" s="1"/>
  <c r="T22" i="12" s="1"/>
  <c r="S24" i="12"/>
  <c r="S23" i="12" s="1"/>
  <c r="S22" i="12" s="1"/>
  <c r="R24" i="12"/>
  <c r="R23" i="12" s="1"/>
  <c r="R22" i="12" s="1"/>
  <c r="Q24" i="12"/>
  <c r="Q23" i="12" s="1"/>
  <c r="Q22" i="12" s="1"/>
  <c r="H24" i="1"/>
  <c r="H23" i="1" s="1"/>
  <c r="H22" i="1" s="1"/>
  <c r="G24" i="1"/>
  <c r="G23" i="1" s="1"/>
  <c r="G22" i="1" s="1"/>
  <c r="F24" i="1"/>
  <c r="F23" i="1" s="1"/>
  <c r="F22" i="1" s="1"/>
  <c r="E24" i="1"/>
  <c r="E23" i="1" s="1"/>
  <c r="E22" i="1" s="1"/>
  <c r="D24" i="1"/>
  <c r="D23" i="1" s="1"/>
  <c r="D22" i="1" s="1"/>
  <c r="AE24" i="1"/>
  <c r="AE23" i="1" s="1"/>
  <c r="AE22" i="1" s="1"/>
  <c r="AD24" i="1"/>
  <c r="AD23" i="1" s="1"/>
  <c r="AD22" i="1" s="1"/>
  <c r="AC24" i="1"/>
  <c r="AC23" i="1" s="1"/>
  <c r="AC22" i="1" s="1"/>
  <c r="AB24" i="1"/>
  <c r="AB23" i="1" s="1"/>
  <c r="AB22" i="1" s="1"/>
  <c r="AA24" i="1"/>
  <c r="AA23" i="1" s="1"/>
  <c r="AA22" i="1" s="1"/>
  <c r="Z24" i="1"/>
  <c r="Z23" i="1" s="1"/>
  <c r="Z22" i="1" s="1"/>
  <c r="Y24" i="1"/>
  <c r="Y23" i="1" s="1"/>
  <c r="Y22" i="1" s="1"/>
  <c r="X24" i="1"/>
  <c r="X23" i="1" s="1"/>
  <c r="X22" i="1" s="1"/>
  <c r="W24" i="1"/>
  <c r="W23" i="1" s="1"/>
  <c r="W22" i="1" s="1"/>
  <c r="V24" i="1"/>
  <c r="V23" i="1" s="1"/>
  <c r="V22" i="1" s="1"/>
  <c r="U24" i="1"/>
  <c r="U23" i="1" s="1"/>
  <c r="U22" i="1" s="1"/>
  <c r="T24" i="1"/>
  <c r="T23" i="1" s="1"/>
  <c r="T22" i="1" s="1"/>
  <c r="S24" i="1"/>
  <c r="S23" i="1" s="1"/>
  <c r="S22" i="1" s="1"/>
  <c r="R24" i="1"/>
  <c r="R23" i="1" s="1"/>
  <c r="R22" i="1" s="1"/>
  <c r="Q24" i="1"/>
  <c r="Q23" i="1" s="1"/>
  <c r="Q22" i="1" s="1"/>
  <c r="P24" i="1"/>
  <c r="P23" i="1" s="1"/>
  <c r="P22" i="1" s="1"/>
  <c r="O24" i="1"/>
  <c r="O23" i="1" s="1"/>
  <c r="O22" i="1" s="1"/>
  <c r="Y49" i="23" l="1"/>
  <c r="V30" i="22"/>
  <c r="V29" i="22" s="1"/>
  <c r="V28" i="22" s="1"/>
  <c r="V27" i="22" s="1"/>
  <c r="V26" i="22" s="1"/>
  <c r="V25" i="22" s="1"/>
  <c r="V24" i="22" s="1"/>
  <c r="V23" i="22" s="1"/>
  <c r="V22" i="22" s="1"/>
  <c r="E32" i="22"/>
  <c r="E31" i="22" s="1"/>
  <c r="G32" i="12"/>
  <c r="L20" i="27"/>
  <c r="D32" i="22"/>
  <c r="O20" i="27"/>
  <c r="H32" i="12"/>
  <c r="M20" i="27"/>
  <c r="H11" i="27"/>
  <c r="G32" i="22"/>
  <c r="R20" i="27"/>
  <c r="F32" i="12"/>
  <c r="K20" i="27"/>
  <c r="B11" i="27"/>
  <c r="F32" i="22"/>
  <c r="Q20" i="27"/>
  <c r="N11" i="27"/>
  <c r="H32" i="22"/>
  <c r="S20" i="27"/>
  <c r="D32" i="12"/>
  <c r="I20" i="27"/>
  <c r="E32" i="12"/>
  <c r="J20" i="27"/>
  <c r="J15" i="11"/>
  <c r="J14" i="11"/>
  <c r="J13" i="11"/>
  <c r="J12" i="11"/>
  <c r="Y50" i="23" l="1"/>
  <c r="P19" i="27"/>
  <c r="D11" i="27"/>
  <c r="G11" i="27"/>
  <c r="C11" i="27"/>
  <c r="F11" i="27"/>
  <c r="E11" i="27"/>
  <c r="D31" i="12"/>
  <c r="I19" i="27"/>
  <c r="B9" i="27"/>
  <c r="B10" i="27"/>
  <c r="H31" i="12"/>
  <c r="M19" i="27"/>
  <c r="E30" i="22"/>
  <c r="P18" i="27"/>
  <c r="H9" i="27"/>
  <c r="H10" i="27"/>
  <c r="F31" i="22"/>
  <c r="Q19" i="27"/>
  <c r="H31" i="22"/>
  <c r="S19" i="27"/>
  <c r="F31" i="12"/>
  <c r="K19" i="27"/>
  <c r="D31" i="22"/>
  <c r="O19" i="27"/>
  <c r="E31" i="12"/>
  <c r="J19" i="27"/>
  <c r="N9" i="27"/>
  <c r="N10" i="27"/>
  <c r="G31" i="22"/>
  <c r="R19" i="27"/>
  <c r="G31" i="12"/>
  <c r="L19" i="27"/>
  <c r="Y51" i="23" l="1"/>
  <c r="G30" i="12"/>
  <c r="L18" i="27"/>
  <c r="D30" i="22"/>
  <c r="O18" i="27"/>
  <c r="D30" i="12"/>
  <c r="I18" i="27"/>
  <c r="G30" i="22"/>
  <c r="R18" i="27"/>
  <c r="F30" i="12"/>
  <c r="K18" i="27"/>
  <c r="E29" i="22"/>
  <c r="P17" i="27"/>
  <c r="H30" i="22"/>
  <c r="S18" i="27"/>
  <c r="H30" i="12"/>
  <c r="M18" i="27"/>
  <c r="C10" i="27"/>
  <c r="G10" i="27"/>
  <c r="F10" i="27"/>
  <c r="E10" i="27"/>
  <c r="D10" i="27"/>
  <c r="E30" i="12"/>
  <c r="J18" i="27"/>
  <c r="F30" i="22"/>
  <c r="Q18" i="27"/>
  <c r="D9" i="27"/>
  <c r="E9" i="27"/>
  <c r="F9" i="27"/>
  <c r="G9" i="27"/>
  <c r="C9" i="27"/>
  <c r="S8" i="26"/>
  <c r="R8" i="26"/>
  <c r="Q8" i="26"/>
  <c r="P8" i="26"/>
  <c r="O8" i="26"/>
  <c r="N8" i="26"/>
  <c r="M8" i="26"/>
  <c r="L8" i="26"/>
  <c r="K8" i="26"/>
  <c r="J8" i="26"/>
  <c r="I8" i="26"/>
  <c r="H8" i="26"/>
  <c r="G8" i="26"/>
  <c r="F8" i="26"/>
  <c r="E8" i="26"/>
  <c r="D8" i="26"/>
  <c r="C8" i="26"/>
  <c r="B8" i="26"/>
  <c r="S7" i="26"/>
  <c r="R7" i="26"/>
  <c r="Q7" i="26"/>
  <c r="P7" i="26"/>
  <c r="O7" i="26"/>
  <c r="N7" i="26"/>
  <c r="M7" i="26"/>
  <c r="L7" i="26"/>
  <c r="K7" i="26"/>
  <c r="J7" i="26"/>
  <c r="I7" i="26"/>
  <c r="H7" i="26"/>
  <c r="G7" i="26"/>
  <c r="F7" i="26"/>
  <c r="E7" i="26"/>
  <c r="D7" i="26"/>
  <c r="C7" i="26"/>
  <c r="B7" i="26"/>
  <c r="Y52" i="23" l="1"/>
  <c r="E29" i="12"/>
  <c r="J17" i="27"/>
  <c r="H29" i="12"/>
  <c r="M17" i="27"/>
  <c r="G29" i="22"/>
  <c r="R17" i="27"/>
  <c r="H29" i="22"/>
  <c r="S17" i="27"/>
  <c r="D29" i="12"/>
  <c r="I17" i="27"/>
  <c r="E28" i="22"/>
  <c r="P16" i="27"/>
  <c r="D29" i="22"/>
  <c r="O17" i="27"/>
  <c r="F29" i="22"/>
  <c r="Q17" i="27"/>
  <c r="F29" i="12"/>
  <c r="K17" i="27"/>
  <c r="G29" i="12"/>
  <c r="L17" i="27"/>
  <c r="K56" i="24"/>
  <c r="K55" i="24"/>
  <c r="Y53" i="23" l="1"/>
  <c r="D28" i="22"/>
  <c r="O16" i="27"/>
  <c r="G28" i="22"/>
  <c r="R16" i="27"/>
  <c r="F28" i="22"/>
  <c r="Q16" i="27"/>
  <c r="H28" i="22"/>
  <c r="S16" i="27"/>
  <c r="G28" i="12"/>
  <c r="L16" i="27"/>
  <c r="H28" i="12"/>
  <c r="M16" i="27"/>
  <c r="E27" i="22"/>
  <c r="P15" i="27"/>
  <c r="F28" i="12"/>
  <c r="K16" i="27"/>
  <c r="D28" i="12"/>
  <c r="I16" i="27"/>
  <c r="E28" i="12"/>
  <c r="J16" i="27"/>
  <c r="S8" i="25"/>
  <c r="R8" i="25"/>
  <c r="Q8" i="25"/>
  <c r="P8" i="25"/>
  <c r="O8" i="25"/>
  <c r="N8" i="25"/>
  <c r="M8" i="25"/>
  <c r="L8" i="25"/>
  <c r="K8" i="25"/>
  <c r="J8" i="25"/>
  <c r="I8" i="25"/>
  <c r="H8" i="25"/>
  <c r="C8" i="25"/>
  <c r="D8" i="25"/>
  <c r="E8" i="25"/>
  <c r="F8" i="25"/>
  <c r="G8" i="25"/>
  <c r="B8" i="25"/>
  <c r="S9" i="25"/>
  <c r="R9" i="25"/>
  <c r="Q9" i="25"/>
  <c r="P9" i="25"/>
  <c r="O9" i="25"/>
  <c r="N9" i="25"/>
  <c r="M9" i="25"/>
  <c r="L9" i="25"/>
  <c r="K9" i="25"/>
  <c r="J9" i="25"/>
  <c r="I9" i="25"/>
  <c r="H9" i="25"/>
  <c r="G9" i="25"/>
  <c r="F9" i="25"/>
  <c r="E9" i="25"/>
  <c r="D9" i="25"/>
  <c r="C9" i="25"/>
  <c r="B9" i="25"/>
  <c r="S7" i="25"/>
  <c r="R7" i="25"/>
  <c r="Q7" i="25"/>
  <c r="P7" i="25"/>
  <c r="O7" i="25"/>
  <c r="N7" i="25"/>
  <c r="M7" i="25"/>
  <c r="L7" i="25"/>
  <c r="K7" i="25"/>
  <c r="J7" i="25"/>
  <c r="I7" i="25"/>
  <c r="H7" i="25"/>
  <c r="G7" i="25"/>
  <c r="F7" i="25"/>
  <c r="E7" i="25"/>
  <c r="D7" i="25"/>
  <c r="C7" i="25"/>
  <c r="B7" i="25"/>
  <c r="Y54" i="23" l="1"/>
  <c r="F27" i="12"/>
  <c r="K15" i="27"/>
  <c r="E26" i="22"/>
  <c r="P14" i="27"/>
  <c r="F27" i="22"/>
  <c r="Q15" i="27"/>
  <c r="H27" i="22"/>
  <c r="S15" i="27"/>
  <c r="E27" i="12"/>
  <c r="J15" i="27"/>
  <c r="H27" i="12"/>
  <c r="M15" i="27"/>
  <c r="G27" i="22"/>
  <c r="R15" i="27"/>
  <c r="D27" i="12"/>
  <c r="I15" i="27"/>
  <c r="G27" i="12"/>
  <c r="L15" i="27"/>
  <c r="D27" i="22"/>
  <c r="O15" i="27"/>
  <c r="S9" i="24"/>
  <c r="R9" i="24"/>
  <c r="Q9" i="24"/>
  <c r="P9" i="24"/>
  <c r="O9" i="24"/>
  <c r="N9" i="24"/>
  <c r="M9" i="24"/>
  <c r="L9" i="24"/>
  <c r="K9" i="24"/>
  <c r="J9" i="24"/>
  <c r="I9" i="24"/>
  <c r="H9" i="24"/>
  <c r="G9" i="24"/>
  <c r="F9" i="24"/>
  <c r="E9" i="24"/>
  <c r="D9" i="24"/>
  <c r="C9" i="24"/>
  <c r="B9" i="24"/>
  <c r="S8" i="24"/>
  <c r="R8" i="24"/>
  <c r="Q8" i="24"/>
  <c r="P8" i="24"/>
  <c r="O8" i="24"/>
  <c r="N8" i="24"/>
  <c r="M8" i="24"/>
  <c r="L8" i="24"/>
  <c r="K8" i="24"/>
  <c r="J8" i="24"/>
  <c r="I8" i="24"/>
  <c r="H8" i="24"/>
  <c r="G8" i="24"/>
  <c r="F8" i="24"/>
  <c r="E8" i="24"/>
  <c r="D8" i="24"/>
  <c r="C8" i="24"/>
  <c r="B8" i="24"/>
  <c r="Y55" i="23" l="1"/>
  <c r="G26" i="22"/>
  <c r="R14" i="27"/>
  <c r="F26" i="22"/>
  <c r="Q14" i="27"/>
  <c r="D26" i="22"/>
  <c r="O14" i="27"/>
  <c r="D26" i="12"/>
  <c r="I14" i="27"/>
  <c r="H26" i="22"/>
  <c r="S14" i="27"/>
  <c r="H26" i="12"/>
  <c r="M14" i="27"/>
  <c r="E25" i="22"/>
  <c r="P13" i="27"/>
  <c r="G26" i="12"/>
  <c r="L14" i="27"/>
  <c r="E26" i="12"/>
  <c r="J14" i="27"/>
  <c r="F26" i="12"/>
  <c r="K14" i="27"/>
  <c r="M11" i="23"/>
  <c r="M12" i="23" s="1"/>
  <c r="M13" i="23" s="1"/>
  <c r="M14" i="23" s="1"/>
  <c r="M15" i="23" s="1"/>
  <c r="M16" i="23" s="1"/>
  <c r="M17" i="23" s="1"/>
  <c r="M18" i="23" s="1"/>
  <c r="M19" i="23" s="1"/>
  <c r="M20" i="23" s="1"/>
  <c r="M21" i="23" s="1"/>
  <c r="M22" i="23" s="1"/>
  <c r="M23" i="23" s="1"/>
  <c r="M24" i="23" s="1"/>
  <c r="M25" i="23" s="1"/>
  <c r="M26" i="23" s="1"/>
  <c r="M27" i="23" s="1"/>
  <c r="M28" i="23" s="1"/>
  <c r="M29" i="23" s="1"/>
  <c r="M30" i="23" s="1"/>
  <c r="M31" i="23" s="1"/>
  <c r="M32" i="23" s="1"/>
  <c r="M33" i="23" s="1"/>
  <c r="M34" i="23" s="1"/>
  <c r="M35" i="23" s="1"/>
  <c r="M36" i="23" s="1"/>
  <c r="M37" i="23" s="1"/>
  <c r="M38" i="23" s="1"/>
  <c r="M39" i="23" s="1"/>
  <c r="M40" i="23" s="1"/>
  <c r="M41" i="23" s="1"/>
  <c r="M42" i="23" s="1"/>
  <c r="M43" i="23" s="1"/>
  <c r="M44" i="23" s="1"/>
  <c r="M45" i="23" s="1"/>
  <c r="M46" i="23" s="1"/>
  <c r="M47" i="23" s="1"/>
  <c r="M48" i="23" s="1"/>
  <c r="M49" i="23" s="1"/>
  <c r="M50" i="23" s="1"/>
  <c r="M51" i="23" s="1"/>
  <c r="M52" i="23" s="1"/>
  <c r="M53" i="23" s="1"/>
  <c r="M54" i="23" s="1"/>
  <c r="M55" i="23" s="1"/>
  <c r="M56" i="23" s="1"/>
  <c r="M57" i="23" s="1"/>
  <c r="M58" i="23" s="1"/>
  <c r="M59" i="23" s="1"/>
  <c r="N10" i="23"/>
  <c r="N9" i="23"/>
  <c r="J7" i="23" l="1"/>
  <c r="J6" i="23"/>
  <c r="J8" i="23"/>
  <c r="J9" i="23"/>
  <c r="J10" i="23"/>
  <c r="Y56" i="23"/>
  <c r="AE56" i="23" s="1"/>
  <c r="AE44" i="23"/>
  <c r="AD44" i="23"/>
  <c r="AE29" i="23"/>
  <c r="AD29" i="23"/>
  <c r="AE51" i="23"/>
  <c r="AD51" i="23"/>
  <c r="AE50" i="23"/>
  <c r="AD50" i="23"/>
  <c r="AE53" i="23"/>
  <c r="AD53" i="23"/>
  <c r="AE37" i="23"/>
  <c r="AD37" i="23"/>
  <c r="AE36" i="23"/>
  <c r="AD36" i="23"/>
  <c r="AE35" i="23"/>
  <c r="AD35" i="23"/>
  <c r="AE34" i="23"/>
  <c r="AD34" i="23"/>
  <c r="AE49" i="23"/>
  <c r="AD49" i="23"/>
  <c r="AE41" i="23"/>
  <c r="AD41" i="23"/>
  <c r="AE33" i="23"/>
  <c r="AD33" i="23"/>
  <c r="AE54" i="23"/>
  <c r="AD54" i="23"/>
  <c r="AE46" i="23"/>
  <c r="AD46" i="23"/>
  <c r="AE38" i="23"/>
  <c r="AD38" i="23"/>
  <c r="AE30" i="23"/>
  <c r="AD30" i="23"/>
  <c r="AE45" i="23"/>
  <c r="AD45" i="23"/>
  <c r="AE52" i="23"/>
  <c r="AD52" i="23"/>
  <c r="AE43" i="23"/>
  <c r="AD43" i="23"/>
  <c r="AE42" i="23"/>
  <c r="AD42" i="23"/>
  <c r="AD56" i="23"/>
  <c r="AE48" i="23"/>
  <c r="AD48" i="23"/>
  <c r="AE40" i="23"/>
  <c r="AD40" i="23"/>
  <c r="AE32" i="23"/>
  <c r="AD32" i="23"/>
  <c r="AE55" i="23"/>
  <c r="AD55" i="23"/>
  <c r="AE47" i="23"/>
  <c r="AD47" i="23"/>
  <c r="AE39" i="23"/>
  <c r="AD39" i="23"/>
  <c r="AE31" i="23"/>
  <c r="AD31" i="23"/>
  <c r="G25" i="12"/>
  <c r="L13" i="27"/>
  <c r="D25" i="12"/>
  <c r="I13" i="27"/>
  <c r="E24" i="22"/>
  <c r="P12" i="27"/>
  <c r="D25" i="22"/>
  <c r="O13" i="27"/>
  <c r="F25" i="12"/>
  <c r="K13" i="27"/>
  <c r="H25" i="12"/>
  <c r="M13" i="27"/>
  <c r="F25" i="22"/>
  <c r="Q13" i="27"/>
  <c r="E25" i="12"/>
  <c r="J13" i="27"/>
  <c r="H25" i="22"/>
  <c r="S13" i="27"/>
  <c r="G25" i="22"/>
  <c r="R13" i="27"/>
  <c r="M60" i="23"/>
  <c r="M61" i="23" s="1"/>
  <c r="N11" i="23"/>
  <c r="N13" i="23"/>
  <c r="N12" i="23"/>
  <c r="J11" i="23" l="1"/>
  <c r="Y57" i="23"/>
  <c r="D24" i="22"/>
  <c r="O12" i="27"/>
  <c r="F24" i="22"/>
  <c r="Q12" i="27"/>
  <c r="E23" i="22"/>
  <c r="P11" i="27"/>
  <c r="E24" i="12"/>
  <c r="J12" i="27"/>
  <c r="G24" i="22"/>
  <c r="R12" i="27"/>
  <c r="H24" i="12"/>
  <c r="M12" i="27"/>
  <c r="D24" i="12"/>
  <c r="I12" i="27"/>
  <c r="H24" i="22"/>
  <c r="S12" i="27"/>
  <c r="F24" i="12"/>
  <c r="K12" i="27"/>
  <c r="G24" i="12"/>
  <c r="L12" i="27"/>
  <c r="N60" i="23"/>
  <c r="M62" i="23"/>
  <c r="N61" i="23"/>
  <c r="N14" i="23"/>
  <c r="Y58" i="23" l="1"/>
  <c r="AD57" i="23"/>
  <c r="AE57" i="23"/>
  <c r="H23" i="22"/>
  <c r="S11" i="27"/>
  <c r="E23" i="12"/>
  <c r="J11" i="27"/>
  <c r="D23" i="12"/>
  <c r="I11" i="27"/>
  <c r="E22" i="22"/>
  <c r="P9" i="27" s="1"/>
  <c r="P10" i="27"/>
  <c r="G23" i="12"/>
  <c r="L11" i="27"/>
  <c r="H23" i="12"/>
  <c r="M11" i="27"/>
  <c r="F23" i="22"/>
  <c r="Q11" i="27"/>
  <c r="F23" i="12"/>
  <c r="K11" i="27"/>
  <c r="G23" i="22"/>
  <c r="R11" i="27"/>
  <c r="D23" i="22"/>
  <c r="O11" i="27"/>
  <c r="M63" i="23"/>
  <c r="N62" i="23"/>
  <c r="N15" i="23"/>
  <c r="J12" i="23" s="1"/>
  <c r="Y59" i="23" l="1"/>
  <c r="AD58" i="23"/>
  <c r="AE58" i="23"/>
  <c r="F22" i="22"/>
  <c r="Q9" i="27" s="1"/>
  <c r="Q10" i="27"/>
  <c r="D22" i="12"/>
  <c r="I9" i="27" s="1"/>
  <c r="I10" i="27"/>
  <c r="F22" i="12"/>
  <c r="K9" i="27" s="1"/>
  <c r="K10" i="27"/>
  <c r="D22" i="22"/>
  <c r="O9" i="27" s="1"/>
  <c r="O10" i="27"/>
  <c r="H22" i="12"/>
  <c r="M9" i="27" s="1"/>
  <c r="M10" i="27"/>
  <c r="E22" i="12"/>
  <c r="J9" i="27" s="1"/>
  <c r="J10" i="27"/>
  <c r="G22" i="22"/>
  <c r="R9" i="27" s="1"/>
  <c r="R10" i="27"/>
  <c r="G22" i="12"/>
  <c r="L9" i="27" s="1"/>
  <c r="L10" i="27"/>
  <c r="H22" i="22"/>
  <c r="S9" i="27" s="1"/>
  <c r="S10" i="27"/>
  <c r="M64" i="23"/>
  <c r="N63" i="23"/>
  <c r="N16" i="23"/>
  <c r="Y60" i="23" l="1"/>
  <c r="AE59" i="23"/>
  <c r="AD59" i="23"/>
  <c r="M65" i="23"/>
  <c r="N64" i="23"/>
  <c r="N17" i="23"/>
  <c r="C5" i="23" a="1"/>
  <c r="D5" i="23" s="1"/>
  <c r="J13" i="23" l="1"/>
  <c r="Y61" i="23"/>
  <c r="AE60" i="23"/>
  <c r="AD60" i="23"/>
  <c r="M66" i="23"/>
  <c r="N65" i="23"/>
  <c r="N18" i="23"/>
  <c r="J14" i="23" s="1"/>
  <c r="C5" i="23"/>
  <c r="H5" i="23"/>
  <c r="F5" i="23"/>
  <c r="K5" i="23"/>
  <c r="J5" i="23"/>
  <c r="E5" i="23"/>
  <c r="I5" i="23"/>
  <c r="G5" i="23"/>
  <c r="AH12" i="4"/>
  <c r="AI12" i="4"/>
  <c r="AK12" i="4"/>
  <c r="AL12" i="4"/>
  <c r="AM12" i="4"/>
  <c r="AH13" i="4"/>
  <c r="AI13" i="4"/>
  <c r="AK13" i="4"/>
  <c r="AL13" i="4"/>
  <c r="AM13" i="4"/>
  <c r="AH14" i="4"/>
  <c r="AI14" i="4"/>
  <c r="AK14" i="4"/>
  <c r="AL14" i="4"/>
  <c r="AM14" i="4"/>
  <c r="AH15" i="4"/>
  <c r="AI15" i="4"/>
  <c r="AK15" i="4"/>
  <c r="AL15" i="4"/>
  <c r="AM15" i="4"/>
  <c r="AH16" i="4"/>
  <c r="AI16" i="4"/>
  <c r="AK16" i="4"/>
  <c r="AL16" i="4"/>
  <c r="AM16" i="4"/>
  <c r="AK17" i="4"/>
  <c r="AM17" i="4"/>
  <c r="AK18" i="4"/>
  <c r="AM18" i="4"/>
  <c r="AK19" i="4"/>
  <c r="AM19" i="4"/>
  <c r="AK20" i="4"/>
  <c r="AM20" i="4"/>
  <c r="AK21" i="4"/>
  <c r="AM21" i="4"/>
  <c r="AK22" i="4"/>
  <c r="AM22" i="4"/>
  <c r="AK23" i="4"/>
  <c r="AM23" i="4"/>
  <c r="AK24" i="4"/>
  <c r="AM24" i="4"/>
  <c r="AK25" i="4"/>
  <c r="AM25" i="4"/>
  <c r="AK26" i="4"/>
  <c r="AM26" i="4"/>
  <c r="AK27" i="4"/>
  <c r="AM27" i="4"/>
  <c r="AK28" i="4"/>
  <c r="AM28" i="4"/>
  <c r="AK29" i="4"/>
  <c r="AM29" i="4"/>
  <c r="AK30" i="4"/>
  <c r="AM30" i="4"/>
  <c r="AK31" i="4"/>
  <c r="AM31" i="4"/>
  <c r="AK32" i="4"/>
  <c r="AM32" i="4"/>
  <c r="AK33" i="4"/>
  <c r="AM33" i="4"/>
  <c r="AK34" i="4"/>
  <c r="AM34" i="4"/>
  <c r="AK35" i="4"/>
  <c r="AM35" i="4"/>
  <c r="AK36" i="4"/>
  <c r="AM36" i="4"/>
  <c r="AK37" i="4"/>
  <c r="AM37" i="4"/>
  <c r="AK38" i="4"/>
  <c r="AM38" i="4"/>
  <c r="AK39" i="4"/>
  <c r="AM39" i="4"/>
  <c r="AK40" i="4"/>
  <c r="AM40" i="4"/>
  <c r="AK41" i="4"/>
  <c r="AM41" i="4"/>
  <c r="AK42" i="4"/>
  <c r="AM42" i="4"/>
  <c r="AK43" i="4"/>
  <c r="AM43" i="4"/>
  <c r="AK44" i="4"/>
  <c r="AM44" i="4"/>
  <c r="AK45" i="4"/>
  <c r="AM45" i="4"/>
  <c r="AK46" i="4"/>
  <c r="AM46" i="4"/>
  <c r="AK47" i="4"/>
  <c r="AM47" i="4"/>
  <c r="AK48" i="4"/>
  <c r="AM48" i="4"/>
  <c r="AK49" i="4"/>
  <c r="AM49" i="4"/>
  <c r="AK50" i="4"/>
  <c r="AM50" i="4"/>
  <c r="AK51" i="4"/>
  <c r="AM51" i="4"/>
  <c r="AK52" i="4"/>
  <c r="AM52" i="4"/>
  <c r="AK53" i="4"/>
  <c r="AM53" i="4"/>
  <c r="AK54" i="4"/>
  <c r="AM54" i="4"/>
  <c r="AI11" i="4"/>
  <c r="AK11" i="4"/>
  <c r="AL11" i="4"/>
  <c r="AM11" i="4"/>
  <c r="AH11" i="4"/>
  <c r="Y62" i="23" l="1"/>
  <c r="AE61" i="23"/>
  <c r="AD61" i="23"/>
  <c r="M67" i="23"/>
  <c r="N66" i="23"/>
  <c r="N19" i="23"/>
  <c r="Y63" i="23" l="1"/>
  <c r="AE62" i="23"/>
  <c r="AD62" i="23"/>
  <c r="M68" i="23"/>
  <c r="N67" i="23"/>
  <c r="N20" i="23"/>
  <c r="AD282" i="21"/>
  <c r="AD281" i="21"/>
  <c r="AC329" i="21" s="1" a="1"/>
  <c r="AC329" i="21" s="1"/>
  <c r="AD229" i="21"/>
  <c r="AD228" i="21"/>
  <c r="AD176" i="21"/>
  <c r="AD175" i="21"/>
  <c r="AB284" i="21"/>
  <c r="AB231" i="21"/>
  <c r="AB178" i="21"/>
  <c r="AB126" i="21"/>
  <c r="AD124" i="21"/>
  <c r="AD123" i="21"/>
  <c r="AB171" i="21" s="1" a="1"/>
  <c r="AB171" i="21" s="1"/>
  <c r="AB74" i="21"/>
  <c r="AD72" i="21"/>
  <c r="AC116" i="21" s="1" a="1"/>
  <c r="AC116" i="21" s="1"/>
  <c r="AD71" i="21"/>
  <c r="AB119" i="21" s="1" a="1"/>
  <c r="AB119" i="21" s="1"/>
  <c r="AB126" i="13"/>
  <c r="AD124" i="13"/>
  <c r="AD123" i="13"/>
  <c r="AC171" i="13" s="1" a="1"/>
  <c r="AC171" i="13" s="1"/>
  <c r="AD72" i="13"/>
  <c r="AC119" i="13" s="1" a="1"/>
  <c r="AC119" i="13" s="1"/>
  <c r="AD71" i="13"/>
  <c r="AB117" i="13" s="1" a="1"/>
  <c r="AB117" i="13" s="1"/>
  <c r="AB74" i="13"/>
  <c r="L11" i="13"/>
  <c r="M11" i="13"/>
  <c r="L12" i="13"/>
  <c r="M12" i="13"/>
  <c r="L13" i="13"/>
  <c r="M13" i="13"/>
  <c r="L14" i="13"/>
  <c r="M14" i="13"/>
  <c r="L15" i="13"/>
  <c r="M15" i="13"/>
  <c r="L16" i="13"/>
  <c r="M16" i="13"/>
  <c r="AR12" i="4" a="1"/>
  <c r="AR12" i="4" s="1"/>
  <c r="G55" i="4"/>
  <c r="S55" i="4" s="1"/>
  <c r="F55" i="4"/>
  <c r="E55" i="4"/>
  <c r="E56" i="4" s="1"/>
  <c r="D55" i="4"/>
  <c r="C55" i="4"/>
  <c r="B55" i="4"/>
  <c r="K15" i="4"/>
  <c r="K14" i="4"/>
  <c r="K13" i="4"/>
  <c r="K12" i="4"/>
  <c r="K11" i="4"/>
  <c r="K10" i="4"/>
  <c r="AB284" i="13"/>
  <c r="AD282" i="13"/>
  <c r="AD281" i="13"/>
  <c r="AC329" i="13" s="1" a="1"/>
  <c r="AC329" i="13" s="1"/>
  <c r="AB231" i="13"/>
  <c r="AD229" i="13"/>
  <c r="AD228" i="13"/>
  <c r="AD175" i="13"/>
  <c r="AD176" i="13"/>
  <c r="AB178" i="13"/>
  <c r="Y64" i="23" l="1"/>
  <c r="AE63" i="23"/>
  <c r="AD63" i="23"/>
  <c r="D56" i="4"/>
  <c r="Z56" i="4" s="1"/>
  <c r="Z55" i="4"/>
  <c r="L55" i="4"/>
  <c r="X55" i="4"/>
  <c r="M55" i="4"/>
  <c r="Y55" i="4"/>
  <c r="F56" i="4"/>
  <c r="F57" i="4" s="1"/>
  <c r="AB57" i="4" s="1"/>
  <c r="AB55" i="4"/>
  <c r="AR19" i="4"/>
  <c r="O55" i="4"/>
  <c r="P55" i="4"/>
  <c r="AC94" i="21" a="1"/>
  <c r="AC94" i="21" s="1"/>
  <c r="AC97" i="21" a="1"/>
  <c r="AC97" i="21" s="1"/>
  <c r="G56" i="4"/>
  <c r="S56" i="4" s="1"/>
  <c r="AC115" i="21" a="1"/>
  <c r="AC115" i="21" s="1"/>
  <c r="N55" i="4"/>
  <c r="AC113" i="21" a="1"/>
  <c r="AC113" i="21" s="1"/>
  <c r="AC151" i="21" a="1"/>
  <c r="AC151" i="21" s="1"/>
  <c r="AC171" i="21" a="1"/>
  <c r="AC171" i="21" s="1"/>
  <c r="AC82" i="21" a="1"/>
  <c r="AC82" i="21" s="1"/>
  <c r="AC81" i="21" a="1"/>
  <c r="AC81" i="21" s="1"/>
  <c r="AC95" i="21" a="1"/>
  <c r="AC95" i="21" s="1"/>
  <c r="AC114" i="21" a="1"/>
  <c r="AC114" i="21" s="1"/>
  <c r="AC83" i="21" a="1"/>
  <c r="AC83" i="21" s="1"/>
  <c r="AC102" i="21" a="1"/>
  <c r="AC102" i="21" s="1"/>
  <c r="AC117" i="21" a="1"/>
  <c r="AC117" i="21" s="1"/>
  <c r="AB310" i="21" a="1"/>
  <c r="AB310" i="21" s="1"/>
  <c r="AC85" i="21" a="1"/>
  <c r="AC85" i="21" s="1"/>
  <c r="AC103" i="21" a="1"/>
  <c r="AC103" i="21" s="1"/>
  <c r="AC118" i="21" a="1"/>
  <c r="AC118" i="21" s="1"/>
  <c r="AC86" i="21" a="1"/>
  <c r="AC86" i="21" s="1"/>
  <c r="AC105" i="21" a="1"/>
  <c r="AC105" i="21" s="1"/>
  <c r="AC139" i="21" a="1"/>
  <c r="AC139" i="21" s="1"/>
  <c r="AC91" i="21" a="1"/>
  <c r="AC91" i="21" s="1"/>
  <c r="AC106" i="21" a="1"/>
  <c r="AC106" i="21" s="1"/>
  <c r="AC143" i="21" a="1"/>
  <c r="AC143" i="21" s="1"/>
  <c r="AC241" i="21" a="1"/>
  <c r="AC241" i="21" s="1"/>
  <c r="AC93" i="21" a="1"/>
  <c r="AC93" i="21" s="1"/>
  <c r="AC107" i="21" a="1"/>
  <c r="AC107" i="21" s="1"/>
  <c r="AC147" i="21" a="1"/>
  <c r="AC147" i="21" s="1"/>
  <c r="AB244" i="21" a="1"/>
  <c r="AB244" i="21" s="1"/>
  <c r="AB322" i="21" a="1"/>
  <c r="AB322" i="21" s="1"/>
  <c r="AB324" i="21" a="1"/>
  <c r="AB324" i="21" s="1"/>
  <c r="AB290" i="21" a="1"/>
  <c r="AB290" i="21" s="1"/>
  <c r="AB326" i="21" a="1"/>
  <c r="AB326" i="21" s="1"/>
  <c r="AC155" i="21" a="1"/>
  <c r="AC155" i="21" s="1"/>
  <c r="AB292" i="21" a="1"/>
  <c r="AB292" i="21" s="1"/>
  <c r="AC77" i="21" a="1"/>
  <c r="AC77" i="21" s="1"/>
  <c r="AC87" i="21" a="1"/>
  <c r="AC87" i="21" s="1"/>
  <c r="AC98" i="21" a="1"/>
  <c r="AC98" i="21" s="1"/>
  <c r="AC109" i="21" a="1"/>
  <c r="AC109" i="21" s="1"/>
  <c r="AC119" i="21" a="1"/>
  <c r="AC119" i="21" s="1"/>
  <c r="AC159" i="21" a="1"/>
  <c r="AC159" i="21" s="1"/>
  <c r="AC233" i="21" a="1"/>
  <c r="AC233" i="21" s="1"/>
  <c r="AB294" i="21" a="1"/>
  <c r="AB294" i="21" s="1"/>
  <c r="AC78" i="21" a="1"/>
  <c r="AC78" i="21" s="1"/>
  <c r="AC89" i="21" a="1"/>
  <c r="AC89" i="21" s="1"/>
  <c r="AC99" i="21" a="1"/>
  <c r="AC99" i="21" s="1"/>
  <c r="AC110" i="21" a="1"/>
  <c r="AC110" i="21" s="1"/>
  <c r="AC131" i="21" a="1"/>
  <c r="AC131" i="21" s="1"/>
  <c r="AC163" i="21" a="1"/>
  <c r="AC163" i="21" s="1"/>
  <c r="AB236" i="21" a="1"/>
  <c r="AB236" i="21" s="1"/>
  <c r="AB306" i="21" a="1"/>
  <c r="AB306" i="21" s="1"/>
  <c r="AC79" i="21" a="1"/>
  <c r="AC79" i="21" s="1"/>
  <c r="AC90" i="21" a="1"/>
  <c r="AC90" i="21" s="1"/>
  <c r="AC101" i="21" a="1"/>
  <c r="AC101" i="21" s="1"/>
  <c r="AC111" i="21" a="1"/>
  <c r="AC111" i="21" s="1"/>
  <c r="AC135" i="21" a="1"/>
  <c r="AC135" i="21" s="1"/>
  <c r="AC167" i="21" a="1"/>
  <c r="AC167" i="21" s="1"/>
  <c r="AB239" i="21" a="1"/>
  <c r="AB239" i="21" s="1"/>
  <c r="AB308" i="21" a="1"/>
  <c r="AB308" i="21" s="1"/>
  <c r="AB94" i="13" a="1"/>
  <c r="AB94" i="13" s="1"/>
  <c r="AB104" i="13" a="1"/>
  <c r="AB104" i="13" s="1"/>
  <c r="AB115" i="13" a="1"/>
  <c r="AB115" i="13" s="1"/>
  <c r="AB83" i="13" a="1"/>
  <c r="AB83" i="13" s="1"/>
  <c r="AB286" i="13" a="1"/>
  <c r="AB286" i="13" s="1"/>
  <c r="AB318" i="13" a="1"/>
  <c r="AB318" i="13" s="1"/>
  <c r="AB249" i="13" a="1"/>
  <c r="AB249" i="13" s="1"/>
  <c r="AB290" i="13" a="1"/>
  <c r="AB290" i="13" s="1"/>
  <c r="AB322" i="13" a="1"/>
  <c r="AB322" i="13" s="1"/>
  <c r="AB84" i="13" a="1"/>
  <c r="AB84" i="13" s="1"/>
  <c r="AB95" i="13" a="1"/>
  <c r="AB95" i="13" s="1"/>
  <c r="AB106" i="13" a="1"/>
  <c r="AB106" i="13" s="1"/>
  <c r="AB116" i="13" a="1"/>
  <c r="AB116" i="13" s="1"/>
  <c r="AB245" i="13" a="1"/>
  <c r="AB245" i="13" s="1"/>
  <c r="AB180" i="13" a="1"/>
  <c r="AB180" i="13" s="1"/>
  <c r="AB253" i="13" a="1"/>
  <c r="AB253" i="13" s="1"/>
  <c r="AB294" i="13" a="1"/>
  <c r="AB294" i="13" s="1"/>
  <c r="AB326" i="13" a="1"/>
  <c r="AB326" i="13" s="1"/>
  <c r="AB86" i="13" a="1"/>
  <c r="AB86" i="13" s="1"/>
  <c r="AB96" i="13" a="1"/>
  <c r="AB96" i="13" s="1"/>
  <c r="AB107" i="13" a="1"/>
  <c r="AB107" i="13" s="1"/>
  <c r="AB118" i="13" a="1"/>
  <c r="AB118" i="13" s="1"/>
  <c r="AB184" i="13" a="1"/>
  <c r="AB184" i="13" s="1"/>
  <c r="AB257" i="13" a="1"/>
  <c r="AB257" i="13" s="1"/>
  <c r="AB298" i="13" a="1"/>
  <c r="AB298" i="13" s="1"/>
  <c r="AB76" i="13" a="1"/>
  <c r="AB76" i="13" s="1"/>
  <c r="AB87" i="13" a="1"/>
  <c r="AB87" i="13" s="1"/>
  <c r="AB98" i="13" a="1"/>
  <c r="AB98" i="13" s="1"/>
  <c r="AB108" i="13" a="1"/>
  <c r="AB108" i="13" s="1"/>
  <c r="AB119" i="13" a="1"/>
  <c r="AB119" i="13" s="1"/>
  <c r="AB188" i="13" a="1"/>
  <c r="AB188" i="13" s="1"/>
  <c r="AB261" i="13" a="1"/>
  <c r="AB261" i="13" s="1"/>
  <c r="AB302" i="13" a="1"/>
  <c r="AB302" i="13" s="1"/>
  <c r="AB78" i="13" a="1"/>
  <c r="AB78" i="13" s="1"/>
  <c r="AB88" i="13" a="1"/>
  <c r="AB88" i="13" s="1"/>
  <c r="AB99" i="13" a="1"/>
  <c r="AB99" i="13" s="1"/>
  <c r="AB110" i="13" a="1"/>
  <c r="AB110" i="13" s="1"/>
  <c r="AB192" i="13" a="1"/>
  <c r="AB192" i="13" s="1"/>
  <c r="AB233" i="13" a="1"/>
  <c r="AB233" i="13" s="1"/>
  <c r="AB306" i="13" a="1"/>
  <c r="AB306" i="13" s="1"/>
  <c r="AB79" i="13" a="1"/>
  <c r="AB79" i="13" s="1"/>
  <c r="AB90" i="13" a="1"/>
  <c r="AB90" i="13" s="1"/>
  <c r="AB100" i="13" a="1"/>
  <c r="AB100" i="13" s="1"/>
  <c r="AB111" i="13" a="1"/>
  <c r="AB111" i="13" s="1"/>
  <c r="AB237" i="13" a="1"/>
  <c r="AB237" i="13" s="1"/>
  <c r="AB310" i="13" a="1"/>
  <c r="AB310" i="13" s="1"/>
  <c r="AB80" i="13" a="1"/>
  <c r="AB80" i="13" s="1"/>
  <c r="AB91" i="13" a="1"/>
  <c r="AB91" i="13" s="1"/>
  <c r="AB102" i="13" a="1"/>
  <c r="AB102" i="13" s="1"/>
  <c r="AB112" i="13" a="1"/>
  <c r="AB112" i="13" s="1"/>
  <c r="AB241" i="13" a="1"/>
  <c r="AB241" i="13" s="1"/>
  <c r="AB314" i="13" a="1"/>
  <c r="AB314" i="13" s="1"/>
  <c r="AB82" i="13" a="1"/>
  <c r="AB82" i="13" s="1"/>
  <c r="AB92" i="13" a="1"/>
  <c r="AB92" i="13" s="1"/>
  <c r="AB103" i="13" a="1"/>
  <c r="AB103" i="13" s="1"/>
  <c r="AB114" i="13" a="1"/>
  <c r="AB114" i="13" s="1"/>
  <c r="AB136" i="13" a="1"/>
  <c r="AB136" i="13" s="1"/>
  <c r="AB148" i="13" a="1"/>
  <c r="AB148" i="13" s="1"/>
  <c r="AB164" i="13" a="1"/>
  <c r="AB164" i="13" s="1"/>
  <c r="AC128" i="13" a="1"/>
  <c r="AC128" i="13" s="1"/>
  <c r="AC132" i="13" a="1"/>
  <c r="AC132" i="13" s="1"/>
  <c r="AC136" i="13" a="1"/>
  <c r="AC136" i="13" s="1"/>
  <c r="AC140" i="13" a="1"/>
  <c r="AC140" i="13" s="1"/>
  <c r="AC144" i="13" a="1"/>
  <c r="AC144" i="13" s="1"/>
  <c r="AC148" i="13" a="1"/>
  <c r="AC148" i="13" s="1"/>
  <c r="AC152" i="13" a="1"/>
  <c r="AC152" i="13" s="1"/>
  <c r="AC156" i="13" a="1"/>
  <c r="AC156" i="13" s="1"/>
  <c r="AC160" i="13" a="1"/>
  <c r="AC160" i="13" s="1"/>
  <c r="AC164" i="13" a="1"/>
  <c r="AC164" i="13" s="1"/>
  <c r="AC168" i="13" a="1"/>
  <c r="AC168" i="13" s="1"/>
  <c r="AC76" i="13" a="1"/>
  <c r="AC76" i="13" s="1"/>
  <c r="AC80" i="13" a="1"/>
  <c r="AC80" i="13" s="1"/>
  <c r="AC84" i="13" a="1"/>
  <c r="AC84" i="13" s="1"/>
  <c r="AC88" i="13" a="1"/>
  <c r="AC88" i="13" s="1"/>
  <c r="AC92" i="13" a="1"/>
  <c r="AC92" i="13" s="1"/>
  <c r="AC96" i="13" a="1"/>
  <c r="AC96" i="13" s="1"/>
  <c r="AC100" i="13" a="1"/>
  <c r="AC100" i="13" s="1"/>
  <c r="AC104" i="13" a="1"/>
  <c r="AC104" i="13" s="1"/>
  <c r="AC108" i="13" a="1"/>
  <c r="AC108" i="13" s="1"/>
  <c r="AC112" i="13" a="1"/>
  <c r="AC112" i="13" s="1"/>
  <c r="AC116" i="13" a="1"/>
  <c r="AC116" i="13" s="1"/>
  <c r="AB76" i="21" a="1"/>
  <c r="AB76" i="21" s="1"/>
  <c r="AB80" i="21" a="1"/>
  <c r="AB80" i="21" s="1"/>
  <c r="AB84" i="21" a="1"/>
  <c r="AB84" i="21" s="1"/>
  <c r="AB88" i="21" a="1"/>
  <c r="AB88" i="21" s="1"/>
  <c r="AB92" i="21" a="1"/>
  <c r="AB92" i="21" s="1"/>
  <c r="AB96" i="21" a="1"/>
  <c r="AB96" i="21" s="1"/>
  <c r="AB100" i="21" a="1"/>
  <c r="AB100" i="21" s="1"/>
  <c r="AB104" i="21" a="1"/>
  <c r="AB104" i="21" s="1"/>
  <c r="AB108" i="21" a="1"/>
  <c r="AB108" i="21" s="1"/>
  <c r="AB112" i="21" a="1"/>
  <c r="AB112" i="21" s="1"/>
  <c r="AB116" i="21" a="1"/>
  <c r="AB116" i="21" s="1"/>
  <c r="AB128" i="21" a="1"/>
  <c r="AB128" i="21" s="1"/>
  <c r="AB132" i="21" a="1"/>
  <c r="AB132" i="21" s="1"/>
  <c r="AB136" i="21" a="1"/>
  <c r="AB136" i="21" s="1"/>
  <c r="AB140" i="21" a="1"/>
  <c r="AB140" i="21" s="1"/>
  <c r="AB144" i="21" a="1"/>
  <c r="AB144" i="21" s="1"/>
  <c r="AB148" i="21" a="1"/>
  <c r="AB148" i="21" s="1"/>
  <c r="AB152" i="21" a="1"/>
  <c r="AB152" i="21" s="1"/>
  <c r="AB156" i="21" a="1"/>
  <c r="AB156" i="21" s="1"/>
  <c r="AB160" i="21" a="1"/>
  <c r="AB160" i="21" s="1"/>
  <c r="AB164" i="21" a="1"/>
  <c r="AB164" i="21" s="1"/>
  <c r="AB168" i="21" a="1"/>
  <c r="AB168" i="21" s="1"/>
  <c r="AB132" i="13" a="1"/>
  <c r="AB132" i="13" s="1"/>
  <c r="AB144" i="13" a="1"/>
  <c r="AB144" i="13" s="1"/>
  <c r="AB156" i="13" a="1"/>
  <c r="AB156" i="13" s="1"/>
  <c r="AB129" i="13" a="1"/>
  <c r="AB129" i="13" s="1"/>
  <c r="AB133" i="13" a="1"/>
  <c r="AB133" i="13" s="1"/>
  <c r="AB137" i="13" a="1"/>
  <c r="AB137" i="13" s="1"/>
  <c r="AB141" i="13" a="1"/>
  <c r="AB141" i="13" s="1"/>
  <c r="AB145" i="13" a="1"/>
  <c r="AB145" i="13" s="1"/>
  <c r="AB149" i="13" a="1"/>
  <c r="AB149" i="13" s="1"/>
  <c r="AB153" i="13" a="1"/>
  <c r="AB153" i="13" s="1"/>
  <c r="AB157" i="13" a="1"/>
  <c r="AB157" i="13" s="1"/>
  <c r="AB161" i="13" a="1"/>
  <c r="AB161" i="13" s="1"/>
  <c r="AB165" i="13" a="1"/>
  <c r="AB165" i="13" s="1"/>
  <c r="AB169" i="13" a="1"/>
  <c r="AB169" i="13" s="1"/>
  <c r="AB77" i="13" a="1"/>
  <c r="AB77" i="13" s="1"/>
  <c r="AB81" i="13" a="1"/>
  <c r="AB81" i="13" s="1"/>
  <c r="AB85" i="13" a="1"/>
  <c r="AB85" i="13" s="1"/>
  <c r="AB89" i="13" a="1"/>
  <c r="AB89" i="13" s="1"/>
  <c r="AB93" i="13" a="1"/>
  <c r="AB93" i="13" s="1"/>
  <c r="AB97" i="13" a="1"/>
  <c r="AB97" i="13" s="1"/>
  <c r="AB101" i="13" a="1"/>
  <c r="AB101" i="13" s="1"/>
  <c r="AB105" i="13" a="1"/>
  <c r="AB105" i="13" s="1"/>
  <c r="AB109" i="13" a="1"/>
  <c r="AB109" i="13" s="1"/>
  <c r="AB113" i="13" a="1"/>
  <c r="AB113" i="13" s="1"/>
  <c r="AC76" i="21" a="1"/>
  <c r="AC76" i="21" s="1"/>
  <c r="AC80" i="21" a="1"/>
  <c r="AC80" i="21" s="1"/>
  <c r="AC84" i="21" a="1"/>
  <c r="AC84" i="21" s="1"/>
  <c r="AC88" i="21" a="1"/>
  <c r="AC88" i="21" s="1"/>
  <c r="AC92" i="21" a="1"/>
  <c r="AC92" i="21" s="1"/>
  <c r="AC96" i="21" a="1"/>
  <c r="AC96" i="21" s="1"/>
  <c r="AC100" i="21" a="1"/>
  <c r="AC100" i="21" s="1"/>
  <c r="AC104" i="21" a="1"/>
  <c r="AC104" i="21" s="1"/>
  <c r="AC108" i="21" a="1"/>
  <c r="AC108" i="21" s="1"/>
  <c r="AC112" i="21" a="1"/>
  <c r="AC112" i="21" s="1"/>
  <c r="AC128" i="21" a="1"/>
  <c r="AC128" i="21" s="1"/>
  <c r="AC132" i="21" a="1"/>
  <c r="AC132" i="21" s="1"/>
  <c r="AC136" i="21" a="1"/>
  <c r="AC136" i="21" s="1"/>
  <c r="AC140" i="21" a="1"/>
  <c r="AC140" i="21" s="1"/>
  <c r="AC144" i="21" a="1"/>
  <c r="AC144" i="21" s="1"/>
  <c r="AC148" i="21" a="1"/>
  <c r="AC148" i="21" s="1"/>
  <c r="AC152" i="21" a="1"/>
  <c r="AC152" i="21" s="1"/>
  <c r="AC156" i="21" a="1"/>
  <c r="AC156" i="21" s="1"/>
  <c r="AC160" i="21" a="1"/>
  <c r="AC160" i="21" s="1"/>
  <c r="AC164" i="21" a="1"/>
  <c r="AC164" i="21" s="1"/>
  <c r="AC168" i="21" a="1"/>
  <c r="AC168" i="21" s="1"/>
  <c r="AB128" i="13" a="1"/>
  <c r="AB128" i="13" s="1"/>
  <c r="AB140" i="13" a="1"/>
  <c r="AB140" i="13" s="1"/>
  <c r="AB152" i="13" a="1"/>
  <c r="AB152" i="13" s="1"/>
  <c r="AB160" i="13" a="1"/>
  <c r="AB160" i="13" s="1"/>
  <c r="AB168" i="13" a="1"/>
  <c r="AB168" i="13" s="1"/>
  <c r="AC129" i="13" a="1"/>
  <c r="AC129" i="13" s="1"/>
  <c r="AC133" i="13" a="1"/>
  <c r="AC133" i="13" s="1"/>
  <c r="AC137" i="13" a="1"/>
  <c r="AC137" i="13" s="1"/>
  <c r="AC141" i="13" a="1"/>
  <c r="AC141" i="13" s="1"/>
  <c r="AC145" i="13" a="1"/>
  <c r="AC145" i="13" s="1"/>
  <c r="AC149" i="13" a="1"/>
  <c r="AC149" i="13" s="1"/>
  <c r="AC153" i="13" a="1"/>
  <c r="AC153" i="13" s="1"/>
  <c r="AC157" i="13" a="1"/>
  <c r="AC157" i="13" s="1"/>
  <c r="AC161" i="13" a="1"/>
  <c r="AC161" i="13" s="1"/>
  <c r="AC165" i="13" a="1"/>
  <c r="AC165" i="13" s="1"/>
  <c r="AC169" i="13" a="1"/>
  <c r="AC169" i="13" s="1"/>
  <c r="AC77" i="13" a="1"/>
  <c r="AC77" i="13" s="1"/>
  <c r="AC81" i="13" a="1"/>
  <c r="AC81" i="13" s="1"/>
  <c r="AC85" i="13" a="1"/>
  <c r="AC85" i="13" s="1"/>
  <c r="AC89" i="13" a="1"/>
  <c r="AC89" i="13" s="1"/>
  <c r="AC93" i="13" a="1"/>
  <c r="AC93" i="13" s="1"/>
  <c r="AC97" i="13" a="1"/>
  <c r="AC97" i="13" s="1"/>
  <c r="AC101" i="13" a="1"/>
  <c r="AC101" i="13" s="1"/>
  <c r="AC105" i="13" a="1"/>
  <c r="AC105" i="13" s="1"/>
  <c r="AC109" i="13" a="1"/>
  <c r="AC109" i="13" s="1"/>
  <c r="AC113" i="13" a="1"/>
  <c r="AC113" i="13" s="1"/>
  <c r="AC117" i="13" a="1"/>
  <c r="AC117" i="13" s="1"/>
  <c r="AB77" i="21" a="1"/>
  <c r="AB77" i="21" s="1"/>
  <c r="AB81" i="21" a="1"/>
  <c r="AB81" i="21" s="1"/>
  <c r="AB85" i="21" a="1"/>
  <c r="AB85" i="21" s="1"/>
  <c r="AB89" i="21" a="1"/>
  <c r="AB89" i="21" s="1"/>
  <c r="AB93" i="21" a="1"/>
  <c r="AB93" i="21" s="1"/>
  <c r="AB97" i="21" a="1"/>
  <c r="AB97" i="21" s="1"/>
  <c r="AB101" i="21" a="1"/>
  <c r="AB101" i="21" s="1"/>
  <c r="AB105" i="21" a="1"/>
  <c r="AB105" i="21" s="1"/>
  <c r="AB109" i="21" a="1"/>
  <c r="AB109" i="21" s="1"/>
  <c r="AB113" i="21" a="1"/>
  <c r="AB113" i="21" s="1"/>
  <c r="AB117" i="21" a="1"/>
  <c r="AB117" i="21" s="1"/>
  <c r="AB129" i="21" a="1"/>
  <c r="AB129" i="21" s="1"/>
  <c r="AB133" i="21" a="1"/>
  <c r="AB133" i="21" s="1"/>
  <c r="AB137" i="21" a="1"/>
  <c r="AB137" i="21" s="1"/>
  <c r="AB141" i="21" a="1"/>
  <c r="AB141" i="21" s="1"/>
  <c r="AB145" i="21" a="1"/>
  <c r="AB145" i="21" s="1"/>
  <c r="AB149" i="21" a="1"/>
  <c r="AB149" i="21" s="1"/>
  <c r="AB153" i="21" a="1"/>
  <c r="AB153" i="21" s="1"/>
  <c r="AB157" i="21" a="1"/>
  <c r="AB157" i="21" s="1"/>
  <c r="AB161" i="21" a="1"/>
  <c r="AB161" i="21" s="1"/>
  <c r="AB165" i="21" a="1"/>
  <c r="AB165" i="21" s="1"/>
  <c r="AB169" i="21" a="1"/>
  <c r="AB169" i="21" s="1"/>
  <c r="AB134" i="13" a="1"/>
  <c r="AB134" i="13" s="1"/>
  <c r="AB138" i="13" a="1"/>
  <c r="AB138" i="13" s="1"/>
  <c r="AB142" i="13" a="1"/>
  <c r="AB142" i="13" s="1"/>
  <c r="AB150" i="13" a="1"/>
  <c r="AB150" i="13" s="1"/>
  <c r="AB154" i="13" a="1"/>
  <c r="AB154" i="13" s="1"/>
  <c r="AB162" i="13" a="1"/>
  <c r="AB162" i="13" s="1"/>
  <c r="AB166" i="13" a="1"/>
  <c r="AB166" i="13" s="1"/>
  <c r="AB170" i="13" a="1"/>
  <c r="AB170" i="13" s="1"/>
  <c r="AC129" i="21" a="1"/>
  <c r="AC129" i="21" s="1"/>
  <c r="AC133" i="21" a="1"/>
  <c r="AC133" i="21" s="1"/>
  <c r="AC137" i="21" a="1"/>
  <c r="AC137" i="21" s="1"/>
  <c r="AC141" i="21" a="1"/>
  <c r="AC141" i="21" s="1"/>
  <c r="AC145" i="21" a="1"/>
  <c r="AC145" i="21" s="1"/>
  <c r="AC149" i="21" a="1"/>
  <c r="AC149" i="21" s="1"/>
  <c r="AC153" i="21" a="1"/>
  <c r="AC153" i="21" s="1"/>
  <c r="AC157" i="21" a="1"/>
  <c r="AC157" i="21" s="1"/>
  <c r="AC161" i="21" a="1"/>
  <c r="AC161" i="21" s="1"/>
  <c r="AC165" i="21" a="1"/>
  <c r="AC165" i="21" s="1"/>
  <c r="AC169" i="21" a="1"/>
  <c r="AC169" i="21" s="1"/>
  <c r="AB130" i="13" a="1"/>
  <c r="AB130" i="13" s="1"/>
  <c r="AB146" i="13" a="1"/>
  <c r="AB146" i="13" s="1"/>
  <c r="AB158" i="13" a="1"/>
  <c r="AB158" i="13" s="1"/>
  <c r="AC130" i="13" a="1"/>
  <c r="AC130" i="13" s="1"/>
  <c r="AC134" i="13" a="1"/>
  <c r="AC134" i="13" s="1"/>
  <c r="AC138" i="13" a="1"/>
  <c r="AC138" i="13" s="1"/>
  <c r="AC142" i="13" a="1"/>
  <c r="AC142" i="13" s="1"/>
  <c r="AC146" i="13" a="1"/>
  <c r="AC146" i="13" s="1"/>
  <c r="AC150" i="13" a="1"/>
  <c r="AC150" i="13" s="1"/>
  <c r="AC154" i="13" a="1"/>
  <c r="AC154" i="13" s="1"/>
  <c r="AC158" i="13" a="1"/>
  <c r="AC158" i="13" s="1"/>
  <c r="AC162" i="13" a="1"/>
  <c r="AC162" i="13" s="1"/>
  <c r="AC166" i="13" a="1"/>
  <c r="AC166" i="13" s="1"/>
  <c r="AC170" i="13" a="1"/>
  <c r="AC170" i="13" s="1"/>
  <c r="AC78" i="13" a="1"/>
  <c r="AC78" i="13" s="1"/>
  <c r="AC82" i="13" a="1"/>
  <c r="AC82" i="13" s="1"/>
  <c r="AC86" i="13" a="1"/>
  <c r="AC86" i="13" s="1"/>
  <c r="AC90" i="13" a="1"/>
  <c r="AC90" i="13" s="1"/>
  <c r="AC94" i="13" a="1"/>
  <c r="AC94" i="13" s="1"/>
  <c r="AC98" i="13" a="1"/>
  <c r="AC98" i="13" s="1"/>
  <c r="AC102" i="13" a="1"/>
  <c r="AC102" i="13" s="1"/>
  <c r="AC106" i="13" a="1"/>
  <c r="AC106" i="13" s="1"/>
  <c r="AC110" i="13" a="1"/>
  <c r="AC110" i="13" s="1"/>
  <c r="AC114" i="13" a="1"/>
  <c r="AC114" i="13" s="1"/>
  <c r="AC118" i="13" a="1"/>
  <c r="AC118" i="13" s="1"/>
  <c r="AB78" i="21" a="1"/>
  <c r="AB78" i="21" s="1"/>
  <c r="AB82" i="21" a="1"/>
  <c r="AB82" i="21" s="1"/>
  <c r="AB86" i="21" a="1"/>
  <c r="AB86" i="21" s="1"/>
  <c r="AB90" i="21" a="1"/>
  <c r="AB90" i="21" s="1"/>
  <c r="AB94" i="21" a="1"/>
  <c r="AB94" i="21" s="1"/>
  <c r="AB98" i="21" a="1"/>
  <c r="AB98" i="21" s="1"/>
  <c r="AB102" i="21" a="1"/>
  <c r="AB102" i="21" s="1"/>
  <c r="AB106" i="21" a="1"/>
  <c r="AB106" i="21" s="1"/>
  <c r="AB110" i="21" a="1"/>
  <c r="AB110" i="21" s="1"/>
  <c r="AB114" i="21" a="1"/>
  <c r="AB114" i="21" s="1"/>
  <c r="AB118" i="21" a="1"/>
  <c r="AB118" i="21" s="1"/>
  <c r="AB130" i="21" a="1"/>
  <c r="AB130" i="21" s="1"/>
  <c r="AB134" i="21" a="1"/>
  <c r="AB134" i="21" s="1"/>
  <c r="AB138" i="21" a="1"/>
  <c r="AB138" i="21" s="1"/>
  <c r="AB142" i="21" a="1"/>
  <c r="AB142" i="21" s="1"/>
  <c r="AB146" i="21" a="1"/>
  <c r="AB146" i="21" s="1"/>
  <c r="AB150" i="21" a="1"/>
  <c r="AB150" i="21" s="1"/>
  <c r="AB154" i="21" a="1"/>
  <c r="AB154" i="21" s="1"/>
  <c r="AB158" i="21" a="1"/>
  <c r="AB158" i="21" s="1"/>
  <c r="AB162" i="21" a="1"/>
  <c r="AB162" i="21" s="1"/>
  <c r="AB166" i="21" a="1"/>
  <c r="AB166" i="21" s="1"/>
  <c r="AB170" i="21" a="1"/>
  <c r="AB170" i="21" s="1"/>
  <c r="AB139" i="13" a="1"/>
  <c r="AB139" i="13" s="1"/>
  <c r="AB155" i="13" a="1"/>
  <c r="AB155" i="13" s="1"/>
  <c r="AC130" i="21" a="1"/>
  <c r="AC130" i="21" s="1"/>
  <c r="AC134" i="21" a="1"/>
  <c r="AC134" i="21" s="1"/>
  <c r="AC138" i="21" a="1"/>
  <c r="AC138" i="21" s="1"/>
  <c r="AC142" i="21" a="1"/>
  <c r="AC142" i="21" s="1"/>
  <c r="AC146" i="21" a="1"/>
  <c r="AC146" i="21" s="1"/>
  <c r="AC150" i="21" a="1"/>
  <c r="AC150" i="21" s="1"/>
  <c r="AC154" i="21" a="1"/>
  <c r="AC154" i="21" s="1"/>
  <c r="AC158" i="21" a="1"/>
  <c r="AC158" i="21" s="1"/>
  <c r="AC162" i="21" a="1"/>
  <c r="AC162" i="21" s="1"/>
  <c r="AC166" i="21" a="1"/>
  <c r="AC166" i="21" s="1"/>
  <c r="AC170" i="21" a="1"/>
  <c r="AC170" i="21" s="1"/>
  <c r="AB131" i="13" a="1"/>
  <c r="AB131" i="13" s="1"/>
  <c r="AB135" i="13" a="1"/>
  <c r="AB135" i="13" s="1"/>
  <c r="AB143" i="13" a="1"/>
  <c r="AB143" i="13" s="1"/>
  <c r="AB147" i="13" a="1"/>
  <c r="AB147" i="13" s="1"/>
  <c r="AB151" i="13" a="1"/>
  <c r="AB151" i="13" s="1"/>
  <c r="AB159" i="13" a="1"/>
  <c r="AB159" i="13" s="1"/>
  <c r="AB163" i="13" a="1"/>
  <c r="AB163" i="13" s="1"/>
  <c r="AB167" i="13" a="1"/>
  <c r="AB167" i="13" s="1"/>
  <c r="AB171" i="13" a="1"/>
  <c r="AB171" i="13" s="1"/>
  <c r="AC131" i="13" a="1"/>
  <c r="AC131" i="13" s="1"/>
  <c r="AC135" i="13" a="1"/>
  <c r="AC135" i="13" s="1"/>
  <c r="AC139" i="13" a="1"/>
  <c r="AC139" i="13" s="1"/>
  <c r="AC143" i="13" a="1"/>
  <c r="AC143" i="13" s="1"/>
  <c r="AC147" i="13" a="1"/>
  <c r="AC147" i="13" s="1"/>
  <c r="AC151" i="13" a="1"/>
  <c r="AC151" i="13" s="1"/>
  <c r="AC155" i="13" a="1"/>
  <c r="AC155" i="13" s="1"/>
  <c r="AC159" i="13" a="1"/>
  <c r="AC159" i="13" s="1"/>
  <c r="AC163" i="13" a="1"/>
  <c r="AC163" i="13" s="1"/>
  <c r="AC167" i="13" a="1"/>
  <c r="AC167" i="13" s="1"/>
  <c r="AC79" i="13" a="1"/>
  <c r="AC79" i="13" s="1"/>
  <c r="AC83" i="13" a="1"/>
  <c r="AC83" i="13" s="1"/>
  <c r="AC87" i="13" a="1"/>
  <c r="AC87" i="13" s="1"/>
  <c r="AC91" i="13" a="1"/>
  <c r="AC91" i="13" s="1"/>
  <c r="AC95" i="13" a="1"/>
  <c r="AC95" i="13" s="1"/>
  <c r="AC99" i="13" a="1"/>
  <c r="AC99" i="13" s="1"/>
  <c r="AC103" i="13" a="1"/>
  <c r="AC103" i="13" s="1"/>
  <c r="AC107" i="13" a="1"/>
  <c r="AC107" i="13" s="1"/>
  <c r="AC111" i="13" a="1"/>
  <c r="AC111" i="13" s="1"/>
  <c r="AC115" i="13" a="1"/>
  <c r="AC115" i="13" s="1"/>
  <c r="AB79" i="21" a="1"/>
  <c r="AB79" i="21" s="1"/>
  <c r="AB83" i="21" a="1"/>
  <c r="AB83" i="21" s="1"/>
  <c r="AB87" i="21" a="1"/>
  <c r="AB87" i="21" s="1"/>
  <c r="AB91" i="21" a="1"/>
  <c r="AB91" i="21" s="1"/>
  <c r="AB95" i="21" a="1"/>
  <c r="AB95" i="21" s="1"/>
  <c r="AB99" i="21" a="1"/>
  <c r="AB99" i="21" s="1"/>
  <c r="AB103" i="21" a="1"/>
  <c r="AB103" i="21" s="1"/>
  <c r="AB107" i="21" a="1"/>
  <c r="AB107" i="21" s="1"/>
  <c r="AB111" i="21" a="1"/>
  <c r="AB111" i="21" s="1"/>
  <c r="AB115" i="21" a="1"/>
  <c r="AB115" i="21" s="1"/>
  <c r="AB131" i="21" a="1"/>
  <c r="AB131" i="21" s="1"/>
  <c r="AB135" i="21" a="1"/>
  <c r="AB135" i="21" s="1"/>
  <c r="AB139" i="21" a="1"/>
  <c r="AB139" i="21" s="1"/>
  <c r="AB143" i="21" a="1"/>
  <c r="AB143" i="21" s="1"/>
  <c r="AB147" i="21" a="1"/>
  <c r="AB147" i="21" s="1"/>
  <c r="AB151" i="21" a="1"/>
  <c r="AB151" i="21" s="1"/>
  <c r="AB155" i="21" a="1"/>
  <c r="AB155" i="21" s="1"/>
  <c r="AB159" i="21" a="1"/>
  <c r="AB159" i="21" s="1"/>
  <c r="AB163" i="21" a="1"/>
  <c r="AB163" i="21" s="1"/>
  <c r="AB167" i="21" a="1"/>
  <c r="AB167" i="21" s="1"/>
  <c r="AC180" i="13" a="1"/>
  <c r="AC180" i="13" s="1"/>
  <c r="AC184" i="13" a="1"/>
  <c r="AC184" i="13" s="1"/>
  <c r="AC188" i="13" a="1"/>
  <c r="AC188" i="13" s="1"/>
  <c r="AC192" i="13" a="1"/>
  <c r="AC192" i="13" s="1"/>
  <c r="AC233" i="13" a="1"/>
  <c r="AC233" i="13" s="1"/>
  <c r="AC237" i="13" a="1"/>
  <c r="AC237" i="13" s="1"/>
  <c r="AC241" i="13" a="1"/>
  <c r="AC241" i="13" s="1"/>
  <c r="AC245" i="13" a="1"/>
  <c r="AC245" i="13" s="1"/>
  <c r="AC249" i="13" a="1"/>
  <c r="AC249" i="13" s="1"/>
  <c r="AC253" i="13" a="1"/>
  <c r="AC253" i="13" s="1"/>
  <c r="AC257" i="13" a="1"/>
  <c r="AC257" i="13" s="1"/>
  <c r="AC261" i="13" a="1"/>
  <c r="AC261" i="13" s="1"/>
  <c r="AC286" i="13" a="1"/>
  <c r="AC286" i="13" s="1"/>
  <c r="AC290" i="13" a="1"/>
  <c r="AC290" i="13" s="1"/>
  <c r="AC294" i="13" a="1"/>
  <c r="AC294" i="13" s="1"/>
  <c r="AC298" i="13" a="1"/>
  <c r="AC298" i="13" s="1"/>
  <c r="AC302" i="13" a="1"/>
  <c r="AC302" i="13" s="1"/>
  <c r="AC306" i="13" a="1"/>
  <c r="AC306" i="13" s="1"/>
  <c r="AC310" i="13" a="1"/>
  <c r="AC310" i="13" s="1"/>
  <c r="AC314" i="13" a="1"/>
  <c r="AC314" i="13" s="1"/>
  <c r="AC318" i="13" a="1"/>
  <c r="AC318" i="13" s="1"/>
  <c r="AC322" i="13" a="1"/>
  <c r="AC322" i="13" s="1"/>
  <c r="AC326" i="13" a="1"/>
  <c r="AC326" i="13" s="1"/>
  <c r="AB181" i="13" a="1"/>
  <c r="AB181" i="13" s="1"/>
  <c r="AB185" i="13" a="1"/>
  <c r="AB185" i="13" s="1"/>
  <c r="AB189" i="13" a="1"/>
  <c r="AB189" i="13" s="1"/>
  <c r="AB193" i="13" a="1"/>
  <c r="AB193" i="13" s="1"/>
  <c r="AB234" i="13" a="1"/>
  <c r="AB234" i="13" s="1"/>
  <c r="AB238" i="13" a="1"/>
  <c r="AB238" i="13" s="1"/>
  <c r="AB242" i="13" a="1"/>
  <c r="AB242" i="13" s="1"/>
  <c r="AB246" i="13" a="1"/>
  <c r="AB246" i="13" s="1"/>
  <c r="AB250" i="13" a="1"/>
  <c r="AB250" i="13" s="1"/>
  <c r="AB254" i="13" a="1"/>
  <c r="AB254" i="13" s="1"/>
  <c r="AB258" i="13" a="1"/>
  <c r="AB258" i="13" s="1"/>
  <c r="AB262" i="13" a="1"/>
  <c r="AB262" i="13" s="1"/>
  <c r="AB287" i="13" a="1"/>
  <c r="AB287" i="13" s="1"/>
  <c r="AB291" i="13" a="1"/>
  <c r="AB291" i="13" s="1"/>
  <c r="AB295" i="13" a="1"/>
  <c r="AB295" i="13" s="1"/>
  <c r="AB299" i="13" a="1"/>
  <c r="AB299" i="13" s="1"/>
  <c r="AB303" i="13" a="1"/>
  <c r="AB303" i="13" s="1"/>
  <c r="AB307" i="13" a="1"/>
  <c r="AB307" i="13" s="1"/>
  <c r="AB311" i="13" a="1"/>
  <c r="AB311" i="13" s="1"/>
  <c r="AB315" i="13" a="1"/>
  <c r="AB315" i="13" s="1"/>
  <c r="AB319" i="13" a="1"/>
  <c r="AB319" i="13" s="1"/>
  <c r="AB323" i="13" a="1"/>
  <c r="AB323" i="13" s="1"/>
  <c r="AB327" i="13" a="1"/>
  <c r="AB327" i="13" s="1"/>
  <c r="AC181" i="13" a="1"/>
  <c r="AC181" i="13" s="1"/>
  <c r="AC185" i="13" a="1"/>
  <c r="AC185" i="13" s="1"/>
  <c r="AC189" i="13" a="1"/>
  <c r="AC189" i="13" s="1"/>
  <c r="AC193" i="13" a="1"/>
  <c r="AC193" i="13" s="1"/>
  <c r="AC234" i="13" a="1"/>
  <c r="AC234" i="13" s="1"/>
  <c r="AC238" i="13" a="1"/>
  <c r="AC238" i="13" s="1"/>
  <c r="AC242" i="13" a="1"/>
  <c r="AC242" i="13" s="1"/>
  <c r="AC246" i="13" a="1"/>
  <c r="AC246" i="13" s="1"/>
  <c r="AC250" i="13" a="1"/>
  <c r="AC250" i="13" s="1"/>
  <c r="AC254" i="13" a="1"/>
  <c r="AC254" i="13" s="1"/>
  <c r="AC258" i="13" a="1"/>
  <c r="AC258" i="13" s="1"/>
  <c r="AC262" i="13" a="1"/>
  <c r="AC262" i="13" s="1"/>
  <c r="AC287" i="13" a="1"/>
  <c r="AC287" i="13" s="1"/>
  <c r="AC291" i="13" a="1"/>
  <c r="AC291" i="13" s="1"/>
  <c r="AC295" i="13" a="1"/>
  <c r="AC295" i="13" s="1"/>
  <c r="AC299" i="13" a="1"/>
  <c r="AC299" i="13" s="1"/>
  <c r="AC303" i="13" a="1"/>
  <c r="AC303" i="13" s="1"/>
  <c r="AC307" i="13" a="1"/>
  <c r="AC307" i="13" s="1"/>
  <c r="AC311" i="13" a="1"/>
  <c r="AC311" i="13" s="1"/>
  <c r="AC315" i="13" a="1"/>
  <c r="AC315" i="13" s="1"/>
  <c r="AC319" i="13" a="1"/>
  <c r="AC319" i="13" s="1"/>
  <c r="AC323" i="13" a="1"/>
  <c r="AC323" i="13" s="1"/>
  <c r="AC327" i="13" a="1"/>
  <c r="AC327" i="13" s="1"/>
  <c r="AB182" i="13" a="1"/>
  <c r="AB182" i="13" s="1"/>
  <c r="AB186" i="13" a="1"/>
  <c r="AB186" i="13" s="1"/>
  <c r="AB190" i="13" a="1"/>
  <c r="AB190" i="13" s="1"/>
  <c r="AB194" i="13" a="1"/>
  <c r="AB194" i="13" s="1"/>
  <c r="AB235" i="13" a="1"/>
  <c r="AB235" i="13" s="1"/>
  <c r="AB239" i="13" a="1"/>
  <c r="AB239" i="13" s="1"/>
  <c r="AB243" i="13" a="1"/>
  <c r="AB243" i="13" s="1"/>
  <c r="AB247" i="13" a="1"/>
  <c r="AB247" i="13" s="1"/>
  <c r="AB251" i="13" a="1"/>
  <c r="AB251" i="13" s="1"/>
  <c r="AB255" i="13" a="1"/>
  <c r="AB255" i="13" s="1"/>
  <c r="AB259" i="13" a="1"/>
  <c r="AB259" i="13" s="1"/>
  <c r="AB288" i="13" a="1"/>
  <c r="AB288" i="13" s="1"/>
  <c r="AB292" i="13" a="1"/>
  <c r="AB292" i="13" s="1"/>
  <c r="AB296" i="13" a="1"/>
  <c r="AB296" i="13" s="1"/>
  <c r="AB300" i="13" a="1"/>
  <c r="AB300" i="13" s="1"/>
  <c r="AB304" i="13" a="1"/>
  <c r="AB304" i="13" s="1"/>
  <c r="AB308" i="13" a="1"/>
  <c r="AB308" i="13" s="1"/>
  <c r="AB312" i="13" a="1"/>
  <c r="AB312" i="13" s="1"/>
  <c r="AB316" i="13" a="1"/>
  <c r="AB316" i="13" s="1"/>
  <c r="AB320" i="13" a="1"/>
  <c r="AB320" i="13" s="1"/>
  <c r="AB324" i="13" a="1"/>
  <c r="AB324" i="13" s="1"/>
  <c r="AB328" i="13" a="1"/>
  <c r="AB328" i="13" s="1"/>
  <c r="AC182" i="13" a="1"/>
  <c r="AC182" i="13" s="1"/>
  <c r="AC186" i="13" a="1"/>
  <c r="AC186" i="13" s="1"/>
  <c r="AC190" i="13" a="1"/>
  <c r="AC190" i="13" s="1"/>
  <c r="AC194" i="13" a="1"/>
  <c r="AC194" i="13" s="1"/>
  <c r="AC235" i="13" a="1"/>
  <c r="AC235" i="13" s="1"/>
  <c r="AC239" i="13" a="1"/>
  <c r="AC239" i="13" s="1"/>
  <c r="AC243" i="13" a="1"/>
  <c r="AC243" i="13" s="1"/>
  <c r="AC247" i="13" a="1"/>
  <c r="AC247" i="13" s="1"/>
  <c r="AC251" i="13" a="1"/>
  <c r="AC251" i="13" s="1"/>
  <c r="AC255" i="13" a="1"/>
  <c r="AC255" i="13" s="1"/>
  <c r="AC259" i="13" a="1"/>
  <c r="AC259" i="13" s="1"/>
  <c r="AC288" i="13" a="1"/>
  <c r="AC288" i="13" s="1"/>
  <c r="AC292" i="13" a="1"/>
  <c r="AC292" i="13" s="1"/>
  <c r="AC296" i="13" a="1"/>
  <c r="AC296" i="13" s="1"/>
  <c r="AC300" i="13" a="1"/>
  <c r="AC300" i="13" s="1"/>
  <c r="AC304" i="13" a="1"/>
  <c r="AC304" i="13" s="1"/>
  <c r="AC308" i="13" a="1"/>
  <c r="AC308" i="13" s="1"/>
  <c r="AC312" i="13" a="1"/>
  <c r="AC312" i="13" s="1"/>
  <c r="AC316" i="13" a="1"/>
  <c r="AC316" i="13" s="1"/>
  <c r="AC320" i="13" a="1"/>
  <c r="AC320" i="13" s="1"/>
  <c r="AC324" i="13" a="1"/>
  <c r="AC324" i="13" s="1"/>
  <c r="AC328" i="13" a="1"/>
  <c r="AC328" i="13" s="1"/>
  <c r="AB183" i="13" a="1"/>
  <c r="AB183" i="13" s="1"/>
  <c r="AB187" i="13" a="1"/>
  <c r="AB187" i="13" s="1"/>
  <c r="AB191" i="13" a="1"/>
  <c r="AB191" i="13" s="1"/>
  <c r="AB236" i="13" a="1"/>
  <c r="AB236" i="13" s="1"/>
  <c r="AB240" i="13" a="1"/>
  <c r="AB240" i="13" s="1"/>
  <c r="AB244" i="13" a="1"/>
  <c r="AB244" i="13" s="1"/>
  <c r="AB248" i="13" a="1"/>
  <c r="AB248" i="13" s="1"/>
  <c r="AB252" i="13" a="1"/>
  <c r="AB252" i="13" s="1"/>
  <c r="AB256" i="13" a="1"/>
  <c r="AB256" i="13" s="1"/>
  <c r="AB260" i="13" a="1"/>
  <c r="AB260" i="13" s="1"/>
  <c r="AB289" i="13" a="1"/>
  <c r="AB289" i="13" s="1"/>
  <c r="AB293" i="13" a="1"/>
  <c r="AB293" i="13" s="1"/>
  <c r="AB297" i="13" a="1"/>
  <c r="AB297" i="13" s="1"/>
  <c r="AB301" i="13" a="1"/>
  <c r="AB301" i="13" s="1"/>
  <c r="AB305" i="13" a="1"/>
  <c r="AB305" i="13" s="1"/>
  <c r="AB309" i="13" a="1"/>
  <c r="AB309" i="13" s="1"/>
  <c r="AB313" i="13" a="1"/>
  <c r="AB313" i="13" s="1"/>
  <c r="AB317" i="13" a="1"/>
  <c r="AB317" i="13" s="1"/>
  <c r="AB321" i="13" a="1"/>
  <c r="AB321" i="13" s="1"/>
  <c r="AB325" i="13" a="1"/>
  <c r="AB325" i="13" s="1"/>
  <c r="AB329" i="13" a="1"/>
  <c r="AB329" i="13" s="1"/>
  <c r="AC183" i="13" a="1"/>
  <c r="AC183" i="13" s="1"/>
  <c r="AC187" i="13" a="1"/>
  <c r="AC187" i="13" s="1"/>
  <c r="AC191" i="13" a="1"/>
  <c r="AC191" i="13" s="1"/>
  <c r="AC236" i="13" a="1"/>
  <c r="AC236" i="13" s="1"/>
  <c r="AC240" i="13" a="1"/>
  <c r="AC240" i="13" s="1"/>
  <c r="AC244" i="13" a="1"/>
  <c r="AC244" i="13" s="1"/>
  <c r="AC248" i="13" a="1"/>
  <c r="AC248" i="13" s="1"/>
  <c r="AC252" i="13" a="1"/>
  <c r="AC252" i="13" s="1"/>
  <c r="AC256" i="13" a="1"/>
  <c r="AC256" i="13" s="1"/>
  <c r="AC260" i="13" a="1"/>
  <c r="AC260" i="13" s="1"/>
  <c r="AC289" i="13" a="1"/>
  <c r="AC289" i="13" s="1"/>
  <c r="AC293" i="13" a="1"/>
  <c r="AC293" i="13" s="1"/>
  <c r="AC297" i="13" a="1"/>
  <c r="AC297" i="13" s="1"/>
  <c r="AC301" i="13" a="1"/>
  <c r="AC301" i="13" s="1"/>
  <c r="AC305" i="13" a="1"/>
  <c r="AC305" i="13" s="1"/>
  <c r="AC309" i="13" a="1"/>
  <c r="AC309" i="13" s="1"/>
  <c r="AC313" i="13" a="1"/>
  <c r="AC313" i="13" s="1"/>
  <c r="AC317" i="13" a="1"/>
  <c r="AC317" i="13" s="1"/>
  <c r="AC321" i="13" a="1"/>
  <c r="AC321" i="13" s="1"/>
  <c r="AC325" i="13" a="1"/>
  <c r="AC325" i="13" s="1"/>
  <c r="AB237" i="21" a="1"/>
  <c r="AB237" i="21" s="1"/>
  <c r="AB242" i="21" a="1"/>
  <c r="AB242" i="21" s="1"/>
  <c r="AC237" i="21" a="1"/>
  <c r="AC237" i="21" s="1"/>
  <c r="AB243" i="21" a="1"/>
  <c r="AB243" i="21" s="1"/>
  <c r="AB233" i="21" a="1"/>
  <c r="AB233" i="21" s="1"/>
  <c r="AB238" i="21" a="1"/>
  <c r="AB238" i="21" s="1"/>
  <c r="AC243" i="21" a="1"/>
  <c r="AC243" i="21" s="1"/>
  <c r="AB296" i="21" a="1"/>
  <c r="AB296" i="21" s="1"/>
  <c r="AB312" i="21" a="1"/>
  <c r="AB312" i="21" s="1"/>
  <c r="AB328" i="21" a="1"/>
  <c r="AB328" i="21" s="1"/>
  <c r="AB298" i="21" a="1"/>
  <c r="AB298" i="21" s="1"/>
  <c r="AB314" i="21" a="1"/>
  <c r="AB314" i="21" s="1"/>
  <c r="AB234" i="21" a="1"/>
  <c r="AB234" i="21" s="1"/>
  <c r="AC239" i="21" a="1"/>
  <c r="AC239" i="21" s="1"/>
  <c r="AB245" i="21" a="1"/>
  <c r="AB245" i="21" s="1"/>
  <c r="AB300" i="21" a="1"/>
  <c r="AB300" i="21" s="1"/>
  <c r="AB316" i="21" a="1"/>
  <c r="AB316" i="21" s="1"/>
  <c r="AB235" i="21" a="1"/>
  <c r="AB235" i="21" s="1"/>
  <c r="AB240" i="21" a="1"/>
  <c r="AB240" i="21" s="1"/>
  <c r="AC245" i="21" a="1"/>
  <c r="AC245" i="21" s="1"/>
  <c r="AB286" i="21" a="1"/>
  <c r="AB286" i="21" s="1"/>
  <c r="AB302" i="21" a="1"/>
  <c r="AB302" i="21" s="1"/>
  <c r="AB318" i="21" a="1"/>
  <c r="AB318" i="21" s="1"/>
  <c r="AC235" i="21" a="1"/>
  <c r="AC235" i="21" s="1"/>
  <c r="AB241" i="21" a="1"/>
  <c r="AB241" i="21" s="1"/>
  <c r="AB246" i="21" a="1"/>
  <c r="AB246" i="21" s="1"/>
  <c r="AB288" i="21" a="1"/>
  <c r="AB288" i="21" s="1"/>
  <c r="AB304" i="21" a="1"/>
  <c r="AB304" i="21" s="1"/>
  <c r="AB320" i="21" a="1"/>
  <c r="AB320" i="21" s="1"/>
  <c r="M69" i="23"/>
  <c r="N68" i="23"/>
  <c r="N21" i="23"/>
  <c r="AB182" i="21" a="1"/>
  <c r="AB182" i="21" s="1"/>
  <c r="AC188" i="21" a="1"/>
  <c r="AC188" i="21" s="1"/>
  <c r="AC191" i="21" a="1"/>
  <c r="AC191" i="21" s="1"/>
  <c r="AB195" i="21" a="1"/>
  <c r="AB195" i="21" s="1"/>
  <c r="AC185" i="21" a="1"/>
  <c r="AC185" i="21" s="1"/>
  <c r="AB183" i="21" a="1"/>
  <c r="AB183" i="21" s="1"/>
  <c r="AB186" i="21" a="1"/>
  <c r="AB186" i="21" s="1"/>
  <c r="AC192" i="21" a="1"/>
  <c r="AC192" i="21" s="1"/>
  <c r="AC195" i="21" a="1"/>
  <c r="AC195" i="21" s="1"/>
  <c r="AC182" i="21" a="1"/>
  <c r="AC182" i="21" s="1"/>
  <c r="AB189" i="21" a="1"/>
  <c r="AB189" i="21" s="1"/>
  <c r="AB180" i="21" a="1"/>
  <c r="AB180" i="21" s="1"/>
  <c r="AC186" i="21" a="1"/>
  <c r="AC186" i="21" s="1"/>
  <c r="AC189" i="21" a="1"/>
  <c r="AC189" i="21" s="1"/>
  <c r="AB193" i="21" a="1"/>
  <c r="AB193" i="21" s="1"/>
  <c r="AB196" i="21" a="1"/>
  <c r="AB196" i="21" s="1"/>
  <c r="AC180" i="21" a="1"/>
  <c r="AC180" i="21" s="1"/>
  <c r="AC183" i="21" a="1"/>
  <c r="AC183" i="21" s="1"/>
  <c r="AB187" i="21" a="1"/>
  <c r="AB187" i="21" s="1"/>
  <c r="AB190" i="21" a="1"/>
  <c r="AB190" i="21" s="1"/>
  <c r="AC196" i="21" a="1"/>
  <c r="AC196" i="21" s="1"/>
  <c r="AB181" i="21" a="1"/>
  <c r="AB181" i="21" s="1"/>
  <c r="AB184" i="21" a="1"/>
  <c r="AB184" i="21" s="1"/>
  <c r="AC190" i="21" a="1"/>
  <c r="AC190" i="21" s="1"/>
  <c r="AC193" i="21" a="1"/>
  <c r="AC193" i="21" s="1"/>
  <c r="AB197" i="21" a="1"/>
  <c r="AB197" i="21" s="1"/>
  <c r="AB192" i="21" a="1"/>
  <c r="AB192" i="21" s="1"/>
  <c r="AC184" i="21" a="1"/>
  <c r="AC184" i="21" s="1"/>
  <c r="AC187" i="21" a="1"/>
  <c r="AC187" i="21" s="1"/>
  <c r="AB191" i="21" a="1"/>
  <c r="AB191" i="21" s="1"/>
  <c r="AB194" i="21" a="1"/>
  <c r="AB194" i="21" s="1"/>
  <c r="AC181" i="21" a="1"/>
  <c r="AC181" i="21" s="1"/>
  <c r="AB185" i="21" a="1"/>
  <c r="AB185" i="21" s="1"/>
  <c r="AB188" i="21" a="1"/>
  <c r="AB188" i="21" s="1"/>
  <c r="AC194" i="21" a="1"/>
  <c r="AC194" i="21" s="1"/>
  <c r="AC197" i="21" a="1"/>
  <c r="AC197" i="21" s="1"/>
  <c r="AC286" i="21" a="1"/>
  <c r="AC286" i="21" s="1"/>
  <c r="AC288" i="21" a="1"/>
  <c r="AC288" i="21" s="1"/>
  <c r="AC290" i="21" a="1"/>
  <c r="AC290" i="21" s="1"/>
  <c r="AC292" i="21" a="1"/>
  <c r="AC292" i="21" s="1"/>
  <c r="AC294" i="21" a="1"/>
  <c r="AC294" i="21" s="1"/>
  <c r="AC296" i="21" a="1"/>
  <c r="AC296" i="21" s="1"/>
  <c r="AC298" i="21" a="1"/>
  <c r="AC298" i="21" s="1"/>
  <c r="AC300" i="21" a="1"/>
  <c r="AC300" i="21" s="1"/>
  <c r="AC302" i="21" a="1"/>
  <c r="AC302" i="21" s="1"/>
  <c r="AC304" i="21" a="1"/>
  <c r="AC304" i="21" s="1"/>
  <c r="AC306" i="21" a="1"/>
  <c r="AC306" i="21" s="1"/>
  <c r="AC308" i="21" a="1"/>
  <c r="AC308" i="21" s="1"/>
  <c r="AC310" i="21" a="1"/>
  <c r="AC310" i="21" s="1"/>
  <c r="AC312" i="21" a="1"/>
  <c r="AC312" i="21" s="1"/>
  <c r="AC314" i="21" a="1"/>
  <c r="AC314" i="21" s="1"/>
  <c r="AC316" i="21" a="1"/>
  <c r="AC316" i="21" s="1"/>
  <c r="AC318" i="21" a="1"/>
  <c r="AC318" i="21" s="1"/>
  <c r="AC320" i="21" a="1"/>
  <c r="AC320" i="21" s="1"/>
  <c r="AC322" i="21" a="1"/>
  <c r="AC322" i="21" s="1"/>
  <c r="AC324" i="21" a="1"/>
  <c r="AC324" i="21" s="1"/>
  <c r="AC326" i="21" a="1"/>
  <c r="AC326" i="21" s="1"/>
  <c r="AC328" i="21" a="1"/>
  <c r="AC328" i="21" s="1"/>
  <c r="AC234" i="21" a="1"/>
  <c r="AC234" i="21" s="1"/>
  <c r="AC236" i="21" a="1"/>
  <c r="AC236" i="21" s="1"/>
  <c r="AC238" i="21" a="1"/>
  <c r="AC238" i="21" s="1"/>
  <c r="AC240" i="21" a="1"/>
  <c r="AC240" i="21" s="1"/>
  <c r="AC242" i="21" a="1"/>
  <c r="AC242" i="21" s="1"/>
  <c r="AC244" i="21" a="1"/>
  <c r="AC244" i="21" s="1"/>
  <c r="AC246" i="21" a="1"/>
  <c r="AC246" i="21" s="1"/>
  <c r="AB287" i="21" a="1"/>
  <c r="AB287" i="21" s="1"/>
  <c r="AB289" i="21" a="1"/>
  <c r="AB289" i="21" s="1"/>
  <c r="AB291" i="21" a="1"/>
  <c r="AB291" i="21" s="1"/>
  <c r="AB293" i="21" a="1"/>
  <c r="AB293" i="21" s="1"/>
  <c r="AB295" i="21" a="1"/>
  <c r="AB295" i="21" s="1"/>
  <c r="AB297" i="21" a="1"/>
  <c r="AB297" i="21" s="1"/>
  <c r="AB299" i="21" a="1"/>
  <c r="AB299" i="21" s="1"/>
  <c r="AB301" i="21" a="1"/>
  <c r="AB301" i="21" s="1"/>
  <c r="AB303" i="21" a="1"/>
  <c r="AB303" i="21" s="1"/>
  <c r="AB305" i="21" a="1"/>
  <c r="AB305" i="21" s="1"/>
  <c r="AB307" i="21" a="1"/>
  <c r="AB307" i="21" s="1"/>
  <c r="AB309" i="21" a="1"/>
  <c r="AB309" i="21" s="1"/>
  <c r="AB311" i="21" a="1"/>
  <c r="AB311" i="21" s="1"/>
  <c r="AB313" i="21" a="1"/>
  <c r="AB313" i="21" s="1"/>
  <c r="AB315" i="21" a="1"/>
  <c r="AB315" i="21" s="1"/>
  <c r="AB317" i="21" a="1"/>
  <c r="AB317" i="21" s="1"/>
  <c r="AB319" i="21" a="1"/>
  <c r="AB319" i="21" s="1"/>
  <c r="AB321" i="21" a="1"/>
  <c r="AB321" i="21" s="1"/>
  <c r="AB323" i="21" a="1"/>
  <c r="AB323" i="21" s="1"/>
  <c r="AB325" i="21" a="1"/>
  <c r="AB325" i="21" s="1"/>
  <c r="AB327" i="21" a="1"/>
  <c r="AB327" i="21" s="1"/>
  <c r="AB329" i="21" a="1"/>
  <c r="AB329" i="21" s="1"/>
  <c r="AC287" i="21" a="1"/>
  <c r="AC287" i="21" s="1"/>
  <c r="AC289" i="21" a="1"/>
  <c r="AC289" i="21" s="1"/>
  <c r="AC291" i="21" a="1"/>
  <c r="AC291" i="21" s="1"/>
  <c r="AC293" i="21" a="1"/>
  <c r="AC293" i="21" s="1"/>
  <c r="AC295" i="21" a="1"/>
  <c r="AC295" i="21" s="1"/>
  <c r="AC297" i="21" a="1"/>
  <c r="AC297" i="21" s="1"/>
  <c r="AC299" i="21" a="1"/>
  <c r="AC299" i="21" s="1"/>
  <c r="AC301" i="21" a="1"/>
  <c r="AC301" i="21" s="1"/>
  <c r="AC303" i="21" a="1"/>
  <c r="AC303" i="21" s="1"/>
  <c r="AC305" i="21" a="1"/>
  <c r="AC305" i="21" s="1"/>
  <c r="AC307" i="21" a="1"/>
  <c r="AC307" i="21" s="1"/>
  <c r="AC309" i="21" a="1"/>
  <c r="AC309" i="21" s="1"/>
  <c r="AC311" i="21" a="1"/>
  <c r="AC311" i="21" s="1"/>
  <c r="AC313" i="21" a="1"/>
  <c r="AC313" i="21" s="1"/>
  <c r="AC315" i="21" a="1"/>
  <c r="AC315" i="21" s="1"/>
  <c r="AC317" i="21" a="1"/>
  <c r="AC317" i="21" s="1"/>
  <c r="AC319" i="21" a="1"/>
  <c r="AC319" i="21" s="1"/>
  <c r="AC321" i="21" a="1"/>
  <c r="AC321" i="21" s="1"/>
  <c r="AC323" i="21" a="1"/>
  <c r="AC323" i="21" s="1"/>
  <c r="AC325" i="21" a="1"/>
  <c r="AC325" i="21" s="1"/>
  <c r="AC327" i="21" a="1"/>
  <c r="AC327" i="21" s="1"/>
  <c r="AR18" i="4"/>
  <c r="AR17" i="4"/>
  <c r="AR16" i="4"/>
  <c r="AR15" i="4"/>
  <c r="AR14" i="4"/>
  <c r="AR13" i="4"/>
  <c r="AR20" i="4"/>
  <c r="O56" i="4"/>
  <c r="E57" i="4"/>
  <c r="N56" i="4"/>
  <c r="D57" i="4"/>
  <c r="Z57" i="4" s="1"/>
  <c r="B56" i="4"/>
  <c r="X56" i="4" s="1"/>
  <c r="C56" i="4"/>
  <c r="Y56" i="4" s="1"/>
  <c r="Y65" i="23" l="1"/>
  <c r="AD64" i="23"/>
  <c r="AE64" i="23"/>
  <c r="G57" i="4"/>
  <c r="S57" i="4" s="1"/>
  <c r="P56" i="4"/>
  <c r="AB56" i="4"/>
  <c r="M70" i="23"/>
  <c r="N69" i="23"/>
  <c r="N22" i="23"/>
  <c r="P57" i="4"/>
  <c r="F58" i="4"/>
  <c r="L56" i="4"/>
  <c r="B57" i="4"/>
  <c r="X57" i="4" s="1"/>
  <c r="D58" i="4"/>
  <c r="N57" i="4"/>
  <c r="E58" i="4"/>
  <c r="O58" i="4" s="1"/>
  <c r="O57" i="4"/>
  <c r="C57" i="4"/>
  <c r="Y57" i="4" s="1"/>
  <c r="M56" i="4"/>
  <c r="AB284" i="11"/>
  <c r="AD283" i="11"/>
  <c r="AD282" i="11"/>
  <c r="AB231" i="11"/>
  <c r="AD230" i="11"/>
  <c r="AD229" i="11"/>
  <c r="AB74" i="11"/>
  <c r="AD73" i="11"/>
  <c r="AD72" i="11"/>
  <c r="AB126" i="11"/>
  <c r="AD125" i="11"/>
  <c r="AD124" i="11"/>
  <c r="AB178" i="11"/>
  <c r="AD177" i="11"/>
  <c r="AD176" i="11"/>
  <c r="J15" i="23" l="1"/>
  <c r="Y66" i="23"/>
  <c r="AD65" i="23"/>
  <c r="AE65" i="23"/>
  <c r="G58" i="4"/>
  <c r="S58" i="4" s="1"/>
  <c r="N58" i="4"/>
  <c r="Z58" i="4"/>
  <c r="P58" i="4"/>
  <c r="AB58" i="4"/>
  <c r="M71" i="23"/>
  <c r="N70" i="23"/>
  <c r="N23" i="23"/>
  <c r="AC203" i="11" a="1"/>
  <c r="AC203" i="11" s="1"/>
  <c r="AC199" i="11" a="1"/>
  <c r="AC199" i="11" s="1"/>
  <c r="AC195" i="11" a="1"/>
  <c r="AC195" i="11" s="1"/>
  <c r="AC191" i="11" a="1"/>
  <c r="AC191" i="11" s="1"/>
  <c r="AC187" i="11" a="1"/>
  <c r="AC187" i="11" s="1"/>
  <c r="AB183" i="11" a="1"/>
  <c r="AB183" i="11" s="1"/>
  <c r="AB204" i="11" a="1"/>
  <c r="AB204" i="11" s="1"/>
  <c r="AB192" i="11" a="1"/>
  <c r="AB192" i="11" s="1"/>
  <c r="AB203" i="11" a="1"/>
  <c r="AB203" i="11" s="1"/>
  <c r="AB199" i="11" a="1"/>
  <c r="AB199" i="11" s="1"/>
  <c r="AB195" i="11" a="1"/>
  <c r="AB195" i="11" s="1"/>
  <c r="AB191" i="11" a="1"/>
  <c r="AB191" i="11" s="1"/>
  <c r="AB187" i="11" a="1"/>
  <c r="AB187" i="11" s="1"/>
  <c r="AC182" i="11" a="1"/>
  <c r="AC182" i="11" s="1"/>
  <c r="AB196" i="11" a="1"/>
  <c r="AB196" i="11" s="1"/>
  <c r="AC202" i="11" a="1"/>
  <c r="AC202" i="11" s="1"/>
  <c r="AC198" i="11" a="1"/>
  <c r="AC198" i="11" s="1"/>
  <c r="AC194" i="11" a="1"/>
  <c r="AC194" i="11" s="1"/>
  <c r="AC190" i="11" a="1"/>
  <c r="AC190" i="11" s="1"/>
  <c r="AC186" i="11" a="1"/>
  <c r="AC186" i="11" s="1"/>
  <c r="AB182" i="11" a="1"/>
  <c r="AB182" i="11" s="1"/>
  <c r="AC185" i="11" a="1"/>
  <c r="AC185" i="11" s="1"/>
  <c r="AC183" i="11" a="1"/>
  <c r="AC183" i="11" s="1"/>
  <c r="AB202" i="11" a="1"/>
  <c r="AB202" i="11" s="1"/>
  <c r="AB198" i="11" a="1"/>
  <c r="AB198" i="11" s="1"/>
  <c r="AB194" i="11" a="1"/>
  <c r="AB194" i="11" s="1"/>
  <c r="AB190" i="11" a="1"/>
  <c r="AB190" i="11" s="1"/>
  <c r="AB186" i="11" a="1"/>
  <c r="AB186" i="11" s="1"/>
  <c r="AC181" i="11" a="1"/>
  <c r="AC181" i="11" s="1"/>
  <c r="AB188" i="11" a="1"/>
  <c r="AB188" i="11" s="1"/>
  <c r="AC205" i="11" a="1"/>
  <c r="AC205" i="11" s="1"/>
  <c r="AC201" i="11" a="1"/>
  <c r="AC201" i="11" s="1"/>
  <c r="AC197" i="11" a="1"/>
  <c r="AC197" i="11" s="1"/>
  <c r="AC193" i="11" a="1"/>
  <c r="AC193" i="11" s="1"/>
  <c r="AC189" i="11" a="1"/>
  <c r="AC189" i="11" s="1"/>
  <c r="AB185" i="11" a="1"/>
  <c r="AB185" i="11" s="1"/>
  <c r="AB181" i="11" a="1"/>
  <c r="AB181" i="11" s="1"/>
  <c r="AB200" i="11" a="1"/>
  <c r="AB200" i="11" s="1"/>
  <c r="AB205" i="11" a="1"/>
  <c r="AB205" i="11" s="1"/>
  <c r="AB201" i="11" a="1"/>
  <c r="AB201" i="11" s="1"/>
  <c r="AB197" i="11" a="1"/>
  <c r="AB197" i="11" s="1"/>
  <c r="AB193" i="11" a="1"/>
  <c r="AB193" i="11" s="1"/>
  <c r="AB189" i="11" a="1"/>
  <c r="AB189" i="11" s="1"/>
  <c r="AC184" i="11" a="1"/>
  <c r="AC184" i="11" s="1"/>
  <c r="AC180" i="11" a="1"/>
  <c r="AC180" i="11" s="1"/>
  <c r="AC204" i="11" a="1"/>
  <c r="AC204" i="11" s="1"/>
  <c r="AC200" i="11" a="1"/>
  <c r="AC200" i="11" s="1"/>
  <c r="AC196" i="11" a="1"/>
  <c r="AC196" i="11" s="1"/>
  <c r="AC192" i="11" a="1"/>
  <c r="AC192" i="11" s="1"/>
  <c r="AC188" i="11" a="1"/>
  <c r="AC188" i="11" s="1"/>
  <c r="AB184" i="11" a="1"/>
  <c r="AB184" i="11" s="1"/>
  <c r="AB180" i="11" a="1"/>
  <c r="AB180" i="11" s="1"/>
  <c r="AB168" i="11" a="1"/>
  <c r="AB168" i="11" s="1"/>
  <c r="AB164" i="11" a="1"/>
  <c r="AB164" i="11" s="1"/>
  <c r="AB160" i="11" a="1"/>
  <c r="AB160" i="11" s="1"/>
  <c r="AB156" i="11" a="1"/>
  <c r="AB156" i="11" s="1"/>
  <c r="AB152" i="11" a="1"/>
  <c r="AB152" i="11" s="1"/>
  <c r="AB148" i="11" a="1"/>
  <c r="AB148" i="11" s="1"/>
  <c r="AB144" i="11" a="1"/>
  <c r="AB144" i="11" s="1"/>
  <c r="AB140" i="11" a="1"/>
  <c r="AB140" i="11" s="1"/>
  <c r="AB136" i="11" a="1"/>
  <c r="AB136" i="11" s="1"/>
  <c r="AB132" i="11" a="1"/>
  <c r="AB132" i="11" s="1"/>
  <c r="AB128" i="11" a="1"/>
  <c r="AB128" i="11" s="1"/>
  <c r="AC148" i="11" a="1"/>
  <c r="AC148" i="11" s="1"/>
  <c r="AC171" i="11" a="1"/>
  <c r="AC171" i="11" s="1"/>
  <c r="AC167" i="11" a="1"/>
  <c r="AC167" i="11" s="1"/>
  <c r="AC163" i="11" a="1"/>
  <c r="AC163" i="11" s="1"/>
  <c r="AC159" i="11" a="1"/>
  <c r="AC159" i="11" s="1"/>
  <c r="AC155" i="11" a="1"/>
  <c r="AC155" i="11" s="1"/>
  <c r="AC151" i="11" a="1"/>
  <c r="AC151" i="11" s="1"/>
  <c r="AC147" i="11" a="1"/>
  <c r="AC147" i="11" s="1"/>
  <c r="AC143" i="11" a="1"/>
  <c r="AC143" i="11" s="1"/>
  <c r="AC139" i="11" a="1"/>
  <c r="AC139" i="11" s="1"/>
  <c r="AC135" i="11" a="1"/>
  <c r="AC135" i="11" s="1"/>
  <c r="AC131" i="11" a="1"/>
  <c r="AC131" i="11" s="1"/>
  <c r="AC168" i="11" a="1"/>
  <c r="AC168" i="11" s="1"/>
  <c r="AC156" i="11" a="1"/>
  <c r="AC156" i="11" s="1"/>
  <c r="AC136" i="11" a="1"/>
  <c r="AC136" i="11" s="1"/>
  <c r="AB171" i="11" a="1"/>
  <c r="AB171" i="11" s="1"/>
  <c r="AB167" i="11" a="1"/>
  <c r="AB167" i="11" s="1"/>
  <c r="AB163" i="11" a="1"/>
  <c r="AB163" i="11" s="1"/>
  <c r="AB159" i="11" a="1"/>
  <c r="AB159" i="11" s="1"/>
  <c r="AB155" i="11" a="1"/>
  <c r="AB155" i="11" s="1"/>
  <c r="AB151" i="11" a="1"/>
  <c r="AB151" i="11" s="1"/>
  <c r="AB147" i="11" a="1"/>
  <c r="AB147" i="11" s="1"/>
  <c r="AB143" i="11" a="1"/>
  <c r="AB143" i="11" s="1"/>
  <c r="AB139" i="11" a="1"/>
  <c r="AB139" i="11" s="1"/>
  <c r="AB135" i="11" a="1"/>
  <c r="AB135" i="11" s="1"/>
  <c r="AB131" i="11" a="1"/>
  <c r="AB131" i="11" s="1"/>
  <c r="AC144" i="11" a="1"/>
  <c r="AC144" i="11" s="1"/>
  <c r="AC170" i="11" a="1"/>
  <c r="AC170" i="11" s="1"/>
  <c r="AC166" i="11" a="1"/>
  <c r="AC166" i="11" s="1"/>
  <c r="AC162" i="11" a="1"/>
  <c r="AC162" i="11" s="1"/>
  <c r="AC158" i="11" a="1"/>
  <c r="AC158" i="11" s="1"/>
  <c r="AC154" i="11" a="1"/>
  <c r="AC154" i="11" s="1"/>
  <c r="AC150" i="11" a="1"/>
  <c r="AC150" i="11" s="1"/>
  <c r="AC146" i="11" a="1"/>
  <c r="AC146" i="11" s="1"/>
  <c r="AC142" i="11" a="1"/>
  <c r="AC142" i="11" s="1"/>
  <c r="AC138" i="11" a="1"/>
  <c r="AC138" i="11" s="1"/>
  <c r="AC134" i="11" a="1"/>
  <c r="AC134" i="11" s="1"/>
  <c r="AC130" i="11" a="1"/>
  <c r="AC130" i="11" s="1"/>
  <c r="AC164" i="11" a="1"/>
  <c r="AC164" i="11" s="1"/>
  <c r="AC152" i="11" a="1"/>
  <c r="AC152" i="11" s="1"/>
  <c r="AC132" i="11" a="1"/>
  <c r="AC132" i="11" s="1"/>
  <c r="AB170" i="11" a="1"/>
  <c r="AB170" i="11" s="1"/>
  <c r="AB166" i="11" a="1"/>
  <c r="AB166" i="11" s="1"/>
  <c r="AB162" i="11" a="1"/>
  <c r="AB162" i="11" s="1"/>
  <c r="AB158" i="11" a="1"/>
  <c r="AB158" i="11" s="1"/>
  <c r="AB154" i="11" a="1"/>
  <c r="AB154" i="11" s="1"/>
  <c r="AB150" i="11" a="1"/>
  <c r="AB150" i="11" s="1"/>
  <c r="AB146" i="11" a="1"/>
  <c r="AB146" i="11" s="1"/>
  <c r="AB142" i="11" a="1"/>
  <c r="AB142" i="11" s="1"/>
  <c r="AB138" i="11" a="1"/>
  <c r="AB138" i="11" s="1"/>
  <c r="AB134" i="11" a="1"/>
  <c r="AB134" i="11" s="1"/>
  <c r="AB130" i="11" a="1"/>
  <c r="AB130" i="11" s="1"/>
  <c r="AC160" i="11" a="1"/>
  <c r="AC160" i="11" s="1"/>
  <c r="AC128" i="11" a="1"/>
  <c r="AC128" i="11" s="1"/>
  <c r="AC169" i="11" a="1"/>
  <c r="AC169" i="11" s="1"/>
  <c r="AC165" i="11" a="1"/>
  <c r="AC165" i="11" s="1"/>
  <c r="AC161" i="11" a="1"/>
  <c r="AC161" i="11" s="1"/>
  <c r="AC157" i="11" a="1"/>
  <c r="AC157" i="11" s="1"/>
  <c r="AC153" i="11" a="1"/>
  <c r="AC153" i="11" s="1"/>
  <c r="AC149" i="11" a="1"/>
  <c r="AC149" i="11" s="1"/>
  <c r="AC145" i="11" a="1"/>
  <c r="AC145" i="11" s="1"/>
  <c r="AC141" i="11" a="1"/>
  <c r="AC141" i="11" s="1"/>
  <c r="AC137" i="11" a="1"/>
  <c r="AC137" i="11" s="1"/>
  <c r="AC133" i="11" a="1"/>
  <c r="AC133" i="11" s="1"/>
  <c r="AC129" i="11" a="1"/>
  <c r="AC129" i="11" s="1"/>
  <c r="AC140" i="11" a="1"/>
  <c r="AC140" i="11" s="1"/>
  <c r="AB169" i="11" a="1"/>
  <c r="AB169" i="11" s="1"/>
  <c r="AB165" i="11" a="1"/>
  <c r="AB165" i="11" s="1"/>
  <c r="AB161" i="11" a="1"/>
  <c r="AB161" i="11" s="1"/>
  <c r="AB157" i="11" a="1"/>
  <c r="AB157" i="11" s="1"/>
  <c r="AB153" i="11" a="1"/>
  <c r="AB153" i="11" s="1"/>
  <c r="AB149" i="11" a="1"/>
  <c r="AB149" i="11" s="1"/>
  <c r="AB145" i="11" a="1"/>
  <c r="AB145" i="11" s="1"/>
  <c r="AB141" i="11" a="1"/>
  <c r="AB141" i="11" s="1"/>
  <c r="AB137" i="11" a="1"/>
  <c r="AB137" i="11" s="1"/>
  <c r="AB133" i="11" a="1"/>
  <c r="AB133" i="11" s="1"/>
  <c r="AB129" i="11" a="1"/>
  <c r="AB129" i="11" s="1"/>
  <c r="AB326" i="11" a="1"/>
  <c r="AB326" i="11" s="1"/>
  <c r="AB322" i="11" a="1"/>
  <c r="AB322" i="11" s="1"/>
  <c r="AB318" i="11" a="1"/>
  <c r="AB318" i="11" s="1"/>
  <c r="AB314" i="11" a="1"/>
  <c r="AB314" i="11" s="1"/>
  <c r="AB310" i="11" a="1"/>
  <c r="AB310" i="11" s="1"/>
  <c r="AB306" i="11" a="1"/>
  <c r="AB306" i="11" s="1"/>
  <c r="AB302" i="11" a="1"/>
  <c r="AB302" i="11" s="1"/>
  <c r="AB298" i="11" a="1"/>
  <c r="AB298" i="11" s="1"/>
  <c r="AB294" i="11" a="1"/>
  <c r="AB294" i="11" s="1"/>
  <c r="AB290" i="11" a="1"/>
  <c r="AB290" i="11" s="1"/>
  <c r="AB286" i="11" a="1"/>
  <c r="AB286" i="11" s="1"/>
  <c r="AC310" i="11" a="1"/>
  <c r="AC310" i="11" s="1"/>
  <c r="AC329" i="11" a="1"/>
  <c r="AC329" i="11" s="1"/>
  <c r="AC325" i="11" a="1"/>
  <c r="AC325" i="11" s="1"/>
  <c r="AC321" i="11" a="1"/>
  <c r="AC321" i="11" s="1"/>
  <c r="AC317" i="11" a="1"/>
  <c r="AC317" i="11" s="1"/>
  <c r="AC313" i="11" a="1"/>
  <c r="AC313" i="11" s="1"/>
  <c r="AC309" i="11" a="1"/>
  <c r="AC309" i="11" s="1"/>
  <c r="AC305" i="11" a="1"/>
  <c r="AC305" i="11" s="1"/>
  <c r="AC301" i="11" a="1"/>
  <c r="AC301" i="11" s="1"/>
  <c r="AC297" i="11" a="1"/>
  <c r="AC297" i="11" s="1"/>
  <c r="AC293" i="11" a="1"/>
  <c r="AC293" i="11" s="1"/>
  <c r="AC289" i="11" a="1"/>
  <c r="AC289" i="11" s="1"/>
  <c r="AC306" i="11" a="1"/>
  <c r="AC306" i="11" s="1"/>
  <c r="AC302" i="11" a="1"/>
  <c r="AC302" i="11" s="1"/>
  <c r="AC294" i="11" a="1"/>
  <c r="AC294" i="11" s="1"/>
  <c r="AB329" i="11" a="1"/>
  <c r="AB329" i="11" s="1"/>
  <c r="AB325" i="11" a="1"/>
  <c r="AB325" i="11" s="1"/>
  <c r="AB321" i="11" a="1"/>
  <c r="AB321" i="11" s="1"/>
  <c r="AB317" i="11" a="1"/>
  <c r="AB317" i="11" s="1"/>
  <c r="AB313" i="11" a="1"/>
  <c r="AB313" i="11" s="1"/>
  <c r="AB309" i="11" a="1"/>
  <c r="AB309" i="11" s="1"/>
  <c r="AB305" i="11" a="1"/>
  <c r="AB305" i="11" s="1"/>
  <c r="AB301" i="11" a="1"/>
  <c r="AB301" i="11" s="1"/>
  <c r="AB297" i="11" a="1"/>
  <c r="AB297" i="11" s="1"/>
  <c r="AB293" i="11" a="1"/>
  <c r="AB293" i="11" s="1"/>
  <c r="AB289" i="11" a="1"/>
  <c r="AB289" i="11" s="1"/>
  <c r="AC318" i="11" a="1"/>
  <c r="AC318" i="11" s="1"/>
  <c r="AC328" i="11" a="1"/>
  <c r="AC328" i="11" s="1"/>
  <c r="AC324" i="11" a="1"/>
  <c r="AC324" i="11" s="1"/>
  <c r="AC320" i="11" a="1"/>
  <c r="AC320" i="11" s="1"/>
  <c r="AC316" i="11" a="1"/>
  <c r="AC316" i="11" s="1"/>
  <c r="AC312" i="11" a="1"/>
  <c r="AC312" i="11" s="1"/>
  <c r="AC308" i="11" a="1"/>
  <c r="AC308" i="11" s="1"/>
  <c r="AC304" i="11" a="1"/>
  <c r="AC304" i="11" s="1"/>
  <c r="AC300" i="11" a="1"/>
  <c r="AC300" i="11" s="1"/>
  <c r="AC296" i="11" a="1"/>
  <c r="AC296" i="11" s="1"/>
  <c r="AC292" i="11" a="1"/>
  <c r="AC292" i="11" s="1"/>
  <c r="AC288" i="11" a="1"/>
  <c r="AC288" i="11" s="1"/>
  <c r="AC314" i="11" a="1"/>
  <c r="AC314" i="11" s="1"/>
  <c r="AC298" i="11" a="1"/>
  <c r="AC298" i="11" s="1"/>
  <c r="AC290" i="11" a="1"/>
  <c r="AC290" i="11" s="1"/>
  <c r="AC286" i="11" a="1"/>
  <c r="AC286" i="11" s="1"/>
  <c r="AB328" i="11" a="1"/>
  <c r="AB328" i="11" s="1"/>
  <c r="AB324" i="11" a="1"/>
  <c r="AB324" i="11" s="1"/>
  <c r="AB320" i="11" a="1"/>
  <c r="AB320" i="11" s="1"/>
  <c r="AB316" i="11" a="1"/>
  <c r="AB316" i="11" s="1"/>
  <c r="AB312" i="11" a="1"/>
  <c r="AB312" i="11" s="1"/>
  <c r="AB308" i="11" a="1"/>
  <c r="AB308" i="11" s="1"/>
  <c r="AB304" i="11" a="1"/>
  <c r="AB304" i="11" s="1"/>
  <c r="AB300" i="11" a="1"/>
  <c r="AB300" i="11" s="1"/>
  <c r="AB296" i="11" a="1"/>
  <c r="AB296" i="11" s="1"/>
  <c r="AB292" i="11" a="1"/>
  <c r="AB292" i="11" s="1"/>
  <c r="AB288" i="11" a="1"/>
  <c r="AB288" i="11" s="1"/>
  <c r="AC322" i="11" a="1"/>
  <c r="AC322" i="11" s="1"/>
  <c r="AC327" i="11" a="1"/>
  <c r="AC327" i="11" s="1"/>
  <c r="AC323" i="11" a="1"/>
  <c r="AC323" i="11" s="1"/>
  <c r="AC319" i="11" a="1"/>
  <c r="AC319" i="11" s="1"/>
  <c r="AC315" i="11" a="1"/>
  <c r="AC315" i="11" s="1"/>
  <c r="AC311" i="11" a="1"/>
  <c r="AC311" i="11" s="1"/>
  <c r="AC307" i="11" a="1"/>
  <c r="AC307" i="11" s="1"/>
  <c r="AC303" i="11" a="1"/>
  <c r="AC303" i="11" s="1"/>
  <c r="AC299" i="11" a="1"/>
  <c r="AC299" i="11" s="1"/>
  <c r="AC295" i="11" a="1"/>
  <c r="AC295" i="11" s="1"/>
  <c r="AC291" i="11" a="1"/>
  <c r="AC291" i="11" s="1"/>
  <c r="AC287" i="11" a="1"/>
  <c r="AC287" i="11" s="1"/>
  <c r="AC326" i="11" a="1"/>
  <c r="AC326" i="11" s="1"/>
  <c r="AB327" i="11" a="1"/>
  <c r="AB327" i="11" s="1"/>
  <c r="AB323" i="11" a="1"/>
  <c r="AB323" i="11" s="1"/>
  <c r="AB319" i="11" a="1"/>
  <c r="AB319" i="11" s="1"/>
  <c r="AB315" i="11" a="1"/>
  <c r="AB315" i="11" s="1"/>
  <c r="AB311" i="11" a="1"/>
  <c r="AB311" i="11" s="1"/>
  <c r="AB307" i="11" a="1"/>
  <c r="AB307" i="11" s="1"/>
  <c r="AB303" i="11" a="1"/>
  <c r="AB303" i="11" s="1"/>
  <c r="AB299" i="11" a="1"/>
  <c r="AB299" i="11" s="1"/>
  <c r="AB295" i="11" a="1"/>
  <c r="AB295" i="11" s="1"/>
  <c r="AB291" i="11" a="1"/>
  <c r="AB291" i="11" s="1"/>
  <c r="AB287" i="11" a="1"/>
  <c r="AB287" i="11" s="1"/>
  <c r="AB116" i="11" a="1"/>
  <c r="AB116" i="11" s="1"/>
  <c r="AB112" i="11" a="1"/>
  <c r="AB112" i="11" s="1"/>
  <c r="AB108" i="11" a="1"/>
  <c r="AB108" i="11" s="1"/>
  <c r="AB104" i="11" a="1"/>
  <c r="AB104" i="11" s="1"/>
  <c r="AB100" i="11" a="1"/>
  <c r="AB100" i="11" s="1"/>
  <c r="AB96" i="11" a="1"/>
  <c r="AB96" i="11" s="1"/>
  <c r="AB92" i="11" a="1"/>
  <c r="AB92" i="11" s="1"/>
  <c r="AB88" i="11" a="1"/>
  <c r="AB88" i="11" s="1"/>
  <c r="AB84" i="11" a="1"/>
  <c r="AB84" i="11" s="1"/>
  <c r="AB80" i="11" a="1"/>
  <c r="AB80" i="11" s="1"/>
  <c r="AB76" i="11" a="1"/>
  <c r="AB76" i="11" s="1"/>
  <c r="AC108" i="11" a="1"/>
  <c r="AC108" i="11" s="1"/>
  <c r="AC88" i="11" a="1"/>
  <c r="AC88" i="11" s="1"/>
  <c r="AC119" i="11" a="1"/>
  <c r="AC119" i="11" s="1"/>
  <c r="AC115" i="11" a="1"/>
  <c r="AC115" i="11" s="1"/>
  <c r="AC111" i="11" a="1"/>
  <c r="AC111" i="11" s="1"/>
  <c r="AC107" i="11" a="1"/>
  <c r="AC107" i="11" s="1"/>
  <c r="AC103" i="11" a="1"/>
  <c r="AC103" i="11" s="1"/>
  <c r="AC99" i="11" a="1"/>
  <c r="AC99" i="11" s="1"/>
  <c r="AC95" i="11" a="1"/>
  <c r="AC95" i="11" s="1"/>
  <c r="AC91" i="11" a="1"/>
  <c r="AC91" i="11" s="1"/>
  <c r="AC87" i="11" a="1"/>
  <c r="AC87" i="11" s="1"/>
  <c r="AC83" i="11" a="1"/>
  <c r="AC83" i="11" s="1"/>
  <c r="AC79" i="11" a="1"/>
  <c r="AC79" i="11" s="1"/>
  <c r="AC104" i="11" a="1"/>
  <c r="AC104" i="11" s="1"/>
  <c r="AC92" i="11" a="1"/>
  <c r="AC92" i="11" s="1"/>
  <c r="AC80" i="11" a="1"/>
  <c r="AC80" i="11" s="1"/>
  <c r="AB119" i="11" a="1"/>
  <c r="AB119" i="11" s="1"/>
  <c r="AB115" i="11" a="1"/>
  <c r="AB115" i="11" s="1"/>
  <c r="AB111" i="11" a="1"/>
  <c r="AB111" i="11" s="1"/>
  <c r="AB107" i="11" a="1"/>
  <c r="AB107" i="11" s="1"/>
  <c r="AB103" i="11" a="1"/>
  <c r="AB103" i="11" s="1"/>
  <c r="AB99" i="11" a="1"/>
  <c r="AB99" i="11" s="1"/>
  <c r="AB95" i="11" a="1"/>
  <c r="AB95" i="11" s="1"/>
  <c r="AB91" i="11" a="1"/>
  <c r="AB91" i="11" s="1"/>
  <c r="AB87" i="11" a="1"/>
  <c r="AB87" i="11" s="1"/>
  <c r="AB83" i="11" a="1"/>
  <c r="AB83" i="11" s="1"/>
  <c r="AB79" i="11" a="1"/>
  <c r="AB79" i="11" s="1"/>
  <c r="AC118" i="11" a="1"/>
  <c r="AC118" i="11" s="1"/>
  <c r="AC114" i="11" a="1"/>
  <c r="AC114" i="11" s="1"/>
  <c r="AC110" i="11" a="1"/>
  <c r="AC110" i="11" s="1"/>
  <c r="AC106" i="11" a="1"/>
  <c r="AC106" i="11" s="1"/>
  <c r="AC102" i="11" a="1"/>
  <c r="AC102" i="11" s="1"/>
  <c r="AC98" i="11" a="1"/>
  <c r="AC98" i="11" s="1"/>
  <c r="AC94" i="11" a="1"/>
  <c r="AC94" i="11" s="1"/>
  <c r="AC90" i="11" a="1"/>
  <c r="AC90" i="11" s="1"/>
  <c r="AC86" i="11" a="1"/>
  <c r="AC86" i="11" s="1"/>
  <c r="AC82" i="11" a="1"/>
  <c r="AC82" i="11" s="1"/>
  <c r="AC78" i="11" a="1"/>
  <c r="AC78" i="11" s="1"/>
  <c r="AC116" i="11" a="1"/>
  <c r="AC116" i="11" s="1"/>
  <c r="AC100" i="11" a="1"/>
  <c r="AC100" i="11" s="1"/>
  <c r="AC84" i="11" a="1"/>
  <c r="AC84" i="11" s="1"/>
  <c r="AB118" i="11" a="1"/>
  <c r="AB118" i="11" s="1"/>
  <c r="AB114" i="11" a="1"/>
  <c r="AB114" i="11" s="1"/>
  <c r="AB110" i="11" a="1"/>
  <c r="AB110" i="11" s="1"/>
  <c r="AB106" i="11" a="1"/>
  <c r="AB106" i="11" s="1"/>
  <c r="AB102" i="11" a="1"/>
  <c r="AB102" i="11" s="1"/>
  <c r="AB98" i="11" a="1"/>
  <c r="AB98" i="11" s="1"/>
  <c r="AB94" i="11" a="1"/>
  <c r="AB94" i="11" s="1"/>
  <c r="AB90" i="11" a="1"/>
  <c r="AB90" i="11" s="1"/>
  <c r="AB86" i="11" a="1"/>
  <c r="AB86" i="11" s="1"/>
  <c r="AB82" i="11" a="1"/>
  <c r="AB82" i="11" s="1"/>
  <c r="AB78" i="11" a="1"/>
  <c r="AB78" i="11" s="1"/>
  <c r="AC96" i="11" a="1"/>
  <c r="AC96" i="11" s="1"/>
  <c r="AC76" i="11" a="1"/>
  <c r="AC76" i="11" s="1"/>
  <c r="AC117" i="11" a="1"/>
  <c r="AC117" i="11" s="1"/>
  <c r="AC113" i="11" a="1"/>
  <c r="AC113" i="11" s="1"/>
  <c r="AC109" i="11" a="1"/>
  <c r="AC109" i="11" s="1"/>
  <c r="AC105" i="11" a="1"/>
  <c r="AC105" i="11" s="1"/>
  <c r="AC101" i="11" a="1"/>
  <c r="AC101" i="11" s="1"/>
  <c r="AC97" i="11" a="1"/>
  <c r="AC97" i="11" s="1"/>
  <c r="AC93" i="11" a="1"/>
  <c r="AC93" i="11" s="1"/>
  <c r="AC89" i="11" a="1"/>
  <c r="AC89" i="11" s="1"/>
  <c r="AC85" i="11" a="1"/>
  <c r="AC85" i="11" s="1"/>
  <c r="AC81" i="11" a="1"/>
  <c r="AC81" i="11" s="1"/>
  <c r="AC77" i="11" a="1"/>
  <c r="AC77" i="11" s="1"/>
  <c r="AB117" i="11" a="1"/>
  <c r="AB117" i="11" s="1"/>
  <c r="AB113" i="11" a="1"/>
  <c r="AB113" i="11" s="1"/>
  <c r="AB109" i="11" a="1"/>
  <c r="AB109" i="11" s="1"/>
  <c r="AB105" i="11" a="1"/>
  <c r="AB105" i="11" s="1"/>
  <c r="AB101" i="11" a="1"/>
  <c r="AB101" i="11" s="1"/>
  <c r="AB97" i="11" a="1"/>
  <c r="AB97" i="11" s="1"/>
  <c r="AB93" i="11" a="1"/>
  <c r="AB93" i="11" s="1"/>
  <c r="AB89" i="11" a="1"/>
  <c r="AB89" i="11" s="1"/>
  <c r="AB85" i="11" a="1"/>
  <c r="AB85" i="11" s="1"/>
  <c r="AB81" i="11" a="1"/>
  <c r="AB81" i="11" s="1"/>
  <c r="AB77" i="11" a="1"/>
  <c r="AB77" i="11" s="1"/>
  <c r="AC112" i="11" a="1"/>
  <c r="AC112" i="11" s="1"/>
  <c r="AB253" i="11" a="1"/>
  <c r="AB253" i="11" s="1"/>
  <c r="AB249" i="11" a="1"/>
  <c r="AB249" i="11" s="1"/>
  <c r="AB245" i="11" a="1"/>
  <c r="AB245" i="11" s="1"/>
  <c r="AB241" i="11" a="1"/>
  <c r="AB241" i="11" s="1"/>
  <c r="AB237" i="11" a="1"/>
  <c r="AB237" i="11" s="1"/>
  <c r="AB233" i="11" a="1"/>
  <c r="AB233" i="11" s="1"/>
  <c r="AC233" i="11" a="1"/>
  <c r="AC233" i="11" s="1"/>
  <c r="AC252" i="11" a="1"/>
  <c r="AC252" i="11" s="1"/>
  <c r="AC248" i="11" a="1"/>
  <c r="AC248" i="11" s="1"/>
  <c r="AC244" i="11" a="1"/>
  <c r="AC244" i="11" s="1"/>
  <c r="AC240" i="11" a="1"/>
  <c r="AC240" i="11" s="1"/>
  <c r="AC236" i="11" a="1"/>
  <c r="AC236" i="11" s="1"/>
  <c r="AC253" i="11" a="1"/>
  <c r="AC253" i="11" s="1"/>
  <c r="AC241" i="11" a="1"/>
  <c r="AC241" i="11" s="1"/>
  <c r="AB252" i="11" a="1"/>
  <c r="AB252" i="11" s="1"/>
  <c r="AB248" i="11" a="1"/>
  <c r="AB248" i="11" s="1"/>
  <c r="AB244" i="11" a="1"/>
  <c r="AB244" i="11" s="1"/>
  <c r="AB240" i="11" a="1"/>
  <c r="AB240" i="11" s="1"/>
  <c r="AB236" i="11" a="1"/>
  <c r="AB236" i="11" s="1"/>
  <c r="AC251" i="11" a="1"/>
  <c r="AC251" i="11" s="1"/>
  <c r="AC247" i="11" a="1"/>
  <c r="AC247" i="11" s="1"/>
  <c r="AC243" i="11" a="1"/>
  <c r="AC243" i="11" s="1"/>
  <c r="AC239" i="11" a="1"/>
  <c r="AC239" i="11" s="1"/>
  <c r="AC235" i="11" a="1"/>
  <c r="AC235" i="11" s="1"/>
  <c r="AC245" i="11" a="1"/>
  <c r="AC245" i="11" s="1"/>
  <c r="AC237" i="11" a="1"/>
  <c r="AC237" i="11" s="1"/>
  <c r="AB255" i="11" a="1"/>
  <c r="AB255" i="11" s="1"/>
  <c r="AB251" i="11" a="1"/>
  <c r="AB251" i="11" s="1"/>
  <c r="AB247" i="11" a="1"/>
  <c r="AB247" i="11" s="1"/>
  <c r="AB243" i="11" a="1"/>
  <c r="AB243" i="11" s="1"/>
  <c r="AB239" i="11" a="1"/>
  <c r="AB239" i="11" s="1"/>
  <c r="AB235" i="11" a="1"/>
  <c r="AB235" i="11" s="1"/>
  <c r="AC249" i="11" a="1"/>
  <c r="AC249" i="11" s="1"/>
  <c r="AC254" i="11" a="1"/>
  <c r="AC254" i="11" s="1"/>
  <c r="AC250" i="11" a="1"/>
  <c r="AC250" i="11" s="1"/>
  <c r="AC246" i="11" a="1"/>
  <c r="AC246" i="11" s="1"/>
  <c r="AC242" i="11" a="1"/>
  <c r="AC242" i="11" s="1"/>
  <c r="AC238" i="11" a="1"/>
  <c r="AC238" i="11" s="1"/>
  <c r="AC234" i="11" a="1"/>
  <c r="AC234" i="11" s="1"/>
  <c r="AB254" i="11" a="1"/>
  <c r="AB254" i="11" s="1"/>
  <c r="AB250" i="11" a="1"/>
  <c r="AB250" i="11" s="1"/>
  <c r="AB246" i="11" a="1"/>
  <c r="AB246" i="11" s="1"/>
  <c r="AB242" i="11" a="1"/>
  <c r="AB242" i="11" s="1"/>
  <c r="AB238" i="11" a="1"/>
  <c r="AB238" i="11" s="1"/>
  <c r="AB234" i="11" a="1"/>
  <c r="AB234" i="11" s="1"/>
  <c r="L57" i="4"/>
  <c r="B58" i="4"/>
  <c r="M57" i="4"/>
  <c r="C58" i="4"/>
  <c r="AE66" i="23" l="1"/>
  <c r="AD66" i="23"/>
  <c r="M58" i="4"/>
  <c r="Y58" i="4"/>
  <c r="L58" i="4"/>
  <c r="X58" i="4"/>
  <c r="M72" i="23"/>
  <c r="N71" i="23"/>
  <c r="N24" i="23"/>
  <c r="H13" i="1"/>
  <c r="H16" i="11" s="1"/>
  <c r="AC22" i="11" s="1"/>
  <c r="H12" i="1"/>
  <c r="H15" i="11" s="1"/>
  <c r="AB22" i="11" s="1"/>
  <c r="H11" i="1"/>
  <c r="H14" i="11" s="1"/>
  <c r="AA22" i="11" s="1"/>
  <c r="H10" i="1"/>
  <c r="H13" i="11" s="1"/>
  <c r="Z22" i="11" s="1"/>
  <c r="H9" i="1"/>
  <c r="H12" i="11" s="1"/>
  <c r="Y22" i="11" s="1"/>
  <c r="H8" i="1"/>
  <c r="H11" i="11" s="1"/>
  <c r="H13" i="12"/>
  <c r="H12" i="12"/>
  <c r="H11" i="12"/>
  <c r="H10" i="12"/>
  <c r="H9" i="12"/>
  <c r="H8" i="12"/>
  <c r="M73" i="23" l="1"/>
  <c r="N72" i="23"/>
  <c r="N25" i="23"/>
  <c r="H9" i="22"/>
  <c r="H12" i="21" s="1"/>
  <c r="Y22" i="21" s="1"/>
  <c r="H10" i="22"/>
  <c r="H13" i="21" s="1"/>
  <c r="Z22" i="21" s="1"/>
  <c r="H11" i="22"/>
  <c r="H14" i="21" s="1"/>
  <c r="AA22" i="21" s="1"/>
  <c r="H12" i="22"/>
  <c r="H15" i="21" s="1"/>
  <c r="AB22" i="21" s="1"/>
  <c r="H13" i="22"/>
  <c r="H16" i="21" s="1"/>
  <c r="AC22" i="21" s="1"/>
  <c r="H8" i="22"/>
  <c r="H11" i="21" s="1"/>
  <c r="S8" i="20"/>
  <c r="R8" i="20"/>
  <c r="Q8" i="20"/>
  <c r="P8" i="20"/>
  <c r="O8" i="20"/>
  <c r="N8" i="20"/>
  <c r="S7" i="20"/>
  <c r="R7" i="20"/>
  <c r="Q7" i="20"/>
  <c r="P7" i="20"/>
  <c r="O7" i="20"/>
  <c r="N7" i="20"/>
  <c r="M8" i="20"/>
  <c r="L8" i="20"/>
  <c r="K8" i="20"/>
  <c r="J8" i="20"/>
  <c r="I8" i="20"/>
  <c r="H8" i="20"/>
  <c r="M7" i="20"/>
  <c r="L7" i="20"/>
  <c r="K7" i="20"/>
  <c r="J7" i="20"/>
  <c r="I7" i="20"/>
  <c r="H7" i="20"/>
  <c r="B25" i="21"/>
  <c r="C25" i="21"/>
  <c r="D25" i="21"/>
  <c r="E25" i="21"/>
  <c r="F25" i="21"/>
  <c r="G25" i="21"/>
  <c r="B26" i="21"/>
  <c r="C26" i="21"/>
  <c r="D26" i="21"/>
  <c r="E26" i="21"/>
  <c r="F26" i="21"/>
  <c r="G26" i="21"/>
  <c r="B27" i="21"/>
  <c r="C27" i="21"/>
  <c r="D27" i="21"/>
  <c r="E27" i="21"/>
  <c r="F27" i="21"/>
  <c r="G27" i="21"/>
  <c r="B28" i="21"/>
  <c r="C28" i="21"/>
  <c r="D28" i="21"/>
  <c r="E28" i="21"/>
  <c r="F28" i="21"/>
  <c r="G28" i="21"/>
  <c r="B29" i="21"/>
  <c r="C29" i="21"/>
  <c r="D29" i="21"/>
  <c r="E29" i="21"/>
  <c r="F29" i="21"/>
  <c r="G29" i="21"/>
  <c r="B30" i="21"/>
  <c r="C30" i="21"/>
  <c r="D30" i="21"/>
  <c r="E30" i="21"/>
  <c r="F30" i="21"/>
  <c r="G30" i="21"/>
  <c r="B31" i="21"/>
  <c r="C31" i="21"/>
  <c r="D31" i="21"/>
  <c r="E31" i="21"/>
  <c r="F31" i="21"/>
  <c r="G31" i="21"/>
  <c r="B32" i="21"/>
  <c r="C32" i="21"/>
  <c r="D32" i="21"/>
  <c r="E32" i="21"/>
  <c r="F32" i="21"/>
  <c r="G32" i="21"/>
  <c r="B33" i="21"/>
  <c r="C33" i="21"/>
  <c r="D33" i="21"/>
  <c r="E33" i="21"/>
  <c r="F33" i="21"/>
  <c r="G33" i="21"/>
  <c r="B34" i="21"/>
  <c r="C34" i="21"/>
  <c r="D34" i="21"/>
  <c r="E34" i="21"/>
  <c r="F34" i="21"/>
  <c r="G34" i="21"/>
  <c r="B35" i="21"/>
  <c r="C35" i="21"/>
  <c r="D35" i="21"/>
  <c r="E35" i="21"/>
  <c r="F35" i="21"/>
  <c r="G35" i="21"/>
  <c r="B36" i="21"/>
  <c r="C36" i="21"/>
  <c r="D36" i="21"/>
  <c r="E36" i="21"/>
  <c r="F36" i="21"/>
  <c r="G36" i="21"/>
  <c r="B37" i="21"/>
  <c r="C37" i="21"/>
  <c r="D37" i="21"/>
  <c r="E37" i="21"/>
  <c r="F37" i="21"/>
  <c r="G37" i="21"/>
  <c r="B38" i="21"/>
  <c r="C38" i="21"/>
  <c r="D38" i="21"/>
  <c r="E38" i="21"/>
  <c r="F38" i="21"/>
  <c r="G38" i="21"/>
  <c r="B39" i="21"/>
  <c r="C39" i="21"/>
  <c r="D39" i="21"/>
  <c r="E39" i="21"/>
  <c r="F39" i="21"/>
  <c r="G39" i="21"/>
  <c r="B40" i="21"/>
  <c r="C40" i="21"/>
  <c r="D40" i="21"/>
  <c r="E40" i="21"/>
  <c r="F40" i="21"/>
  <c r="G40" i="21"/>
  <c r="B41" i="21"/>
  <c r="C41" i="21"/>
  <c r="D41" i="21"/>
  <c r="E41" i="21"/>
  <c r="F41" i="21"/>
  <c r="G41" i="21"/>
  <c r="B42" i="21"/>
  <c r="C42" i="21"/>
  <c r="D42" i="21"/>
  <c r="E42" i="21"/>
  <c r="F42" i="21"/>
  <c r="G42" i="21"/>
  <c r="B43" i="21"/>
  <c r="C43" i="21"/>
  <c r="D43" i="21"/>
  <c r="E43" i="21"/>
  <c r="F43" i="21"/>
  <c r="G43" i="21"/>
  <c r="B44" i="21"/>
  <c r="C44" i="21"/>
  <c r="D44" i="21"/>
  <c r="E44" i="21"/>
  <c r="F44" i="21"/>
  <c r="G44" i="21"/>
  <c r="B45" i="21"/>
  <c r="C45" i="21"/>
  <c r="D45" i="21"/>
  <c r="E45" i="21"/>
  <c r="F45" i="21"/>
  <c r="G45" i="21"/>
  <c r="B46" i="21"/>
  <c r="C46" i="21"/>
  <c r="D46" i="21"/>
  <c r="E46" i="21"/>
  <c r="F46" i="21"/>
  <c r="G46" i="21"/>
  <c r="B47" i="21"/>
  <c r="C47" i="21"/>
  <c r="D47" i="21"/>
  <c r="E47" i="21"/>
  <c r="F47" i="21"/>
  <c r="G47" i="21"/>
  <c r="B48" i="21"/>
  <c r="C48" i="21"/>
  <c r="D48" i="21"/>
  <c r="E48" i="21"/>
  <c r="F48" i="21"/>
  <c r="G48" i="21"/>
  <c r="B49" i="21"/>
  <c r="C49" i="21"/>
  <c r="D49" i="21"/>
  <c r="E49" i="21"/>
  <c r="F49" i="21"/>
  <c r="G49" i="21"/>
  <c r="B50" i="21"/>
  <c r="C50" i="21"/>
  <c r="D50" i="21"/>
  <c r="E50" i="21"/>
  <c r="F50" i="21"/>
  <c r="G50" i="21"/>
  <c r="B51" i="21"/>
  <c r="C51" i="21"/>
  <c r="D51" i="21"/>
  <c r="E51" i="21"/>
  <c r="F51" i="21"/>
  <c r="G51" i="21"/>
  <c r="B52" i="21"/>
  <c r="C52" i="21"/>
  <c r="D52" i="21"/>
  <c r="E52" i="21"/>
  <c r="F52" i="21"/>
  <c r="G52" i="21"/>
  <c r="B53" i="21"/>
  <c r="C53" i="21"/>
  <c r="D53" i="21"/>
  <c r="E53" i="21"/>
  <c r="F53" i="21"/>
  <c r="G53" i="21"/>
  <c r="B54" i="21"/>
  <c r="C54" i="21"/>
  <c r="D54" i="21"/>
  <c r="E54" i="21"/>
  <c r="F54" i="21"/>
  <c r="G54" i="21"/>
  <c r="B55" i="21"/>
  <c r="C55" i="21"/>
  <c r="D55" i="21"/>
  <c r="E55" i="21"/>
  <c r="F55" i="21"/>
  <c r="G55" i="21"/>
  <c r="B56" i="21"/>
  <c r="C56" i="21"/>
  <c r="D56" i="21"/>
  <c r="E56" i="21"/>
  <c r="F56" i="21"/>
  <c r="G56" i="21"/>
  <c r="B57" i="21"/>
  <c r="C57" i="21"/>
  <c r="D57" i="21"/>
  <c r="E57" i="21"/>
  <c r="F57" i="21"/>
  <c r="G57" i="21"/>
  <c r="B58" i="21"/>
  <c r="C58" i="21"/>
  <c r="D58" i="21"/>
  <c r="E58" i="21"/>
  <c r="F58" i="21"/>
  <c r="G58" i="21"/>
  <c r="B59" i="21"/>
  <c r="C59" i="21"/>
  <c r="D59" i="21"/>
  <c r="E59" i="21"/>
  <c r="F59" i="21"/>
  <c r="G59" i="21"/>
  <c r="B60" i="21"/>
  <c r="C60" i="21"/>
  <c r="D60" i="21"/>
  <c r="E60" i="21"/>
  <c r="F60" i="21"/>
  <c r="G60" i="21"/>
  <c r="B61" i="21"/>
  <c r="C61" i="21"/>
  <c r="D61" i="21"/>
  <c r="E61" i="21"/>
  <c r="F61" i="21"/>
  <c r="G61" i="21"/>
  <c r="B62" i="21"/>
  <c r="C62" i="21"/>
  <c r="D62" i="21"/>
  <c r="E62" i="21"/>
  <c r="F62" i="21"/>
  <c r="G62" i="21"/>
  <c r="B63" i="21"/>
  <c r="C63" i="21"/>
  <c r="D63" i="21"/>
  <c r="E63" i="21"/>
  <c r="F63" i="21"/>
  <c r="G63" i="21"/>
  <c r="B64" i="21"/>
  <c r="C64" i="21"/>
  <c r="D64" i="21"/>
  <c r="E64" i="21"/>
  <c r="F64" i="21"/>
  <c r="G64" i="21"/>
  <c r="B65" i="21"/>
  <c r="C65" i="21"/>
  <c r="D65" i="21"/>
  <c r="E65" i="21"/>
  <c r="F65" i="21"/>
  <c r="G65" i="21"/>
  <c r="B66" i="21"/>
  <c r="C66" i="21"/>
  <c r="D66" i="21"/>
  <c r="E66" i="21"/>
  <c r="F66" i="21"/>
  <c r="G66" i="21"/>
  <c r="B67" i="21"/>
  <c r="C67" i="21"/>
  <c r="D67" i="21"/>
  <c r="E67" i="21"/>
  <c r="F67" i="21"/>
  <c r="G67" i="21"/>
  <c r="G24" i="21"/>
  <c r="F24" i="21"/>
  <c r="E24" i="21"/>
  <c r="D24" i="21"/>
  <c r="C24" i="21"/>
  <c r="B24" i="21"/>
  <c r="O16" i="21"/>
  <c r="N16" i="21"/>
  <c r="M16" i="21"/>
  <c r="AH22" i="21" s="1"/>
  <c r="L16" i="21"/>
  <c r="AH21" i="21" s="1"/>
  <c r="K16" i="21"/>
  <c r="AM22" i="21" s="1"/>
  <c r="J16" i="21"/>
  <c r="AM21" i="21" s="1"/>
  <c r="I16" i="21"/>
  <c r="AM23" i="21" s="1"/>
  <c r="G16" i="21"/>
  <c r="M21" i="21" s="1"/>
  <c r="F16" i="21"/>
  <c r="C16" i="21"/>
  <c r="O15" i="21"/>
  <c r="N15" i="21"/>
  <c r="M15" i="21"/>
  <c r="AG22" i="21" s="1"/>
  <c r="L15" i="21"/>
  <c r="AG21" i="21" s="1"/>
  <c r="K15" i="21"/>
  <c r="AL22" i="21" s="1"/>
  <c r="J15" i="21"/>
  <c r="AL21" i="21" s="1"/>
  <c r="I15" i="21"/>
  <c r="AL23" i="21" s="1"/>
  <c r="G15" i="21"/>
  <c r="L21" i="21" s="1"/>
  <c r="F15" i="21"/>
  <c r="C15" i="21"/>
  <c r="O14" i="21"/>
  <c r="N14" i="21"/>
  <c r="M14" i="21"/>
  <c r="AF22" i="21" s="1"/>
  <c r="L14" i="21"/>
  <c r="AF21" i="21" s="1"/>
  <c r="K14" i="21"/>
  <c r="AK22" i="21" s="1"/>
  <c r="J14" i="21"/>
  <c r="AK21" i="21" s="1"/>
  <c r="I14" i="21"/>
  <c r="AK23" i="21" s="1"/>
  <c r="G14" i="21"/>
  <c r="K21" i="21" s="1"/>
  <c r="F14" i="21"/>
  <c r="Q21" i="21" s="1"/>
  <c r="C14" i="21"/>
  <c r="O13" i="21"/>
  <c r="N13" i="21"/>
  <c r="M13" i="21"/>
  <c r="AE22" i="21" s="1"/>
  <c r="L13" i="21"/>
  <c r="AE21" i="21" s="1"/>
  <c r="K13" i="21"/>
  <c r="AJ22" i="21" s="1"/>
  <c r="J13" i="21"/>
  <c r="AJ21" i="21" s="1"/>
  <c r="I13" i="21"/>
  <c r="AJ23" i="21" s="1"/>
  <c r="G13" i="21"/>
  <c r="J21" i="21" s="1"/>
  <c r="F13" i="21"/>
  <c r="P21" i="21" s="1"/>
  <c r="C13" i="21"/>
  <c r="O12" i="21"/>
  <c r="N12" i="21"/>
  <c r="M12" i="21"/>
  <c r="AD22" i="21" s="1"/>
  <c r="L12" i="21"/>
  <c r="AD21" i="21" s="1"/>
  <c r="K12" i="21"/>
  <c r="AI22" i="21" s="1"/>
  <c r="J12" i="21"/>
  <c r="AI21" i="21" s="1"/>
  <c r="I12" i="21"/>
  <c r="AI23" i="21" s="1"/>
  <c r="G12" i="21"/>
  <c r="I21" i="21" s="1"/>
  <c r="F12" i="21"/>
  <c r="C12" i="21"/>
  <c r="O11" i="21"/>
  <c r="N11" i="21"/>
  <c r="M11" i="21"/>
  <c r="L11" i="21"/>
  <c r="K11" i="21"/>
  <c r="J11" i="21"/>
  <c r="I11" i="21"/>
  <c r="G11" i="21"/>
  <c r="H21" i="21" s="1"/>
  <c r="F11" i="21"/>
  <c r="C11" i="21"/>
  <c r="O12" i="13"/>
  <c r="O13" i="13"/>
  <c r="O14" i="13"/>
  <c r="O15" i="13"/>
  <c r="O16" i="13"/>
  <c r="O11" i="13"/>
  <c r="B25" i="13"/>
  <c r="C25" i="13"/>
  <c r="D25" i="13"/>
  <c r="E25" i="13"/>
  <c r="F25" i="13"/>
  <c r="G25" i="13"/>
  <c r="B26" i="13"/>
  <c r="C26" i="13"/>
  <c r="D26" i="13"/>
  <c r="E26" i="13"/>
  <c r="F26" i="13"/>
  <c r="G26" i="13"/>
  <c r="B27" i="13"/>
  <c r="C27" i="13"/>
  <c r="D27" i="13"/>
  <c r="E27" i="13"/>
  <c r="F27" i="13"/>
  <c r="G27" i="13"/>
  <c r="B28" i="13"/>
  <c r="C28" i="13"/>
  <c r="D28" i="13"/>
  <c r="E28" i="13"/>
  <c r="F28" i="13"/>
  <c r="G28" i="13"/>
  <c r="B29" i="13"/>
  <c r="C29" i="13"/>
  <c r="D29" i="13"/>
  <c r="E29" i="13"/>
  <c r="F29" i="13"/>
  <c r="G29" i="13"/>
  <c r="B30" i="13"/>
  <c r="C30" i="13"/>
  <c r="D30" i="13"/>
  <c r="E30" i="13"/>
  <c r="F30" i="13"/>
  <c r="G30" i="13"/>
  <c r="B31" i="13"/>
  <c r="C31" i="13"/>
  <c r="D31" i="13"/>
  <c r="E31" i="13"/>
  <c r="F31" i="13"/>
  <c r="G31" i="13"/>
  <c r="B32" i="13"/>
  <c r="C32" i="13"/>
  <c r="D32" i="13"/>
  <c r="E32" i="13"/>
  <c r="F32" i="13"/>
  <c r="G32" i="13"/>
  <c r="B33" i="13"/>
  <c r="C33" i="13"/>
  <c r="D33" i="13"/>
  <c r="E33" i="13"/>
  <c r="F33" i="13"/>
  <c r="G33" i="13"/>
  <c r="C34" i="13"/>
  <c r="D34" i="13"/>
  <c r="E34" i="13"/>
  <c r="F34" i="13"/>
  <c r="G34" i="13"/>
  <c r="C35" i="13"/>
  <c r="D35" i="13"/>
  <c r="E35" i="13"/>
  <c r="F35" i="13"/>
  <c r="G35" i="13"/>
  <c r="C36" i="13"/>
  <c r="D36" i="13"/>
  <c r="E36" i="13"/>
  <c r="F36" i="13"/>
  <c r="G36" i="13"/>
  <c r="C37" i="13"/>
  <c r="D37" i="13"/>
  <c r="E37" i="13"/>
  <c r="F37" i="13"/>
  <c r="G37" i="13"/>
  <c r="C38" i="13"/>
  <c r="D38" i="13"/>
  <c r="E38" i="13"/>
  <c r="F38" i="13"/>
  <c r="G38" i="13"/>
  <c r="C39" i="13"/>
  <c r="D39" i="13"/>
  <c r="E39" i="13"/>
  <c r="F39" i="13"/>
  <c r="G39" i="13"/>
  <c r="C40" i="13"/>
  <c r="D40" i="13"/>
  <c r="E40" i="13"/>
  <c r="F40" i="13"/>
  <c r="G40" i="13"/>
  <c r="C41" i="13"/>
  <c r="D41" i="13"/>
  <c r="E41" i="13"/>
  <c r="F41" i="13"/>
  <c r="G41" i="13"/>
  <c r="C42" i="13"/>
  <c r="D42" i="13"/>
  <c r="E42" i="13"/>
  <c r="G42" i="13"/>
  <c r="C43" i="13"/>
  <c r="D43" i="13"/>
  <c r="E43" i="13"/>
  <c r="G43" i="13"/>
  <c r="C44" i="13"/>
  <c r="D44" i="13"/>
  <c r="E44" i="13"/>
  <c r="G44" i="13"/>
  <c r="C45" i="13"/>
  <c r="D45" i="13"/>
  <c r="E45" i="13"/>
  <c r="G45" i="13"/>
  <c r="C46" i="13"/>
  <c r="D46" i="13"/>
  <c r="E46" i="13"/>
  <c r="G46" i="13"/>
  <c r="C47" i="13"/>
  <c r="D47" i="13"/>
  <c r="E47" i="13"/>
  <c r="G47" i="13"/>
  <c r="C48" i="13"/>
  <c r="D48" i="13"/>
  <c r="E48" i="13"/>
  <c r="G48" i="13"/>
  <c r="C49" i="13"/>
  <c r="D49" i="13"/>
  <c r="E49" i="13"/>
  <c r="G49" i="13"/>
  <c r="C50" i="13"/>
  <c r="D50" i="13"/>
  <c r="E50" i="13"/>
  <c r="G50" i="13"/>
  <c r="C51" i="13"/>
  <c r="D51" i="13"/>
  <c r="E51" i="13"/>
  <c r="G51" i="13"/>
  <c r="C52" i="13"/>
  <c r="D52" i="13"/>
  <c r="E52" i="13"/>
  <c r="G52" i="13"/>
  <c r="C53" i="13"/>
  <c r="D53" i="13"/>
  <c r="E53" i="13"/>
  <c r="G53" i="13"/>
  <c r="C54" i="13"/>
  <c r="D54" i="13"/>
  <c r="E54" i="13"/>
  <c r="G54" i="13"/>
  <c r="C55" i="13"/>
  <c r="D55" i="13"/>
  <c r="E55" i="13"/>
  <c r="G55" i="13"/>
  <c r="C56" i="13"/>
  <c r="D56" i="13"/>
  <c r="E56" i="13"/>
  <c r="G56" i="13"/>
  <c r="C57" i="13"/>
  <c r="D57" i="13"/>
  <c r="E57" i="13"/>
  <c r="G57" i="13"/>
  <c r="C58" i="13"/>
  <c r="D58" i="13"/>
  <c r="E58" i="13"/>
  <c r="G58" i="13"/>
  <c r="C59" i="13"/>
  <c r="D59" i="13"/>
  <c r="E59" i="13"/>
  <c r="G59" i="13"/>
  <c r="C60" i="13"/>
  <c r="D60" i="13"/>
  <c r="E60" i="13"/>
  <c r="G60" i="13"/>
  <c r="C61" i="13"/>
  <c r="D61" i="13"/>
  <c r="E61" i="13"/>
  <c r="G61" i="13"/>
  <c r="C62" i="13"/>
  <c r="D62" i="13"/>
  <c r="E62" i="13"/>
  <c r="G62" i="13"/>
  <c r="C63" i="13"/>
  <c r="D63" i="13"/>
  <c r="E63" i="13"/>
  <c r="G63" i="13"/>
  <c r="C64" i="13"/>
  <c r="D64" i="13"/>
  <c r="E64" i="13"/>
  <c r="G64" i="13"/>
  <c r="C65" i="13"/>
  <c r="D65" i="13"/>
  <c r="E65" i="13"/>
  <c r="G65" i="13"/>
  <c r="C66" i="13"/>
  <c r="D66" i="13"/>
  <c r="E66" i="13"/>
  <c r="G66" i="13"/>
  <c r="C67" i="13"/>
  <c r="D67" i="13"/>
  <c r="E67" i="13"/>
  <c r="G67" i="13"/>
  <c r="G24" i="13"/>
  <c r="F24" i="13"/>
  <c r="E24" i="13"/>
  <c r="D24" i="13"/>
  <c r="C24" i="13"/>
  <c r="B24" i="13"/>
  <c r="N16" i="13"/>
  <c r="K16" i="13"/>
  <c r="AM22" i="13" s="1"/>
  <c r="J16" i="13"/>
  <c r="AM21" i="13" s="1"/>
  <c r="I16" i="13"/>
  <c r="H16" i="13"/>
  <c r="AC22" i="13" s="1"/>
  <c r="G16" i="13"/>
  <c r="M21" i="13" s="1"/>
  <c r="F16" i="13"/>
  <c r="C16" i="13"/>
  <c r="N15" i="13"/>
  <c r="K15" i="13"/>
  <c r="AL22" i="13" s="1"/>
  <c r="J15" i="13"/>
  <c r="AL21" i="13" s="1"/>
  <c r="I15" i="13"/>
  <c r="H15" i="13"/>
  <c r="AB22" i="13" s="1"/>
  <c r="G15" i="13"/>
  <c r="L21" i="13" s="1"/>
  <c r="F15" i="13"/>
  <c r="C15" i="13"/>
  <c r="N14" i="13"/>
  <c r="K14" i="13"/>
  <c r="AK22" i="13" s="1"/>
  <c r="J14" i="13"/>
  <c r="AK21" i="13" s="1"/>
  <c r="I14" i="13"/>
  <c r="H14" i="13"/>
  <c r="AA22" i="13" s="1"/>
  <c r="G14" i="13"/>
  <c r="K21" i="13" s="1"/>
  <c r="F14" i="13"/>
  <c r="C14" i="13"/>
  <c r="N13" i="13"/>
  <c r="K13" i="13"/>
  <c r="AJ22" i="13" s="1"/>
  <c r="J13" i="13"/>
  <c r="AJ21" i="13" s="1"/>
  <c r="I13" i="13"/>
  <c r="H13" i="13"/>
  <c r="Z22" i="13" s="1"/>
  <c r="G13" i="13"/>
  <c r="J21" i="13" s="1"/>
  <c r="F13" i="13"/>
  <c r="C13" i="13"/>
  <c r="N12" i="13"/>
  <c r="K12" i="13"/>
  <c r="AI22" i="13" s="1"/>
  <c r="J12" i="13"/>
  <c r="AI21" i="13" s="1"/>
  <c r="I12" i="13"/>
  <c r="H12" i="13"/>
  <c r="Y22" i="13" s="1"/>
  <c r="G12" i="13"/>
  <c r="I21" i="13" s="1"/>
  <c r="F12" i="13"/>
  <c r="C12" i="13"/>
  <c r="N11" i="13"/>
  <c r="K11" i="13"/>
  <c r="J11" i="13"/>
  <c r="I11" i="13"/>
  <c r="H11" i="13"/>
  <c r="G11" i="13"/>
  <c r="H21" i="13" s="1"/>
  <c r="F11" i="13"/>
  <c r="C11" i="13"/>
  <c r="P12" i="11"/>
  <c r="P13" i="11"/>
  <c r="P14" i="11"/>
  <c r="P15" i="11"/>
  <c r="P16" i="11"/>
  <c r="P11" i="11"/>
  <c r="C12" i="11"/>
  <c r="C13" i="11"/>
  <c r="C14" i="11"/>
  <c r="C15" i="11"/>
  <c r="C16" i="11"/>
  <c r="C11" i="11"/>
  <c r="N12" i="11"/>
  <c r="O12" i="11"/>
  <c r="N13" i="11"/>
  <c r="O13" i="11"/>
  <c r="N14" i="11"/>
  <c r="O14" i="11"/>
  <c r="N15" i="11"/>
  <c r="O15" i="11"/>
  <c r="N16" i="11"/>
  <c r="O16" i="11"/>
  <c r="N11" i="11"/>
  <c r="O11" i="11"/>
  <c r="L12" i="11"/>
  <c r="M12" i="11"/>
  <c r="L13" i="11"/>
  <c r="M13" i="11"/>
  <c r="L14" i="11"/>
  <c r="M14" i="11"/>
  <c r="L15" i="11"/>
  <c r="M15" i="11"/>
  <c r="L16" i="11"/>
  <c r="M16" i="11"/>
  <c r="L11" i="11"/>
  <c r="M11" i="11"/>
  <c r="I12" i="11"/>
  <c r="AI21" i="11"/>
  <c r="K12" i="11"/>
  <c r="AI22" i="11" s="1"/>
  <c r="I13" i="11"/>
  <c r="AJ21" i="11"/>
  <c r="K13" i="11"/>
  <c r="AJ22" i="11" s="1"/>
  <c r="I14" i="11"/>
  <c r="AK21" i="11"/>
  <c r="K14" i="11"/>
  <c r="AK22" i="11" s="1"/>
  <c r="I15" i="11"/>
  <c r="AL21" i="11"/>
  <c r="K15" i="11"/>
  <c r="AL22" i="11" s="1"/>
  <c r="I16" i="11"/>
  <c r="J16" i="11"/>
  <c r="AM21" i="11" s="1"/>
  <c r="K16" i="11"/>
  <c r="AM22" i="11" s="1"/>
  <c r="J11" i="11"/>
  <c r="K11" i="11"/>
  <c r="I11" i="11"/>
  <c r="G12" i="11"/>
  <c r="I21" i="11" s="1"/>
  <c r="G13" i="11"/>
  <c r="J21" i="11" s="1"/>
  <c r="G14" i="11"/>
  <c r="K21" i="11" s="1"/>
  <c r="G15" i="11"/>
  <c r="L21" i="11" s="1"/>
  <c r="G16" i="11"/>
  <c r="M21" i="11" s="1"/>
  <c r="G11" i="11"/>
  <c r="H21" i="11" s="1"/>
  <c r="F12" i="11"/>
  <c r="F13" i="11"/>
  <c r="F14" i="11"/>
  <c r="F15" i="11"/>
  <c r="F16" i="11"/>
  <c r="F11" i="11"/>
  <c r="C25" i="11"/>
  <c r="D25" i="11"/>
  <c r="E25" i="11"/>
  <c r="F25" i="11"/>
  <c r="G25" i="11"/>
  <c r="C26" i="11"/>
  <c r="D26" i="11"/>
  <c r="E26" i="11"/>
  <c r="F26" i="11"/>
  <c r="G26" i="11"/>
  <c r="C27" i="11"/>
  <c r="D27" i="11"/>
  <c r="E27" i="11"/>
  <c r="F27" i="11"/>
  <c r="G27" i="11"/>
  <c r="C28" i="11"/>
  <c r="D28" i="11"/>
  <c r="E28" i="11"/>
  <c r="F28" i="11"/>
  <c r="G28" i="11"/>
  <c r="C29" i="11"/>
  <c r="D29" i="11"/>
  <c r="E29" i="11"/>
  <c r="F29" i="11"/>
  <c r="G29" i="11"/>
  <c r="C30" i="11"/>
  <c r="D30" i="11"/>
  <c r="E30" i="11"/>
  <c r="F30" i="11"/>
  <c r="G30" i="11"/>
  <c r="C31" i="11"/>
  <c r="D31" i="11"/>
  <c r="E31" i="11"/>
  <c r="F31" i="11"/>
  <c r="G31" i="11"/>
  <c r="C32" i="11"/>
  <c r="D32" i="11"/>
  <c r="E32" i="11"/>
  <c r="F32" i="11"/>
  <c r="G32" i="11"/>
  <c r="C33" i="11"/>
  <c r="D33" i="11"/>
  <c r="E33" i="11"/>
  <c r="F33" i="11"/>
  <c r="G33" i="11"/>
  <c r="C34" i="11"/>
  <c r="D34" i="11"/>
  <c r="E34" i="11"/>
  <c r="F34" i="11"/>
  <c r="G34" i="11"/>
  <c r="C35" i="11"/>
  <c r="D35" i="11"/>
  <c r="E35" i="11"/>
  <c r="F35" i="11"/>
  <c r="G35" i="11"/>
  <c r="C36" i="11"/>
  <c r="D36" i="11"/>
  <c r="E36" i="11"/>
  <c r="F36" i="11"/>
  <c r="G36" i="11"/>
  <c r="C37" i="11"/>
  <c r="D37" i="11"/>
  <c r="E37" i="11"/>
  <c r="F37" i="11"/>
  <c r="G37" i="11"/>
  <c r="C38" i="11"/>
  <c r="D38" i="11"/>
  <c r="E38" i="11"/>
  <c r="F38" i="11"/>
  <c r="G38" i="11"/>
  <c r="C39" i="11"/>
  <c r="D39" i="11"/>
  <c r="E39" i="11"/>
  <c r="F39" i="11"/>
  <c r="G39" i="11"/>
  <c r="C40" i="11"/>
  <c r="D40" i="11"/>
  <c r="E40" i="11"/>
  <c r="F40" i="11"/>
  <c r="G40" i="11"/>
  <c r="C41" i="11"/>
  <c r="D41" i="11"/>
  <c r="E41" i="11"/>
  <c r="F41" i="11"/>
  <c r="G41" i="11"/>
  <c r="C42" i="11"/>
  <c r="D42" i="11"/>
  <c r="E42" i="11"/>
  <c r="F42" i="11"/>
  <c r="G42" i="11"/>
  <c r="C43" i="11"/>
  <c r="D43" i="11"/>
  <c r="E43" i="11"/>
  <c r="F43" i="11"/>
  <c r="G43" i="11"/>
  <c r="C44" i="11"/>
  <c r="D44" i="11"/>
  <c r="E44" i="11"/>
  <c r="F44" i="11"/>
  <c r="G44" i="11"/>
  <c r="C45" i="11"/>
  <c r="D45" i="11"/>
  <c r="E45" i="11"/>
  <c r="G45" i="11"/>
  <c r="C46" i="11"/>
  <c r="D46" i="11"/>
  <c r="E46" i="11"/>
  <c r="G46" i="11"/>
  <c r="C47" i="11"/>
  <c r="D47" i="11"/>
  <c r="E47" i="11"/>
  <c r="G47" i="11"/>
  <c r="C48" i="11"/>
  <c r="D48" i="11"/>
  <c r="E48" i="11"/>
  <c r="G48" i="11"/>
  <c r="C49" i="11"/>
  <c r="D49" i="11"/>
  <c r="E49" i="11"/>
  <c r="G49" i="11"/>
  <c r="C50" i="11"/>
  <c r="D50" i="11"/>
  <c r="E50" i="11"/>
  <c r="G50" i="11"/>
  <c r="C51" i="11"/>
  <c r="D51" i="11"/>
  <c r="E51" i="11"/>
  <c r="G51" i="11"/>
  <c r="C52" i="11"/>
  <c r="D52" i="11"/>
  <c r="E52" i="11"/>
  <c r="G52" i="11"/>
  <c r="C53" i="11"/>
  <c r="D53" i="11"/>
  <c r="E53" i="11"/>
  <c r="G53" i="11"/>
  <c r="C54" i="11"/>
  <c r="D54" i="11"/>
  <c r="E54" i="11"/>
  <c r="G54" i="11"/>
  <c r="C55" i="11"/>
  <c r="D55" i="11"/>
  <c r="E55" i="11"/>
  <c r="G55" i="11"/>
  <c r="C56" i="11"/>
  <c r="D56" i="11"/>
  <c r="E56" i="11"/>
  <c r="G56" i="11"/>
  <c r="C57" i="11"/>
  <c r="D57" i="11"/>
  <c r="E57" i="11"/>
  <c r="G57" i="11"/>
  <c r="C58" i="11"/>
  <c r="D58" i="11"/>
  <c r="E58" i="11"/>
  <c r="G58" i="11"/>
  <c r="C59" i="11"/>
  <c r="D59" i="11"/>
  <c r="E59" i="11"/>
  <c r="G59" i="11"/>
  <c r="C60" i="11"/>
  <c r="D60" i="11"/>
  <c r="E60" i="11"/>
  <c r="G60" i="11"/>
  <c r="C61" i="11"/>
  <c r="D61" i="11"/>
  <c r="E61" i="11"/>
  <c r="G61" i="11"/>
  <c r="C62" i="11"/>
  <c r="D62" i="11"/>
  <c r="E62" i="11"/>
  <c r="G62" i="11"/>
  <c r="C63" i="11"/>
  <c r="D63" i="11"/>
  <c r="E63" i="11"/>
  <c r="G63" i="11"/>
  <c r="C64" i="11"/>
  <c r="D64" i="11"/>
  <c r="E64" i="11"/>
  <c r="G64" i="11"/>
  <c r="C65" i="11"/>
  <c r="D65" i="11"/>
  <c r="E65" i="11"/>
  <c r="G65" i="11"/>
  <c r="C66" i="11"/>
  <c r="D66" i="11"/>
  <c r="E66" i="11"/>
  <c r="G66" i="11"/>
  <c r="C67" i="11"/>
  <c r="D67" i="11"/>
  <c r="E67" i="11"/>
  <c r="G67" i="11"/>
  <c r="C24" i="11"/>
  <c r="D24" i="11"/>
  <c r="E24" i="11"/>
  <c r="F24" i="11"/>
  <c r="G24" i="11"/>
  <c r="B24" i="11"/>
  <c r="AK7" i="15"/>
  <c r="AL7" i="15"/>
  <c r="AM7" i="15"/>
  <c r="AN7" i="15"/>
  <c r="AO7" i="15"/>
  <c r="AK8" i="15"/>
  <c r="AL8" i="15"/>
  <c r="AM8" i="15"/>
  <c r="AN8" i="15"/>
  <c r="AO8" i="15"/>
  <c r="AJ8" i="15"/>
  <c r="AJ7" i="15"/>
  <c r="AE7" i="15"/>
  <c r="AF7" i="15"/>
  <c r="AG7" i="15"/>
  <c r="AH7" i="15"/>
  <c r="AI7" i="15"/>
  <c r="AE8" i="15"/>
  <c r="AF8" i="15"/>
  <c r="AG8" i="15"/>
  <c r="AH8" i="15"/>
  <c r="AI8" i="15"/>
  <c r="AD8" i="15"/>
  <c r="AD7" i="15"/>
  <c r="J16" i="23" l="1"/>
  <c r="AO42" i="21"/>
  <c r="AQ29" i="21"/>
  <c r="AN67" i="21"/>
  <c r="AP64" i="21"/>
  <c r="AN63" i="21"/>
  <c r="AP60" i="21"/>
  <c r="AN59" i="21"/>
  <c r="AP56" i="21"/>
  <c r="AN55" i="21"/>
  <c r="AP52" i="21"/>
  <c r="AN51" i="21"/>
  <c r="AP48" i="21"/>
  <c r="AN47" i="21"/>
  <c r="AP44" i="21"/>
  <c r="AP40" i="21"/>
  <c r="AP36" i="21"/>
  <c r="AR33" i="21"/>
  <c r="AP32" i="21"/>
  <c r="AR29" i="21"/>
  <c r="AR25" i="21"/>
  <c r="AQ25" i="21"/>
  <c r="AP45" i="21"/>
  <c r="AR42" i="21"/>
  <c r="AP41" i="21"/>
  <c r="AR38" i="21"/>
  <c r="AP37" i="21"/>
  <c r="AR34" i="21"/>
  <c r="AP33" i="21"/>
  <c r="AR30" i="21"/>
  <c r="AP29" i="21"/>
  <c r="AR26" i="21"/>
  <c r="AP25" i="21"/>
  <c r="AQ34" i="21"/>
  <c r="AQ30" i="21"/>
  <c r="AQ26" i="21"/>
  <c r="AP34" i="21"/>
  <c r="AP30" i="21"/>
  <c r="AP26" i="21"/>
  <c r="AO24" i="21"/>
  <c r="AN43" i="21"/>
  <c r="AN39" i="21"/>
  <c r="AN35" i="21"/>
  <c r="AN31" i="21"/>
  <c r="AN27" i="21"/>
  <c r="AP28" i="21"/>
  <c r="AQ24" i="21"/>
  <c r="AO34" i="21"/>
  <c r="AO30" i="21"/>
  <c r="AO26" i="21"/>
  <c r="AN34" i="21"/>
  <c r="AN30" i="21"/>
  <c r="AN26" i="21"/>
  <c r="AP24" i="21"/>
  <c r="AN24" i="21"/>
  <c r="AO64" i="21"/>
  <c r="AO44" i="21"/>
  <c r="AO56" i="21"/>
  <c r="AO52" i="21"/>
  <c r="AO48" i="21"/>
  <c r="AO60" i="21"/>
  <c r="AR66" i="21"/>
  <c r="AP65" i="21"/>
  <c r="AN64" i="21"/>
  <c r="AR62" i="21"/>
  <c r="AP61" i="21"/>
  <c r="AN60" i="21"/>
  <c r="AR58" i="21"/>
  <c r="AP57" i="21"/>
  <c r="AN56" i="21"/>
  <c r="AR54" i="21"/>
  <c r="AP53" i="21"/>
  <c r="AN52" i="21"/>
  <c r="AR50" i="21"/>
  <c r="AP49" i="21"/>
  <c r="AN48" i="21"/>
  <c r="AR46" i="21"/>
  <c r="AN44" i="21"/>
  <c r="AN40" i="21"/>
  <c r="AN36" i="21"/>
  <c r="AN32" i="21"/>
  <c r="AN28" i="21"/>
  <c r="AR67" i="21"/>
  <c r="AR63" i="21"/>
  <c r="AR59" i="21"/>
  <c r="AR55" i="21"/>
  <c r="AR51" i="21"/>
  <c r="AR47" i="21"/>
  <c r="AR43" i="21"/>
  <c r="AR39" i="21"/>
  <c r="AR35" i="21"/>
  <c r="AQ67" i="21"/>
  <c r="AQ63" i="21"/>
  <c r="AQ59" i="21"/>
  <c r="AQ55" i="21"/>
  <c r="AO54" i="21"/>
  <c r="AQ51" i="21"/>
  <c r="AO50" i="21"/>
  <c r="AQ47" i="21"/>
  <c r="AO46" i="21"/>
  <c r="AQ43" i="21"/>
  <c r="AQ39" i="21"/>
  <c r="AQ35" i="21"/>
  <c r="AR64" i="21"/>
  <c r="AR60" i="21"/>
  <c r="AR56" i="21"/>
  <c r="AR52" i="21"/>
  <c r="AR48" i="21"/>
  <c r="AR44" i="21"/>
  <c r="AR40" i="21"/>
  <c r="AO67" i="21"/>
  <c r="AQ64" i="21"/>
  <c r="AO63" i="21"/>
  <c r="AQ60" i="21"/>
  <c r="AO59" i="21"/>
  <c r="AQ56" i="21"/>
  <c r="AO55" i="21"/>
  <c r="AQ52" i="21"/>
  <c r="AO51" i="21"/>
  <c r="AQ48" i="21"/>
  <c r="AO47" i="21"/>
  <c r="AQ44" i="21"/>
  <c r="AO40" i="21"/>
  <c r="AO36" i="21"/>
  <c r="AO32" i="21"/>
  <c r="AO28" i="21"/>
  <c r="AQ31" i="21"/>
  <c r="AR36" i="21"/>
  <c r="AR32" i="21"/>
  <c r="AR28" i="21"/>
  <c r="AO43" i="21"/>
  <c r="AQ40" i="21"/>
  <c r="AO39" i="21"/>
  <c r="AQ36" i="21"/>
  <c r="AR65" i="21"/>
  <c r="AR61" i="21"/>
  <c r="AR57" i="21"/>
  <c r="AR53" i="21"/>
  <c r="AR49" i="21"/>
  <c r="AR45" i="21"/>
  <c r="AR41" i="21"/>
  <c r="AR37" i="21"/>
  <c r="AQ65" i="21"/>
  <c r="AQ61" i="21"/>
  <c r="AQ57" i="21"/>
  <c r="AQ53" i="21"/>
  <c r="AQ49" i="21"/>
  <c r="AQ45" i="21"/>
  <c r="AQ41" i="21"/>
  <c r="AQ37" i="21"/>
  <c r="AQ33" i="21"/>
  <c r="AR24" i="21"/>
  <c r="AQ66" i="21"/>
  <c r="AO65" i="21"/>
  <c r="AQ62" i="21"/>
  <c r="AO61" i="21"/>
  <c r="AQ58" i="21"/>
  <c r="AO57" i="21"/>
  <c r="AQ54" i="21"/>
  <c r="AO53" i="21"/>
  <c r="AQ50" i="21"/>
  <c r="AO49" i="21"/>
  <c r="AQ46" i="21"/>
  <c r="AO45" i="21"/>
  <c r="AQ42" i="21"/>
  <c r="AO41" i="21"/>
  <c r="AQ38" i="21"/>
  <c r="AO37" i="21"/>
  <c r="AO33" i="21"/>
  <c r="AO29" i="21"/>
  <c r="AO25" i="21"/>
  <c r="AP66" i="21"/>
  <c r="AN65" i="21"/>
  <c r="AP62" i="21"/>
  <c r="AN61" i="21"/>
  <c r="AP58" i="21"/>
  <c r="AN57" i="21"/>
  <c r="AP54" i="21"/>
  <c r="AN53" i="21"/>
  <c r="AP50" i="21"/>
  <c r="AN49" i="21"/>
  <c r="AP46" i="21"/>
  <c r="AN45" i="21"/>
  <c r="AP42" i="21"/>
  <c r="AN41" i="21"/>
  <c r="AP38" i="21"/>
  <c r="AN37" i="21"/>
  <c r="AN33" i="21"/>
  <c r="AR31" i="21"/>
  <c r="AN29" i="21"/>
  <c r="AR27" i="21"/>
  <c r="AN25" i="21"/>
  <c r="AO66" i="21"/>
  <c r="AO62" i="21"/>
  <c r="AO58" i="21"/>
  <c r="AO38" i="21"/>
  <c r="AQ27" i="21"/>
  <c r="AP67" i="21"/>
  <c r="AN66" i="21"/>
  <c r="AP63" i="21"/>
  <c r="AN62" i="21"/>
  <c r="AP59" i="21"/>
  <c r="AN58" i="21"/>
  <c r="AP55" i="21"/>
  <c r="AN54" i="21"/>
  <c r="AP51" i="21"/>
  <c r="AN50" i="21"/>
  <c r="AP47" i="21"/>
  <c r="AN46" i="21"/>
  <c r="AP43" i="21"/>
  <c r="AN42" i="21"/>
  <c r="AP39" i="21"/>
  <c r="AN38" i="21"/>
  <c r="AP35" i="21"/>
  <c r="AP31" i="21"/>
  <c r="AP27" i="21"/>
  <c r="AO35" i="21"/>
  <c r="AQ32" i="21"/>
  <c r="AO31" i="21"/>
  <c r="AQ28" i="21"/>
  <c r="AO27" i="21"/>
  <c r="J26" i="21"/>
  <c r="J30" i="21"/>
  <c r="J34" i="21"/>
  <c r="J38" i="21"/>
  <c r="J42" i="21"/>
  <c r="J46" i="21"/>
  <c r="J50" i="21"/>
  <c r="J54" i="21"/>
  <c r="J58" i="21"/>
  <c r="J62" i="21"/>
  <c r="J66" i="21"/>
  <c r="J25" i="21"/>
  <c r="J29" i="21"/>
  <c r="J33" i="21"/>
  <c r="J37" i="21"/>
  <c r="J41" i="21"/>
  <c r="J45" i="21"/>
  <c r="J49" i="21"/>
  <c r="J53" i="21"/>
  <c r="J57" i="21"/>
  <c r="J61" i="21"/>
  <c r="J65" i="21"/>
  <c r="J24" i="21"/>
  <c r="J28" i="21"/>
  <c r="J32" i="21"/>
  <c r="J36" i="21"/>
  <c r="J40" i="21"/>
  <c r="J44" i="21"/>
  <c r="J48" i="21"/>
  <c r="J52" i="21"/>
  <c r="J56" i="21"/>
  <c r="J60" i="21"/>
  <c r="J64" i="21"/>
  <c r="J31" i="21"/>
  <c r="J47" i="21"/>
  <c r="J63" i="21"/>
  <c r="J51" i="21"/>
  <c r="J27" i="21"/>
  <c r="J43" i="21"/>
  <c r="J59" i="21"/>
  <c r="J39" i="21"/>
  <c r="J55" i="21"/>
  <c r="J35" i="21"/>
  <c r="J67" i="21"/>
  <c r="I25" i="11"/>
  <c r="I29" i="11"/>
  <c r="I33" i="11"/>
  <c r="I37" i="11"/>
  <c r="I41" i="11"/>
  <c r="I45" i="11"/>
  <c r="I49" i="11"/>
  <c r="I53" i="11"/>
  <c r="I57" i="11"/>
  <c r="I61" i="11"/>
  <c r="I65" i="11"/>
  <c r="I24" i="11"/>
  <c r="I28" i="11"/>
  <c r="I32" i="11"/>
  <c r="I36" i="11"/>
  <c r="I40" i="11"/>
  <c r="I44" i="11"/>
  <c r="I48" i="11"/>
  <c r="I52" i="11"/>
  <c r="I56" i="11"/>
  <c r="I60" i="11"/>
  <c r="I64" i="11"/>
  <c r="I27" i="11"/>
  <c r="I31" i="11"/>
  <c r="I35" i="11"/>
  <c r="I39" i="11"/>
  <c r="I43" i="11"/>
  <c r="I47" i="11"/>
  <c r="I51" i="11"/>
  <c r="I55" i="11"/>
  <c r="I59" i="11"/>
  <c r="I63" i="11"/>
  <c r="I67" i="11"/>
  <c r="I30" i="11"/>
  <c r="I46" i="11"/>
  <c r="I62" i="11"/>
  <c r="I66" i="11"/>
  <c r="I26" i="11"/>
  <c r="I42" i="11"/>
  <c r="I58" i="11"/>
  <c r="I38" i="11"/>
  <c r="I54" i="11"/>
  <c r="I34" i="11"/>
  <c r="I50" i="11"/>
  <c r="H25" i="13"/>
  <c r="H29" i="13"/>
  <c r="H33" i="13"/>
  <c r="H37" i="13"/>
  <c r="H41" i="13"/>
  <c r="H45" i="13"/>
  <c r="H49" i="13"/>
  <c r="H28" i="13"/>
  <c r="H32" i="13"/>
  <c r="H36" i="13"/>
  <c r="H40" i="13"/>
  <c r="H44" i="13"/>
  <c r="H48" i="13"/>
  <c r="H27" i="13"/>
  <c r="H31" i="13"/>
  <c r="H35" i="13"/>
  <c r="H39" i="13"/>
  <c r="H43" i="13"/>
  <c r="H47" i="13"/>
  <c r="H34" i="13"/>
  <c r="H50" i="13"/>
  <c r="H54" i="13"/>
  <c r="H58" i="13"/>
  <c r="H62" i="13"/>
  <c r="H66" i="13"/>
  <c r="H24" i="13"/>
  <c r="H67" i="13"/>
  <c r="H30" i="13"/>
  <c r="H46" i="13"/>
  <c r="H53" i="13"/>
  <c r="H57" i="13"/>
  <c r="H61" i="13"/>
  <c r="H65" i="13"/>
  <c r="H26" i="13"/>
  <c r="H42" i="13"/>
  <c r="H52" i="13"/>
  <c r="H56" i="13"/>
  <c r="H60" i="13"/>
  <c r="H64" i="13"/>
  <c r="H38" i="13"/>
  <c r="H51" i="13"/>
  <c r="H55" i="13"/>
  <c r="H59" i="13"/>
  <c r="H63" i="13"/>
  <c r="I25" i="13"/>
  <c r="I29" i="13"/>
  <c r="I33" i="13"/>
  <c r="I37" i="13"/>
  <c r="I41" i="13"/>
  <c r="I45" i="13"/>
  <c r="I49" i="13"/>
  <c r="I28" i="13"/>
  <c r="I32" i="13"/>
  <c r="I36" i="13"/>
  <c r="I40" i="13"/>
  <c r="I44" i="13"/>
  <c r="I48" i="13"/>
  <c r="I27" i="13"/>
  <c r="I31" i="13"/>
  <c r="I35" i="13"/>
  <c r="I39" i="13"/>
  <c r="I43" i="13"/>
  <c r="I47" i="13"/>
  <c r="I38" i="13"/>
  <c r="I34" i="13"/>
  <c r="I50" i="13"/>
  <c r="I54" i="13"/>
  <c r="I58" i="13"/>
  <c r="I62" i="13"/>
  <c r="I66" i="13"/>
  <c r="I53" i="13"/>
  <c r="I51" i="13"/>
  <c r="I55" i="13"/>
  <c r="I63" i="13"/>
  <c r="I67" i="13"/>
  <c r="I57" i="13"/>
  <c r="I61" i="13"/>
  <c r="I65" i="13"/>
  <c r="I30" i="13"/>
  <c r="I46" i="13"/>
  <c r="I24" i="13"/>
  <c r="I26" i="13"/>
  <c r="I42" i="13"/>
  <c r="I52" i="13"/>
  <c r="I56" i="13"/>
  <c r="I60" i="13"/>
  <c r="I64" i="13"/>
  <c r="I59" i="13"/>
  <c r="J26" i="13"/>
  <c r="J30" i="13"/>
  <c r="J34" i="13"/>
  <c r="J38" i="13"/>
  <c r="J42" i="13"/>
  <c r="J46" i="13"/>
  <c r="J25" i="13"/>
  <c r="J29" i="13"/>
  <c r="J33" i="13"/>
  <c r="J37" i="13"/>
  <c r="J41" i="13"/>
  <c r="J45" i="13"/>
  <c r="J49" i="13"/>
  <c r="J28" i="13"/>
  <c r="J32" i="13"/>
  <c r="J36" i="13"/>
  <c r="J40" i="13"/>
  <c r="J44" i="13"/>
  <c r="J48" i="13"/>
  <c r="J39" i="13"/>
  <c r="J51" i="13"/>
  <c r="J55" i="13"/>
  <c r="J59" i="13"/>
  <c r="J63" i="13"/>
  <c r="J67" i="13"/>
  <c r="J60" i="13"/>
  <c r="J35" i="13"/>
  <c r="J50" i="13"/>
  <c r="J54" i="13"/>
  <c r="J58" i="13"/>
  <c r="J62" i="13"/>
  <c r="J66" i="13"/>
  <c r="J56" i="13"/>
  <c r="J31" i="13"/>
  <c r="J47" i="13"/>
  <c r="J53" i="13"/>
  <c r="J57" i="13"/>
  <c r="J61" i="13"/>
  <c r="J65" i="13"/>
  <c r="J24" i="13"/>
  <c r="J27" i="13"/>
  <c r="J43" i="13"/>
  <c r="J52" i="13"/>
  <c r="J64" i="13"/>
  <c r="K26" i="13"/>
  <c r="K30" i="13"/>
  <c r="K34" i="13"/>
  <c r="K38" i="13"/>
  <c r="K42" i="13"/>
  <c r="K46" i="13"/>
  <c r="K25" i="13"/>
  <c r="K29" i="13"/>
  <c r="K33" i="13"/>
  <c r="K37" i="13"/>
  <c r="K41" i="13"/>
  <c r="K45" i="13"/>
  <c r="K49" i="13"/>
  <c r="K28" i="13"/>
  <c r="K32" i="13"/>
  <c r="K36" i="13"/>
  <c r="K40" i="13"/>
  <c r="K44" i="13"/>
  <c r="K48" i="13"/>
  <c r="K54" i="13"/>
  <c r="K62" i="13"/>
  <c r="K66" i="13"/>
  <c r="K60" i="13"/>
  <c r="K39" i="13"/>
  <c r="K51" i="13"/>
  <c r="K55" i="13"/>
  <c r="K59" i="13"/>
  <c r="K63" i="13"/>
  <c r="K67" i="13"/>
  <c r="K58" i="13"/>
  <c r="K24" i="13"/>
  <c r="K43" i="13"/>
  <c r="K52" i="13"/>
  <c r="K56" i="13"/>
  <c r="K64" i="13"/>
  <c r="K35" i="13"/>
  <c r="K50" i="13"/>
  <c r="K31" i="13"/>
  <c r="K47" i="13"/>
  <c r="K53" i="13"/>
  <c r="K57" i="13"/>
  <c r="K61" i="13"/>
  <c r="K65" i="13"/>
  <c r="K27" i="13"/>
  <c r="L27" i="13"/>
  <c r="L31" i="13"/>
  <c r="L35" i="13"/>
  <c r="L39" i="13"/>
  <c r="L43" i="13"/>
  <c r="L47" i="13"/>
  <c r="L26" i="13"/>
  <c r="L30" i="13"/>
  <c r="L34" i="13"/>
  <c r="L38" i="13"/>
  <c r="L42" i="13"/>
  <c r="L46" i="13"/>
  <c r="L25" i="13"/>
  <c r="L29" i="13"/>
  <c r="L33" i="13"/>
  <c r="L37" i="13"/>
  <c r="L41" i="13"/>
  <c r="L45" i="13"/>
  <c r="L49" i="13"/>
  <c r="L28" i="13"/>
  <c r="L44" i="13"/>
  <c r="L52" i="13"/>
  <c r="L56" i="13"/>
  <c r="L60" i="13"/>
  <c r="L64" i="13"/>
  <c r="L53" i="13"/>
  <c r="L40" i="13"/>
  <c r="L51" i="13"/>
  <c r="L55" i="13"/>
  <c r="L59" i="13"/>
  <c r="L63" i="13"/>
  <c r="L67" i="13"/>
  <c r="L24" i="13"/>
  <c r="L36" i="13"/>
  <c r="L50" i="13"/>
  <c r="L54" i="13"/>
  <c r="L58" i="13"/>
  <c r="L62" i="13"/>
  <c r="L66" i="13"/>
  <c r="L32" i="13"/>
  <c r="L48" i="13"/>
  <c r="L57" i="13"/>
  <c r="L61" i="13"/>
  <c r="L65" i="13"/>
  <c r="M27" i="13"/>
  <c r="M31" i="13"/>
  <c r="M35" i="13"/>
  <c r="M39" i="13"/>
  <c r="M43" i="13"/>
  <c r="M47" i="13"/>
  <c r="M26" i="13"/>
  <c r="M30" i="13"/>
  <c r="M34" i="13"/>
  <c r="M38" i="13"/>
  <c r="M42" i="13"/>
  <c r="M46" i="13"/>
  <c r="M25" i="13"/>
  <c r="M29" i="13"/>
  <c r="M33" i="13"/>
  <c r="M37" i="13"/>
  <c r="M41" i="13"/>
  <c r="M45" i="13"/>
  <c r="M49" i="13"/>
  <c r="M24" i="13"/>
  <c r="M59" i="13"/>
  <c r="M28" i="13"/>
  <c r="M44" i="13"/>
  <c r="M52" i="13"/>
  <c r="M56" i="13"/>
  <c r="M60" i="13"/>
  <c r="M64" i="13"/>
  <c r="M55" i="13"/>
  <c r="M63" i="13"/>
  <c r="M67" i="13"/>
  <c r="M32" i="13"/>
  <c r="M57" i="13"/>
  <c r="M51" i="13"/>
  <c r="M61" i="13"/>
  <c r="M40" i="13"/>
  <c r="M36" i="13"/>
  <c r="M50" i="13"/>
  <c r="M54" i="13"/>
  <c r="M58" i="13"/>
  <c r="M62" i="13"/>
  <c r="M66" i="13"/>
  <c r="M48" i="13"/>
  <c r="M53" i="13"/>
  <c r="M65" i="13"/>
  <c r="K26" i="21"/>
  <c r="K30" i="21"/>
  <c r="K34" i="21"/>
  <c r="K38" i="21"/>
  <c r="K42" i="21"/>
  <c r="K46" i="21"/>
  <c r="K50" i="21"/>
  <c r="K54" i="21"/>
  <c r="K58" i="21"/>
  <c r="K62" i="21"/>
  <c r="K66" i="21"/>
  <c r="K25" i="21"/>
  <c r="K29" i="21"/>
  <c r="K33" i="21"/>
  <c r="K37" i="21"/>
  <c r="K41" i="21"/>
  <c r="K45" i="21"/>
  <c r="K49" i="21"/>
  <c r="K53" i="21"/>
  <c r="K57" i="21"/>
  <c r="K61" i="21"/>
  <c r="K65" i="21"/>
  <c r="K24" i="21"/>
  <c r="K28" i="21"/>
  <c r="K32" i="21"/>
  <c r="K36" i="21"/>
  <c r="K40" i="21"/>
  <c r="K44" i="21"/>
  <c r="K48" i="21"/>
  <c r="K52" i="21"/>
  <c r="K56" i="21"/>
  <c r="K60" i="21"/>
  <c r="K64" i="21"/>
  <c r="K31" i="21"/>
  <c r="K47" i="21"/>
  <c r="K63" i="21"/>
  <c r="K35" i="21"/>
  <c r="K27" i="21"/>
  <c r="K43" i="21"/>
  <c r="K59" i="21"/>
  <c r="K39" i="21"/>
  <c r="K55" i="21"/>
  <c r="K51" i="21"/>
  <c r="K67" i="21"/>
  <c r="J26" i="11"/>
  <c r="J30" i="11"/>
  <c r="J34" i="11"/>
  <c r="J38" i="11"/>
  <c r="J42" i="11"/>
  <c r="J46" i="11"/>
  <c r="J50" i="11"/>
  <c r="J54" i="11"/>
  <c r="J58" i="11"/>
  <c r="J62" i="11"/>
  <c r="J66" i="11"/>
  <c r="J25" i="11"/>
  <c r="J29" i="11"/>
  <c r="J33" i="11"/>
  <c r="J37" i="11"/>
  <c r="J41" i="11"/>
  <c r="J45" i="11"/>
  <c r="J49" i="11"/>
  <c r="J53" i="11"/>
  <c r="J57" i="11"/>
  <c r="J61" i="11"/>
  <c r="J65" i="11"/>
  <c r="J24" i="11"/>
  <c r="J28" i="11"/>
  <c r="J32" i="11"/>
  <c r="J36" i="11"/>
  <c r="J40" i="11"/>
  <c r="J44" i="11"/>
  <c r="J48" i="11"/>
  <c r="J52" i="11"/>
  <c r="J56" i="11"/>
  <c r="J60" i="11"/>
  <c r="J64" i="11"/>
  <c r="J35" i="11"/>
  <c r="J51" i="11"/>
  <c r="J67" i="11"/>
  <c r="J31" i="11"/>
  <c r="J47" i="11"/>
  <c r="J63" i="11"/>
  <c r="J27" i="11"/>
  <c r="J43" i="11"/>
  <c r="J59" i="11"/>
  <c r="J39" i="11"/>
  <c r="J55" i="11"/>
  <c r="H25" i="11"/>
  <c r="H29" i="11"/>
  <c r="H33" i="11"/>
  <c r="H37" i="11"/>
  <c r="H41" i="11"/>
  <c r="H45" i="11"/>
  <c r="H49" i="11"/>
  <c r="H53" i="11"/>
  <c r="H57" i="11"/>
  <c r="H61" i="11"/>
  <c r="H65" i="11"/>
  <c r="H28" i="11"/>
  <c r="H32" i="11"/>
  <c r="H36" i="11"/>
  <c r="H40" i="11"/>
  <c r="H44" i="11"/>
  <c r="H48" i="11"/>
  <c r="H52" i="11"/>
  <c r="H56" i="11"/>
  <c r="H60" i="11"/>
  <c r="H64" i="11"/>
  <c r="H27" i="11"/>
  <c r="H31" i="11"/>
  <c r="H35" i="11"/>
  <c r="H39" i="11"/>
  <c r="H43" i="11"/>
  <c r="H47" i="11"/>
  <c r="H51" i="11"/>
  <c r="H55" i="11"/>
  <c r="H59" i="11"/>
  <c r="H63" i="11"/>
  <c r="H67" i="11"/>
  <c r="H30" i="11"/>
  <c r="H46" i="11"/>
  <c r="H62" i="11"/>
  <c r="H26" i="11"/>
  <c r="H42" i="11"/>
  <c r="H58" i="11"/>
  <c r="H24" i="11"/>
  <c r="H38" i="11"/>
  <c r="H54" i="11"/>
  <c r="H34" i="11"/>
  <c r="H66" i="11"/>
  <c r="H50" i="11"/>
  <c r="H25" i="21"/>
  <c r="H29" i="21"/>
  <c r="H33" i="21"/>
  <c r="H37" i="21"/>
  <c r="H41" i="21"/>
  <c r="H45" i="21"/>
  <c r="H49" i="21"/>
  <c r="H53" i="21"/>
  <c r="H57" i="21"/>
  <c r="H61" i="21"/>
  <c r="H65" i="21"/>
  <c r="H28" i="21"/>
  <c r="H32" i="21"/>
  <c r="H36" i="21"/>
  <c r="H40" i="21"/>
  <c r="H44" i="21"/>
  <c r="H48" i="21"/>
  <c r="H52" i="21"/>
  <c r="H56" i="21"/>
  <c r="H60" i="21"/>
  <c r="H64" i="21"/>
  <c r="H27" i="21"/>
  <c r="H31" i="21"/>
  <c r="H35" i="21"/>
  <c r="H39" i="21"/>
  <c r="H43" i="21"/>
  <c r="H47" i="21"/>
  <c r="H51" i="21"/>
  <c r="H55" i="21"/>
  <c r="H59" i="21"/>
  <c r="H63" i="21"/>
  <c r="H67" i="21"/>
  <c r="H26" i="21"/>
  <c r="H42" i="21"/>
  <c r="H58" i="21"/>
  <c r="H24" i="21"/>
  <c r="H38" i="21"/>
  <c r="H54" i="21"/>
  <c r="H46" i="21"/>
  <c r="H34" i="21"/>
  <c r="H50" i="21"/>
  <c r="H66" i="21"/>
  <c r="H62" i="21"/>
  <c r="H30" i="21"/>
  <c r="L27" i="21"/>
  <c r="L31" i="21"/>
  <c r="L35" i="21"/>
  <c r="L39" i="21"/>
  <c r="L43" i="21"/>
  <c r="L47" i="21"/>
  <c r="L51" i="21"/>
  <c r="L55" i="21"/>
  <c r="L59" i="21"/>
  <c r="L63" i="21"/>
  <c r="L67" i="21"/>
  <c r="L26" i="21"/>
  <c r="L30" i="21"/>
  <c r="L34" i="21"/>
  <c r="L38" i="21"/>
  <c r="L42" i="21"/>
  <c r="L46" i="21"/>
  <c r="L50" i="21"/>
  <c r="L54" i="21"/>
  <c r="L58" i="21"/>
  <c r="L62" i="21"/>
  <c r="L66" i="21"/>
  <c r="L25" i="21"/>
  <c r="L29" i="21"/>
  <c r="L33" i="21"/>
  <c r="L37" i="21"/>
  <c r="L41" i="21"/>
  <c r="L45" i="21"/>
  <c r="L49" i="21"/>
  <c r="L53" i="21"/>
  <c r="L57" i="21"/>
  <c r="L61" i="21"/>
  <c r="L65" i="21"/>
  <c r="L24" i="21"/>
  <c r="L36" i="21"/>
  <c r="L52" i="21"/>
  <c r="L56" i="21"/>
  <c r="L32" i="21"/>
  <c r="L48" i="21"/>
  <c r="L64" i="21"/>
  <c r="L28" i="21"/>
  <c r="L44" i="21"/>
  <c r="L60" i="21"/>
  <c r="L40" i="21"/>
  <c r="M27" i="11"/>
  <c r="M31" i="11"/>
  <c r="M35" i="11"/>
  <c r="M39" i="11"/>
  <c r="M43" i="11"/>
  <c r="M47" i="11"/>
  <c r="M51" i="11"/>
  <c r="M55" i="11"/>
  <c r="M59" i="11"/>
  <c r="M63" i="11"/>
  <c r="M67" i="11"/>
  <c r="M26" i="11"/>
  <c r="M30" i="11"/>
  <c r="M34" i="11"/>
  <c r="M38" i="11"/>
  <c r="M42" i="11"/>
  <c r="M46" i="11"/>
  <c r="M50" i="11"/>
  <c r="M54" i="11"/>
  <c r="M58" i="11"/>
  <c r="M62" i="11"/>
  <c r="M66" i="11"/>
  <c r="M25" i="11"/>
  <c r="M29" i="11"/>
  <c r="M33" i="11"/>
  <c r="M37" i="11"/>
  <c r="M41" i="11"/>
  <c r="M45" i="11"/>
  <c r="M49" i="11"/>
  <c r="M53" i="11"/>
  <c r="M57" i="11"/>
  <c r="M61" i="11"/>
  <c r="M65" i="11"/>
  <c r="M40" i="11"/>
  <c r="M56" i="11"/>
  <c r="M28" i="11"/>
  <c r="M44" i="11"/>
  <c r="M60" i="11"/>
  <c r="M24" i="11"/>
  <c r="M36" i="11"/>
  <c r="M52" i="11"/>
  <c r="M32" i="11"/>
  <c r="M48" i="11"/>
  <c r="M64" i="11"/>
  <c r="I25" i="21"/>
  <c r="I29" i="21"/>
  <c r="I33" i="21"/>
  <c r="I37" i="21"/>
  <c r="I41" i="21"/>
  <c r="I45" i="21"/>
  <c r="I49" i="21"/>
  <c r="I53" i="21"/>
  <c r="I57" i="21"/>
  <c r="I61" i="21"/>
  <c r="I65" i="21"/>
  <c r="I24" i="21"/>
  <c r="I28" i="21"/>
  <c r="I32" i="21"/>
  <c r="I36" i="21"/>
  <c r="I40" i="21"/>
  <c r="I44" i="21"/>
  <c r="I48" i="21"/>
  <c r="I52" i="21"/>
  <c r="I56" i="21"/>
  <c r="I60" i="21"/>
  <c r="I64" i="21"/>
  <c r="I27" i="21"/>
  <c r="I31" i="21"/>
  <c r="I35" i="21"/>
  <c r="I39" i="21"/>
  <c r="I43" i="21"/>
  <c r="I47" i="21"/>
  <c r="I51" i="21"/>
  <c r="I55" i="21"/>
  <c r="I59" i="21"/>
  <c r="I63" i="21"/>
  <c r="I67" i="21"/>
  <c r="I46" i="21"/>
  <c r="I26" i="21"/>
  <c r="I42" i="21"/>
  <c r="I58" i="21"/>
  <c r="I38" i="21"/>
  <c r="I54" i="21"/>
  <c r="I34" i="21"/>
  <c r="I50" i="21"/>
  <c r="I66" i="21"/>
  <c r="I30" i="21"/>
  <c r="I62" i="21"/>
  <c r="M27" i="21"/>
  <c r="M31" i="21"/>
  <c r="M35" i="21"/>
  <c r="M39" i="21"/>
  <c r="M43" i="21"/>
  <c r="M47" i="21"/>
  <c r="M51" i="21"/>
  <c r="M55" i="21"/>
  <c r="M59" i="21"/>
  <c r="M63" i="21"/>
  <c r="M67" i="21"/>
  <c r="M26" i="21"/>
  <c r="M30" i="21"/>
  <c r="M34" i="21"/>
  <c r="M38" i="21"/>
  <c r="M42" i="21"/>
  <c r="M46" i="21"/>
  <c r="M50" i="21"/>
  <c r="M54" i="21"/>
  <c r="M58" i="21"/>
  <c r="M62" i="21"/>
  <c r="M66" i="21"/>
  <c r="M25" i="21"/>
  <c r="M29" i="21"/>
  <c r="M33" i="21"/>
  <c r="M37" i="21"/>
  <c r="M41" i="21"/>
  <c r="M45" i="21"/>
  <c r="M49" i="21"/>
  <c r="M53" i="21"/>
  <c r="M57" i="21"/>
  <c r="M61" i="21"/>
  <c r="M65" i="21"/>
  <c r="M24" i="21"/>
  <c r="M36" i="21"/>
  <c r="M52" i="21"/>
  <c r="M40" i="21"/>
  <c r="M32" i="21"/>
  <c r="M48" i="21"/>
  <c r="M64" i="21"/>
  <c r="M28" i="21"/>
  <c r="M44" i="21"/>
  <c r="M60" i="21"/>
  <c r="M56" i="21"/>
  <c r="L27" i="11"/>
  <c r="L31" i="11"/>
  <c r="L35" i="11"/>
  <c r="L39" i="11"/>
  <c r="L43" i="11"/>
  <c r="L47" i="11"/>
  <c r="L51" i="11"/>
  <c r="L55" i="11"/>
  <c r="L59" i="11"/>
  <c r="L63" i="11"/>
  <c r="L67" i="11"/>
  <c r="L26" i="11"/>
  <c r="L30" i="11"/>
  <c r="L34" i="11"/>
  <c r="L38" i="11"/>
  <c r="L42" i="11"/>
  <c r="L46" i="11"/>
  <c r="L50" i="11"/>
  <c r="L54" i="11"/>
  <c r="L58" i="11"/>
  <c r="L62" i="11"/>
  <c r="L66" i="11"/>
  <c r="L25" i="11"/>
  <c r="L29" i="11"/>
  <c r="L33" i="11"/>
  <c r="L37" i="11"/>
  <c r="L41" i="11"/>
  <c r="L45" i="11"/>
  <c r="L49" i="11"/>
  <c r="L53" i="11"/>
  <c r="L57" i="11"/>
  <c r="L61" i="11"/>
  <c r="L65" i="11"/>
  <c r="L24" i="11"/>
  <c r="L40" i="11"/>
  <c r="L56" i="11"/>
  <c r="L36" i="11"/>
  <c r="L52" i="11"/>
  <c r="L32" i="11"/>
  <c r="L48" i="11"/>
  <c r="L64" i="11"/>
  <c r="L44" i="11"/>
  <c r="L28" i="11"/>
  <c r="L60" i="11"/>
  <c r="K26" i="11"/>
  <c r="K30" i="11"/>
  <c r="K34" i="11"/>
  <c r="K38" i="11"/>
  <c r="K42" i="11"/>
  <c r="K46" i="11"/>
  <c r="K50" i="11"/>
  <c r="K54" i="11"/>
  <c r="K58" i="11"/>
  <c r="K62" i="11"/>
  <c r="K66" i="11"/>
  <c r="K25" i="11"/>
  <c r="K29" i="11"/>
  <c r="K33" i="11"/>
  <c r="K37" i="11"/>
  <c r="K41" i="11"/>
  <c r="K45" i="11"/>
  <c r="K49" i="11"/>
  <c r="K53" i="11"/>
  <c r="K57" i="11"/>
  <c r="K61" i="11"/>
  <c r="K65" i="11"/>
  <c r="K24" i="11"/>
  <c r="K28" i="11"/>
  <c r="K32" i="11"/>
  <c r="K36" i="11"/>
  <c r="K40" i="11"/>
  <c r="K44" i="11"/>
  <c r="K48" i="11"/>
  <c r="K52" i="11"/>
  <c r="K56" i="11"/>
  <c r="K60" i="11"/>
  <c r="K64" i="11"/>
  <c r="K35" i="11"/>
  <c r="K51" i="11"/>
  <c r="K67" i="11"/>
  <c r="K55" i="11"/>
  <c r="K31" i="11"/>
  <c r="K47" i="11"/>
  <c r="K63" i="11"/>
  <c r="K27" i="11"/>
  <c r="K43" i="11"/>
  <c r="K59" i="11"/>
  <c r="K39" i="11"/>
  <c r="AJ26" i="21"/>
  <c r="AJ29" i="21"/>
  <c r="AJ32" i="21"/>
  <c r="AJ24" i="21"/>
  <c r="AJ27" i="21"/>
  <c r="AJ30" i="21"/>
  <c r="AJ33" i="21"/>
  <c r="AJ25" i="21"/>
  <c r="AJ28" i="21"/>
  <c r="AJ31" i="21"/>
  <c r="AK29" i="21"/>
  <c r="AK32" i="21"/>
  <c r="AK24" i="21"/>
  <c r="AK27" i="21"/>
  <c r="AK30" i="21"/>
  <c r="AK33" i="21"/>
  <c r="AK25" i="21"/>
  <c r="AK28" i="21"/>
  <c r="AK26" i="21"/>
  <c r="AK31" i="21"/>
  <c r="M74" i="23"/>
  <c r="N73" i="23"/>
  <c r="N26" i="23"/>
  <c r="AS21" i="21"/>
  <c r="BA21" i="21"/>
  <c r="AT21" i="21"/>
  <c r="BB21" i="21"/>
  <c r="AU21" i="21"/>
  <c r="BC21" i="21"/>
  <c r="AN21" i="21"/>
  <c r="AV21" i="21"/>
  <c r="BH21" i="21"/>
  <c r="AO21" i="21"/>
  <c r="AW21" i="21"/>
  <c r="BG21" i="21"/>
  <c r="AP21" i="21"/>
  <c r="AX21" i="21"/>
  <c r="BF21" i="21"/>
  <c r="AQ21" i="21"/>
  <c r="AY21" i="21"/>
  <c r="BE21" i="21"/>
  <c r="AR21" i="21"/>
  <c r="AZ21" i="21"/>
  <c r="BD21" i="21"/>
  <c r="O21" i="21"/>
  <c r="AI30" i="21" s="1"/>
  <c r="Y21" i="21"/>
  <c r="Z21" i="21"/>
  <c r="N21" i="21"/>
  <c r="AA21" i="21"/>
  <c r="S21" i="21"/>
  <c r="AB21" i="21"/>
  <c r="R21" i="21"/>
  <c r="AC21" i="21"/>
  <c r="O7" i="15"/>
  <c r="P7" i="15"/>
  <c r="Q7" i="15"/>
  <c r="R7" i="15"/>
  <c r="S7" i="15"/>
  <c r="O8" i="15"/>
  <c r="P8" i="15"/>
  <c r="Q8" i="15"/>
  <c r="R8" i="15"/>
  <c r="S8" i="15"/>
  <c r="N8" i="15"/>
  <c r="N7" i="15"/>
  <c r="I7" i="15"/>
  <c r="J7" i="15"/>
  <c r="K7" i="15"/>
  <c r="L7" i="15"/>
  <c r="M7" i="15"/>
  <c r="I8" i="15"/>
  <c r="J8" i="15"/>
  <c r="K8" i="15"/>
  <c r="L8" i="15"/>
  <c r="M8" i="15"/>
  <c r="H8" i="15"/>
  <c r="H7" i="15"/>
  <c r="L7" i="14"/>
  <c r="O7" i="14"/>
  <c r="P7" i="14"/>
  <c r="Q7" i="14"/>
  <c r="R7" i="14"/>
  <c r="S7" i="14"/>
  <c r="O8" i="14"/>
  <c r="P8" i="14"/>
  <c r="Q8" i="14"/>
  <c r="R8" i="14"/>
  <c r="S8" i="14"/>
  <c r="N8" i="14"/>
  <c r="N7" i="14"/>
  <c r="I8" i="14"/>
  <c r="J8" i="14"/>
  <c r="K8" i="14"/>
  <c r="L8" i="14"/>
  <c r="M8" i="14"/>
  <c r="H8" i="14"/>
  <c r="I7" i="14"/>
  <c r="J7" i="14"/>
  <c r="K7" i="14"/>
  <c r="M7" i="14"/>
  <c r="H7" i="14"/>
  <c r="Q16" i="11"/>
  <c r="Q15" i="11"/>
  <c r="Q14" i="11"/>
  <c r="Q13" i="11"/>
  <c r="Q12" i="11"/>
  <c r="Q11" i="11"/>
  <c r="P11" i="21"/>
  <c r="P12" i="21"/>
  <c r="P13" i="21"/>
  <c r="P14" i="21"/>
  <c r="P15" i="21"/>
  <c r="P16" i="21"/>
  <c r="F45" i="11" l="1"/>
  <c r="AI29" i="21"/>
  <c r="AL29" i="21"/>
  <c r="AL28" i="21"/>
  <c r="AL27" i="21"/>
  <c r="AI33" i="21"/>
  <c r="AI24" i="21"/>
  <c r="AL31" i="21"/>
  <c r="AL30" i="21"/>
  <c r="AI32" i="21"/>
  <c r="AI31" i="21"/>
  <c r="AI28" i="21"/>
  <c r="AI27" i="21"/>
  <c r="AL25" i="21"/>
  <c r="AI26" i="21"/>
  <c r="AL26" i="21"/>
  <c r="AL24" i="21"/>
  <c r="AI25" i="21"/>
  <c r="M75" i="23"/>
  <c r="N74" i="23"/>
  <c r="N27" i="23"/>
  <c r="Q15" i="21"/>
  <c r="W22" i="21" s="1"/>
  <c r="Q12" i="21"/>
  <c r="T22" i="21" s="1"/>
  <c r="Q16" i="21"/>
  <c r="X22" i="21" s="1"/>
  <c r="Q14" i="21"/>
  <c r="V22" i="21" s="1"/>
  <c r="Q13" i="21"/>
  <c r="U22" i="21" s="1"/>
  <c r="F46" i="11" l="1"/>
  <c r="M76" i="23"/>
  <c r="N75" i="23"/>
  <c r="N28" i="23"/>
  <c r="J17" i="23" l="1"/>
  <c r="F47" i="11"/>
  <c r="M77" i="23"/>
  <c r="N76" i="23"/>
  <c r="N29" i="23"/>
  <c r="J18" i="23" s="1"/>
  <c r="F48" i="11" l="1"/>
  <c r="AL32" i="21"/>
  <c r="M78" i="23"/>
  <c r="N77" i="23"/>
  <c r="N30" i="23"/>
  <c r="F49" i="11" l="1"/>
  <c r="M79" i="23"/>
  <c r="N78" i="23"/>
  <c r="N31" i="23"/>
  <c r="D4" i="11"/>
  <c r="D3" i="11"/>
  <c r="F50" i="11" l="1"/>
  <c r="M80" i="23"/>
  <c r="N79" i="23"/>
  <c r="N32" i="23"/>
  <c r="X7" i="15"/>
  <c r="Y7" i="15"/>
  <c r="Z7" i="15"/>
  <c r="AA7" i="15"/>
  <c r="AB7" i="15"/>
  <c r="AC7" i="15"/>
  <c r="AU18" i="13"/>
  <c r="AV18" i="13" s="1"/>
  <c r="AQ17" i="13"/>
  <c r="AO18" i="13"/>
  <c r="AO17" i="13"/>
  <c r="J19" i="23" l="1"/>
  <c r="AR30" i="13"/>
  <c r="AP26" i="13"/>
  <c r="AO25" i="13"/>
  <c r="AR32" i="13"/>
  <c r="AR33" i="13"/>
  <c r="AO32" i="13"/>
  <c r="AP29" i="13"/>
  <c r="AN24" i="13"/>
  <c r="AQ31" i="13"/>
  <c r="AP31" i="13"/>
  <c r="AQ32" i="13"/>
  <c r="AP32" i="13"/>
  <c r="AQ29" i="13"/>
  <c r="AN28" i="13"/>
  <c r="AO30" i="13"/>
  <c r="AN30" i="13"/>
  <c r="AO31" i="13"/>
  <c r="AN31" i="13"/>
  <c r="AO28" i="13"/>
  <c r="AN29" i="13"/>
  <c r="AR26" i="13"/>
  <c r="AQ27" i="13"/>
  <c r="AR28" i="13"/>
  <c r="AO24" i="13"/>
  <c r="AQ28" i="13"/>
  <c r="AR29" i="13"/>
  <c r="AQ25" i="13"/>
  <c r="AP25" i="13"/>
  <c r="AO33" i="13"/>
  <c r="AO26" i="13"/>
  <c r="AN25" i="13"/>
  <c r="AP27" i="13"/>
  <c r="AO27" i="13"/>
  <c r="AP28" i="13"/>
  <c r="AN33" i="13"/>
  <c r="AQ30" i="13"/>
  <c r="AR27" i="13"/>
  <c r="AQ24" i="13"/>
  <c r="AN26" i="13"/>
  <c r="AP30" i="13"/>
  <c r="AR31" i="13"/>
  <c r="AN27" i="13"/>
  <c r="AP33" i="13"/>
  <c r="AO29" i="13"/>
  <c r="AP24" i="13"/>
  <c r="AR24" i="13"/>
  <c r="AR25" i="13"/>
  <c r="AN32" i="13"/>
  <c r="AQ26" i="13"/>
  <c r="AQ33" i="13"/>
  <c r="F51" i="11"/>
  <c r="M81" i="23"/>
  <c r="N80" i="23"/>
  <c r="N33" i="23"/>
  <c r="F52" i="11" l="1"/>
  <c r="M82" i="23"/>
  <c r="N81" i="23"/>
  <c r="N34" i="23"/>
  <c r="AU18" i="11"/>
  <c r="AV18" i="11" s="1"/>
  <c r="J20" i="23" l="1"/>
  <c r="F53" i="11"/>
  <c r="M83" i="23"/>
  <c r="N82" i="23"/>
  <c r="N35" i="23"/>
  <c r="F54" i="11" l="1"/>
  <c r="M84" i="23"/>
  <c r="N83" i="23"/>
  <c r="N36" i="23"/>
  <c r="K41" i="23" s="1"/>
  <c r="K11" i="23" l="1"/>
  <c r="K14" i="23"/>
  <c r="K22" i="23"/>
  <c r="K18" i="23"/>
  <c r="K7" i="23"/>
  <c r="K15" i="23"/>
  <c r="K23" i="23"/>
  <c r="K8" i="23"/>
  <c r="K13" i="23"/>
  <c r="K6" i="23"/>
  <c r="K16" i="23"/>
  <c r="K24" i="23"/>
  <c r="K19" i="23"/>
  <c r="K21" i="23"/>
  <c r="K10" i="23"/>
  <c r="K17" i="23"/>
  <c r="K9" i="23"/>
  <c r="K12" i="23"/>
  <c r="K20" i="23"/>
  <c r="K27" i="23"/>
  <c r="K25" i="23"/>
  <c r="K26" i="23"/>
  <c r="K28" i="23"/>
  <c r="K29" i="23"/>
  <c r="K30" i="23"/>
  <c r="K31" i="23"/>
  <c r="K32" i="23"/>
  <c r="K33" i="23"/>
  <c r="K34" i="23"/>
  <c r="K35" i="23"/>
  <c r="K36" i="23"/>
  <c r="K37" i="23"/>
  <c r="K38" i="23"/>
  <c r="K39" i="23"/>
  <c r="K40" i="23"/>
  <c r="J38" i="23"/>
  <c r="J31" i="23"/>
  <c r="J35" i="23"/>
  <c r="J32" i="23"/>
  <c r="J36" i="23"/>
  <c r="J37" i="23"/>
  <c r="J33" i="23"/>
  <c r="J34" i="23"/>
  <c r="J39" i="23"/>
  <c r="J40" i="23"/>
  <c r="F55" i="11"/>
  <c r="M85" i="23"/>
  <c r="N84" i="23"/>
  <c r="N37" i="23"/>
  <c r="J21" i="23" s="1"/>
  <c r="L55" i="1" l="1"/>
  <c r="F56" i="11"/>
  <c r="AL33" i="21"/>
  <c r="M86" i="23"/>
  <c r="N85" i="23"/>
  <c r="N38" i="23"/>
  <c r="K42" i="23" s="1"/>
  <c r="K22" i="1"/>
  <c r="L22" i="1"/>
  <c r="M22" i="1"/>
  <c r="K23" i="1"/>
  <c r="L23" i="1"/>
  <c r="M23" i="1"/>
  <c r="K24" i="1"/>
  <c r="L24" i="1"/>
  <c r="M24" i="1"/>
  <c r="K25" i="1"/>
  <c r="L25" i="1"/>
  <c r="M25" i="1"/>
  <c r="K26" i="1"/>
  <c r="L26" i="1"/>
  <c r="M26" i="1"/>
  <c r="K27" i="1"/>
  <c r="L27" i="1"/>
  <c r="M27" i="1"/>
  <c r="K28" i="1"/>
  <c r="L28" i="1"/>
  <c r="M28" i="1"/>
  <c r="K29" i="1"/>
  <c r="L29" i="1"/>
  <c r="M29" i="1"/>
  <c r="K30" i="1"/>
  <c r="L30" i="1"/>
  <c r="M30" i="1"/>
  <c r="K31" i="1"/>
  <c r="L31" i="1"/>
  <c r="M31" i="1"/>
  <c r="K32" i="1"/>
  <c r="L32" i="1"/>
  <c r="M32" i="1"/>
  <c r="K33" i="1"/>
  <c r="L33" i="1"/>
  <c r="M33" i="1"/>
  <c r="K34" i="1"/>
  <c r="L34" i="1"/>
  <c r="M34" i="1"/>
  <c r="K35" i="1"/>
  <c r="L35" i="1"/>
  <c r="M35" i="1"/>
  <c r="K36" i="1"/>
  <c r="L36" i="1"/>
  <c r="M36" i="1"/>
  <c r="K37" i="1"/>
  <c r="L37" i="1"/>
  <c r="M37" i="1"/>
  <c r="K38" i="1"/>
  <c r="L38" i="1"/>
  <c r="M38" i="1"/>
  <c r="K39" i="1"/>
  <c r="L39" i="1"/>
  <c r="M39" i="1"/>
  <c r="K40" i="1"/>
  <c r="L40" i="1"/>
  <c r="M40" i="1"/>
  <c r="K41" i="1"/>
  <c r="L41" i="1"/>
  <c r="M41" i="1"/>
  <c r="K42" i="1"/>
  <c r="L42" i="1"/>
  <c r="M42" i="1"/>
  <c r="K43" i="1"/>
  <c r="L43" i="1"/>
  <c r="M43" i="1"/>
  <c r="K44" i="1"/>
  <c r="L44" i="1"/>
  <c r="M44" i="1"/>
  <c r="K45" i="1"/>
  <c r="L45" i="1"/>
  <c r="M45" i="1"/>
  <c r="K46" i="1"/>
  <c r="L46" i="1"/>
  <c r="M46" i="1"/>
  <c r="K47" i="1"/>
  <c r="L47" i="1"/>
  <c r="M47" i="1"/>
  <c r="K48" i="1"/>
  <c r="L48" i="1"/>
  <c r="M48" i="1"/>
  <c r="K49" i="1"/>
  <c r="L49" i="1"/>
  <c r="M49" i="1"/>
  <c r="K50" i="1"/>
  <c r="L50" i="1"/>
  <c r="M50" i="1"/>
  <c r="K51" i="1"/>
  <c r="L51" i="1"/>
  <c r="M51" i="1"/>
  <c r="K52" i="1"/>
  <c r="L52" i="1"/>
  <c r="M52" i="1"/>
  <c r="K53" i="1"/>
  <c r="L53" i="1"/>
  <c r="M53" i="1"/>
  <c r="K54" i="1"/>
  <c r="L54" i="1"/>
  <c r="M54" i="1"/>
  <c r="K55" i="1"/>
  <c r="M55" i="1"/>
  <c r="K56" i="1"/>
  <c r="M56" i="1"/>
  <c r="K57" i="1"/>
  <c r="M57" i="1"/>
  <c r="K58" i="1"/>
  <c r="M58" i="1"/>
  <c r="K59" i="1"/>
  <c r="M59" i="1"/>
  <c r="K60" i="1"/>
  <c r="M60" i="1"/>
  <c r="K61" i="1"/>
  <c r="M61" i="1"/>
  <c r="K62" i="1"/>
  <c r="M62" i="1"/>
  <c r="K63" i="1"/>
  <c r="M63" i="1"/>
  <c r="K64" i="1"/>
  <c r="M64" i="1"/>
  <c r="K65" i="1"/>
  <c r="M65" i="1"/>
  <c r="I23" i="1"/>
  <c r="J23" i="1"/>
  <c r="I24" i="1"/>
  <c r="J24" i="1"/>
  <c r="I25" i="1"/>
  <c r="J25" i="1"/>
  <c r="I26" i="1"/>
  <c r="J26" i="1"/>
  <c r="I27" i="1"/>
  <c r="J27" i="1"/>
  <c r="I28" i="1"/>
  <c r="J28" i="1"/>
  <c r="I29" i="1"/>
  <c r="J29" i="1"/>
  <c r="I30" i="1"/>
  <c r="J30" i="1"/>
  <c r="I31" i="1"/>
  <c r="J31" i="1"/>
  <c r="I32" i="1"/>
  <c r="J32" i="1"/>
  <c r="I33" i="1"/>
  <c r="J33" i="1"/>
  <c r="I34" i="1"/>
  <c r="J34" i="1"/>
  <c r="J35" i="1"/>
  <c r="J36" i="1"/>
  <c r="J37" i="1"/>
  <c r="J38" i="1"/>
  <c r="J39" i="1"/>
  <c r="J40" i="1"/>
  <c r="J41" i="1"/>
  <c r="J42" i="1"/>
  <c r="J43" i="1"/>
  <c r="J44" i="1"/>
  <c r="J45" i="1"/>
  <c r="J46" i="1"/>
  <c r="J47" i="1"/>
  <c r="J48" i="1"/>
  <c r="J49" i="1"/>
  <c r="J50" i="1"/>
  <c r="J51" i="1"/>
  <c r="J52" i="1"/>
  <c r="J53" i="1"/>
  <c r="J54" i="1"/>
  <c r="J55" i="1"/>
  <c r="J56" i="1"/>
  <c r="J57" i="1"/>
  <c r="J58" i="1"/>
  <c r="J59" i="1"/>
  <c r="J60" i="1"/>
  <c r="J61" i="1"/>
  <c r="J62" i="1"/>
  <c r="J63" i="1"/>
  <c r="J64" i="1"/>
  <c r="J65" i="1"/>
  <c r="J22" i="1"/>
  <c r="I22" i="1"/>
  <c r="B25" i="11"/>
  <c r="F57" i="11" l="1"/>
  <c r="M87" i="23"/>
  <c r="N86" i="23"/>
  <c r="N39" i="23"/>
  <c r="B26" i="11"/>
  <c r="AL23" i="11"/>
  <c r="J22" i="23" l="1"/>
  <c r="K43" i="23"/>
  <c r="F58" i="11"/>
  <c r="L56" i="1"/>
  <c r="M88" i="23"/>
  <c r="N87" i="23"/>
  <c r="N40" i="23"/>
  <c r="B27" i="11"/>
  <c r="F59" i="11" l="1"/>
  <c r="L57" i="1"/>
  <c r="M89" i="23"/>
  <c r="N88" i="23"/>
  <c r="N41" i="23"/>
  <c r="B28" i="11"/>
  <c r="AV21" i="11"/>
  <c r="J23" i="23" l="1"/>
  <c r="K44" i="23"/>
  <c r="F60" i="11"/>
  <c r="L58" i="1"/>
  <c r="M90" i="23"/>
  <c r="N89" i="23"/>
  <c r="N42" i="23"/>
  <c r="B29" i="11"/>
  <c r="P15" i="13"/>
  <c r="P16" i="13"/>
  <c r="P14" i="13"/>
  <c r="V22" i="11"/>
  <c r="W22" i="11"/>
  <c r="X22" i="11"/>
  <c r="X69" i="11" s="1"/>
  <c r="U22" i="11"/>
  <c r="AD21" i="13"/>
  <c r="AD22" i="13"/>
  <c r="AE21" i="13"/>
  <c r="AE22" i="13"/>
  <c r="AF21" i="13"/>
  <c r="AF22" i="13"/>
  <c r="AG21" i="13"/>
  <c r="AG22" i="13"/>
  <c r="AH21" i="13"/>
  <c r="AH22" i="13"/>
  <c r="AM23" i="13"/>
  <c r="AL23" i="13"/>
  <c r="AK23" i="13"/>
  <c r="AJ23" i="13"/>
  <c r="AI23" i="13"/>
  <c r="E7" i="14"/>
  <c r="G8" i="20"/>
  <c r="F8" i="20"/>
  <c r="E8" i="20"/>
  <c r="D8" i="20"/>
  <c r="C8" i="20"/>
  <c r="B8" i="20"/>
  <c r="G7" i="20"/>
  <c r="F7" i="20"/>
  <c r="E7" i="20"/>
  <c r="D7" i="20"/>
  <c r="C7" i="20"/>
  <c r="B7" i="20"/>
  <c r="AC8" i="15"/>
  <c r="AB8" i="15"/>
  <c r="AA8" i="15"/>
  <c r="Z8" i="15"/>
  <c r="Y8" i="15"/>
  <c r="X8" i="15"/>
  <c r="G8" i="15"/>
  <c r="F8" i="15"/>
  <c r="E8" i="15"/>
  <c r="D8" i="15"/>
  <c r="C8" i="15"/>
  <c r="B8" i="15"/>
  <c r="C7" i="15"/>
  <c r="D7" i="15"/>
  <c r="E7" i="15"/>
  <c r="F7" i="15"/>
  <c r="G7" i="15"/>
  <c r="B7" i="15"/>
  <c r="C8" i="14"/>
  <c r="D8" i="14"/>
  <c r="E8" i="14"/>
  <c r="F8" i="14"/>
  <c r="G8" i="14"/>
  <c r="B8" i="14"/>
  <c r="B7" i="14"/>
  <c r="C7" i="14"/>
  <c r="D7" i="14"/>
  <c r="G7" i="14"/>
  <c r="F7" i="14"/>
  <c r="F61" i="11" l="1"/>
  <c r="L59" i="1"/>
  <c r="M91" i="23"/>
  <c r="N90" i="23"/>
  <c r="N43" i="23"/>
  <c r="K45" i="23" s="1"/>
  <c r="AV21" i="13"/>
  <c r="AP21" i="13"/>
  <c r="AO21" i="13"/>
  <c r="AC21" i="13"/>
  <c r="BD21" i="13"/>
  <c r="B30" i="11"/>
  <c r="AQ21" i="13"/>
  <c r="AW21" i="13"/>
  <c r="BE21" i="13"/>
  <c r="AB21" i="13"/>
  <c r="S21" i="13"/>
  <c r="AA21" i="13"/>
  <c r="AR21" i="13"/>
  <c r="AX21" i="13"/>
  <c r="BF21" i="13"/>
  <c r="R21" i="13"/>
  <c r="Z21" i="13"/>
  <c r="AY21" i="13"/>
  <c r="BG21" i="13"/>
  <c r="Q21" i="13"/>
  <c r="AZ21" i="13"/>
  <c r="BH21" i="13"/>
  <c r="P21" i="13"/>
  <c r="AS21" i="13"/>
  <c r="BA21" i="13"/>
  <c r="N21" i="13"/>
  <c r="AN21" i="13"/>
  <c r="AT21" i="13"/>
  <c r="BB21" i="13"/>
  <c r="O21" i="13"/>
  <c r="Y21" i="13"/>
  <c r="AU21" i="13"/>
  <c r="BC21" i="13"/>
  <c r="F62" i="11" l="1"/>
  <c r="L60" i="1"/>
  <c r="AM29" i="13"/>
  <c r="AL24" i="13"/>
  <c r="AK24" i="13"/>
  <c r="AI33" i="13"/>
  <c r="AJ31" i="13"/>
  <c r="AL25" i="13"/>
  <c r="AM35" i="13"/>
  <c r="AM25" i="13"/>
  <c r="AI28" i="13"/>
  <c r="AM37" i="13"/>
  <c r="AM26" i="13"/>
  <c r="AL31" i="13"/>
  <c r="AK26" i="13"/>
  <c r="AJ26" i="13"/>
  <c r="AJ33" i="13"/>
  <c r="AK32" i="13"/>
  <c r="AM31" i="13"/>
  <c r="AM28" i="13"/>
  <c r="AL33" i="13"/>
  <c r="AL28" i="13"/>
  <c r="AL27" i="13"/>
  <c r="AI31" i="13"/>
  <c r="AK31" i="13"/>
  <c r="AM33" i="13"/>
  <c r="AL30" i="13"/>
  <c r="AL35" i="13"/>
  <c r="AL26" i="13"/>
  <c r="AM24" i="13"/>
  <c r="AM34" i="13"/>
  <c r="AL36" i="13"/>
  <c r="AL34" i="13"/>
  <c r="AK33" i="13"/>
  <c r="AK25" i="13"/>
  <c r="AJ29" i="13"/>
  <c r="AJ28" i="13"/>
  <c r="AI27" i="13"/>
  <c r="AI24" i="13"/>
  <c r="AM27" i="13"/>
  <c r="AM36" i="13"/>
  <c r="AL29" i="13"/>
  <c r="AK27" i="13"/>
  <c r="AJ25" i="13"/>
  <c r="AI29" i="13"/>
  <c r="AI30" i="13"/>
  <c r="AM32" i="13"/>
  <c r="AM30" i="13"/>
  <c r="AK28" i="13"/>
  <c r="AJ27" i="13"/>
  <c r="AJ30" i="13"/>
  <c r="AJ24" i="13"/>
  <c r="AI32" i="13"/>
  <c r="AI26" i="13"/>
  <c r="AI25" i="13"/>
  <c r="AL32" i="13"/>
  <c r="AK29" i="13"/>
  <c r="AK30" i="13"/>
  <c r="AJ32" i="13"/>
  <c r="M92" i="23"/>
  <c r="N91" i="23"/>
  <c r="N44" i="23"/>
  <c r="J24" i="23" s="1"/>
  <c r="B31" i="11"/>
  <c r="AL37" i="13" l="1"/>
  <c r="F63" i="11"/>
  <c r="L61" i="1"/>
  <c r="M93" i="23"/>
  <c r="N92" i="23"/>
  <c r="N45" i="23"/>
  <c r="K46" i="23" s="1"/>
  <c r="B32" i="11"/>
  <c r="AI23" i="11"/>
  <c r="AD21" i="11"/>
  <c r="AD22" i="11"/>
  <c r="AJ23" i="11"/>
  <c r="AE21" i="11"/>
  <c r="AE22" i="11"/>
  <c r="AK23" i="11"/>
  <c r="AF21" i="11"/>
  <c r="AF22" i="11"/>
  <c r="AG21" i="11"/>
  <c r="AG22" i="11"/>
  <c r="AM23" i="11"/>
  <c r="AH21" i="11"/>
  <c r="AH22" i="11"/>
  <c r="BC21" i="11"/>
  <c r="W68" i="11"/>
  <c r="X68" i="11"/>
  <c r="F64" i="11" l="1"/>
  <c r="L62" i="1"/>
  <c r="M94" i="23"/>
  <c r="N93" i="23"/>
  <c r="N46" i="23"/>
  <c r="B33" i="11"/>
  <c r="N21" i="11"/>
  <c r="Q21" i="11"/>
  <c r="AK28" i="11" s="1"/>
  <c r="BG21" i="11"/>
  <c r="BA21" i="11"/>
  <c r="AQ21" i="11"/>
  <c r="Y21" i="11"/>
  <c r="AX21" i="11"/>
  <c r="BD21" i="11"/>
  <c r="AN21" i="11"/>
  <c r="AS21" i="11"/>
  <c r="Z21" i="11"/>
  <c r="BE21" i="11"/>
  <c r="AY21" i="11"/>
  <c r="AO21" i="11"/>
  <c r="AT21" i="11"/>
  <c r="AA21" i="11"/>
  <c r="AZ21" i="11"/>
  <c r="BF21" i="11"/>
  <c r="AP21" i="11"/>
  <c r="AU21" i="11"/>
  <c r="BH21" i="11"/>
  <c r="BB21" i="11"/>
  <c r="AR21" i="11"/>
  <c r="AW21" i="11"/>
  <c r="T22" i="11"/>
  <c r="AC21" i="11"/>
  <c r="AB21" i="11"/>
  <c r="S21" i="11"/>
  <c r="AM31" i="11" s="1"/>
  <c r="R21" i="11"/>
  <c r="J25" i="23" l="1"/>
  <c r="K47" i="23"/>
  <c r="F65" i="11"/>
  <c r="L63" i="1"/>
  <c r="AK24" i="11"/>
  <c r="AK26" i="11"/>
  <c r="AM30" i="11"/>
  <c r="AL28" i="11"/>
  <c r="AL29" i="11"/>
  <c r="AL24" i="11"/>
  <c r="AL30" i="11"/>
  <c r="AL31" i="11"/>
  <c r="AL32" i="11"/>
  <c r="AL27" i="11"/>
  <c r="AL33" i="11"/>
  <c r="AL26" i="11"/>
  <c r="AL25" i="11"/>
  <c r="AK33" i="11"/>
  <c r="AM25" i="11"/>
  <c r="AM24" i="11"/>
  <c r="AK30" i="11"/>
  <c r="AK31" i="11"/>
  <c r="AK25" i="11"/>
  <c r="AM33" i="11"/>
  <c r="AM26" i="11"/>
  <c r="AM34" i="11"/>
  <c r="AK29" i="11"/>
  <c r="AM32" i="11"/>
  <c r="AK32" i="11"/>
  <c r="AM29" i="11"/>
  <c r="AK27" i="11"/>
  <c r="AM27" i="11"/>
  <c r="AM35" i="11"/>
  <c r="AM28" i="11"/>
  <c r="M95" i="23"/>
  <c r="N94" i="23"/>
  <c r="N47" i="23"/>
  <c r="B34" i="11" l="1"/>
  <c r="F66" i="11"/>
  <c r="L64" i="1"/>
  <c r="M96" i="23"/>
  <c r="N95" i="23"/>
  <c r="N48" i="23"/>
  <c r="K48" i="23" s="1"/>
  <c r="B35" i="11"/>
  <c r="AG12" i="4"/>
  <c r="AG13" i="4"/>
  <c r="AG14" i="4"/>
  <c r="AG15" i="4"/>
  <c r="B34" i="13" l="1"/>
  <c r="F67" i="11"/>
  <c r="L65" i="1"/>
  <c r="M97" i="23"/>
  <c r="N96" i="23"/>
  <c r="N49" i="23"/>
  <c r="B36" i="11"/>
  <c r="AC55" i="4"/>
  <c r="AA55" i="4"/>
  <c r="AA56" i="4" s="1"/>
  <c r="AA57" i="4" s="1"/>
  <c r="AA58" i="4" s="1"/>
  <c r="AK58" i="4" s="1"/>
  <c r="AI55" i="4"/>
  <c r="AG11" i="4"/>
  <c r="AG10" i="4"/>
  <c r="R17" i="13" s="1"/>
  <c r="J26" i="23" l="1"/>
  <c r="K49" i="23"/>
  <c r="J41" i="23"/>
  <c r="J42" i="23"/>
  <c r="J43" i="23"/>
  <c r="J44" i="23"/>
  <c r="J45" i="23"/>
  <c r="AN34" i="13"/>
  <c r="AR34" i="13"/>
  <c r="AQ34" i="13"/>
  <c r="AP34" i="13"/>
  <c r="AO34" i="13"/>
  <c r="B35" i="13"/>
  <c r="S25" i="21"/>
  <c r="Q38" i="21"/>
  <c r="S63" i="21"/>
  <c r="O24" i="21"/>
  <c r="P32" i="21"/>
  <c r="N50" i="21"/>
  <c r="R43" i="21"/>
  <c r="S57" i="21"/>
  <c r="P60" i="21"/>
  <c r="S34" i="21"/>
  <c r="S48" i="21"/>
  <c r="O57" i="21"/>
  <c r="N39" i="21"/>
  <c r="S30" i="21"/>
  <c r="R24" i="21"/>
  <c r="P50" i="21"/>
  <c r="Q42" i="21"/>
  <c r="S65" i="21"/>
  <c r="R35" i="21"/>
  <c r="P30" i="21"/>
  <c r="Q64" i="21"/>
  <c r="S45" i="21"/>
  <c r="O46" i="21"/>
  <c r="P65" i="21"/>
  <c r="N42" i="21"/>
  <c r="O59" i="21"/>
  <c r="R65" i="21"/>
  <c r="O49" i="21"/>
  <c r="Q44" i="21"/>
  <c r="N52" i="21"/>
  <c r="R32" i="21"/>
  <c r="O48" i="21"/>
  <c r="Q39" i="21"/>
  <c r="N27" i="21"/>
  <c r="O61" i="21"/>
  <c r="P28" i="21"/>
  <c r="P24" i="21"/>
  <c r="S67" i="21"/>
  <c r="R40" i="21"/>
  <c r="N56" i="21"/>
  <c r="P27" i="21"/>
  <c r="Q50" i="21"/>
  <c r="P55" i="21"/>
  <c r="S52" i="21"/>
  <c r="P38" i="21"/>
  <c r="P47" i="21"/>
  <c r="R42" i="21"/>
  <c r="N61" i="21"/>
  <c r="P45" i="21"/>
  <c r="N65" i="21"/>
  <c r="N57" i="21"/>
  <c r="P52" i="21"/>
  <c r="R39" i="21"/>
  <c r="P46" i="21"/>
  <c r="S47" i="21"/>
  <c r="P64" i="21"/>
  <c r="P67" i="21"/>
  <c r="N46" i="21"/>
  <c r="R46" i="21"/>
  <c r="S56" i="21"/>
  <c r="N36" i="21"/>
  <c r="R51" i="21"/>
  <c r="Q43" i="21"/>
  <c r="O60" i="21"/>
  <c r="S39" i="21"/>
  <c r="N58" i="21"/>
  <c r="S31" i="21"/>
  <c r="O67" i="21"/>
  <c r="P41" i="21"/>
  <c r="N45" i="21"/>
  <c r="O30" i="21"/>
  <c r="S53" i="21"/>
  <c r="P37" i="21"/>
  <c r="R67" i="21"/>
  <c r="S62" i="21"/>
  <c r="O25" i="21"/>
  <c r="N28" i="21"/>
  <c r="S42" i="21"/>
  <c r="O34" i="21"/>
  <c r="P44" i="21"/>
  <c r="N62" i="21"/>
  <c r="S49" i="21"/>
  <c r="R38" i="21"/>
  <c r="P43" i="21"/>
  <c r="Q66" i="21"/>
  <c r="S66" i="21"/>
  <c r="O51" i="21"/>
  <c r="P33" i="21"/>
  <c r="N67" i="21"/>
  <c r="S40" i="21"/>
  <c r="R33" i="21"/>
  <c r="P62" i="21"/>
  <c r="Q57" i="21"/>
  <c r="N49" i="21"/>
  <c r="R61" i="21"/>
  <c r="O45" i="21"/>
  <c r="Q40" i="21"/>
  <c r="N48" i="21"/>
  <c r="O58" i="21"/>
  <c r="O64" i="21"/>
  <c r="S37" i="21"/>
  <c r="P59" i="21"/>
  <c r="S36" i="21"/>
  <c r="Q49" i="21"/>
  <c r="O31" i="21"/>
  <c r="Q56" i="21"/>
  <c r="O37" i="21"/>
  <c r="O32" i="21"/>
  <c r="O52" i="21"/>
  <c r="O26" i="21"/>
  <c r="O53" i="21"/>
  <c r="R63" i="21"/>
  <c r="R50" i="21"/>
  <c r="Q37" i="21"/>
  <c r="R45" i="21"/>
  <c r="Q24" i="21"/>
  <c r="N32" i="21"/>
  <c r="U32" i="21" s="1"/>
  <c r="Q26" i="21"/>
  <c r="Q51" i="21"/>
  <c r="O40" i="21"/>
  <c r="O27" i="21"/>
  <c r="P66" i="21"/>
  <c r="S58" i="21"/>
  <c r="N33" i="21"/>
  <c r="N63" i="21"/>
  <c r="N34" i="21"/>
  <c r="Q32" i="21"/>
  <c r="Q30" i="21"/>
  <c r="N40" i="21"/>
  <c r="N53" i="21"/>
  <c r="S29" i="21"/>
  <c r="Q29" i="21"/>
  <c r="O33" i="21"/>
  <c r="P56" i="21"/>
  <c r="R36" i="21"/>
  <c r="R64" i="21"/>
  <c r="N59" i="21"/>
  <c r="R53" i="21"/>
  <c r="N26" i="21"/>
  <c r="R48" i="21"/>
  <c r="O28" i="21"/>
  <c r="Q55" i="21"/>
  <c r="N43" i="21"/>
  <c r="O44" i="21"/>
  <c r="R44" i="21"/>
  <c r="Q52" i="21"/>
  <c r="O62" i="21"/>
  <c r="S59" i="21"/>
  <c r="P35" i="21"/>
  <c r="S43" i="21"/>
  <c r="O35" i="21"/>
  <c r="P53" i="21"/>
  <c r="N30" i="21"/>
  <c r="S24" i="21"/>
  <c r="P34" i="21"/>
  <c r="Q34" i="21"/>
  <c r="S55" i="21"/>
  <c r="Q47" i="21"/>
  <c r="N35" i="21"/>
  <c r="R54" i="21"/>
  <c r="Q45" i="21"/>
  <c r="R29" i="21"/>
  <c r="P58" i="21"/>
  <c r="N29" i="21"/>
  <c r="N51" i="21"/>
  <c r="R55" i="21"/>
  <c r="N64" i="21"/>
  <c r="R41" i="21"/>
  <c r="Q61" i="21"/>
  <c r="S27" i="21"/>
  <c r="R60" i="21"/>
  <c r="N55" i="21"/>
  <c r="P36" i="21"/>
  <c r="N54" i="21"/>
  <c r="Q48" i="21"/>
  <c r="S46" i="21"/>
  <c r="S33" i="21"/>
  <c r="P42" i="21"/>
  <c r="O29" i="21"/>
  <c r="R30" i="21"/>
  <c r="R31" i="21"/>
  <c r="R28" i="21"/>
  <c r="Q35" i="21"/>
  <c r="S35" i="21"/>
  <c r="R27" i="21"/>
  <c r="Q65" i="21"/>
  <c r="O42" i="21"/>
  <c r="S38" i="21"/>
  <c r="Q46" i="21"/>
  <c r="O39" i="21"/>
  <c r="S64" i="21"/>
  <c r="R56" i="21"/>
  <c r="S28" i="21"/>
  <c r="O63" i="21"/>
  <c r="P51" i="21"/>
  <c r="R49" i="21"/>
  <c r="R26" i="21"/>
  <c r="N37" i="21"/>
  <c r="O56" i="21"/>
  <c r="P25" i="21"/>
  <c r="P40" i="21"/>
  <c r="S61" i="21"/>
  <c r="R66" i="21"/>
  <c r="P26" i="21"/>
  <c r="Q60" i="21"/>
  <c r="S60" i="21"/>
  <c r="Q31" i="21"/>
  <c r="O66" i="21"/>
  <c r="N41" i="21"/>
  <c r="Q63" i="21"/>
  <c r="R62" i="21"/>
  <c r="Q67" i="21"/>
  <c r="N24" i="21"/>
  <c r="R57" i="21"/>
  <c r="O41" i="21"/>
  <c r="Q36" i="21"/>
  <c r="N44" i="21"/>
  <c r="R52" i="21"/>
  <c r="O36" i="21"/>
  <c r="Q59" i="21"/>
  <c r="N47" i="21"/>
  <c r="R37" i="21"/>
  <c r="P63" i="21"/>
  <c r="Q53" i="21"/>
  <c r="S44" i="21"/>
  <c r="S51" i="21"/>
  <c r="O47" i="21"/>
  <c r="P61" i="21"/>
  <c r="N38" i="21"/>
  <c r="S50" i="21"/>
  <c r="O38" i="21"/>
  <c r="P48" i="21"/>
  <c r="N66" i="21"/>
  <c r="P49" i="21"/>
  <c r="S41" i="21"/>
  <c r="R34" i="21"/>
  <c r="P39" i="21"/>
  <c r="Q62" i="21"/>
  <c r="S26" i="21"/>
  <c r="Q25" i="21"/>
  <c r="O43" i="21"/>
  <c r="N60" i="21"/>
  <c r="Q33" i="21"/>
  <c r="O50" i="21"/>
  <c r="Q58" i="21"/>
  <c r="S32" i="21"/>
  <c r="R25" i="21"/>
  <c r="P54" i="21"/>
  <c r="Q41" i="21"/>
  <c r="R59" i="21"/>
  <c r="O65" i="21"/>
  <c r="Q27" i="21"/>
  <c r="N25" i="21"/>
  <c r="R58" i="21"/>
  <c r="P31" i="21"/>
  <c r="Q54" i="21"/>
  <c r="S54" i="21"/>
  <c r="R47" i="21"/>
  <c r="O55" i="21"/>
  <c r="P29" i="21"/>
  <c r="P57" i="21"/>
  <c r="O54" i="21"/>
  <c r="Q28" i="21"/>
  <c r="N31" i="21"/>
  <c r="S31" i="13"/>
  <c r="S58" i="13"/>
  <c r="S43" i="13"/>
  <c r="S24" i="13"/>
  <c r="S29" i="13"/>
  <c r="N39" i="13"/>
  <c r="N61" i="13"/>
  <c r="N42" i="13"/>
  <c r="N40" i="13"/>
  <c r="N52" i="13"/>
  <c r="N27" i="13"/>
  <c r="R62" i="13"/>
  <c r="R37" i="13"/>
  <c r="R65" i="13"/>
  <c r="R40" i="13"/>
  <c r="R48" i="13"/>
  <c r="P34" i="13"/>
  <c r="P47" i="13"/>
  <c r="P56" i="13"/>
  <c r="P40" i="13"/>
  <c r="P59" i="13"/>
  <c r="P35" i="13"/>
  <c r="Q59" i="13"/>
  <c r="Q48" i="13"/>
  <c r="Q33" i="13"/>
  <c r="Q45" i="13"/>
  <c r="Q24" i="13"/>
  <c r="Q55" i="13"/>
  <c r="O44" i="13"/>
  <c r="O48" i="13"/>
  <c r="O24" i="13"/>
  <c r="O25" i="13"/>
  <c r="O37" i="13"/>
  <c r="S60" i="13"/>
  <c r="S62" i="13"/>
  <c r="N54" i="13"/>
  <c r="N67" i="13"/>
  <c r="R38" i="13"/>
  <c r="R60" i="13"/>
  <c r="P55" i="13"/>
  <c r="P42" i="13"/>
  <c r="Q58" i="13"/>
  <c r="O34" i="13"/>
  <c r="O61" i="13"/>
  <c r="N41" i="13"/>
  <c r="R42" i="13"/>
  <c r="R28" i="13"/>
  <c r="P25" i="13"/>
  <c r="Q29" i="13"/>
  <c r="O26" i="13"/>
  <c r="O42" i="13"/>
  <c r="N55" i="13"/>
  <c r="R31" i="13"/>
  <c r="R51" i="13"/>
  <c r="P36" i="13"/>
  <c r="Q51" i="13"/>
  <c r="Q66" i="13"/>
  <c r="O57" i="13"/>
  <c r="S66" i="13"/>
  <c r="N47" i="13"/>
  <c r="N49" i="13"/>
  <c r="R26" i="13"/>
  <c r="P63" i="13"/>
  <c r="P41" i="13"/>
  <c r="Q28" i="13"/>
  <c r="O52" i="13"/>
  <c r="S39" i="13"/>
  <c r="S57" i="13"/>
  <c r="S50" i="13"/>
  <c r="S55" i="13"/>
  <c r="S56" i="13"/>
  <c r="S61" i="13"/>
  <c r="N31" i="13"/>
  <c r="N53" i="13"/>
  <c r="N34" i="13"/>
  <c r="N36" i="13"/>
  <c r="N65" i="13"/>
  <c r="R54" i="13"/>
  <c r="R29" i="13"/>
  <c r="R57" i="13"/>
  <c r="R32" i="13"/>
  <c r="P65" i="13"/>
  <c r="P31" i="13"/>
  <c r="P58" i="13"/>
  <c r="P53" i="13"/>
  <c r="P44" i="13"/>
  <c r="P48" i="13"/>
  <c r="Q30" i="13"/>
  <c r="Q34" i="13"/>
  <c r="Q50" i="13"/>
  <c r="Q52" i="13"/>
  <c r="Q44" i="13"/>
  <c r="O67" i="13"/>
  <c r="O46" i="13"/>
  <c r="O66" i="13"/>
  <c r="O56" i="13"/>
  <c r="O28" i="13"/>
  <c r="S34" i="13"/>
  <c r="S48" i="13"/>
  <c r="N64" i="13"/>
  <c r="R55" i="13"/>
  <c r="R41" i="13"/>
  <c r="P33" i="13"/>
  <c r="P54" i="13"/>
  <c r="Q56" i="13"/>
  <c r="Q26" i="13"/>
  <c r="O51" i="13"/>
  <c r="O40" i="13"/>
  <c r="N35" i="13"/>
  <c r="R25" i="13"/>
  <c r="P24" i="13"/>
  <c r="Q62" i="13"/>
  <c r="Q47" i="13"/>
  <c r="O47" i="13"/>
  <c r="S37" i="13"/>
  <c r="N25" i="13"/>
  <c r="R53" i="13"/>
  <c r="R67" i="13"/>
  <c r="P66" i="13"/>
  <c r="Q27" i="13"/>
  <c r="O36" i="13"/>
  <c r="O38" i="13"/>
  <c r="S45" i="13"/>
  <c r="N50" i="13"/>
  <c r="R24" i="13"/>
  <c r="R64" i="13"/>
  <c r="P50" i="13"/>
  <c r="Q35" i="13"/>
  <c r="Q39" i="13"/>
  <c r="O41" i="13"/>
  <c r="S47" i="13"/>
  <c r="S65" i="13"/>
  <c r="S42" i="13"/>
  <c r="S35" i="13"/>
  <c r="S40" i="13"/>
  <c r="S64" i="13"/>
  <c r="N62" i="13"/>
  <c r="N45" i="13"/>
  <c r="N26" i="13"/>
  <c r="N56" i="13"/>
  <c r="N33" i="13"/>
  <c r="R63" i="13"/>
  <c r="R46" i="13"/>
  <c r="R66" i="13"/>
  <c r="R49" i="13"/>
  <c r="R59" i="13"/>
  <c r="R27" i="13"/>
  <c r="P49" i="13"/>
  <c r="P32" i="13"/>
  <c r="P52" i="13"/>
  <c r="P37" i="13"/>
  <c r="P30" i="13"/>
  <c r="P27" i="13"/>
  <c r="Q37" i="13"/>
  <c r="Q32" i="13"/>
  <c r="Q53" i="13"/>
  <c r="Q43" i="13"/>
  <c r="Q25" i="13"/>
  <c r="O64" i="13"/>
  <c r="O59" i="13"/>
  <c r="O58" i="13"/>
  <c r="O30" i="13"/>
  <c r="O54" i="13"/>
  <c r="O65" i="13"/>
  <c r="S33" i="13"/>
  <c r="S53" i="13"/>
  <c r="N37" i="13"/>
  <c r="N28" i="13"/>
  <c r="R58" i="13"/>
  <c r="R52" i="13"/>
  <c r="P62" i="13"/>
  <c r="P57" i="13"/>
  <c r="Q49" i="13"/>
  <c r="Q36" i="13"/>
  <c r="O63" i="13"/>
  <c r="O49" i="13"/>
  <c r="R61" i="13"/>
  <c r="P60" i="13"/>
  <c r="Q40" i="13"/>
  <c r="Q61" i="13"/>
  <c r="O29" i="13"/>
  <c r="S36" i="13"/>
  <c r="S54" i="13"/>
  <c r="N58" i="13"/>
  <c r="N59" i="13"/>
  <c r="R43" i="13"/>
  <c r="P29" i="13"/>
  <c r="Q54" i="13"/>
  <c r="Q38" i="13"/>
  <c r="O27" i="13"/>
  <c r="S49" i="13"/>
  <c r="N60" i="13"/>
  <c r="R45" i="13"/>
  <c r="P64" i="13"/>
  <c r="Q64" i="13"/>
  <c r="O62" i="13"/>
  <c r="O53" i="13"/>
  <c r="S52" i="13"/>
  <c r="S59" i="13"/>
  <c r="S26" i="13"/>
  <c r="S46" i="13"/>
  <c r="S51" i="13"/>
  <c r="S32" i="13"/>
  <c r="N46" i="13"/>
  <c r="N29" i="13"/>
  <c r="N57" i="13"/>
  <c r="N51" i="13"/>
  <c r="N48" i="13"/>
  <c r="R47" i="13"/>
  <c r="R30" i="13"/>
  <c r="R50" i="13"/>
  <c r="R33" i="13"/>
  <c r="R36" i="13"/>
  <c r="R44" i="13"/>
  <c r="P38" i="13"/>
  <c r="P61" i="13"/>
  <c r="P39" i="13"/>
  <c r="P67" i="13"/>
  <c r="P51" i="13"/>
  <c r="Q42" i="13"/>
  <c r="Q63" i="13"/>
  <c r="Q67" i="13"/>
  <c r="Q65" i="13"/>
  <c r="Q57" i="13"/>
  <c r="O60" i="13"/>
  <c r="O43" i="13"/>
  <c r="O55" i="13"/>
  <c r="O45" i="13"/>
  <c r="O32" i="13"/>
  <c r="O33" i="13"/>
  <c r="S44" i="13"/>
  <c r="S25" i="13"/>
  <c r="S27" i="13"/>
  <c r="S30" i="13"/>
  <c r="S38" i="13"/>
  <c r="N63" i="13"/>
  <c r="N38" i="13"/>
  <c r="N66" i="13"/>
  <c r="N44" i="13"/>
  <c r="R39" i="13"/>
  <c r="R35" i="13"/>
  <c r="P45" i="13"/>
  <c r="P46" i="13"/>
  <c r="Q31" i="13"/>
  <c r="O35" i="13"/>
  <c r="O50" i="13"/>
  <c r="S41" i="13"/>
  <c r="S63" i="13"/>
  <c r="N30" i="13"/>
  <c r="N32" i="13"/>
  <c r="R34" i="13"/>
  <c r="P28" i="13"/>
  <c r="P43" i="13"/>
  <c r="Q60" i="13"/>
  <c r="O39" i="13"/>
  <c r="S28" i="13"/>
  <c r="S67" i="13"/>
  <c r="N24" i="13"/>
  <c r="N43" i="13"/>
  <c r="R56" i="13"/>
  <c r="P26" i="13"/>
  <c r="Q46" i="13"/>
  <c r="Q41" i="13"/>
  <c r="O31" i="13"/>
  <c r="Q30" i="11"/>
  <c r="Q38" i="11"/>
  <c r="N58" i="11"/>
  <c r="N51" i="11"/>
  <c r="N25" i="11"/>
  <c r="N66" i="11"/>
  <c r="N48" i="11"/>
  <c r="N28" i="11"/>
  <c r="R27" i="11"/>
  <c r="S43" i="11"/>
  <c r="S38" i="11"/>
  <c r="S37" i="11"/>
  <c r="S64" i="11"/>
  <c r="S46" i="11"/>
  <c r="S26" i="11"/>
  <c r="Q31" i="11"/>
  <c r="Q39" i="11"/>
  <c r="N42" i="11"/>
  <c r="N35" i="11"/>
  <c r="N57" i="11"/>
  <c r="N50" i="11"/>
  <c r="N32" i="11"/>
  <c r="N55" i="11"/>
  <c r="R28" i="11"/>
  <c r="S27" i="11"/>
  <c r="S55" i="11"/>
  <c r="S66" i="11"/>
  <c r="S48" i="11"/>
  <c r="S30" i="11"/>
  <c r="S47" i="11"/>
  <c r="S44" i="11"/>
  <c r="Q26" i="11"/>
  <c r="Q32" i="11"/>
  <c r="Q40" i="11"/>
  <c r="N53" i="11"/>
  <c r="N30" i="11"/>
  <c r="N52" i="11"/>
  <c r="N34" i="11"/>
  <c r="N59" i="11"/>
  <c r="N39" i="11"/>
  <c r="R29" i="11"/>
  <c r="S24" i="11"/>
  <c r="S39" i="11"/>
  <c r="S50" i="11"/>
  <c r="S32" i="11"/>
  <c r="S28" i="11"/>
  <c r="Q25" i="11"/>
  <c r="Q33" i="11"/>
  <c r="Q41" i="11"/>
  <c r="N37" i="11"/>
  <c r="N54" i="11"/>
  <c r="N36" i="11"/>
  <c r="N61" i="11"/>
  <c r="N43" i="11"/>
  <c r="Q46" i="11"/>
  <c r="R30" i="11"/>
  <c r="S56" i="11"/>
  <c r="S25" i="11"/>
  <c r="S34" i="11"/>
  <c r="S60" i="11"/>
  <c r="S61" i="11"/>
  <c r="R34" i="11"/>
  <c r="Q24" i="11"/>
  <c r="Q34" i="11"/>
  <c r="Q42" i="11"/>
  <c r="N56" i="11"/>
  <c r="N38" i="11"/>
  <c r="N63" i="11"/>
  <c r="N45" i="11"/>
  <c r="N27" i="11"/>
  <c r="R35" i="11"/>
  <c r="R31" i="11"/>
  <c r="S40" i="11"/>
  <c r="S52" i="11"/>
  <c r="S31" i="11"/>
  <c r="S65" i="11"/>
  <c r="S45" i="11"/>
  <c r="Q45" i="11"/>
  <c r="Q27" i="11"/>
  <c r="Q35" i="11"/>
  <c r="Q43" i="11"/>
  <c r="N40" i="11"/>
  <c r="N65" i="11"/>
  <c r="N47" i="11"/>
  <c r="N29" i="11"/>
  <c r="N62" i="11"/>
  <c r="R24" i="11"/>
  <c r="R32" i="11"/>
  <c r="S57" i="11"/>
  <c r="S36" i="11"/>
  <c r="S67" i="11"/>
  <c r="S49" i="11"/>
  <c r="S29" i="11"/>
  <c r="Q28" i="11"/>
  <c r="Q36" i="11"/>
  <c r="Q44" i="11"/>
  <c r="N26" i="11"/>
  <c r="N49" i="11"/>
  <c r="N31" i="11"/>
  <c r="N46" i="11"/>
  <c r="N60" i="11"/>
  <c r="R25" i="11"/>
  <c r="R33" i="11"/>
  <c r="S41" i="11"/>
  <c r="S63" i="11"/>
  <c r="S51" i="11"/>
  <c r="S33" i="11"/>
  <c r="S58" i="11"/>
  <c r="Q29" i="11"/>
  <c r="Q37" i="11"/>
  <c r="N24" i="11"/>
  <c r="N67" i="11"/>
  <c r="N33" i="11"/>
  <c r="N41" i="11"/>
  <c r="N64" i="11"/>
  <c r="N44" i="11"/>
  <c r="R26" i="11"/>
  <c r="S59" i="11"/>
  <c r="S54" i="11"/>
  <c r="S53" i="11"/>
  <c r="S35" i="11"/>
  <c r="S62" i="11"/>
  <c r="S42" i="11"/>
  <c r="R36" i="11"/>
  <c r="Q47" i="11"/>
  <c r="R37" i="11"/>
  <c r="Q49" i="11"/>
  <c r="R38" i="11"/>
  <c r="Q48" i="11"/>
  <c r="M98" i="23"/>
  <c r="N97" i="23"/>
  <c r="N50" i="23"/>
  <c r="R39" i="11"/>
  <c r="Q50" i="11"/>
  <c r="B37" i="11"/>
  <c r="AH55" i="4"/>
  <c r="AK55" i="4"/>
  <c r="AL55" i="4"/>
  <c r="AK56" i="4"/>
  <c r="AH56" i="4"/>
  <c r="AL56" i="4"/>
  <c r="AJ56" i="4"/>
  <c r="AC56" i="4"/>
  <c r="AK57" i="4"/>
  <c r="AJ55" i="4"/>
  <c r="Z32" i="21"/>
  <c r="AF40" i="11" l="1"/>
  <c r="AH40" i="11"/>
  <c r="AH33" i="11"/>
  <c r="AF33" i="11"/>
  <c r="AG33" i="11"/>
  <c r="AF26" i="11"/>
  <c r="AG26" i="11"/>
  <c r="AH26" i="11"/>
  <c r="AH67" i="11"/>
  <c r="AF39" i="11"/>
  <c r="AH39" i="11"/>
  <c r="AG39" i="11"/>
  <c r="AH28" i="11"/>
  <c r="AF28" i="11"/>
  <c r="AG28" i="11"/>
  <c r="AF24" i="11"/>
  <c r="AH24" i="11"/>
  <c r="AG24" i="11"/>
  <c r="AH59" i="11"/>
  <c r="AH55" i="11"/>
  <c r="AF48" i="11"/>
  <c r="AH48" i="11"/>
  <c r="AF49" i="11"/>
  <c r="AH49" i="11"/>
  <c r="AF42" i="11"/>
  <c r="AH42" i="11"/>
  <c r="AH62" i="11"/>
  <c r="AH27" i="11"/>
  <c r="AG27" i="11"/>
  <c r="AF27" i="11"/>
  <c r="AH43" i="11"/>
  <c r="AF43" i="11"/>
  <c r="AF34" i="11"/>
  <c r="AG34" i="11"/>
  <c r="AH34" i="11"/>
  <c r="AF32" i="11"/>
  <c r="AH32" i="11"/>
  <c r="AG32" i="11"/>
  <c r="AH66" i="11"/>
  <c r="AF41" i="11"/>
  <c r="AH41" i="11"/>
  <c r="AG37" i="11"/>
  <c r="AH37" i="11"/>
  <c r="AF37" i="11"/>
  <c r="AH60" i="11"/>
  <c r="AG29" i="11"/>
  <c r="AH29" i="11"/>
  <c r="AF29" i="11"/>
  <c r="AH45" i="11"/>
  <c r="AF45" i="11"/>
  <c r="AH61" i="11"/>
  <c r="AH52" i="11"/>
  <c r="AH50" i="11"/>
  <c r="AF50" i="11"/>
  <c r="AH25" i="11"/>
  <c r="AF25" i="11"/>
  <c r="AG25" i="11"/>
  <c r="AH56" i="11"/>
  <c r="AH44" i="11"/>
  <c r="AF44" i="11"/>
  <c r="AF46" i="11"/>
  <c r="AH46" i="11"/>
  <c r="AF47" i="11"/>
  <c r="AH47" i="11"/>
  <c r="AH63" i="11"/>
  <c r="AH36" i="11"/>
  <c r="AF36" i="11"/>
  <c r="AG36" i="11"/>
  <c r="AH30" i="11"/>
  <c r="AG30" i="11"/>
  <c r="AF30" i="11"/>
  <c r="AH57" i="11"/>
  <c r="AH51" i="11"/>
  <c r="AH64" i="11"/>
  <c r="AH31" i="11"/>
  <c r="AF31" i="11"/>
  <c r="AG31" i="11"/>
  <c r="AH65" i="11"/>
  <c r="AF38" i="11"/>
  <c r="AG38" i="11"/>
  <c r="AH38" i="11"/>
  <c r="AH54" i="11"/>
  <c r="AH53" i="11"/>
  <c r="AH35" i="11"/>
  <c r="AG35" i="11"/>
  <c r="AF35" i="11"/>
  <c r="AH58" i="11"/>
  <c r="AQ35" i="13"/>
  <c r="AN35" i="13"/>
  <c r="AP35" i="13"/>
  <c r="AR35" i="13"/>
  <c r="AO35" i="13"/>
  <c r="AH27" i="21"/>
  <c r="AD27" i="21"/>
  <c r="AG30" i="21"/>
  <c r="B36" i="13"/>
  <c r="AG32" i="21"/>
  <c r="AF26" i="21"/>
  <c r="U29" i="21"/>
  <c r="V29" i="21"/>
  <c r="AD32" i="21"/>
  <c r="AH29" i="21"/>
  <c r="T29" i="21"/>
  <c r="AF29" i="21"/>
  <c r="X29" i="21"/>
  <c r="AG29" i="21"/>
  <c r="AD30" i="21"/>
  <c r="AG27" i="21"/>
  <c r="T27" i="21"/>
  <c r="T30" i="21"/>
  <c r="AF25" i="21"/>
  <c r="AG50" i="21"/>
  <c r="V30" i="21"/>
  <c r="U30" i="21"/>
  <c r="AH30" i="21"/>
  <c r="W27" i="21"/>
  <c r="AE32" i="21"/>
  <c r="AT32" i="21" s="1"/>
  <c r="AY32" i="21" s="1"/>
  <c r="X32" i="21"/>
  <c r="AE27" i="21"/>
  <c r="X27" i="21"/>
  <c r="T32" i="21"/>
  <c r="V32" i="21"/>
  <c r="AH32" i="21"/>
  <c r="AF32" i="21"/>
  <c r="V25" i="21"/>
  <c r="W50" i="21"/>
  <c r="U27" i="21"/>
  <c r="AE30" i="21"/>
  <c r="X30" i="21"/>
  <c r="AH25" i="21"/>
  <c r="W30" i="21"/>
  <c r="AF27" i="21"/>
  <c r="U25" i="21"/>
  <c r="AE25" i="21"/>
  <c r="AD25" i="21"/>
  <c r="T25" i="21"/>
  <c r="X25" i="21"/>
  <c r="AH28" i="21"/>
  <c r="AG26" i="21"/>
  <c r="W28" i="21"/>
  <c r="AG28" i="21"/>
  <c r="U28" i="21"/>
  <c r="W32" i="21"/>
  <c r="X28" i="21"/>
  <c r="T28" i="21"/>
  <c r="AE31" i="21"/>
  <c r="AD28" i="21"/>
  <c r="AE28" i="21"/>
  <c r="T26" i="21"/>
  <c r="X26" i="21"/>
  <c r="W26" i="21"/>
  <c r="V26" i="21"/>
  <c r="AD26" i="21"/>
  <c r="AE26" i="21"/>
  <c r="W25" i="21"/>
  <c r="U31" i="21"/>
  <c r="V28" i="21"/>
  <c r="T31" i="21"/>
  <c r="U26" i="21"/>
  <c r="V27" i="21"/>
  <c r="AD31" i="21"/>
  <c r="AF28" i="21"/>
  <c r="W31" i="21"/>
  <c r="AE29" i="21"/>
  <c r="X31" i="21"/>
  <c r="AG31" i="21"/>
  <c r="AG25" i="21"/>
  <c r="V31" i="21"/>
  <c r="AF31" i="21"/>
  <c r="AH31" i="21"/>
  <c r="AH26" i="21"/>
  <c r="AD29" i="21"/>
  <c r="W29" i="21"/>
  <c r="AF30" i="21"/>
  <c r="M99" i="23"/>
  <c r="N98" i="23"/>
  <c r="N51" i="23"/>
  <c r="J27" i="23" s="1"/>
  <c r="X56" i="21"/>
  <c r="T56" i="21"/>
  <c r="AF56" i="21"/>
  <c r="AH56" i="21"/>
  <c r="V56" i="21"/>
  <c r="U56" i="21"/>
  <c r="AH48" i="21"/>
  <c r="X48" i="21"/>
  <c r="V48" i="21"/>
  <c r="AF48" i="21"/>
  <c r="T48" i="21"/>
  <c r="U48" i="21"/>
  <c r="W48" i="21"/>
  <c r="AG48" i="21"/>
  <c r="X52" i="21"/>
  <c r="AH52" i="21"/>
  <c r="V52" i="21"/>
  <c r="T52" i="21"/>
  <c r="AF52" i="21"/>
  <c r="U52" i="21"/>
  <c r="T34" i="21"/>
  <c r="AF34" i="21"/>
  <c r="U34" i="21"/>
  <c r="V34" i="21"/>
  <c r="AE34" i="21"/>
  <c r="AH34" i="21"/>
  <c r="X34" i="21"/>
  <c r="AD34" i="21"/>
  <c r="AG34" i="21"/>
  <c r="W34" i="21"/>
  <c r="T51" i="21"/>
  <c r="X51" i="21"/>
  <c r="V51" i="21"/>
  <c r="AF51" i="21"/>
  <c r="AH51" i="21"/>
  <c r="U51" i="21"/>
  <c r="X45" i="21"/>
  <c r="T45" i="21"/>
  <c r="V45" i="21"/>
  <c r="AH45" i="21"/>
  <c r="AF45" i="21"/>
  <c r="U45" i="21"/>
  <c r="AG45" i="21"/>
  <c r="W45" i="21"/>
  <c r="T37" i="21"/>
  <c r="U37" i="21"/>
  <c r="AF37" i="21"/>
  <c r="X37" i="21"/>
  <c r="V37" i="21"/>
  <c r="AH37" i="21"/>
  <c r="W37" i="21"/>
  <c r="AG37" i="21"/>
  <c r="AD59" i="13"/>
  <c r="AE59" i="13"/>
  <c r="T55" i="21"/>
  <c r="V55" i="21"/>
  <c r="AF55" i="21"/>
  <c r="X55" i="21"/>
  <c r="AH55" i="21"/>
  <c r="U55" i="21"/>
  <c r="AF47" i="21"/>
  <c r="U47" i="21"/>
  <c r="T47" i="21"/>
  <c r="V47" i="21"/>
  <c r="X47" i="21"/>
  <c r="AH47" i="21"/>
  <c r="W47" i="21"/>
  <c r="AG47" i="21"/>
  <c r="X44" i="21"/>
  <c r="AH44" i="21"/>
  <c r="U44" i="21"/>
  <c r="V44" i="21"/>
  <c r="T44" i="21"/>
  <c r="AG44" i="21"/>
  <c r="W44" i="21"/>
  <c r="AH42" i="21"/>
  <c r="X42" i="21"/>
  <c r="V42" i="21"/>
  <c r="T42" i="21"/>
  <c r="U42" i="21"/>
  <c r="AG42" i="21"/>
  <c r="W42" i="21"/>
  <c r="AH36" i="21"/>
  <c r="T36" i="21"/>
  <c r="U36" i="21"/>
  <c r="X36" i="21"/>
  <c r="AE36" i="21"/>
  <c r="V36" i="21"/>
  <c r="AD36" i="21"/>
  <c r="AF36" i="21"/>
  <c r="W36" i="21"/>
  <c r="AG36" i="21"/>
  <c r="AF54" i="21"/>
  <c r="X54" i="21"/>
  <c r="V54" i="21"/>
  <c r="T54" i="21"/>
  <c r="AH54" i="21"/>
  <c r="U54" i="21"/>
  <c r="AH39" i="21"/>
  <c r="AF39" i="21"/>
  <c r="U39" i="21"/>
  <c r="X39" i="21"/>
  <c r="V39" i="21"/>
  <c r="T39" i="21"/>
  <c r="W39" i="21"/>
  <c r="AG39" i="21"/>
  <c r="T33" i="21"/>
  <c r="U33" i="21"/>
  <c r="AH33" i="21"/>
  <c r="AE33" i="21"/>
  <c r="AF33" i="21"/>
  <c r="AD33" i="21"/>
  <c r="V33" i="21"/>
  <c r="X33" i="21"/>
  <c r="AG33" i="21"/>
  <c r="W33" i="21"/>
  <c r="V50" i="21"/>
  <c r="AF50" i="21"/>
  <c r="T50" i="21"/>
  <c r="AH50" i="21"/>
  <c r="X50" i="21"/>
  <c r="U50" i="21"/>
  <c r="T41" i="21"/>
  <c r="X41" i="21"/>
  <c r="U41" i="21"/>
  <c r="AH41" i="21"/>
  <c r="V41" i="21"/>
  <c r="W41" i="21"/>
  <c r="AG41" i="21"/>
  <c r="AH49" i="21"/>
  <c r="X49" i="21"/>
  <c r="T49" i="21"/>
  <c r="AF49" i="21"/>
  <c r="V49" i="21"/>
  <c r="U49" i="21"/>
  <c r="AG49" i="21"/>
  <c r="W49" i="21"/>
  <c r="AF46" i="21"/>
  <c r="V46" i="21"/>
  <c r="X46" i="21"/>
  <c r="T46" i="21"/>
  <c r="AH46" i="21"/>
  <c r="U46" i="21"/>
  <c r="AG46" i="21"/>
  <c r="W46" i="21"/>
  <c r="AF35" i="21"/>
  <c r="AE35" i="21"/>
  <c r="U35" i="21"/>
  <c r="AH35" i="21"/>
  <c r="X35" i="21"/>
  <c r="V35" i="21"/>
  <c r="AD35" i="21"/>
  <c r="T35" i="21"/>
  <c r="W35" i="21"/>
  <c r="AG35" i="21"/>
  <c r="T57" i="21"/>
  <c r="AH57" i="21"/>
  <c r="AF57" i="21"/>
  <c r="X57" i="21"/>
  <c r="V57" i="21"/>
  <c r="U57" i="21"/>
  <c r="T53" i="21"/>
  <c r="V53" i="21"/>
  <c r="AF53" i="21"/>
  <c r="AH53" i="21"/>
  <c r="X53" i="21"/>
  <c r="U53" i="21"/>
  <c r="AH43" i="21"/>
  <c r="T43" i="21"/>
  <c r="V43" i="21"/>
  <c r="X43" i="21"/>
  <c r="U43" i="21"/>
  <c r="AG43" i="21"/>
  <c r="W43" i="21"/>
  <c r="U40" i="21"/>
  <c r="X40" i="21"/>
  <c r="V40" i="21"/>
  <c r="T40" i="21"/>
  <c r="AH40" i="21"/>
  <c r="AG40" i="21"/>
  <c r="W40" i="21"/>
  <c r="AF38" i="21"/>
  <c r="X38" i="21"/>
  <c r="AH38" i="21"/>
  <c r="V38" i="21"/>
  <c r="U38" i="21"/>
  <c r="T38" i="21"/>
  <c r="AG38" i="21"/>
  <c r="W38" i="21"/>
  <c r="T24" i="21"/>
  <c r="W24" i="21"/>
  <c r="V24" i="21"/>
  <c r="U24" i="21"/>
  <c r="AD24" i="21"/>
  <c r="AF24" i="21"/>
  <c r="AE24" i="21"/>
  <c r="X24" i="21"/>
  <c r="AH24" i="21"/>
  <c r="AG24" i="21"/>
  <c r="W51" i="21"/>
  <c r="AG51" i="21"/>
  <c r="AG35" i="13"/>
  <c r="AH59" i="13"/>
  <c r="AG36" i="13"/>
  <c r="AG34" i="13"/>
  <c r="AG38" i="13"/>
  <c r="X32" i="11"/>
  <c r="V32" i="11"/>
  <c r="W32" i="11"/>
  <c r="AD57" i="13"/>
  <c r="AH57" i="13"/>
  <c r="AE57" i="13"/>
  <c r="AF57" i="13"/>
  <c r="X57" i="11"/>
  <c r="V46" i="11"/>
  <c r="X46" i="11"/>
  <c r="AE49" i="13"/>
  <c r="AH49" i="13"/>
  <c r="AD49" i="13"/>
  <c r="AF49" i="13"/>
  <c r="AE34" i="13"/>
  <c r="AF34" i="13"/>
  <c r="AH34" i="13"/>
  <c r="AD34" i="13"/>
  <c r="AH27" i="13"/>
  <c r="AD27" i="13"/>
  <c r="AG27" i="13"/>
  <c r="AE27" i="13"/>
  <c r="AF27" i="13"/>
  <c r="AH42" i="13"/>
  <c r="AF42" i="13"/>
  <c r="AG25" i="13"/>
  <c r="AH25" i="13"/>
  <c r="AE25" i="13"/>
  <c r="AD25" i="13"/>
  <c r="AF25" i="13"/>
  <c r="V47" i="11"/>
  <c r="X47" i="11"/>
  <c r="V43" i="11"/>
  <c r="X43" i="11"/>
  <c r="W29" i="11"/>
  <c r="X29" i="11"/>
  <c r="V29" i="11"/>
  <c r="V25" i="11"/>
  <c r="W25" i="11"/>
  <c r="X25" i="11"/>
  <c r="AH55" i="13"/>
  <c r="AF55" i="13"/>
  <c r="AD55" i="13"/>
  <c r="AE55" i="13"/>
  <c r="AD56" i="13"/>
  <c r="AE56" i="13"/>
  <c r="AF56" i="13"/>
  <c r="AH56" i="13"/>
  <c r="AH45" i="13"/>
  <c r="AE45" i="13"/>
  <c r="AF45" i="13"/>
  <c r="AH48" i="13"/>
  <c r="AE48" i="13"/>
  <c r="AF48" i="13"/>
  <c r="AD50" i="13"/>
  <c r="AH50" i="13"/>
  <c r="AF50" i="13"/>
  <c r="AE50" i="13"/>
  <c r="AF31" i="13"/>
  <c r="AE31" i="13"/>
  <c r="AH31" i="13"/>
  <c r="AD31" i="13"/>
  <c r="AG31" i="13"/>
  <c r="X42" i="11"/>
  <c r="V42" i="11"/>
  <c r="W24" i="11"/>
  <c r="V24" i="11"/>
  <c r="X24" i="11"/>
  <c r="X40" i="11"/>
  <c r="V40" i="11"/>
  <c r="X51" i="11"/>
  <c r="W37" i="11"/>
  <c r="X37" i="11"/>
  <c r="V37" i="11"/>
  <c r="AG24" i="13"/>
  <c r="AE24" i="13"/>
  <c r="AH24" i="13"/>
  <c r="AD24" i="13"/>
  <c r="AF24" i="13"/>
  <c r="AG30" i="13"/>
  <c r="AF30" i="13"/>
  <c r="AH30" i="13"/>
  <c r="AD30" i="13"/>
  <c r="AE30" i="13"/>
  <c r="X53" i="11"/>
  <c r="X44" i="11"/>
  <c r="V44" i="11"/>
  <c r="X36" i="11"/>
  <c r="V36" i="11"/>
  <c r="W36" i="11"/>
  <c r="V28" i="11"/>
  <c r="W28" i="11"/>
  <c r="X28" i="11"/>
  <c r="AF38" i="13"/>
  <c r="AH38" i="13"/>
  <c r="AF36" i="13"/>
  <c r="AH36" i="13"/>
  <c r="AE36" i="13"/>
  <c r="AD36" i="13"/>
  <c r="AD53" i="13"/>
  <c r="AH53" i="13"/>
  <c r="AF53" i="13"/>
  <c r="AE53" i="13"/>
  <c r="X30" i="11"/>
  <c r="V30" i="11"/>
  <c r="W30" i="11"/>
  <c r="X45" i="11"/>
  <c r="V45" i="11"/>
  <c r="AF37" i="13"/>
  <c r="AH37" i="13"/>
  <c r="V33" i="11"/>
  <c r="W33" i="11"/>
  <c r="X33" i="11"/>
  <c r="V41" i="11"/>
  <c r="X41" i="11"/>
  <c r="AH47" i="13"/>
  <c r="AF47" i="13"/>
  <c r="AE47" i="13"/>
  <c r="AF44" i="13"/>
  <c r="AH44" i="13"/>
  <c r="AD28" i="13"/>
  <c r="AG28" i="13"/>
  <c r="AH28" i="13"/>
  <c r="AE28" i="13"/>
  <c r="AF28" i="13"/>
  <c r="X31" i="11"/>
  <c r="V31" i="11"/>
  <c r="W31" i="11"/>
  <c r="AF40" i="13"/>
  <c r="AH40" i="13"/>
  <c r="AF41" i="13"/>
  <c r="AH41" i="13"/>
  <c r="AG37" i="13"/>
  <c r="W26" i="11"/>
  <c r="X26" i="11"/>
  <c r="V26" i="11"/>
  <c r="V38" i="11"/>
  <c r="W38" i="11"/>
  <c r="X38" i="11"/>
  <c r="X54" i="11"/>
  <c r="AF54" i="13"/>
  <c r="AE54" i="13"/>
  <c r="AH54" i="13"/>
  <c r="AD54" i="13"/>
  <c r="AH33" i="13"/>
  <c r="AD33" i="13"/>
  <c r="AG33" i="13"/>
  <c r="AF33" i="13"/>
  <c r="AE33" i="13"/>
  <c r="AF35" i="13"/>
  <c r="AD35" i="13"/>
  <c r="AH35" i="13"/>
  <c r="AE35" i="13"/>
  <c r="AF32" i="13"/>
  <c r="AG32" i="13"/>
  <c r="AD32" i="13"/>
  <c r="AE32" i="13"/>
  <c r="AH32" i="13"/>
  <c r="V39" i="11"/>
  <c r="W39" i="11"/>
  <c r="X39" i="11"/>
  <c r="AH43" i="13"/>
  <c r="AF43" i="13"/>
  <c r="AF52" i="13"/>
  <c r="AE52" i="13"/>
  <c r="AH52" i="13"/>
  <c r="AD52" i="13"/>
  <c r="X48" i="11"/>
  <c r="V48" i="11"/>
  <c r="W27" i="11"/>
  <c r="X27" i="11"/>
  <c r="V27" i="11"/>
  <c r="X52" i="11"/>
  <c r="AH29" i="13"/>
  <c r="AF29" i="13"/>
  <c r="AD29" i="13"/>
  <c r="AE29" i="13"/>
  <c r="AG29" i="13"/>
  <c r="W35" i="11"/>
  <c r="V35" i="11"/>
  <c r="X35" i="11"/>
  <c r="V49" i="11"/>
  <c r="X49" i="11"/>
  <c r="W34" i="11"/>
  <c r="X34" i="11"/>
  <c r="V34" i="11"/>
  <c r="X56" i="11"/>
  <c r="V50" i="11"/>
  <c r="X50" i="11"/>
  <c r="X55" i="11"/>
  <c r="AH39" i="13"/>
  <c r="AF39" i="13"/>
  <c r="AD26" i="13"/>
  <c r="AE26" i="13"/>
  <c r="AG26" i="13"/>
  <c r="AH26" i="13"/>
  <c r="AF26" i="13"/>
  <c r="AF51" i="13"/>
  <c r="AH51" i="13"/>
  <c r="AD51" i="13"/>
  <c r="AE51" i="13"/>
  <c r="AH46" i="13"/>
  <c r="AE46" i="13"/>
  <c r="AF46" i="13"/>
  <c r="AG39" i="13"/>
  <c r="B38" i="11"/>
  <c r="AJ58" i="4"/>
  <c r="AJ57" i="4"/>
  <c r="AL57" i="4"/>
  <c r="AL58" i="4"/>
  <c r="AC57" i="4"/>
  <c r="AI56" i="4"/>
  <c r="AH57" i="4"/>
  <c r="AH58" i="4"/>
  <c r="AC34" i="21"/>
  <c r="AC30" i="21"/>
  <c r="AC36" i="21"/>
  <c r="AC31" i="21"/>
  <c r="AC28" i="21"/>
  <c r="AC32" i="21"/>
  <c r="AC25" i="21"/>
  <c r="AC35" i="21"/>
  <c r="AC29" i="21"/>
  <c r="AC27" i="21"/>
  <c r="AC26" i="21"/>
  <c r="AC24" i="21"/>
  <c r="AC33" i="21"/>
  <c r="AC37" i="21"/>
  <c r="AC53" i="21"/>
  <c r="AC57" i="21"/>
  <c r="AC55" i="21"/>
  <c r="AC46" i="21"/>
  <c r="AC56" i="21"/>
  <c r="AC39" i="21"/>
  <c r="AC40" i="21"/>
  <c r="AC54" i="21"/>
  <c r="AC44" i="21"/>
  <c r="AC48" i="21"/>
  <c r="AC51" i="21"/>
  <c r="AC42" i="21"/>
  <c r="AC41" i="21"/>
  <c r="AC38" i="21"/>
  <c r="AC47" i="21"/>
  <c r="AC50" i="21"/>
  <c r="AC49" i="21"/>
  <c r="AC52" i="21"/>
  <c r="AC45" i="21"/>
  <c r="AC43" i="21"/>
  <c r="AA38" i="11"/>
  <c r="AA24" i="11"/>
  <c r="AA34" i="11"/>
  <c r="AA42" i="11"/>
  <c r="AA39" i="11"/>
  <c r="AA40" i="11"/>
  <c r="AA44" i="11"/>
  <c r="AA33" i="11"/>
  <c r="AA28" i="11"/>
  <c r="AA36" i="11"/>
  <c r="AA41" i="11"/>
  <c r="AA32" i="11"/>
  <c r="AA49" i="11"/>
  <c r="AA26" i="11"/>
  <c r="AA29" i="11"/>
  <c r="AA25" i="11"/>
  <c r="AA31" i="11"/>
  <c r="AA30" i="11"/>
  <c r="AA45" i="11"/>
  <c r="AA46" i="11"/>
  <c r="AA35" i="11"/>
  <c r="AA47" i="11"/>
  <c r="AA37" i="11"/>
  <c r="AA27" i="11"/>
  <c r="AA48" i="11"/>
  <c r="AA50" i="11"/>
  <c r="AA43" i="11"/>
  <c r="AC35" i="11"/>
  <c r="Z40" i="21"/>
  <c r="Y24" i="21"/>
  <c r="AC48" i="11"/>
  <c r="AA36" i="21"/>
  <c r="Y25" i="21"/>
  <c r="AB24" i="21"/>
  <c r="AB39" i="21"/>
  <c r="AC31" i="11"/>
  <c r="Z53" i="21"/>
  <c r="AA27" i="21"/>
  <c r="AC25" i="11"/>
  <c r="AA49" i="21"/>
  <c r="Y42" i="21"/>
  <c r="AA26" i="21"/>
  <c r="Z48" i="21"/>
  <c r="Y35" i="21"/>
  <c r="AC43" i="11"/>
  <c r="AA39" i="21"/>
  <c r="AB43" i="21"/>
  <c r="AB50" i="21"/>
  <c r="Y34" i="21"/>
  <c r="Z43" i="21"/>
  <c r="AC49" i="11"/>
  <c r="Z55" i="21"/>
  <c r="Y48" i="21"/>
  <c r="Y52" i="21"/>
  <c r="AA56" i="21"/>
  <c r="AB36" i="21"/>
  <c r="AB29" i="11"/>
  <c r="AA50" i="21"/>
  <c r="AB24" i="11"/>
  <c r="Z45" i="21"/>
  <c r="AB26" i="11"/>
  <c r="AA28" i="21"/>
  <c r="Z35" i="21"/>
  <c r="AC46" i="11"/>
  <c r="Z52" i="21"/>
  <c r="Y39" i="21"/>
  <c r="Z34" i="21"/>
  <c r="Y46" i="21"/>
  <c r="AB25" i="11"/>
  <c r="Y40" i="21"/>
  <c r="AA25" i="21"/>
  <c r="AC36" i="11"/>
  <c r="AC38" i="11"/>
  <c r="AB30" i="21"/>
  <c r="Z27" i="21"/>
  <c r="AA33" i="21"/>
  <c r="AC52" i="11"/>
  <c r="Y37" i="21"/>
  <c r="Y30" i="21"/>
  <c r="Z57" i="21"/>
  <c r="AC56" i="11"/>
  <c r="AB34" i="11"/>
  <c r="AB35" i="11"/>
  <c r="AB36" i="11"/>
  <c r="Z38" i="21"/>
  <c r="Z31" i="21"/>
  <c r="AA42" i="21"/>
  <c r="AC51" i="11"/>
  <c r="AC53" i="11"/>
  <c r="AA48" i="21"/>
  <c r="AC39" i="11"/>
  <c r="AB26" i="21"/>
  <c r="Z30" i="21"/>
  <c r="AB38" i="11"/>
  <c r="AA51" i="21"/>
  <c r="AA45" i="21"/>
  <c r="AC47" i="11"/>
  <c r="Z42" i="21"/>
  <c r="AB28" i="11"/>
  <c r="Z47" i="21"/>
  <c r="Y32" i="21"/>
  <c r="AB49" i="21"/>
  <c r="AC50" i="11"/>
  <c r="AB51" i="21"/>
  <c r="AC26" i="11"/>
  <c r="Y38" i="21"/>
  <c r="AC29" i="11"/>
  <c r="AB33" i="11"/>
  <c r="Y31" i="21"/>
  <c r="Z26" i="21"/>
  <c r="AA24" i="21"/>
  <c r="Z46" i="21"/>
  <c r="Z54" i="21"/>
  <c r="Y26" i="21"/>
  <c r="Z25" i="21"/>
  <c r="AA46" i="21"/>
  <c r="Z24" i="21"/>
  <c r="Y36" i="21"/>
  <c r="AA35" i="21"/>
  <c r="AB48" i="21"/>
  <c r="Y56" i="21"/>
  <c r="Y41" i="21"/>
  <c r="AC54" i="11"/>
  <c r="AA32" i="21"/>
  <c r="AC24" i="11"/>
  <c r="AA43" i="21"/>
  <c r="AC42" i="11"/>
  <c r="AB45" i="21"/>
  <c r="AC55" i="11"/>
  <c r="AA31" i="21"/>
  <c r="AB46" i="21"/>
  <c r="AB27" i="21"/>
  <c r="Y55" i="21"/>
  <c r="AA41" i="21"/>
  <c r="AB25" i="21"/>
  <c r="AB33" i="21"/>
  <c r="AC28" i="11"/>
  <c r="AC44" i="11"/>
  <c r="AB37" i="21"/>
  <c r="AB42" i="21"/>
  <c r="AA44" i="21"/>
  <c r="AC27" i="11"/>
  <c r="Y29" i="21"/>
  <c r="Z28" i="21"/>
  <c r="AA34" i="21"/>
  <c r="AA47" i="21"/>
  <c r="AA53" i="21"/>
  <c r="Z36" i="21"/>
  <c r="AC32" i="11"/>
  <c r="AC33" i="11"/>
  <c r="Z37" i="21"/>
  <c r="Y45" i="21"/>
  <c r="AA55" i="21"/>
  <c r="AA52" i="21"/>
  <c r="AA30" i="21"/>
  <c r="AB35" i="21"/>
  <c r="Y50" i="21"/>
  <c r="AB32" i="21"/>
  <c r="Y28" i="21"/>
  <c r="AB29" i="21"/>
  <c r="Y54" i="21"/>
  <c r="Z56" i="21"/>
  <c r="Y47" i="21"/>
  <c r="AB27" i="11"/>
  <c r="Z29" i="21"/>
  <c r="AB30" i="11"/>
  <c r="AB47" i="21"/>
  <c r="AC40" i="11"/>
  <c r="AC37" i="11"/>
  <c r="AB38" i="21"/>
  <c r="AA57" i="21"/>
  <c r="AB32" i="11"/>
  <c r="Z41" i="21"/>
  <c r="Z50" i="21"/>
  <c r="AC41" i="11"/>
  <c r="Z49" i="21"/>
  <c r="AC45" i="11"/>
  <c r="AA38" i="21"/>
  <c r="Z51" i="21"/>
  <c r="AC57" i="11"/>
  <c r="Z39" i="21"/>
  <c r="AB28" i="21"/>
  <c r="AA54" i="21"/>
  <c r="Y57" i="21"/>
  <c r="AB40" i="21"/>
  <c r="Y49" i="21"/>
  <c r="Y44" i="21"/>
  <c r="AB31" i="11"/>
  <c r="AA29" i="21"/>
  <c r="AA37" i="21"/>
  <c r="AB39" i="11"/>
  <c r="AB37" i="11"/>
  <c r="Y53" i="21"/>
  <c r="Y51" i="21"/>
  <c r="Z33" i="21"/>
  <c r="Y43" i="21"/>
  <c r="Y27" i="21"/>
  <c r="Y33" i="21"/>
  <c r="AB41" i="21"/>
  <c r="AB34" i="21"/>
  <c r="AC30" i="11"/>
  <c r="AA40" i="21"/>
  <c r="AB31" i="21"/>
  <c r="AC34" i="11"/>
  <c r="AB44" i="21"/>
  <c r="Z44" i="21"/>
  <c r="AU45" i="11" l="1"/>
  <c r="AU24" i="11"/>
  <c r="AU48" i="11"/>
  <c r="AU33" i="11"/>
  <c r="AU35" i="11"/>
  <c r="AU44" i="11"/>
  <c r="AU29" i="11"/>
  <c r="AU27" i="11"/>
  <c r="AU25" i="11"/>
  <c r="AU41" i="11"/>
  <c r="AU28" i="11"/>
  <c r="AU39" i="11"/>
  <c r="AU36" i="11"/>
  <c r="AU37" i="11"/>
  <c r="AU34" i="11"/>
  <c r="AU32" i="11"/>
  <c r="AU49" i="11"/>
  <c r="AU26" i="11"/>
  <c r="AU40" i="11"/>
  <c r="AU38" i="11"/>
  <c r="AU31" i="11"/>
  <c r="AU30" i="11"/>
  <c r="AU47" i="11"/>
  <c r="AU46" i="11"/>
  <c r="AU50" i="11"/>
  <c r="AU43" i="11"/>
  <c r="AU42" i="11"/>
  <c r="AW36" i="11"/>
  <c r="AV28" i="11"/>
  <c r="AV36" i="11"/>
  <c r="AV33" i="11"/>
  <c r="AW26" i="11"/>
  <c r="AV25" i="11"/>
  <c r="AW50" i="11"/>
  <c r="AW48" i="11"/>
  <c r="AV35" i="11"/>
  <c r="AW47" i="11"/>
  <c r="AW40" i="11"/>
  <c r="AW38" i="11"/>
  <c r="AW25" i="11"/>
  <c r="AW30" i="11"/>
  <c r="AV31" i="11"/>
  <c r="AV26" i="11"/>
  <c r="AW28" i="11"/>
  <c r="AV37" i="11"/>
  <c r="AW32" i="11"/>
  <c r="AW33" i="11"/>
  <c r="AW43" i="11"/>
  <c r="AW46" i="11"/>
  <c r="AW52" i="11"/>
  <c r="AW54" i="11"/>
  <c r="AW53" i="11"/>
  <c r="AW35" i="11"/>
  <c r="AW37" i="11"/>
  <c r="AW29" i="11"/>
  <c r="AV34" i="11"/>
  <c r="AW39" i="11"/>
  <c r="AW42" i="11"/>
  <c r="AW55" i="11"/>
  <c r="AW51" i="11"/>
  <c r="AW24" i="11"/>
  <c r="AW57" i="11"/>
  <c r="AW31" i="11"/>
  <c r="AW34" i="11"/>
  <c r="AV27" i="11"/>
  <c r="AW27" i="11"/>
  <c r="AV24" i="11"/>
  <c r="AW56" i="11"/>
  <c r="AW41" i="11"/>
  <c r="AV32" i="11"/>
  <c r="AW45" i="11"/>
  <c r="AV29" i="11"/>
  <c r="AV30" i="11"/>
  <c r="AW49" i="11"/>
  <c r="AW44" i="11"/>
  <c r="AQ36" i="13"/>
  <c r="AR36" i="13"/>
  <c r="AP36" i="13"/>
  <c r="AO36" i="13"/>
  <c r="AN36" i="13"/>
  <c r="B37" i="13"/>
  <c r="AW29" i="21"/>
  <c r="BB29" i="21" s="1"/>
  <c r="AU29" i="21"/>
  <c r="AZ29" i="21" s="1"/>
  <c r="AT29" i="21"/>
  <c r="AY29" i="21" s="1"/>
  <c r="AS29" i="21"/>
  <c r="AX29" i="21" s="1"/>
  <c r="AV27" i="21"/>
  <c r="BA27" i="21" s="1"/>
  <c r="AS27" i="21"/>
  <c r="AX27" i="21" s="1"/>
  <c r="AS30" i="21"/>
  <c r="AX30" i="21" s="1"/>
  <c r="AT30" i="21"/>
  <c r="AY30" i="21" s="1"/>
  <c r="AU30" i="21"/>
  <c r="AZ30" i="21" s="1"/>
  <c r="AU32" i="21"/>
  <c r="AZ32" i="21" s="1"/>
  <c r="AW30" i="21"/>
  <c r="BB30" i="21" s="1"/>
  <c r="AS32" i="21"/>
  <c r="AX32" i="21" s="1"/>
  <c r="AW27" i="21"/>
  <c r="BB27" i="21" s="1"/>
  <c r="AT27" i="21"/>
  <c r="AY27" i="21" s="1"/>
  <c r="AW32" i="21"/>
  <c r="BB32" i="21" s="1"/>
  <c r="AU25" i="21"/>
  <c r="AZ25" i="21" s="1"/>
  <c r="AV32" i="21"/>
  <c r="BA32" i="21" s="1"/>
  <c r="AV28" i="21"/>
  <c r="BA28" i="21" s="1"/>
  <c r="AV30" i="21"/>
  <c r="BA30" i="21" s="1"/>
  <c r="AV26" i="21"/>
  <c r="BA26" i="21" s="1"/>
  <c r="AW25" i="21"/>
  <c r="BB25" i="21" s="1"/>
  <c r="AS25" i="21"/>
  <c r="AX25" i="21" s="1"/>
  <c r="AT25" i="21"/>
  <c r="AY25" i="21" s="1"/>
  <c r="AW28" i="21"/>
  <c r="BB28" i="21" s="1"/>
  <c r="AT28" i="21"/>
  <c r="AY28" i="21" s="1"/>
  <c r="AS28" i="21"/>
  <c r="AX28" i="21" s="1"/>
  <c r="AU26" i="21"/>
  <c r="AZ26" i="21" s="1"/>
  <c r="AS26" i="21"/>
  <c r="AX26" i="21" s="1"/>
  <c r="AW26" i="21"/>
  <c r="BB26" i="21" s="1"/>
  <c r="AV25" i="21"/>
  <c r="BA25" i="21" s="1"/>
  <c r="AV31" i="21"/>
  <c r="BA31" i="21" s="1"/>
  <c r="AU28" i="21"/>
  <c r="AZ28" i="21" s="1"/>
  <c r="AT31" i="21"/>
  <c r="AY31" i="21" s="1"/>
  <c r="AW31" i="21"/>
  <c r="BB31" i="21" s="1"/>
  <c r="AU31" i="21"/>
  <c r="AZ31" i="21" s="1"/>
  <c r="AU27" i="21"/>
  <c r="AZ27" i="21" s="1"/>
  <c r="AT26" i="21"/>
  <c r="AY26" i="21" s="1"/>
  <c r="AS31" i="21"/>
  <c r="AX31" i="21" s="1"/>
  <c r="AV29" i="21"/>
  <c r="BA29" i="21" s="1"/>
  <c r="M100" i="23"/>
  <c r="N99" i="23"/>
  <c r="N52" i="23"/>
  <c r="AV37" i="21"/>
  <c r="BA37" i="21" s="1"/>
  <c r="AV24" i="21"/>
  <c r="BA24" i="21" s="1"/>
  <c r="AV35" i="21"/>
  <c r="BA35" i="21" s="1"/>
  <c r="AV33" i="21"/>
  <c r="BA33" i="21" s="1"/>
  <c r="AV34" i="21"/>
  <c r="BA34" i="21" s="1"/>
  <c r="AV36" i="21"/>
  <c r="BA36" i="21" s="1"/>
  <c r="Q51" i="11"/>
  <c r="R40" i="11"/>
  <c r="AG40" i="11" s="1"/>
  <c r="AS35" i="21"/>
  <c r="AX35" i="21" s="1"/>
  <c r="AT33" i="21"/>
  <c r="AY33" i="21" s="1"/>
  <c r="AU36" i="21"/>
  <c r="AZ36" i="21" s="1"/>
  <c r="AU34" i="21"/>
  <c r="AZ34" i="21" s="1"/>
  <c r="AS33" i="21"/>
  <c r="AX33" i="21" s="1"/>
  <c r="AT34" i="21"/>
  <c r="AY34" i="21" s="1"/>
  <c r="AU35" i="21"/>
  <c r="AZ35" i="21" s="1"/>
  <c r="AW33" i="21"/>
  <c r="BB33" i="21" s="1"/>
  <c r="AW36" i="21"/>
  <c r="BB36" i="21" s="1"/>
  <c r="AW35" i="21"/>
  <c r="BB35" i="21" s="1"/>
  <c r="AU33" i="21"/>
  <c r="AZ33" i="21" s="1"/>
  <c r="AT36" i="21"/>
  <c r="AY36" i="21" s="1"/>
  <c r="AS34" i="21"/>
  <c r="AX34" i="21" s="1"/>
  <c r="AS36" i="21"/>
  <c r="AX36" i="21" s="1"/>
  <c r="AT35" i="21"/>
  <c r="AY35" i="21" s="1"/>
  <c r="AW34" i="21"/>
  <c r="BB34" i="21" s="1"/>
  <c r="T59" i="21"/>
  <c r="AH59" i="21"/>
  <c r="X59" i="21"/>
  <c r="AF59" i="21"/>
  <c r="V59" i="21"/>
  <c r="U59" i="21"/>
  <c r="AF58" i="21"/>
  <c r="X58" i="21"/>
  <c r="T58" i="21"/>
  <c r="V58" i="21"/>
  <c r="AH58" i="21"/>
  <c r="U58" i="21"/>
  <c r="AW24" i="21"/>
  <c r="BB24" i="21" s="1"/>
  <c r="AT24" i="21"/>
  <c r="AY24" i="21" s="1"/>
  <c r="AU24" i="21"/>
  <c r="AZ24" i="21" s="1"/>
  <c r="AS24" i="21"/>
  <c r="AX24" i="21" s="1"/>
  <c r="R41" i="11"/>
  <c r="AG41" i="11" s="1"/>
  <c r="Q52" i="11"/>
  <c r="AF52" i="11" s="1"/>
  <c r="AG52" i="21"/>
  <c r="W52" i="21"/>
  <c r="AF59" i="13"/>
  <c r="X59" i="11"/>
  <c r="X58" i="11"/>
  <c r="AF58" i="13"/>
  <c r="AH58" i="13"/>
  <c r="AE58" i="13"/>
  <c r="AD58" i="13"/>
  <c r="AG40" i="13"/>
  <c r="B39" i="11"/>
  <c r="AI57" i="4"/>
  <c r="AI58" i="4"/>
  <c r="AC58" i="4"/>
  <c r="AC59" i="21"/>
  <c r="AC58" i="21"/>
  <c r="AB52" i="21"/>
  <c r="Z59" i="21"/>
  <c r="AC59" i="11"/>
  <c r="Y59" i="21"/>
  <c r="AA58" i="21"/>
  <c r="Y58" i="21"/>
  <c r="Z58" i="21"/>
  <c r="AC58" i="11"/>
  <c r="AA59" i="21"/>
  <c r="V51" i="11" l="1"/>
  <c r="AF51" i="11"/>
  <c r="AW58" i="11"/>
  <c r="AW59" i="11"/>
  <c r="AO37" i="13"/>
  <c r="AQ37" i="13"/>
  <c r="AN37" i="13"/>
  <c r="AP37" i="13"/>
  <c r="AR37" i="13"/>
  <c r="B38" i="13"/>
  <c r="BE29" i="21"/>
  <c r="BH30" i="21"/>
  <c r="BF27" i="21"/>
  <c r="BD32" i="21"/>
  <c r="BD30" i="21"/>
  <c r="BF30" i="21"/>
  <c r="BE32" i="21"/>
  <c r="BH32" i="21"/>
  <c r="BF32" i="21"/>
  <c r="BG30" i="21"/>
  <c r="BE30" i="21"/>
  <c r="BG32" i="21"/>
  <c r="BE25" i="21"/>
  <c r="BD28" i="21"/>
  <c r="BH26" i="21"/>
  <c r="BG26" i="21"/>
  <c r="BH27" i="21"/>
  <c r="BF25" i="21"/>
  <c r="BD27" i="21"/>
  <c r="BG25" i="21"/>
  <c r="BE27" i="21"/>
  <c r="BF26" i="21"/>
  <c r="BH28" i="21"/>
  <c r="BD25" i="21"/>
  <c r="BH25" i="21"/>
  <c r="BG27" i="21"/>
  <c r="BG28" i="21"/>
  <c r="BF28" i="21"/>
  <c r="BH31" i="21"/>
  <c r="BD31" i="21"/>
  <c r="BE26" i="21"/>
  <c r="BE31" i="21"/>
  <c r="BD26" i="21"/>
  <c r="BE28" i="21"/>
  <c r="BG31" i="21"/>
  <c r="BF31" i="21"/>
  <c r="BH29" i="21"/>
  <c r="BF29" i="21"/>
  <c r="BG29" i="21"/>
  <c r="BD29" i="21"/>
  <c r="M101" i="23"/>
  <c r="N100" i="23"/>
  <c r="N53" i="23"/>
  <c r="J28" i="23" s="1"/>
  <c r="W40" i="11"/>
  <c r="BG33" i="21"/>
  <c r="BH33" i="21"/>
  <c r="BE33" i="21"/>
  <c r="BD33" i="21"/>
  <c r="BF33" i="21"/>
  <c r="BF36" i="21"/>
  <c r="BH36" i="21"/>
  <c r="BD36" i="21"/>
  <c r="BE36" i="21"/>
  <c r="BG36" i="21"/>
  <c r="BF35" i="21"/>
  <c r="BH35" i="21"/>
  <c r="BE35" i="21"/>
  <c r="BG35" i="21"/>
  <c r="BD35" i="21"/>
  <c r="BE34" i="21"/>
  <c r="BH34" i="21"/>
  <c r="BG34" i="21"/>
  <c r="BF34" i="21"/>
  <c r="BD34" i="21"/>
  <c r="V60" i="21"/>
  <c r="T60" i="21"/>
  <c r="AF60" i="21"/>
  <c r="X60" i="21"/>
  <c r="U60" i="21"/>
  <c r="AH60" i="21"/>
  <c r="BE24" i="21"/>
  <c r="BF24" i="21"/>
  <c r="BG24" i="21"/>
  <c r="BD24" i="21"/>
  <c r="BH24" i="21"/>
  <c r="V52" i="11"/>
  <c r="Q53" i="11"/>
  <c r="AF53" i="11" s="1"/>
  <c r="R42" i="11"/>
  <c r="AG42" i="11" s="1"/>
  <c r="AG53" i="21"/>
  <c r="W53" i="21"/>
  <c r="W41" i="11"/>
  <c r="X60" i="11"/>
  <c r="AE60" i="13"/>
  <c r="AD60" i="13"/>
  <c r="AF60" i="13"/>
  <c r="AH60" i="13"/>
  <c r="AG41" i="13"/>
  <c r="B40" i="11"/>
  <c r="AA51" i="11"/>
  <c r="AC60" i="21"/>
  <c r="AA52" i="11"/>
  <c r="AB53" i="21"/>
  <c r="AB40" i="11"/>
  <c r="AC60" i="11"/>
  <c r="Z60" i="21"/>
  <c r="AB41" i="11"/>
  <c r="Y60" i="21"/>
  <c r="AA60" i="21"/>
  <c r="AU51" i="11" l="1"/>
  <c r="AU52" i="11"/>
  <c r="AW60" i="11"/>
  <c r="AR38" i="13"/>
  <c r="AO38" i="13"/>
  <c r="AQ38" i="13"/>
  <c r="AN38" i="13"/>
  <c r="AP38" i="13"/>
  <c r="B39" i="13"/>
  <c r="BC30" i="21"/>
  <c r="BC32" i="21"/>
  <c r="BC27" i="21"/>
  <c r="BC25" i="21"/>
  <c r="BC28" i="21"/>
  <c r="BC26" i="21"/>
  <c r="BC31" i="21"/>
  <c r="BC29" i="21"/>
  <c r="M102" i="23"/>
  <c r="N101" i="23"/>
  <c r="N54" i="23"/>
  <c r="BC33" i="21"/>
  <c r="BC34" i="21"/>
  <c r="BC36" i="21"/>
  <c r="V61" i="21"/>
  <c r="T61" i="21"/>
  <c r="AF61" i="21"/>
  <c r="AH61" i="21"/>
  <c r="U61" i="21"/>
  <c r="X61" i="21"/>
  <c r="BC35" i="21"/>
  <c r="BC24" i="21"/>
  <c r="V53" i="11"/>
  <c r="R43" i="11"/>
  <c r="AG43" i="11" s="1"/>
  <c r="Q54" i="11"/>
  <c r="AF54" i="11" s="1"/>
  <c r="AG54" i="21"/>
  <c r="W54" i="21"/>
  <c r="W42" i="11"/>
  <c r="AD61" i="13"/>
  <c r="AE61" i="13"/>
  <c r="AH61" i="13"/>
  <c r="AF61" i="13"/>
  <c r="X61" i="11"/>
  <c r="B41" i="11"/>
  <c r="AC61" i="21"/>
  <c r="AA53" i="11"/>
  <c r="AB54" i="21"/>
  <c r="Y61" i="21"/>
  <c r="AB42" i="11"/>
  <c r="AA61" i="21"/>
  <c r="Z61" i="21"/>
  <c r="AC61" i="11"/>
  <c r="AU53" i="11" l="1"/>
  <c r="AW61" i="11"/>
  <c r="AN39" i="13"/>
  <c r="AR39" i="13"/>
  <c r="AO39" i="13"/>
  <c r="AP39" i="13"/>
  <c r="AQ39" i="13"/>
  <c r="B40" i="13"/>
  <c r="M103" i="23"/>
  <c r="N102" i="23"/>
  <c r="N55" i="23"/>
  <c r="V62" i="21"/>
  <c r="T62" i="21"/>
  <c r="AF62" i="21"/>
  <c r="X62" i="21"/>
  <c r="U62" i="21"/>
  <c r="AH62" i="21"/>
  <c r="V54" i="11"/>
  <c r="Q55" i="11"/>
  <c r="AF55" i="11" s="1"/>
  <c r="R44" i="11"/>
  <c r="AG44" i="11" s="1"/>
  <c r="AG55" i="21"/>
  <c r="W55" i="21"/>
  <c r="W43" i="11"/>
  <c r="AD62" i="13"/>
  <c r="AE62" i="13"/>
  <c r="AF62" i="13"/>
  <c r="AH62" i="13"/>
  <c r="X62" i="11"/>
  <c r="B42" i="11"/>
  <c r="AC62" i="21"/>
  <c r="AA54" i="11"/>
  <c r="Z62" i="21"/>
  <c r="Y62" i="21"/>
  <c r="AB43" i="11"/>
  <c r="AB55" i="21"/>
  <c r="AC62" i="11"/>
  <c r="AA62" i="21"/>
  <c r="AU54" i="11" l="1"/>
  <c r="AW62" i="11"/>
  <c r="AN40" i="13"/>
  <c r="AO40" i="13"/>
  <c r="AQ40" i="13"/>
  <c r="AR40" i="13"/>
  <c r="AP40" i="13"/>
  <c r="B41" i="13"/>
  <c r="N103" i="23"/>
  <c r="M104" i="23"/>
  <c r="N56" i="23"/>
  <c r="J29" i="23" s="1"/>
  <c r="V63" i="21"/>
  <c r="T63" i="21"/>
  <c r="AF63" i="21"/>
  <c r="X63" i="21"/>
  <c r="AH63" i="21"/>
  <c r="U63" i="21"/>
  <c r="V55" i="11"/>
  <c r="Q56" i="11"/>
  <c r="AF56" i="11" s="1"/>
  <c r="R45" i="11"/>
  <c r="AG45" i="11" s="1"/>
  <c r="W56" i="21"/>
  <c r="AG56" i="21"/>
  <c r="W44" i="11"/>
  <c r="X63" i="11"/>
  <c r="AE63" i="13"/>
  <c r="AD63" i="13"/>
  <c r="AH63" i="13"/>
  <c r="AF63" i="13"/>
  <c r="B43" i="11"/>
  <c r="AC63" i="21"/>
  <c r="AA55" i="11"/>
  <c r="AC63" i="11"/>
  <c r="Y63" i="21"/>
  <c r="AB56" i="21"/>
  <c r="Z63" i="21"/>
  <c r="AB44" i="11"/>
  <c r="AA63" i="21"/>
  <c r="AU55" i="11" l="1"/>
  <c r="AW63" i="11"/>
  <c r="AN41" i="13"/>
  <c r="AP41" i="13"/>
  <c r="AQ41" i="13"/>
  <c r="AR41" i="13"/>
  <c r="AO41" i="13"/>
  <c r="F42" i="13"/>
  <c r="B42" i="13"/>
  <c r="M105" i="23"/>
  <c r="N104" i="23"/>
  <c r="N57" i="23"/>
  <c r="V64" i="21"/>
  <c r="AF64" i="21"/>
  <c r="T64" i="21"/>
  <c r="AH64" i="21"/>
  <c r="X64" i="21"/>
  <c r="U64" i="21"/>
  <c r="V56" i="11"/>
  <c r="Q57" i="11"/>
  <c r="AF57" i="11" s="1"/>
  <c r="R46" i="11"/>
  <c r="AG46" i="11" s="1"/>
  <c r="W57" i="21"/>
  <c r="AG57" i="21"/>
  <c r="W45" i="11"/>
  <c r="X64" i="11"/>
  <c r="AD64" i="13"/>
  <c r="AF64" i="13"/>
  <c r="AE64" i="13"/>
  <c r="AH64" i="13"/>
  <c r="B44" i="11"/>
  <c r="AC64" i="21"/>
  <c r="AA56" i="11"/>
  <c r="AC64" i="11"/>
  <c r="AA64" i="21"/>
  <c r="AB57" i="21"/>
  <c r="Z64" i="21"/>
  <c r="Y64" i="21"/>
  <c r="AB45" i="11"/>
  <c r="AU56" i="11" l="1"/>
  <c r="AW64" i="11"/>
  <c r="AQ42" i="13"/>
  <c r="AR42" i="13"/>
  <c r="AP42" i="13"/>
  <c r="AN42" i="13"/>
  <c r="AO42" i="13"/>
  <c r="AG42" i="13"/>
  <c r="F43" i="13"/>
  <c r="B43" i="13"/>
  <c r="M106" i="23"/>
  <c r="N105" i="23"/>
  <c r="N58" i="23"/>
  <c r="J30" i="23" s="1"/>
  <c r="V65" i="21"/>
  <c r="AF65" i="21"/>
  <c r="T65" i="21"/>
  <c r="X65" i="21"/>
  <c r="U65" i="21"/>
  <c r="AH65" i="21"/>
  <c r="R47" i="11"/>
  <c r="AG47" i="11" s="1"/>
  <c r="Q58" i="11"/>
  <c r="AF58" i="11" s="1"/>
  <c r="V57" i="11"/>
  <c r="AG58" i="21"/>
  <c r="W58" i="21"/>
  <c r="W46" i="11"/>
  <c r="X65" i="11"/>
  <c r="AE65" i="13"/>
  <c r="AH65" i="13"/>
  <c r="AF65" i="13"/>
  <c r="AD65" i="13"/>
  <c r="B45" i="11"/>
  <c r="AC65" i="21"/>
  <c r="AA57" i="11"/>
  <c r="AA65" i="21"/>
  <c r="Z65" i="21"/>
  <c r="AB46" i="11"/>
  <c r="AB58" i="21"/>
  <c r="Y65" i="21"/>
  <c r="AC65" i="11"/>
  <c r="AU57" i="11" l="1"/>
  <c r="AW65" i="11"/>
  <c r="AQ43" i="13"/>
  <c r="AO43" i="13"/>
  <c r="AR43" i="13"/>
  <c r="AP43" i="13"/>
  <c r="AN43" i="13"/>
  <c r="AG43" i="13"/>
  <c r="B44" i="13"/>
  <c r="F44" i="13"/>
  <c r="M107" i="23"/>
  <c r="N106" i="23"/>
  <c r="N59" i="23"/>
  <c r="V67" i="21"/>
  <c r="T67" i="21"/>
  <c r="AF67" i="21"/>
  <c r="AH67" i="21"/>
  <c r="X67" i="21"/>
  <c r="U67" i="21"/>
  <c r="V66" i="21"/>
  <c r="AF66" i="21"/>
  <c r="T66" i="21"/>
  <c r="X66" i="21"/>
  <c r="AH66" i="21"/>
  <c r="U66" i="21"/>
  <c r="V58" i="11"/>
  <c r="R48" i="11"/>
  <c r="AG48" i="11" s="1"/>
  <c r="Q59" i="11"/>
  <c r="AF59" i="11" s="1"/>
  <c r="AG59" i="21"/>
  <c r="W59" i="21"/>
  <c r="W47" i="11"/>
  <c r="AH66" i="13"/>
  <c r="AD66" i="13"/>
  <c r="AE66" i="13"/>
  <c r="AF66" i="13"/>
  <c r="AF67" i="13"/>
  <c r="AE67" i="13"/>
  <c r="AD67" i="13"/>
  <c r="X66" i="11"/>
  <c r="X67" i="11"/>
  <c r="B46" i="11"/>
  <c r="A59" i="20"/>
  <c r="A58" i="20"/>
  <c r="A57" i="20"/>
  <c r="A56" i="20"/>
  <c r="A59" i="15"/>
  <c r="A58" i="15"/>
  <c r="A57" i="15"/>
  <c r="A56" i="15"/>
  <c r="A59" i="14"/>
  <c r="A58" i="14"/>
  <c r="A57" i="14"/>
  <c r="A56" i="14"/>
  <c r="O120" i="13"/>
  <c r="B120" i="13"/>
  <c r="A68" i="13"/>
  <c r="U120" i="11"/>
  <c r="B120" i="11"/>
  <c r="B224" i="11" s="1"/>
  <c r="A68" i="11"/>
  <c r="P11" i="13"/>
  <c r="P13" i="13"/>
  <c r="P12" i="13"/>
  <c r="AQ17" i="11"/>
  <c r="AO17" i="11"/>
  <c r="AO18" i="11"/>
  <c r="X136" i="5"/>
  <c r="Y136" i="5" s="1"/>
  <c r="V136" i="5"/>
  <c r="W136" i="5" s="1"/>
  <c r="N136" i="5"/>
  <c r="O136" i="5" s="1"/>
  <c r="L136" i="5"/>
  <c r="M136" i="5" s="1"/>
  <c r="L135" i="5"/>
  <c r="M135" i="5" s="1"/>
  <c r="N134" i="5"/>
  <c r="O134" i="5" s="1"/>
  <c r="N133" i="5"/>
  <c r="O133" i="5" s="1"/>
  <c r="N132" i="5"/>
  <c r="O132" i="5" s="1"/>
  <c r="L132" i="5"/>
  <c r="M132" i="5" s="1"/>
  <c r="N131" i="5"/>
  <c r="O131" i="5" s="1"/>
  <c r="L131" i="5"/>
  <c r="M131" i="5" s="1"/>
  <c r="N130" i="5"/>
  <c r="O130" i="5" s="1"/>
  <c r="L130" i="5"/>
  <c r="M130" i="5" s="1"/>
  <c r="N129" i="5"/>
  <c r="O129" i="5" s="1"/>
  <c r="L129" i="5"/>
  <c r="M129" i="5" s="1"/>
  <c r="N128" i="5"/>
  <c r="O128" i="5" s="1"/>
  <c r="L128" i="5"/>
  <c r="M128" i="5" s="1"/>
  <c r="N127" i="5"/>
  <c r="O127" i="5" s="1"/>
  <c r="L127" i="5"/>
  <c r="M127" i="5" s="1"/>
  <c r="N126" i="5"/>
  <c r="L126" i="5"/>
  <c r="D136" i="5"/>
  <c r="E136" i="5" s="1"/>
  <c r="B136" i="5"/>
  <c r="C136" i="5" s="1"/>
  <c r="D135" i="5"/>
  <c r="E135" i="5" s="1"/>
  <c r="B135" i="5"/>
  <c r="C135" i="5" s="1"/>
  <c r="D134" i="5"/>
  <c r="E134" i="5" s="1"/>
  <c r="B134" i="5"/>
  <c r="C134" i="5" s="1"/>
  <c r="D133" i="5"/>
  <c r="E133" i="5" s="1"/>
  <c r="B133" i="5"/>
  <c r="C133" i="5" s="1"/>
  <c r="D132" i="5"/>
  <c r="E132" i="5" s="1"/>
  <c r="B132" i="5"/>
  <c r="C132" i="5" s="1"/>
  <c r="D131" i="5"/>
  <c r="E131" i="5" s="1"/>
  <c r="B131" i="5"/>
  <c r="C131" i="5" s="1"/>
  <c r="D130" i="5"/>
  <c r="E130" i="5" s="1"/>
  <c r="B130" i="5"/>
  <c r="C130" i="5" s="1"/>
  <c r="D129" i="5"/>
  <c r="E129" i="5" s="1"/>
  <c r="B129" i="5"/>
  <c r="C129" i="5" s="1"/>
  <c r="D128" i="5"/>
  <c r="E128" i="5" s="1"/>
  <c r="B128" i="5"/>
  <c r="C128" i="5" s="1"/>
  <c r="D127" i="5"/>
  <c r="E127" i="5" s="1"/>
  <c r="B127" i="5"/>
  <c r="C127" i="5" s="1"/>
  <c r="D126" i="5"/>
  <c r="B126" i="5"/>
  <c r="V49" i="5"/>
  <c r="D149" i="5" s="1"/>
  <c r="X49" i="5"/>
  <c r="D150" i="5" s="1"/>
  <c r="U9" i="5"/>
  <c r="AD9" i="5" s="1"/>
  <c r="U46" i="5"/>
  <c r="AD46" i="5" s="1"/>
  <c r="X60" i="5"/>
  <c r="A58" i="5"/>
  <c r="X66" i="5"/>
  <c r="X63" i="5" s="1"/>
  <c r="X72" i="5"/>
  <c r="X78" i="5"/>
  <c r="X84" i="5"/>
  <c r="X83" i="5" s="1"/>
  <c r="X90" i="5"/>
  <c r="X96" i="5"/>
  <c r="X94" i="5" s="1"/>
  <c r="X102" i="5"/>
  <c r="X108" i="5"/>
  <c r="X114" i="5"/>
  <c r="X111" i="5" s="1"/>
  <c r="A113" i="5"/>
  <c r="X118" i="5"/>
  <c r="X116" i="5" s="1"/>
  <c r="AB116" i="5" s="1"/>
  <c r="V60" i="5"/>
  <c r="V57" i="5" s="1"/>
  <c r="Z57" i="5" s="1"/>
  <c r="V66" i="5"/>
  <c r="V63" i="5" s="1"/>
  <c r="V72" i="5"/>
  <c r="V70" i="5" s="1"/>
  <c r="V78" i="5"/>
  <c r="V76" i="5" s="1"/>
  <c r="V84" i="5"/>
  <c r="V81" i="5" s="1"/>
  <c r="V90" i="5"/>
  <c r="V88" i="5" s="1"/>
  <c r="V96" i="5"/>
  <c r="V102" i="5"/>
  <c r="V98" i="5" s="1"/>
  <c r="V108" i="5"/>
  <c r="V105" i="5" s="1"/>
  <c r="V114" i="5"/>
  <c r="V113" i="5" s="1"/>
  <c r="V118" i="5"/>
  <c r="V116" i="5" s="1"/>
  <c r="Z116" i="5" s="1"/>
  <c r="L49" i="5"/>
  <c r="D145" i="5" s="1"/>
  <c r="N49" i="5"/>
  <c r="D146" i="5" s="1"/>
  <c r="K9" i="5"/>
  <c r="K46" i="5"/>
  <c r="T46" i="5" s="1"/>
  <c r="M49" i="5"/>
  <c r="O49" i="5"/>
  <c r="F146" i="5" s="1"/>
  <c r="N60" i="5"/>
  <c r="N57" i="5" s="1"/>
  <c r="R57" i="5" s="1"/>
  <c r="N66" i="5"/>
  <c r="N63" i="5" s="1"/>
  <c r="N72" i="5"/>
  <c r="N69" i="5" s="1"/>
  <c r="N78" i="5"/>
  <c r="N75" i="5" s="1"/>
  <c r="N84" i="5"/>
  <c r="N83" i="5" s="1"/>
  <c r="N90" i="5"/>
  <c r="N89" i="5" s="1"/>
  <c r="N96" i="5"/>
  <c r="N95" i="5" s="1"/>
  <c r="N102" i="5"/>
  <c r="N100" i="5" s="1"/>
  <c r="N108" i="5"/>
  <c r="N114" i="5"/>
  <c r="N111" i="5" s="1"/>
  <c r="N118" i="5"/>
  <c r="N117" i="5" s="1"/>
  <c r="R117" i="5" s="1"/>
  <c r="L60" i="5"/>
  <c r="L59" i="5" s="1"/>
  <c r="L66" i="5"/>
  <c r="L64" i="5" s="1"/>
  <c r="L72" i="5"/>
  <c r="L71" i="5" s="1"/>
  <c r="L78" i="5"/>
  <c r="L76" i="5" s="1"/>
  <c r="L84" i="5"/>
  <c r="L90" i="5"/>
  <c r="L88" i="5" s="1"/>
  <c r="L96" i="5"/>
  <c r="L94" i="5" s="1"/>
  <c r="L102" i="5"/>
  <c r="L100" i="5" s="1"/>
  <c r="L108" i="5"/>
  <c r="L114" i="5"/>
  <c r="L111" i="5" s="1"/>
  <c r="L118" i="5"/>
  <c r="B49" i="5"/>
  <c r="D141" i="5" s="1"/>
  <c r="D49" i="5"/>
  <c r="D142" i="5" s="1"/>
  <c r="A9" i="5"/>
  <c r="A46" i="5"/>
  <c r="J46" i="5" s="1"/>
  <c r="C49" i="5"/>
  <c r="E49" i="5"/>
  <c r="D60" i="5"/>
  <c r="D56" i="5" s="1"/>
  <c r="H56" i="5" s="1"/>
  <c r="D66" i="5"/>
  <c r="D64" i="5" s="1"/>
  <c r="D72" i="5"/>
  <c r="D68" i="5" s="1"/>
  <c r="D78" i="5"/>
  <c r="D75" i="5" s="1"/>
  <c r="D84" i="5"/>
  <c r="D82" i="5" s="1"/>
  <c r="D90" i="5"/>
  <c r="D86" i="5" s="1"/>
  <c r="D96" i="5"/>
  <c r="D92" i="5" s="1"/>
  <c r="D102" i="5"/>
  <c r="D108" i="5"/>
  <c r="D105" i="5" s="1"/>
  <c r="D114" i="5"/>
  <c r="D118" i="5"/>
  <c r="D116" i="5" s="1"/>
  <c r="H116" i="5" s="1"/>
  <c r="B60" i="5"/>
  <c r="B66" i="5"/>
  <c r="B62" i="5" s="1"/>
  <c r="B72" i="5"/>
  <c r="B69" i="5" s="1"/>
  <c r="B78" i="5"/>
  <c r="B74" i="5" s="1"/>
  <c r="B84" i="5"/>
  <c r="B81" i="5" s="1"/>
  <c r="B90" i="5"/>
  <c r="B88" i="5" s="1"/>
  <c r="B96" i="5"/>
  <c r="B93" i="5" s="1"/>
  <c r="B102" i="5"/>
  <c r="B98" i="5" s="1"/>
  <c r="B108" i="5"/>
  <c r="B104" i="5" s="1"/>
  <c r="B114" i="5"/>
  <c r="B118" i="5"/>
  <c r="B116" i="5" s="1"/>
  <c r="F116" i="5" s="1"/>
  <c r="U54" i="5"/>
  <c r="U123" i="5" s="1"/>
  <c r="K54" i="5"/>
  <c r="K123" i="5" s="1"/>
  <c r="A54" i="5"/>
  <c r="A123" i="5" s="1"/>
  <c r="U113" i="5"/>
  <c r="K113" i="5"/>
  <c r="U58" i="5"/>
  <c r="U59" i="5" s="1"/>
  <c r="U62" i="5" s="1"/>
  <c r="U63" i="5" s="1"/>
  <c r="U64" i="5" s="1"/>
  <c r="U65" i="5" s="1"/>
  <c r="U68" i="5" s="1"/>
  <c r="U69" i="5" s="1"/>
  <c r="U70" i="5" s="1"/>
  <c r="U71" i="5" s="1"/>
  <c r="U74" i="5" s="1"/>
  <c r="U75" i="5" s="1"/>
  <c r="U76" i="5" s="1"/>
  <c r="U77" i="5" s="1"/>
  <c r="U80" i="5" s="1"/>
  <c r="U81" i="5" s="1"/>
  <c r="U82" i="5" s="1"/>
  <c r="U83" i="5" s="1"/>
  <c r="U86" i="5" s="1"/>
  <c r="U87" i="5" s="1"/>
  <c r="U88" i="5" s="1"/>
  <c r="U89" i="5" s="1"/>
  <c r="U92" i="5" s="1"/>
  <c r="U93" i="5" s="1"/>
  <c r="U94" i="5" s="1"/>
  <c r="U95" i="5" s="1"/>
  <c r="U98" i="5" s="1"/>
  <c r="U99" i="5" s="1"/>
  <c r="U100" i="5" s="1"/>
  <c r="U101" i="5" s="1"/>
  <c r="U104" i="5" s="1"/>
  <c r="U105" i="5" s="1"/>
  <c r="U106" i="5" s="1"/>
  <c r="U107" i="5" s="1"/>
  <c r="U110" i="5" s="1"/>
  <c r="U111" i="5" s="1"/>
  <c r="K58" i="5"/>
  <c r="K59" i="5" s="1"/>
  <c r="K62" i="5" s="1"/>
  <c r="K63" i="5" s="1"/>
  <c r="K64" i="5" s="1"/>
  <c r="K65" i="5" s="1"/>
  <c r="K68" i="5" s="1"/>
  <c r="K69" i="5" s="1"/>
  <c r="K70" i="5" s="1"/>
  <c r="K71" i="5" s="1"/>
  <c r="K74" i="5" s="1"/>
  <c r="K75" i="5" s="1"/>
  <c r="K76" i="5" s="1"/>
  <c r="K77" i="5" s="1"/>
  <c r="K80" i="5" s="1"/>
  <c r="K81" i="5" s="1"/>
  <c r="K82" i="5" s="1"/>
  <c r="K83" i="5" s="1"/>
  <c r="K86" i="5" s="1"/>
  <c r="K87" i="5" s="1"/>
  <c r="K88" i="5" s="1"/>
  <c r="K89" i="5" s="1"/>
  <c r="K92" i="5" s="1"/>
  <c r="K93" i="5" s="1"/>
  <c r="K94" i="5" s="1"/>
  <c r="K95" i="5" s="1"/>
  <c r="K98" i="5" s="1"/>
  <c r="K99" i="5" s="1"/>
  <c r="K100" i="5" s="1"/>
  <c r="K101" i="5" s="1"/>
  <c r="K104" i="5" s="1"/>
  <c r="K105" i="5" s="1"/>
  <c r="K106" i="5" s="1"/>
  <c r="K107" i="5" s="1"/>
  <c r="K110" i="5" s="1"/>
  <c r="K111" i="5" s="1"/>
  <c r="A54" i="20"/>
  <c r="A54" i="15"/>
  <c r="A54" i="14"/>
  <c r="D3" i="13"/>
  <c r="D4" i="13"/>
  <c r="O9" i="9"/>
  <c r="Z9" i="9"/>
  <c r="M10" i="9"/>
  <c r="N10" i="9"/>
  <c r="O10" i="9" s="1"/>
  <c r="Z10" i="9"/>
  <c r="M11" i="9"/>
  <c r="N11" i="9"/>
  <c r="O11" i="9" s="1"/>
  <c r="Z11" i="9"/>
  <c r="M12" i="9"/>
  <c r="N12" i="9"/>
  <c r="O12" i="9" s="1"/>
  <c r="Z12" i="9"/>
  <c r="M13" i="9"/>
  <c r="N13" i="9"/>
  <c r="O13" i="9" s="1"/>
  <c r="Z13" i="9"/>
  <c r="M14" i="9"/>
  <c r="N14" i="9"/>
  <c r="O14" i="9" s="1"/>
  <c r="Z14" i="9"/>
  <c r="M15" i="9"/>
  <c r="N15" i="9"/>
  <c r="O15" i="9" s="1"/>
  <c r="Z15" i="9"/>
  <c r="M16" i="9"/>
  <c r="N16" i="9"/>
  <c r="O16" i="9" s="1"/>
  <c r="Z16" i="9"/>
  <c r="M17" i="9"/>
  <c r="N17" i="9"/>
  <c r="O17" i="9" s="1"/>
  <c r="Z17" i="9"/>
  <c r="M18" i="9"/>
  <c r="N18" i="9"/>
  <c r="O18" i="9" s="1"/>
  <c r="Z18" i="9"/>
  <c r="M19" i="9"/>
  <c r="N19" i="9"/>
  <c r="O19" i="9" s="1"/>
  <c r="Z19" i="9"/>
  <c r="AM46" i="11"/>
  <c r="M20" i="9"/>
  <c r="N20" i="9"/>
  <c r="O20" i="9" s="1"/>
  <c r="Z20" i="9"/>
  <c r="AM47" i="11"/>
  <c r="M21" i="9"/>
  <c r="N21" i="9"/>
  <c r="O21" i="9" s="1"/>
  <c r="Z21" i="9"/>
  <c r="M22" i="9"/>
  <c r="N22" i="9"/>
  <c r="O22" i="9" s="1"/>
  <c r="Z22" i="9"/>
  <c r="M23" i="9"/>
  <c r="N23" i="9"/>
  <c r="O23" i="9" s="1"/>
  <c r="Z23" i="9"/>
  <c r="M24" i="9"/>
  <c r="N24" i="9"/>
  <c r="O24" i="9" s="1"/>
  <c r="Z24" i="9"/>
  <c r="M25" i="9"/>
  <c r="N25" i="9"/>
  <c r="O25" i="9" s="1"/>
  <c r="Z25" i="9"/>
  <c r="M26" i="9"/>
  <c r="N26" i="9"/>
  <c r="O26" i="9" s="1"/>
  <c r="Z26" i="9"/>
  <c r="M27" i="9"/>
  <c r="N27" i="9"/>
  <c r="O27" i="9" s="1"/>
  <c r="Z27" i="9"/>
  <c r="M28" i="9"/>
  <c r="N28" i="9"/>
  <c r="O28" i="9" s="1"/>
  <c r="Z28" i="9"/>
  <c r="M29" i="9"/>
  <c r="N29" i="9"/>
  <c r="O29" i="9" s="1"/>
  <c r="Z29" i="9"/>
  <c r="M30" i="9"/>
  <c r="N30" i="9"/>
  <c r="O30" i="9" s="1"/>
  <c r="Z30" i="9"/>
  <c r="M31" i="9"/>
  <c r="N31" i="9"/>
  <c r="O31" i="9" s="1"/>
  <c r="Z31" i="9"/>
  <c r="M32" i="9"/>
  <c r="N32" i="9"/>
  <c r="O32" i="9" s="1"/>
  <c r="Z32" i="9"/>
  <c r="M33" i="9"/>
  <c r="N33" i="9"/>
  <c r="O33" i="9" s="1"/>
  <c r="Z33" i="9"/>
  <c r="M34" i="9"/>
  <c r="N34" i="9"/>
  <c r="O34" i="9" s="1"/>
  <c r="Z34" i="9"/>
  <c r="M35" i="9"/>
  <c r="N35" i="9"/>
  <c r="O35" i="9" s="1"/>
  <c r="Z35" i="9"/>
  <c r="M36" i="9"/>
  <c r="N36" i="9"/>
  <c r="O36" i="9" s="1"/>
  <c r="Z36" i="9"/>
  <c r="M37" i="9"/>
  <c r="N37" i="9"/>
  <c r="O37" i="9" s="1"/>
  <c r="Z37" i="9"/>
  <c r="M38" i="9"/>
  <c r="N38" i="9"/>
  <c r="O38" i="9" s="1"/>
  <c r="Z38" i="9"/>
  <c r="M39" i="9"/>
  <c r="N39" i="9"/>
  <c r="O39" i="9" s="1"/>
  <c r="Z39" i="9"/>
  <c r="M40" i="9"/>
  <c r="N40" i="9"/>
  <c r="O40" i="9" s="1"/>
  <c r="M41" i="9"/>
  <c r="N41" i="9"/>
  <c r="O41" i="9" s="1"/>
  <c r="M42" i="9"/>
  <c r="N42" i="9"/>
  <c r="O42" i="9" s="1"/>
  <c r="M43" i="9"/>
  <c r="N43" i="9"/>
  <c r="O43" i="9" s="1"/>
  <c r="M44" i="9"/>
  <c r="N44" i="9"/>
  <c r="O44" i="9" s="1"/>
  <c r="M45" i="9"/>
  <c r="N45" i="9"/>
  <c r="O45" i="9" s="1"/>
  <c r="M46" i="9"/>
  <c r="N46" i="9"/>
  <c r="O46" i="9" s="1"/>
  <c r="M47" i="9"/>
  <c r="N47" i="9"/>
  <c r="O47" i="9" s="1"/>
  <c r="M48" i="9"/>
  <c r="O48" i="9"/>
  <c r="C6" i="7"/>
  <c r="C5" i="7" s="1"/>
  <c r="C4" i="7" s="1"/>
  <c r="D12" i="7"/>
  <c r="E12" i="7"/>
  <c r="F12" i="7"/>
  <c r="G12" i="7"/>
  <c r="D13" i="7"/>
  <c r="E13" i="7"/>
  <c r="F13" i="7"/>
  <c r="G13" i="7"/>
  <c r="D14" i="7"/>
  <c r="E14" i="7"/>
  <c r="F14" i="7"/>
  <c r="G14" i="7"/>
  <c r="D15" i="7"/>
  <c r="E15" i="7"/>
  <c r="F15" i="7"/>
  <c r="G15" i="7"/>
  <c r="D16" i="7"/>
  <c r="E16" i="7"/>
  <c r="F16" i="7"/>
  <c r="G16" i="7"/>
  <c r="D17" i="7"/>
  <c r="E17" i="7"/>
  <c r="F17" i="7"/>
  <c r="G17" i="7"/>
  <c r="D18" i="7"/>
  <c r="E18" i="7"/>
  <c r="F18" i="7"/>
  <c r="G18" i="7"/>
  <c r="D19" i="7"/>
  <c r="E19" i="7"/>
  <c r="F19" i="7"/>
  <c r="G19" i="7"/>
  <c r="D20" i="7"/>
  <c r="E20" i="7"/>
  <c r="F20" i="7"/>
  <c r="G20" i="7"/>
  <c r="D21" i="7"/>
  <c r="E21" i="7"/>
  <c r="F21" i="7"/>
  <c r="G21" i="7"/>
  <c r="D22" i="7"/>
  <c r="E22" i="7"/>
  <c r="F22" i="7"/>
  <c r="G22" i="7"/>
  <c r="D23" i="7"/>
  <c r="E23" i="7"/>
  <c r="F23" i="7"/>
  <c r="G23" i="7"/>
  <c r="D24" i="7"/>
  <c r="E24" i="7"/>
  <c r="F24" i="7"/>
  <c r="G24" i="7"/>
  <c r="D25" i="7"/>
  <c r="E25" i="7"/>
  <c r="F25" i="7"/>
  <c r="G25" i="7"/>
  <c r="D26" i="7"/>
  <c r="E26" i="7"/>
  <c r="F26" i="7"/>
  <c r="G26" i="7"/>
  <c r="D27" i="7"/>
  <c r="E27" i="7"/>
  <c r="F27" i="7"/>
  <c r="G27" i="7"/>
  <c r="D28" i="7"/>
  <c r="E28" i="7"/>
  <c r="F28" i="7"/>
  <c r="G28" i="7"/>
  <c r="D29" i="7"/>
  <c r="E29" i="7"/>
  <c r="F29" i="7"/>
  <c r="G29" i="7"/>
  <c r="D30" i="7"/>
  <c r="E30" i="7"/>
  <c r="F30" i="7"/>
  <c r="G30" i="7"/>
  <c r="D31" i="7"/>
  <c r="E31" i="7"/>
  <c r="F31" i="7"/>
  <c r="G31" i="7"/>
  <c r="D32" i="7"/>
  <c r="E32" i="7"/>
  <c r="F32" i="7"/>
  <c r="G32" i="7"/>
  <c r="D33" i="7"/>
  <c r="E33" i="7"/>
  <c r="F33" i="7"/>
  <c r="G33" i="7"/>
  <c r="D34" i="7"/>
  <c r="E34" i="7"/>
  <c r="F34" i="7"/>
  <c r="G34" i="7"/>
  <c r="D35" i="7"/>
  <c r="E35" i="7"/>
  <c r="F35" i="7"/>
  <c r="G35" i="7"/>
  <c r="D36" i="7"/>
  <c r="E36" i="7"/>
  <c r="F36" i="7"/>
  <c r="G36" i="7"/>
  <c r="D37" i="7"/>
  <c r="E37" i="7"/>
  <c r="F37" i="7"/>
  <c r="G37" i="7"/>
  <c r="D38" i="7"/>
  <c r="E38" i="7"/>
  <c r="F38" i="7"/>
  <c r="G38" i="7"/>
  <c r="D39" i="7"/>
  <c r="E39" i="7"/>
  <c r="F39" i="7"/>
  <c r="G39" i="7"/>
  <c r="D40" i="7"/>
  <c r="E40" i="7"/>
  <c r="F40" i="7"/>
  <c r="G40" i="7"/>
  <c r="D41" i="7"/>
  <c r="E41" i="7"/>
  <c r="F41" i="7"/>
  <c r="G41" i="7"/>
  <c r="D42" i="7"/>
  <c r="E42" i="7"/>
  <c r="F42" i="7"/>
  <c r="G42" i="7"/>
  <c r="D43" i="7"/>
  <c r="E43" i="7"/>
  <c r="F43" i="7"/>
  <c r="G43" i="7"/>
  <c r="D44" i="7"/>
  <c r="E44" i="7"/>
  <c r="F44" i="7"/>
  <c r="G44" i="7"/>
  <c r="D45" i="7"/>
  <c r="E45" i="7"/>
  <c r="F45" i="7"/>
  <c r="G45" i="7"/>
  <c r="D46" i="7"/>
  <c r="E46" i="7"/>
  <c r="F46" i="7"/>
  <c r="G46" i="7"/>
  <c r="D47" i="7"/>
  <c r="E47" i="7"/>
  <c r="F47" i="7"/>
  <c r="G47" i="7"/>
  <c r="D48" i="7"/>
  <c r="E48" i="7"/>
  <c r="F48" i="7"/>
  <c r="G48" i="7"/>
  <c r="D49" i="7"/>
  <c r="E49" i="7"/>
  <c r="F49" i="7"/>
  <c r="G49" i="7"/>
  <c r="D50" i="7"/>
  <c r="E50" i="7"/>
  <c r="F50" i="7"/>
  <c r="G50" i="7"/>
  <c r="D51" i="7"/>
  <c r="E51" i="7"/>
  <c r="F51" i="7"/>
  <c r="G51" i="7"/>
  <c r="D52" i="7"/>
  <c r="E52" i="7"/>
  <c r="F52" i="7"/>
  <c r="G52" i="7"/>
  <c r="D53" i="7"/>
  <c r="E53" i="7"/>
  <c r="F53" i="7"/>
  <c r="G53" i="7"/>
  <c r="D54" i="7"/>
  <c r="E54" i="7"/>
  <c r="F54" i="7"/>
  <c r="G54" i="7"/>
  <c r="D55" i="7"/>
  <c r="E55" i="7"/>
  <c r="F55" i="7"/>
  <c r="G55" i="7"/>
  <c r="D56" i="7"/>
  <c r="E56" i="7"/>
  <c r="F56" i="7"/>
  <c r="G56" i="7"/>
  <c r="D57" i="7"/>
  <c r="E57" i="7"/>
  <c r="F57" i="7"/>
  <c r="G57" i="7"/>
  <c r="D58" i="7"/>
  <c r="E58" i="7"/>
  <c r="F58" i="7"/>
  <c r="G58" i="7"/>
  <c r="D59" i="7"/>
  <c r="E59" i="7"/>
  <c r="F59" i="7"/>
  <c r="G59" i="7"/>
  <c r="D60" i="7"/>
  <c r="E60" i="7"/>
  <c r="F60" i="7"/>
  <c r="G60" i="7"/>
  <c r="D61" i="7"/>
  <c r="E61" i="7"/>
  <c r="F61" i="7"/>
  <c r="G61" i="7"/>
  <c r="D62" i="7"/>
  <c r="E62" i="7"/>
  <c r="F62" i="7"/>
  <c r="G62" i="7"/>
  <c r="D63" i="7"/>
  <c r="E63" i="7"/>
  <c r="F63" i="7"/>
  <c r="G63" i="7"/>
  <c r="D64" i="7"/>
  <c r="E64" i="7"/>
  <c r="F64" i="7"/>
  <c r="G64" i="7"/>
  <c r="D65" i="7"/>
  <c r="E65" i="7"/>
  <c r="F65" i="7"/>
  <c r="G65" i="7"/>
  <c r="D66" i="7"/>
  <c r="E66" i="7"/>
  <c r="F66" i="7"/>
  <c r="G66" i="7"/>
  <c r="D67" i="7"/>
  <c r="E67" i="7"/>
  <c r="F67" i="7"/>
  <c r="G67" i="7"/>
  <c r="D68" i="7"/>
  <c r="E68" i="7"/>
  <c r="F68" i="7"/>
  <c r="G68" i="7"/>
  <c r="D69" i="7"/>
  <c r="E69" i="7"/>
  <c r="F69" i="7"/>
  <c r="G69" i="7"/>
  <c r="D70" i="7"/>
  <c r="E70" i="7"/>
  <c r="F70" i="7"/>
  <c r="G70" i="7"/>
  <c r="D71" i="7"/>
  <c r="E71" i="7"/>
  <c r="F71" i="7"/>
  <c r="G71" i="7"/>
  <c r="D72" i="7"/>
  <c r="E72" i="7"/>
  <c r="F72" i="7"/>
  <c r="G72" i="7"/>
  <c r="D73" i="7"/>
  <c r="E73" i="7"/>
  <c r="F73" i="7"/>
  <c r="G73" i="7"/>
  <c r="D74" i="7"/>
  <c r="E74" i="7"/>
  <c r="F74" i="7"/>
  <c r="G74" i="7"/>
  <c r="D75" i="7"/>
  <c r="E75" i="7"/>
  <c r="F75" i="7"/>
  <c r="G75" i="7"/>
  <c r="D76" i="7"/>
  <c r="E76" i="7"/>
  <c r="F76" i="7"/>
  <c r="G76" i="7"/>
  <c r="D77" i="7"/>
  <c r="E77" i="7"/>
  <c r="F77" i="7"/>
  <c r="G77" i="7"/>
  <c r="D78" i="7"/>
  <c r="E78" i="7"/>
  <c r="F78" i="7"/>
  <c r="G78" i="7"/>
  <c r="D79" i="7"/>
  <c r="E79" i="7"/>
  <c r="F79" i="7"/>
  <c r="G79" i="7"/>
  <c r="D80" i="7"/>
  <c r="E80" i="7"/>
  <c r="F80" i="7"/>
  <c r="G80" i="7"/>
  <c r="D81" i="7"/>
  <c r="E81" i="7"/>
  <c r="F81" i="7"/>
  <c r="G81" i="7"/>
  <c r="D82" i="7"/>
  <c r="E82" i="7"/>
  <c r="F82" i="7"/>
  <c r="G82" i="7"/>
  <c r="D83" i="7"/>
  <c r="E83" i="7"/>
  <c r="F83" i="7"/>
  <c r="G83" i="7"/>
  <c r="D84" i="7"/>
  <c r="E84" i="7"/>
  <c r="F84" i="7"/>
  <c r="G84" i="7"/>
  <c r="D85" i="7"/>
  <c r="E85" i="7"/>
  <c r="F85" i="7"/>
  <c r="G85" i="7"/>
  <c r="D86" i="7"/>
  <c r="E86" i="7"/>
  <c r="F86" i="7"/>
  <c r="G86" i="7"/>
  <c r="D87" i="7"/>
  <c r="E87" i="7"/>
  <c r="F87" i="7"/>
  <c r="G87" i="7"/>
  <c r="D88" i="7"/>
  <c r="E88" i="7"/>
  <c r="F88" i="7"/>
  <c r="G88" i="7"/>
  <c r="D89" i="7"/>
  <c r="E89" i="7"/>
  <c r="F89" i="7"/>
  <c r="G89" i="7"/>
  <c r="D90" i="7"/>
  <c r="E90" i="7"/>
  <c r="F90" i="7"/>
  <c r="G90" i="7"/>
  <c r="D91" i="7"/>
  <c r="E91" i="7"/>
  <c r="F91" i="7"/>
  <c r="G91" i="7"/>
  <c r="D92" i="7"/>
  <c r="E92" i="7"/>
  <c r="F92" i="7"/>
  <c r="G92" i="7"/>
  <c r="D93" i="7"/>
  <c r="E93" i="7"/>
  <c r="F93" i="7"/>
  <c r="G93" i="7"/>
  <c r="D94" i="7"/>
  <c r="E94" i="7"/>
  <c r="F94" i="7"/>
  <c r="G94" i="7"/>
  <c r="D95" i="7"/>
  <c r="E95" i="7"/>
  <c r="F95" i="7"/>
  <c r="G95" i="7"/>
  <c r="D96" i="7"/>
  <c r="E96" i="7"/>
  <c r="F96" i="7"/>
  <c r="G96" i="7"/>
  <c r="D97" i="7"/>
  <c r="E97" i="7"/>
  <c r="F97" i="7"/>
  <c r="G97" i="7"/>
  <c r="AC66" i="21"/>
  <c r="AC67" i="21"/>
  <c r="AA58" i="11"/>
  <c r="AC66" i="11"/>
  <c r="Y66" i="21"/>
  <c r="AB59" i="21"/>
  <c r="Z66" i="21"/>
  <c r="AC67" i="11"/>
  <c r="Y67" i="21"/>
  <c r="Z67" i="21"/>
  <c r="AA67" i="21"/>
  <c r="AA66" i="21"/>
  <c r="AB47" i="11"/>
  <c r="AU58" i="11" l="1"/>
  <c r="AW67" i="11"/>
  <c r="AW66" i="11"/>
  <c r="AQ44" i="13"/>
  <c r="AP44" i="13"/>
  <c r="AO44" i="13"/>
  <c r="AR44" i="13"/>
  <c r="AN44" i="13"/>
  <c r="AO37" i="11"/>
  <c r="AR24" i="11"/>
  <c r="AQ38" i="11"/>
  <c r="AR25" i="11"/>
  <c r="AN40" i="11"/>
  <c r="AO27" i="11"/>
  <c r="AO38" i="11"/>
  <c r="AP25" i="11"/>
  <c r="AO41" i="11"/>
  <c r="AP28" i="11"/>
  <c r="AO44" i="11"/>
  <c r="AP31" i="11"/>
  <c r="AR45" i="11"/>
  <c r="AR32" i="11"/>
  <c r="AP45" i="11"/>
  <c r="AQ32" i="11"/>
  <c r="AQ35" i="11"/>
  <c r="AN37" i="11"/>
  <c r="AQ24" i="11"/>
  <c r="AP38" i="11"/>
  <c r="AQ25" i="11"/>
  <c r="AQ36" i="11"/>
  <c r="AQ39" i="11"/>
  <c r="AR26" i="11"/>
  <c r="AQ42" i="11"/>
  <c r="AR29" i="11"/>
  <c r="AN44" i="11"/>
  <c r="AO31" i="11"/>
  <c r="AR43" i="11"/>
  <c r="AN31" i="11"/>
  <c r="AN34" i="11"/>
  <c r="AP35" i="11"/>
  <c r="AR36" i="11"/>
  <c r="AN35" i="11"/>
  <c r="AO24" i="11"/>
  <c r="AN38" i="11"/>
  <c r="AO25" i="11"/>
  <c r="AN41" i="11"/>
  <c r="AO28" i="11"/>
  <c r="AP42" i="11"/>
  <c r="AQ29" i="11"/>
  <c r="AO42" i="11"/>
  <c r="AP29" i="11"/>
  <c r="AO45" i="11"/>
  <c r="AP32" i="11"/>
  <c r="AR33" i="11"/>
  <c r="AO35" i="11"/>
  <c r="AP46" i="11"/>
  <c r="AP33" i="11"/>
  <c r="AP36" i="11"/>
  <c r="AP24" i="11"/>
  <c r="AP39" i="11"/>
  <c r="AQ26" i="11"/>
  <c r="AR40" i="11"/>
  <c r="AN28" i="11"/>
  <c r="AQ40" i="11"/>
  <c r="AR27" i="11"/>
  <c r="AQ43" i="11"/>
  <c r="AR30" i="11"/>
  <c r="AN45" i="11"/>
  <c r="AO32" i="11"/>
  <c r="AR46" i="11"/>
  <c r="AQ33" i="11"/>
  <c r="AQ44" i="11"/>
  <c r="AR31" i="11"/>
  <c r="AR34" i="11"/>
  <c r="AN24" i="11"/>
  <c r="AR37" i="11"/>
  <c r="AN25" i="11"/>
  <c r="AO39" i="11"/>
  <c r="AP26" i="11"/>
  <c r="AN39" i="11"/>
  <c r="AO26" i="11"/>
  <c r="AN42" i="11"/>
  <c r="AO29" i="11"/>
  <c r="AP43" i="11"/>
  <c r="AQ30" i="11"/>
  <c r="AR44" i="11"/>
  <c r="AN32" i="11"/>
  <c r="AN43" i="11"/>
  <c r="AO30" i="11"/>
  <c r="AO46" i="11"/>
  <c r="AO33" i="11"/>
  <c r="AO36" i="11"/>
  <c r="AQ37" i="11"/>
  <c r="AP37" i="11"/>
  <c r="AP40" i="11"/>
  <c r="AQ27" i="11"/>
  <c r="AR41" i="11"/>
  <c r="AN29" i="11"/>
  <c r="AO43" i="11"/>
  <c r="AP30" i="11"/>
  <c r="AP41" i="11"/>
  <c r="AQ28" i="11"/>
  <c r="AP44" i="11"/>
  <c r="AQ31" i="11"/>
  <c r="AQ34" i="11"/>
  <c r="AN36" i="11"/>
  <c r="AR35" i="11"/>
  <c r="AR38" i="11"/>
  <c r="AN26" i="11"/>
  <c r="AO40" i="11"/>
  <c r="AP27" i="11"/>
  <c r="AQ41" i="11"/>
  <c r="AR28" i="11"/>
  <c r="AR39" i="11"/>
  <c r="AN27" i="11"/>
  <c r="AR42" i="11"/>
  <c r="AN30" i="11"/>
  <c r="AN46" i="11"/>
  <c r="AN33" i="11"/>
  <c r="AP34" i="11"/>
  <c r="AO34" i="11"/>
  <c r="AQ45" i="11"/>
  <c r="AQ46" i="11"/>
  <c r="K10" i="5"/>
  <c r="T9" i="5"/>
  <c r="A10" i="5"/>
  <c r="J9" i="5"/>
  <c r="L56" i="5"/>
  <c r="P56" i="5" s="1"/>
  <c r="AJ42" i="21"/>
  <c r="AE42" i="21" s="1"/>
  <c r="AT42" i="21" s="1"/>
  <c r="AY42" i="21" s="1"/>
  <c r="AM46" i="13"/>
  <c r="AJ42" i="13"/>
  <c r="AE42" i="13" s="1"/>
  <c r="AK42" i="13"/>
  <c r="AL42" i="11"/>
  <c r="AV42" i="11" s="1"/>
  <c r="AM44" i="11"/>
  <c r="AJ40" i="21"/>
  <c r="AE40" i="21" s="1"/>
  <c r="AT40" i="21" s="1"/>
  <c r="AY40" i="21" s="1"/>
  <c r="AK40" i="13"/>
  <c r="AJ40" i="13"/>
  <c r="AE40" i="13" s="1"/>
  <c r="AM44" i="13"/>
  <c r="AL40" i="11"/>
  <c r="AV40" i="11" s="1"/>
  <c r="AM42" i="11"/>
  <c r="AJ38" i="21"/>
  <c r="AE38" i="21" s="1"/>
  <c r="AT38" i="21" s="1"/>
  <c r="AY38" i="21" s="1"/>
  <c r="AI38" i="21"/>
  <c r="AI38" i="13"/>
  <c r="AD38" i="13" s="1"/>
  <c r="AK38" i="13"/>
  <c r="AJ38" i="13"/>
  <c r="AE38" i="13" s="1"/>
  <c r="AM42" i="13"/>
  <c r="AL38" i="11"/>
  <c r="AV38" i="11" s="1"/>
  <c r="AM40" i="11"/>
  <c r="AL42" i="13"/>
  <c r="AJ36" i="21"/>
  <c r="AK36" i="21"/>
  <c r="AI36" i="21"/>
  <c r="AL36" i="21"/>
  <c r="AJ36" i="13"/>
  <c r="AI36" i="13"/>
  <c r="AM40" i="13"/>
  <c r="AK36" i="13"/>
  <c r="AM38" i="11"/>
  <c r="AK36" i="11"/>
  <c r="AL36" i="11"/>
  <c r="AL40" i="13"/>
  <c r="AK35" i="21"/>
  <c r="AJ35" i="21"/>
  <c r="AI35" i="21"/>
  <c r="AL35" i="21"/>
  <c r="AJ35" i="13"/>
  <c r="AK35" i="13"/>
  <c r="AI35" i="13"/>
  <c r="AM39" i="13"/>
  <c r="AL39" i="13"/>
  <c r="AM37" i="11"/>
  <c r="AK35" i="11"/>
  <c r="AL35" i="11"/>
  <c r="AK34" i="21"/>
  <c r="AJ34" i="21"/>
  <c r="AI34" i="21"/>
  <c r="AL34" i="21"/>
  <c r="AK34" i="13"/>
  <c r="AJ34" i="13"/>
  <c r="AM38" i="13"/>
  <c r="AI34" i="13"/>
  <c r="AL38" i="13"/>
  <c r="AL34" i="11"/>
  <c r="AK34" i="11"/>
  <c r="AM36" i="11"/>
  <c r="AM47" i="13"/>
  <c r="AM45" i="11"/>
  <c r="AJ41" i="21"/>
  <c r="AE41" i="21" s="1"/>
  <c r="AT41" i="21" s="1"/>
  <c r="AY41" i="21" s="1"/>
  <c r="AJ41" i="13"/>
  <c r="AE41" i="13" s="1"/>
  <c r="AM45" i="13"/>
  <c r="AK41" i="13"/>
  <c r="AL41" i="11"/>
  <c r="AV41" i="11" s="1"/>
  <c r="AM43" i="11"/>
  <c r="AJ39" i="21"/>
  <c r="AE39" i="21" s="1"/>
  <c r="AT39" i="21" s="1"/>
  <c r="AY39" i="21" s="1"/>
  <c r="AJ39" i="13"/>
  <c r="AE39" i="13" s="1"/>
  <c r="AK39" i="13"/>
  <c r="AM43" i="13"/>
  <c r="AL39" i="11"/>
  <c r="AV39" i="11" s="1"/>
  <c r="AM41" i="11"/>
  <c r="AK37" i="21"/>
  <c r="AU37" i="21" s="1"/>
  <c r="AZ37" i="21" s="1"/>
  <c r="AJ37" i="21"/>
  <c r="AE37" i="21" s="1"/>
  <c r="AT37" i="21" s="1"/>
  <c r="AY37" i="21" s="1"/>
  <c r="AI37" i="21"/>
  <c r="AI37" i="13"/>
  <c r="AD37" i="13" s="1"/>
  <c r="AM41" i="13"/>
  <c r="AK37" i="13"/>
  <c r="AJ37" i="13"/>
  <c r="AE37" i="13" s="1"/>
  <c r="AL37" i="21"/>
  <c r="AM39" i="11"/>
  <c r="AL37" i="11"/>
  <c r="AK37" i="11"/>
  <c r="AL41" i="13"/>
  <c r="L95" i="5"/>
  <c r="V68" i="5"/>
  <c r="L92" i="5"/>
  <c r="L93" i="5"/>
  <c r="AG44" i="13"/>
  <c r="B45" i="13"/>
  <c r="F45" i="13"/>
  <c r="V75" i="5"/>
  <c r="L68" i="5"/>
  <c r="B179" i="11" a="1"/>
  <c r="B232" i="11" a="1"/>
  <c r="B285" i="11" a="1"/>
  <c r="B127" i="11" a="1"/>
  <c r="O232" i="11" a="1"/>
  <c r="O285" i="11" a="1"/>
  <c r="O179" i="11" a="1"/>
  <c r="O127" i="11" a="1"/>
  <c r="X107" i="5"/>
  <c r="F141" i="5"/>
  <c r="G141" i="5" s="1"/>
  <c r="B5" i="24"/>
  <c r="M126" i="5"/>
  <c r="H5" i="24"/>
  <c r="O126" i="5"/>
  <c r="L89" i="5"/>
  <c r="L86" i="5"/>
  <c r="L87" i="5"/>
  <c r="L58" i="5"/>
  <c r="P58" i="5" s="1"/>
  <c r="L57" i="5"/>
  <c r="P57" i="5" s="1"/>
  <c r="X105" i="5"/>
  <c r="X106" i="5"/>
  <c r="X104" i="5"/>
  <c r="AI60" i="21"/>
  <c r="AL59" i="21"/>
  <c r="AV59" i="21" s="1"/>
  <c r="BA59" i="21" s="1"/>
  <c r="AK59" i="21"/>
  <c r="AU59" i="21" s="1"/>
  <c r="AZ59" i="21" s="1"/>
  <c r="AJ64" i="21"/>
  <c r="AI60" i="13"/>
  <c r="AJ64" i="13"/>
  <c r="AK64" i="13"/>
  <c r="AK59" i="11"/>
  <c r="AJ56" i="21"/>
  <c r="AL51" i="21"/>
  <c r="AV51" i="21" s="1"/>
  <c r="BA51" i="21" s="1"/>
  <c r="AK51" i="21"/>
  <c r="AU51" i="21" s="1"/>
  <c r="AZ51" i="21" s="1"/>
  <c r="AI52" i="21"/>
  <c r="AI52" i="13"/>
  <c r="AJ56" i="13"/>
  <c r="AK56" i="13"/>
  <c r="AM61" i="13"/>
  <c r="AK51" i="11"/>
  <c r="AL45" i="21"/>
  <c r="AV45" i="21" s="1"/>
  <c r="BA45" i="21" s="1"/>
  <c r="AK45" i="21"/>
  <c r="AU45" i="21" s="1"/>
  <c r="AZ45" i="21" s="1"/>
  <c r="AI46" i="21"/>
  <c r="AJ50" i="21"/>
  <c r="AL50" i="11"/>
  <c r="AK50" i="13"/>
  <c r="AL50" i="13"/>
  <c r="AM55" i="13"/>
  <c r="AI46" i="13"/>
  <c r="AJ50" i="13"/>
  <c r="AK45" i="11"/>
  <c r="AI63" i="21"/>
  <c r="AI64" i="21"/>
  <c r="AM46" i="21"/>
  <c r="AW46" i="21" s="1"/>
  <c r="BB46" i="21" s="1"/>
  <c r="AM25" i="21"/>
  <c r="AM47" i="21"/>
  <c r="AW47" i="21" s="1"/>
  <c r="BB47" i="21" s="1"/>
  <c r="AM26" i="21"/>
  <c r="AM24" i="21"/>
  <c r="AM38" i="21"/>
  <c r="AW38" i="21" s="1"/>
  <c r="BB38" i="21" s="1"/>
  <c r="AM39" i="21"/>
  <c r="AW39" i="21" s="1"/>
  <c r="BB39" i="21" s="1"/>
  <c r="AM53" i="21"/>
  <c r="AW53" i="21" s="1"/>
  <c r="BB53" i="21" s="1"/>
  <c r="AK62" i="21"/>
  <c r="AU62" i="21" s="1"/>
  <c r="AZ62" i="21" s="1"/>
  <c r="AM51" i="21"/>
  <c r="AW51" i="21" s="1"/>
  <c r="BB51" i="21" s="1"/>
  <c r="AM30" i="21"/>
  <c r="AM52" i="21"/>
  <c r="AW52" i="21" s="1"/>
  <c r="BB52" i="21" s="1"/>
  <c r="AM31" i="21"/>
  <c r="AM40" i="21"/>
  <c r="AW40" i="21" s="1"/>
  <c r="BB40" i="21" s="1"/>
  <c r="AM29" i="21"/>
  <c r="AK66" i="21"/>
  <c r="AU66" i="21" s="1"/>
  <c r="AZ66" i="21" s="1"/>
  <c r="AM43" i="21"/>
  <c r="AW43" i="21" s="1"/>
  <c r="BB43" i="21" s="1"/>
  <c r="AM44" i="21"/>
  <c r="AW44" i="21" s="1"/>
  <c r="BB44" i="21" s="1"/>
  <c r="AM45" i="21"/>
  <c r="AW45" i="21" s="1"/>
  <c r="BB45" i="21" s="1"/>
  <c r="AM48" i="21"/>
  <c r="AW48" i="21" s="1"/>
  <c r="BB48" i="21" s="1"/>
  <c r="AK67" i="21"/>
  <c r="AU67" i="21" s="1"/>
  <c r="AZ67" i="21" s="1"/>
  <c r="AI65" i="21"/>
  <c r="AM35" i="21"/>
  <c r="AM36" i="21"/>
  <c r="AI66" i="21"/>
  <c r="AM27" i="21"/>
  <c r="AM49" i="21"/>
  <c r="AW49" i="21" s="1"/>
  <c r="BB49" i="21" s="1"/>
  <c r="AM28" i="21"/>
  <c r="AM50" i="21"/>
  <c r="AW50" i="21" s="1"/>
  <c r="BB50" i="21" s="1"/>
  <c r="AM32" i="21"/>
  <c r="AJ67" i="21"/>
  <c r="AK64" i="21"/>
  <c r="AU64" i="21" s="1"/>
  <c r="AZ64" i="21" s="1"/>
  <c r="AK63" i="21"/>
  <c r="AU63" i="21" s="1"/>
  <c r="AZ63" i="21" s="1"/>
  <c r="AI67" i="21"/>
  <c r="AM41" i="21"/>
  <c r="AW41" i="21" s="1"/>
  <c r="BB41" i="21" s="1"/>
  <c r="AM42" i="21"/>
  <c r="AW42" i="21" s="1"/>
  <c r="BB42" i="21" s="1"/>
  <c r="AM37" i="21"/>
  <c r="AW37" i="21" s="1"/>
  <c r="BB37" i="21" s="1"/>
  <c r="AK65" i="21"/>
  <c r="AU65" i="21" s="1"/>
  <c r="AZ65" i="21" s="1"/>
  <c r="AM33" i="21"/>
  <c r="AM34" i="21"/>
  <c r="AI67" i="13"/>
  <c r="AI63" i="13"/>
  <c r="AJ67" i="13"/>
  <c r="AI65" i="13"/>
  <c r="AI66" i="13"/>
  <c r="AI64" i="13"/>
  <c r="AK67" i="13"/>
  <c r="AK63" i="11"/>
  <c r="AK62" i="11"/>
  <c r="AL58" i="21"/>
  <c r="AV58" i="21" s="1"/>
  <c r="BA58" i="21" s="1"/>
  <c r="AJ63" i="21"/>
  <c r="AK58" i="21"/>
  <c r="AI59" i="21"/>
  <c r="AI59" i="13"/>
  <c r="AK63" i="13"/>
  <c r="AJ63" i="13"/>
  <c r="AK58" i="11"/>
  <c r="AJ61" i="21"/>
  <c r="AL56" i="21"/>
  <c r="AV56" i="21" s="1"/>
  <c r="BA56" i="21" s="1"/>
  <c r="AK56" i="21"/>
  <c r="AU56" i="21" s="1"/>
  <c r="AZ56" i="21" s="1"/>
  <c r="AI57" i="21"/>
  <c r="AK61" i="13"/>
  <c r="AM66" i="13"/>
  <c r="AI57" i="13"/>
  <c r="AJ61" i="13"/>
  <c r="AK56" i="11"/>
  <c r="AJ57" i="21"/>
  <c r="AI53" i="21"/>
  <c r="AL52" i="21"/>
  <c r="AV52" i="21" s="1"/>
  <c r="BA52" i="21" s="1"/>
  <c r="AK52" i="21"/>
  <c r="AU52" i="21" s="1"/>
  <c r="AZ52" i="21" s="1"/>
  <c r="AI53" i="13"/>
  <c r="AK57" i="13"/>
  <c r="AJ57" i="13"/>
  <c r="AM62" i="13"/>
  <c r="AK52" i="11"/>
  <c r="AI49" i="21"/>
  <c r="AK48" i="21"/>
  <c r="AU48" i="21" s="1"/>
  <c r="AZ48" i="21" s="1"/>
  <c r="AJ53" i="21"/>
  <c r="AL48" i="21"/>
  <c r="AV48" i="21" s="1"/>
  <c r="BA48" i="21" s="1"/>
  <c r="AL53" i="11"/>
  <c r="AJ53" i="13"/>
  <c r="AM58" i="13"/>
  <c r="AK53" i="13"/>
  <c r="AI49" i="13"/>
  <c r="AL53" i="13"/>
  <c r="AK48" i="11"/>
  <c r="AI47" i="21"/>
  <c r="AL46" i="21"/>
  <c r="AV46" i="21" s="1"/>
  <c r="BA46" i="21" s="1"/>
  <c r="AK46" i="21"/>
  <c r="AU46" i="21" s="1"/>
  <c r="AZ46" i="21" s="1"/>
  <c r="AJ51" i="21"/>
  <c r="AL51" i="11"/>
  <c r="AI47" i="13"/>
  <c r="AL51" i="13"/>
  <c r="AM56" i="13"/>
  <c r="AJ51" i="13"/>
  <c r="AK51" i="13"/>
  <c r="AK46" i="11"/>
  <c r="AJ47" i="21"/>
  <c r="AI43" i="21"/>
  <c r="AK42" i="21"/>
  <c r="AL42" i="21"/>
  <c r="AV42" i="21" s="1"/>
  <c r="BA42" i="21" s="1"/>
  <c r="AL47" i="11"/>
  <c r="AV47" i="11" s="1"/>
  <c r="AM52" i="13"/>
  <c r="AK47" i="13"/>
  <c r="AJ47" i="13"/>
  <c r="AI43" i="13"/>
  <c r="AL47" i="13"/>
  <c r="AK42" i="11"/>
  <c r="AM52" i="11"/>
  <c r="AK40" i="21"/>
  <c r="AI41" i="21"/>
  <c r="AJ45" i="21"/>
  <c r="AL40" i="21"/>
  <c r="AV40" i="21" s="1"/>
  <c r="BA40" i="21" s="1"/>
  <c r="AL45" i="11"/>
  <c r="AV45" i="11" s="1"/>
  <c r="AK45" i="13"/>
  <c r="AJ45" i="13"/>
  <c r="AL45" i="13"/>
  <c r="AI41" i="13"/>
  <c r="AD41" i="13" s="1"/>
  <c r="AM50" i="13"/>
  <c r="AK40" i="11"/>
  <c r="AM50" i="11"/>
  <c r="L101" i="5"/>
  <c r="C51" i="5"/>
  <c r="H47" i="5" s="1"/>
  <c r="AJ43" i="21"/>
  <c r="AI39" i="21"/>
  <c r="AL38" i="21"/>
  <c r="AV38" i="21" s="1"/>
  <c r="BA38" i="21" s="1"/>
  <c r="AK38" i="21"/>
  <c r="AU38" i="21" s="1"/>
  <c r="AZ38" i="21" s="1"/>
  <c r="AL43" i="11"/>
  <c r="AV43" i="11" s="1"/>
  <c r="AI39" i="13"/>
  <c r="AD39" i="13" s="1"/>
  <c r="AL43" i="13"/>
  <c r="AM48" i="13"/>
  <c r="AJ43" i="13"/>
  <c r="AE43" i="13" s="1"/>
  <c r="AK43" i="13"/>
  <c r="AK38" i="11"/>
  <c r="AM48" i="11"/>
  <c r="B107" i="5"/>
  <c r="AJ62" i="21"/>
  <c r="AI58" i="21"/>
  <c r="AL57" i="21"/>
  <c r="AV57" i="21" s="1"/>
  <c r="BA57" i="21" s="1"/>
  <c r="AK57" i="21"/>
  <c r="AU57" i="21" s="1"/>
  <c r="AZ57" i="21" s="1"/>
  <c r="AK62" i="13"/>
  <c r="AJ62" i="13"/>
  <c r="AI58" i="13"/>
  <c r="AK57" i="11"/>
  <c r="AJ52" i="21"/>
  <c r="AK47" i="21"/>
  <c r="AU47" i="21" s="1"/>
  <c r="AZ47" i="21" s="1"/>
  <c r="AI48" i="21"/>
  <c r="AL47" i="21"/>
  <c r="AV47" i="21" s="1"/>
  <c r="BA47" i="21" s="1"/>
  <c r="AL52" i="11"/>
  <c r="AJ52" i="13"/>
  <c r="AI48" i="13"/>
  <c r="AK52" i="13"/>
  <c r="AM57" i="13"/>
  <c r="AL52" i="13"/>
  <c r="AK47" i="11"/>
  <c r="D71" i="5"/>
  <c r="AI40" i="21"/>
  <c r="AL39" i="21"/>
  <c r="AV39" i="21" s="1"/>
  <c r="BA39" i="21" s="1"/>
  <c r="AJ44" i="21"/>
  <c r="AK39" i="21"/>
  <c r="AU39" i="21" s="1"/>
  <c r="AZ39" i="21" s="1"/>
  <c r="AL44" i="11"/>
  <c r="AV44" i="11" s="1"/>
  <c r="AJ44" i="13"/>
  <c r="AE44" i="13" s="1"/>
  <c r="AL44" i="13"/>
  <c r="AM49" i="13"/>
  <c r="AK44" i="13"/>
  <c r="AI40" i="13"/>
  <c r="AD40" i="13" s="1"/>
  <c r="AM49" i="11"/>
  <c r="AK39" i="11"/>
  <c r="AK53" i="21"/>
  <c r="AU53" i="21" s="1"/>
  <c r="AZ53" i="21" s="1"/>
  <c r="AI54" i="21"/>
  <c r="AJ58" i="21"/>
  <c r="AL53" i="21"/>
  <c r="AV53" i="21" s="1"/>
  <c r="BA53" i="21" s="1"/>
  <c r="AM63" i="13"/>
  <c r="AK58" i="13"/>
  <c r="AI54" i="13"/>
  <c r="AJ58" i="13"/>
  <c r="AK53" i="11"/>
  <c r="AI42" i="21"/>
  <c r="AL41" i="21"/>
  <c r="AV41" i="21" s="1"/>
  <c r="BA41" i="21" s="1"/>
  <c r="AK41" i="21"/>
  <c r="AJ46" i="21"/>
  <c r="AL46" i="11"/>
  <c r="AV46" i="11" s="1"/>
  <c r="AL46" i="13"/>
  <c r="AI42" i="13"/>
  <c r="AM51" i="13"/>
  <c r="AJ46" i="13"/>
  <c r="AK46" i="13"/>
  <c r="AM51" i="11"/>
  <c r="AK41" i="11"/>
  <c r="D70" i="5"/>
  <c r="D69" i="5"/>
  <c r="C126" i="5"/>
  <c r="B75" i="11" a="1"/>
  <c r="N74" i="5"/>
  <c r="AK61" i="21"/>
  <c r="AU61" i="21" s="1"/>
  <c r="AZ61" i="21" s="1"/>
  <c r="AI62" i="21"/>
  <c r="AJ66" i="21"/>
  <c r="AK66" i="13"/>
  <c r="AI62" i="13"/>
  <c r="AJ66" i="13"/>
  <c r="AK61" i="11"/>
  <c r="AI56" i="21"/>
  <c r="AL55" i="21"/>
  <c r="AV55" i="21" s="1"/>
  <c r="BA55" i="21" s="1"/>
  <c r="AK55" i="21"/>
  <c r="AU55" i="21" s="1"/>
  <c r="AZ55" i="21" s="1"/>
  <c r="AJ60" i="21"/>
  <c r="AI56" i="13"/>
  <c r="AK60" i="13"/>
  <c r="AM65" i="13"/>
  <c r="AJ60" i="13"/>
  <c r="AK55" i="11"/>
  <c r="AK49" i="21"/>
  <c r="AU49" i="21" s="1"/>
  <c r="AZ49" i="21" s="1"/>
  <c r="AJ54" i="21"/>
  <c r="AI50" i="21"/>
  <c r="AL49" i="21"/>
  <c r="AV49" i="21" s="1"/>
  <c r="BA49" i="21" s="1"/>
  <c r="AK54" i="13"/>
  <c r="AM59" i="13"/>
  <c r="AJ54" i="13"/>
  <c r="AI50" i="13"/>
  <c r="AK49" i="11"/>
  <c r="AI44" i="21"/>
  <c r="AJ48" i="21"/>
  <c r="AL43" i="21"/>
  <c r="AV43" i="21" s="1"/>
  <c r="BA43" i="21" s="1"/>
  <c r="AK43" i="21"/>
  <c r="AL48" i="11"/>
  <c r="AI44" i="13"/>
  <c r="AL48" i="13"/>
  <c r="AJ48" i="13"/>
  <c r="AK48" i="13"/>
  <c r="AM53" i="13"/>
  <c r="AK43" i="11"/>
  <c r="AM53" i="11"/>
  <c r="AJ65" i="21"/>
  <c r="AI61" i="21"/>
  <c r="AK60" i="21"/>
  <c r="AU60" i="21" s="1"/>
  <c r="AZ60" i="21" s="1"/>
  <c r="AK65" i="13"/>
  <c r="AI61" i="13"/>
  <c r="AJ65" i="13"/>
  <c r="AK60" i="11"/>
  <c r="AI55" i="21"/>
  <c r="AL54" i="21"/>
  <c r="AV54" i="21" s="1"/>
  <c r="BA54" i="21" s="1"/>
  <c r="AK54" i="21"/>
  <c r="AU54" i="21" s="1"/>
  <c r="AZ54" i="21" s="1"/>
  <c r="AJ59" i="21"/>
  <c r="AI55" i="13"/>
  <c r="AK59" i="13"/>
  <c r="AM64" i="13"/>
  <c r="AJ59" i="13"/>
  <c r="AK54" i="11"/>
  <c r="AI51" i="21"/>
  <c r="AK50" i="21"/>
  <c r="AU50" i="21" s="1"/>
  <c r="AZ50" i="21" s="1"/>
  <c r="AJ55" i="21"/>
  <c r="AL50" i="21"/>
  <c r="AV50" i="21" s="1"/>
  <c r="BA50" i="21" s="1"/>
  <c r="AM60" i="13"/>
  <c r="AI51" i="13"/>
  <c r="AK55" i="13"/>
  <c r="AJ55" i="13"/>
  <c r="AK50" i="11"/>
  <c r="AJ49" i="21"/>
  <c r="AI45" i="21"/>
  <c r="AL44" i="21"/>
  <c r="AV44" i="21" s="1"/>
  <c r="BA44" i="21" s="1"/>
  <c r="AK44" i="21"/>
  <c r="AL49" i="11"/>
  <c r="AJ49" i="13"/>
  <c r="AK49" i="13"/>
  <c r="AI45" i="13"/>
  <c r="AL49" i="13"/>
  <c r="AM54" i="13"/>
  <c r="AK44" i="11"/>
  <c r="M108" i="23"/>
  <c r="N107" i="23"/>
  <c r="V59" i="11"/>
  <c r="R49" i="11"/>
  <c r="AG49" i="11" s="1"/>
  <c r="Q60" i="11"/>
  <c r="AF60" i="11" s="1"/>
  <c r="E126" i="5"/>
  <c r="O75" i="11" a="1"/>
  <c r="AG60" i="21"/>
  <c r="W60" i="21"/>
  <c r="W48" i="11"/>
  <c r="X65" i="5"/>
  <c r="X82" i="5"/>
  <c r="L104" i="5"/>
  <c r="L69" i="5"/>
  <c r="B68" i="5"/>
  <c r="L107" i="5"/>
  <c r="L105" i="5"/>
  <c r="N76" i="5"/>
  <c r="N64" i="5"/>
  <c r="X117" i="5"/>
  <c r="AB117" i="5" s="1"/>
  <c r="AB118" i="5" s="1"/>
  <c r="E51" i="5"/>
  <c r="N104" i="5"/>
  <c r="D151" i="5"/>
  <c r="B137" i="5"/>
  <c r="N101" i="5"/>
  <c r="V89" i="5"/>
  <c r="D137" i="5"/>
  <c r="V62" i="5"/>
  <c r="B64" i="5"/>
  <c r="L62" i="5"/>
  <c r="N112" i="5"/>
  <c r="R112" i="5" s="1"/>
  <c r="N99" i="5"/>
  <c r="N81" i="5"/>
  <c r="N56" i="5"/>
  <c r="R56" i="5" s="1"/>
  <c r="V117" i="5"/>
  <c r="Z117" i="5" s="1"/>
  <c r="Z118" i="5" s="1"/>
  <c r="V87" i="5"/>
  <c r="L113" i="5"/>
  <c r="P113" i="5" s="1"/>
  <c r="C60" i="7"/>
  <c r="V58" i="5"/>
  <c r="Z58" i="5" s="1"/>
  <c r="L65" i="5"/>
  <c r="B117" i="5"/>
  <c r="F117" i="5" s="1"/>
  <c r="F118" i="5" s="1"/>
  <c r="B80" i="5"/>
  <c r="AD45" i="13"/>
  <c r="D104" i="5"/>
  <c r="L106" i="5"/>
  <c r="D87" i="5"/>
  <c r="AD48" i="13"/>
  <c r="N116" i="5"/>
  <c r="R116" i="5" s="1"/>
  <c r="R118" i="5" s="1"/>
  <c r="N71" i="5"/>
  <c r="AD47" i="13"/>
  <c r="F142" i="5"/>
  <c r="G142" i="5" s="1"/>
  <c r="AD43" i="13"/>
  <c r="Z113" i="5"/>
  <c r="D89" i="5"/>
  <c r="L63" i="5"/>
  <c r="L70" i="5"/>
  <c r="AD46" i="13"/>
  <c r="AD44" i="13"/>
  <c r="AD42" i="13"/>
  <c r="B76" i="5"/>
  <c r="N88" i="5"/>
  <c r="Q16" i="13"/>
  <c r="X22" i="13" s="1"/>
  <c r="Q15" i="13"/>
  <c r="W22" i="13" s="1"/>
  <c r="O172" i="13"/>
  <c r="O330" i="13"/>
  <c r="O277" i="13"/>
  <c r="B224" i="13"/>
  <c r="B330" i="13"/>
  <c r="B277" i="13"/>
  <c r="Q14" i="13"/>
  <c r="V22" i="13" s="1"/>
  <c r="U224" i="11"/>
  <c r="U330" i="11"/>
  <c r="U277" i="11"/>
  <c r="B172" i="11"/>
  <c r="B330" i="11"/>
  <c r="B277" i="11"/>
  <c r="P21" i="11"/>
  <c r="O21" i="11"/>
  <c r="AI54" i="11" s="1"/>
  <c r="X126" i="5"/>
  <c r="V126" i="5"/>
  <c r="D62" i="5"/>
  <c r="B75" i="5"/>
  <c r="B63" i="5"/>
  <c r="N110" i="5"/>
  <c r="N98" i="5"/>
  <c r="N62" i="5"/>
  <c r="V107" i="5"/>
  <c r="V86" i="5"/>
  <c r="X80" i="5"/>
  <c r="V65" i="5"/>
  <c r="L77" i="5"/>
  <c r="V64" i="5"/>
  <c r="X81" i="5"/>
  <c r="U10" i="5"/>
  <c r="D65" i="5"/>
  <c r="B83" i="5"/>
  <c r="B82" i="5"/>
  <c r="B71" i="5"/>
  <c r="N107" i="5"/>
  <c r="N59" i="5"/>
  <c r="V69" i="5"/>
  <c r="D80" i="5"/>
  <c r="L75" i="5"/>
  <c r="D81" i="5"/>
  <c r="V71" i="5"/>
  <c r="D63" i="5"/>
  <c r="D106" i="5"/>
  <c r="B70" i="5"/>
  <c r="D83" i="5"/>
  <c r="L74" i="5"/>
  <c r="N105" i="5"/>
  <c r="W51" i="5"/>
  <c r="AB43" i="5" s="1"/>
  <c r="D117" i="5"/>
  <c r="H117" i="5" s="1"/>
  <c r="H118" i="5" s="1"/>
  <c r="L99" i="5"/>
  <c r="C48" i="7"/>
  <c r="B77" i="5"/>
  <c r="B65" i="5"/>
  <c r="D107" i="5"/>
  <c r="L98" i="5"/>
  <c r="N113" i="5"/>
  <c r="R113" i="5" s="1"/>
  <c r="N65" i="5"/>
  <c r="B56" i="5"/>
  <c r="F56" i="5" s="1"/>
  <c r="B58" i="5"/>
  <c r="F58" i="5" s="1"/>
  <c r="L83" i="5"/>
  <c r="L80" i="5"/>
  <c r="L81" i="5"/>
  <c r="X57" i="5"/>
  <c r="AB57" i="5" s="1"/>
  <c r="X58" i="5"/>
  <c r="AB58" i="5" s="1"/>
  <c r="X59" i="5"/>
  <c r="L82" i="5"/>
  <c r="O51" i="5"/>
  <c r="F145" i="5"/>
  <c r="G145" i="5" s="1"/>
  <c r="X68" i="5"/>
  <c r="X69" i="5"/>
  <c r="X71" i="5"/>
  <c r="X70" i="5"/>
  <c r="B110" i="5"/>
  <c r="B112" i="5"/>
  <c r="F112" i="5" s="1"/>
  <c r="D147" i="5"/>
  <c r="X87" i="5"/>
  <c r="X89" i="5"/>
  <c r="X56" i="5"/>
  <c r="AB56" i="5" s="1"/>
  <c r="X98" i="5"/>
  <c r="X101" i="5"/>
  <c r="X99" i="5"/>
  <c r="D98" i="5"/>
  <c r="D101" i="5"/>
  <c r="D100" i="5"/>
  <c r="D99" i="5"/>
  <c r="D59" i="5"/>
  <c r="D57" i="5"/>
  <c r="H57" i="5" s="1"/>
  <c r="D58" i="5"/>
  <c r="H58" i="5" s="1"/>
  <c r="V110" i="5"/>
  <c r="V112" i="5"/>
  <c r="Z112" i="5" s="1"/>
  <c r="V111" i="5"/>
  <c r="V99" i="5"/>
  <c r="V101" i="5"/>
  <c r="V100" i="5"/>
  <c r="X74" i="5"/>
  <c r="X75" i="5"/>
  <c r="X77" i="5"/>
  <c r="D143" i="5"/>
  <c r="D112" i="5"/>
  <c r="H112" i="5" s="1"/>
  <c r="D113" i="5"/>
  <c r="H113" i="5" s="1"/>
  <c r="D110" i="5"/>
  <c r="D111" i="5"/>
  <c r="D95" i="5"/>
  <c r="D93" i="5"/>
  <c r="D94" i="5"/>
  <c r="D76" i="5"/>
  <c r="D77" i="5"/>
  <c r="V94" i="5"/>
  <c r="V95" i="5"/>
  <c r="V93" i="5"/>
  <c r="V92" i="5"/>
  <c r="V74" i="5"/>
  <c r="V77" i="5"/>
  <c r="V59" i="5"/>
  <c r="V56" i="5"/>
  <c r="Z56" i="5" s="1"/>
  <c r="X93" i="5"/>
  <c r="X92" i="5"/>
  <c r="X95" i="5"/>
  <c r="A59" i="5"/>
  <c r="A62" i="5" s="1"/>
  <c r="F62" i="5" s="1"/>
  <c r="G146" i="5"/>
  <c r="N87" i="5"/>
  <c r="N86" i="5"/>
  <c r="N77" i="5"/>
  <c r="N58" i="5"/>
  <c r="R58" i="5" s="1"/>
  <c r="N82" i="5"/>
  <c r="N80" i="5"/>
  <c r="M51" i="5"/>
  <c r="R48" i="5" s="1"/>
  <c r="V83" i="5"/>
  <c r="O172" i="11"/>
  <c r="Q12" i="13"/>
  <c r="T22" i="13" s="1"/>
  <c r="C3" i="7"/>
  <c r="C24" i="7" s="1"/>
  <c r="C36" i="7"/>
  <c r="B111" i="5"/>
  <c r="B106" i="5"/>
  <c r="B101" i="5"/>
  <c r="B95" i="5"/>
  <c r="B89" i="5"/>
  <c r="B57" i="5"/>
  <c r="F57" i="5" s="1"/>
  <c r="D88" i="5"/>
  <c r="D74" i="5"/>
  <c r="B113" i="5"/>
  <c r="F113" i="5" s="1"/>
  <c r="B105" i="5"/>
  <c r="B100" i="5"/>
  <c r="B94" i="5"/>
  <c r="B87" i="5"/>
  <c r="B59" i="5"/>
  <c r="L117" i="5"/>
  <c r="P117" i="5" s="1"/>
  <c r="L116" i="5"/>
  <c r="P116" i="5" s="1"/>
  <c r="B99" i="5"/>
  <c r="B92" i="5"/>
  <c r="B86" i="5"/>
  <c r="L112" i="5"/>
  <c r="P112" i="5" s="1"/>
  <c r="L110" i="5"/>
  <c r="N93" i="5"/>
  <c r="N94" i="5"/>
  <c r="N92" i="5"/>
  <c r="N106" i="5"/>
  <c r="N68" i="5"/>
  <c r="V104" i="5"/>
  <c r="V80" i="5"/>
  <c r="X110" i="5"/>
  <c r="X100" i="5"/>
  <c r="X86" i="5"/>
  <c r="X76" i="5"/>
  <c r="X62" i="5"/>
  <c r="N70" i="5"/>
  <c r="V106" i="5"/>
  <c r="V82" i="5"/>
  <c r="X112" i="5"/>
  <c r="AB112" i="5" s="1"/>
  <c r="X88" i="5"/>
  <c r="X64" i="5"/>
  <c r="X113" i="5"/>
  <c r="AB113" i="5" s="1"/>
  <c r="O224" i="13"/>
  <c r="B172" i="13"/>
  <c r="Q13" i="13"/>
  <c r="U22" i="13" s="1"/>
  <c r="AA59" i="11"/>
  <c r="AB60" i="21"/>
  <c r="AB48" i="11"/>
  <c r="AU59" i="11" l="1"/>
  <c r="AV48" i="11"/>
  <c r="AD61" i="21"/>
  <c r="AS61" i="21" s="1"/>
  <c r="AX61" i="21" s="1"/>
  <c r="AE52" i="21"/>
  <c r="AT52" i="21" s="1"/>
  <c r="AY52" i="21" s="1"/>
  <c r="AD51" i="21"/>
  <c r="AS51" i="21" s="1"/>
  <c r="AX51" i="21" s="1"/>
  <c r="AD55" i="21"/>
  <c r="AS55" i="21" s="1"/>
  <c r="AX55" i="21" s="1"/>
  <c r="AE56" i="21"/>
  <c r="AT56" i="21" s="1"/>
  <c r="AY56" i="21" s="1"/>
  <c r="AD60" i="21"/>
  <c r="AS60" i="21" s="1"/>
  <c r="AX60" i="21" s="1"/>
  <c r="AE53" i="21"/>
  <c r="AT53" i="21" s="1"/>
  <c r="AY53" i="21" s="1"/>
  <c r="AD67" i="21"/>
  <c r="AS67" i="21" s="1"/>
  <c r="AX67" i="21" s="1"/>
  <c r="AE48" i="21"/>
  <c r="AT48" i="21" s="1"/>
  <c r="AY48" i="21" s="1"/>
  <c r="AE66" i="21"/>
  <c r="AT66" i="21" s="1"/>
  <c r="AY66" i="21" s="1"/>
  <c r="AD57" i="21"/>
  <c r="AS57" i="21" s="1"/>
  <c r="AX57" i="21" s="1"/>
  <c r="AD59" i="21"/>
  <c r="AS59" i="21" s="1"/>
  <c r="AX59" i="21" s="1"/>
  <c r="AD66" i="21"/>
  <c r="AS66" i="21" s="1"/>
  <c r="AX66" i="21" s="1"/>
  <c r="AE60" i="21"/>
  <c r="AT60" i="21" s="1"/>
  <c r="AY60" i="21" s="1"/>
  <c r="AE54" i="21"/>
  <c r="AT54" i="21" s="1"/>
  <c r="AY54" i="21" s="1"/>
  <c r="AD62" i="21"/>
  <c r="AS62" i="21" s="1"/>
  <c r="AX62" i="21" s="1"/>
  <c r="AD53" i="21"/>
  <c r="AS53" i="21" s="1"/>
  <c r="AX53" i="21" s="1"/>
  <c r="AD64" i="21"/>
  <c r="AS64" i="21" s="1"/>
  <c r="AX64" i="21" s="1"/>
  <c r="AE58" i="21"/>
  <c r="AT58" i="21" s="1"/>
  <c r="AY58" i="21" s="1"/>
  <c r="AE57" i="21"/>
  <c r="AT57" i="21" s="1"/>
  <c r="AY57" i="21" s="1"/>
  <c r="AE63" i="21"/>
  <c r="AT63" i="21" s="1"/>
  <c r="AY63" i="21" s="1"/>
  <c r="AE67" i="21"/>
  <c r="AT67" i="21" s="1"/>
  <c r="AY67" i="21" s="1"/>
  <c r="AD63" i="21"/>
  <c r="AS63" i="21" s="1"/>
  <c r="AX63" i="21" s="1"/>
  <c r="AE50" i="21"/>
  <c r="AT50" i="21" s="1"/>
  <c r="AY50" i="21" s="1"/>
  <c r="AE55" i="21"/>
  <c r="AT55" i="21" s="1"/>
  <c r="AY55" i="21" s="1"/>
  <c r="AE59" i="21"/>
  <c r="AT59" i="21" s="1"/>
  <c r="AY59" i="21" s="1"/>
  <c r="AD56" i="21"/>
  <c r="AS56" i="21" s="1"/>
  <c r="AX56" i="21" s="1"/>
  <c r="AD54" i="21"/>
  <c r="AS54" i="21" s="1"/>
  <c r="AX54" i="21" s="1"/>
  <c r="AD58" i="21"/>
  <c r="AS58" i="21" s="1"/>
  <c r="AX58" i="21" s="1"/>
  <c r="AE47" i="21"/>
  <c r="AT47" i="21" s="1"/>
  <c r="AY47" i="21" s="1"/>
  <c r="AE51" i="21"/>
  <c r="AT51" i="21" s="1"/>
  <c r="AY51" i="21" s="1"/>
  <c r="AE61" i="21"/>
  <c r="AT61" i="21" s="1"/>
  <c r="AY61" i="21" s="1"/>
  <c r="AD65" i="21"/>
  <c r="AS65" i="21" s="1"/>
  <c r="AX65" i="21" s="1"/>
  <c r="AD52" i="21"/>
  <c r="AS52" i="21" s="1"/>
  <c r="AX52" i="21" s="1"/>
  <c r="AE64" i="21"/>
  <c r="AT64" i="21" s="1"/>
  <c r="AY64" i="21" s="1"/>
  <c r="AE62" i="21"/>
  <c r="AT62" i="21" s="1"/>
  <c r="AY62" i="21" s="1"/>
  <c r="AE49" i="21"/>
  <c r="AT49" i="21" s="1"/>
  <c r="AY49" i="21" s="1"/>
  <c r="AE65" i="21"/>
  <c r="AT65" i="21" s="1"/>
  <c r="AY65" i="21" s="1"/>
  <c r="AQ45" i="13"/>
  <c r="AR45" i="13"/>
  <c r="AP45" i="13"/>
  <c r="AO45" i="13"/>
  <c r="AN45" i="13"/>
  <c r="R50" i="5"/>
  <c r="R51" i="5" s="1"/>
  <c r="U11" i="5"/>
  <c r="AD11" i="5" s="1"/>
  <c r="AD10" i="5"/>
  <c r="K11" i="5"/>
  <c r="T10" i="5"/>
  <c r="AE46" i="21"/>
  <c r="AT46" i="21" s="1"/>
  <c r="AY46" i="21" s="1"/>
  <c r="G28" i="5"/>
  <c r="J50" i="5"/>
  <c r="A11" i="5"/>
  <c r="J10" i="5"/>
  <c r="H22" i="5"/>
  <c r="H30" i="5"/>
  <c r="H18" i="5"/>
  <c r="F14" i="5"/>
  <c r="H14" i="5"/>
  <c r="H13" i="5"/>
  <c r="H10" i="5"/>
  <c r="F13" i="5"/>
  <c r="F32" i="5"/>
  <c r="F27" i="5"/>
  <c r="H39" i="5"/>
  <c r="F18" i="5"/>
  <c r="F8" i="5"/>
  <c r="H12" i="5"/>
  <c r="H24" i="5"/>
  <c r="F41" i="5"/>
  <c r="F25" i="5"/>
  <c r="H11" i="5"/>
  <c r="H28" i="5"/>
  <c r="H16" i="5"/>
  <c r="H40" i="5"/>
  <c r="F46" i="5"/>
  <c r="F15" i="5"/>
  <c r="H44" i="5"/>
  <c r="F36" i="5"/>
  <c r="F12" i="5"/>
  <c r="F19" i="5"/>
  <c r="F24" i="5"/>
  <c r="H36" i="5"/>
  <c r="F30" i="5"/>
  <c r="F45" i="5"/>
  <c r="F33" i="5"/>
  <c r="F43" i="5"/>
  <c r="F21" i="5"/>
  <c r="F22" i="5"/>
  <c r="H26" i="5"/>
  <c r="H37" i="5"/>
  <c r="H41" i="5"/>
  <c r="F34" i="5"/>
  <c r="F48" i="5"/>
  <c r="H45" i="5"/>
  <c r="F44" i="5"/>
  <c r="H17" i="5"/>
  <c r="H48" i="5"/>
  <c r="H136" i="5" s="1"/>
  <c r="H34" i="5"/>
  <c r="F16" i="5"/>
  <c r="F40" i="5"/>
  <c r="H43" i="5"/>
  <c r="F35" i="5"/>
  <c r="H38" i="5"/>
  <c r="F37" i="5"/>
  <c r="H9" i="5"/>
  <c r="H42" i="5"/>
  <c r="H15" i="5"/>
  <c r="F10" i="5"/>
  <c r="F26" i="5"/>
  <c r="H27" i="5"/>
  <c r="F28" i="5"/>
  <c r="F11" i="5"/>
  <c r="F29" i="5"/>
  <c r="H46" i="5"/>
  <c r="H32" i="5"/>
  <c r="H21" i="5"/>
  <c r="F23" i="5"/>
  <c r="H29" i="5"/>
  <c r="H19" i="5"/>
  <c r="F20" i="5"/>
  <c r="H31" i="5"/>
  <c r="F38" i="5"/>
  <c r="F7" i="5"/>
  <c r="H25" i="5"/>
  <c r="H35" i="5"/>
  <c r="H33" i="5"/>
  <c r="H23" i="5"/>
  <c r="F39" i="5"/>
  <c r="F42" i="5"/>
  <c r="F47" i="5"/>
  <c r="F17" i="5"/>
  <c r="F31" i="5"/>
  <c r="AD38" i="21"/>
  <c r="AS38" i="21" s="1"/>
  <c r="AX38" i="21" s="1"/>
  <c r="AD37" i="21"/>
  <c r="AS37" i="21" s="1"/>
  <c r="AX37" i="21" s="1"/>
  <c r="AF43" i="21"/>
  <c r="AU43" i="21" s="1"/>
  <c r="AZ43" i="21" s="1"/>
  <c r="AD39" i="21"/>
  <c r="AS39" i="21" s="1"/>
  <c r="AX39" i="21" s="1"/>
  <c r="AD50" i="21"/>
  <c r="AS50" i="21" s="1"/>
  <c r="AX50" i="21" s="1"/>
  <c r="AE44" i="21"/>
  <c r="AT44" i="21" s="1"/>
  <c r="AY44" i="21" s="1"/>
  <c r="AE43" i="21"/>
  <c r="AT43" i="21" s="1"/>
  <c r="AY43" i="21" s="1"/>
  <c r="AE45" i="21"/>
  <c r="AT45" i="21" s="1"/>
  <c r="AY45" i="21" s="1"/>
  <c r="AF42" i="21"/>
  <c r="AU42" i="21" s="1"/>
  <c r="AZ42" i="21" s="1"/>
  <c r="AF41" i="21"/>
  <c r="AU41" i="21" s="1"/>
  <c r="AZ41" i="21" s="1"/>
  <c r="AD41" i="21"/>
  <c r="AS41" i="21" s="1"/>
  <c r="AX41" i="21" s="1"/>
  <c r="AF44" i="21"/>
  <c r="AU44" i="21" s="1"/>
  <c r="AZ44" i="21" s="1"/>
  <c r="AD40" i="21"/>
  <c r="AS40" i="21" s="1"/>
  <c r="AX40" i="21" s="1"/>
  <c r="AF40" i="21"/>
  <c r="AU40" i="21" s="1"/>
  <c r="AZ40" i="21" s="1"/>
  <c r="AD49" i="21"/>
  <c r="AS49" i="21" s="1"/>
  <c r="AX49" i="21" s="1"/>
  <c r="G14" i="5"/>
  <c r="I7" i="5"/>
  <c r="I45" i="5"/>
  <c r="B46" i="13"/>
  <c r="F46" i="13"/>
  <c r="Z46" i="5"/>
  <c r="I43" i="5"/>
  <c r="G27" i="5"/>
  <c r="G30" i="5"/>
  <c r="AG45" i="13"/>
  <c r="I37" i="5"/>
  <c r="I29" i="5"/>
  <c r="I18" i="5"/>
  <c r="G41" i="5"/>
  <c r="G12" i="5"/>
  <c r="I24" i="5"/>
  <c r="Y127" i="11"/>
  <c r="X127" i="11"/>
  <c r="W127" i="11"/>
  <c r="R127" i="11"/>
  <c r="P127" i="11"/>
  <c r="O127" i="11"/>
  <c r="T127" i="11"/>
  <c r="Q127" i="11"/>
  <c r="U127" i="11"/>
  <c r="S127" i="11"/>
  <c r="V127" i="11"/>
  <c r="X179" i="11"/>
  <c r="Y179" i="11"/>
  <c r="U179" i="11"/>
  <c r="Q179" i="11"/>
  <c r="S179" i="11"/>
  <c r="V179" i="11"/>
  <c r="P179" i="11"/>
  <c r="O179" i="11"/>
  <c r="W179" i="11"/>
  <c r="T179" i="11"/>
  <c r="R179" i="11"/>
  <c r="Y285" i="11"/>
  <c r="U285" i="11"/>
  <c r="R285" i="11"/>
  <c r="S285" i="11"/>
  <c r="O285" i="11"/>
  <c r="Q285" i="11"/>
  <c r="T285" i="11"/>
  <c r="W285" i="11"/>
  <c r="V285" i="11"/>
  <c r="P285" i="11"/>
  <c r="X285" i="11"/>
  <c r="Y232" i="11"/>
  <c r="R232" i="11"/>
  <c r="T232" i="11"/>
  <c r="S232" i="11"/>
  <c r="P232" i="11"/>
  <c r="U232" i="11"/>
  <c r="X232" i="11"/>
  <c r="V232" i="11"/>
  <c r="O232" i="11"/>
  <c r="W232" i="11"/>
  <c r="Q232" i="11"/>
  <c r="H127" i="11"/>
  <c r="B127" i="11"/>
  <c r="L127" i="11"/>
  <c r="J127" i="11"/>
  <c r="G127" i="11"/>
  <c r="C127" i="11"/>
  <c r="E127" i="11"/>
  <c r="F127" i="11"/>
  <c r="K127" i="11"/>
  <c r="D127" i="11"/>
  <c r="I127" i="11"/>
  <c r="W126" i="5"/>
  <c r="H285" i="11"/>
  <c r="I285" i="11"/>
  <c r="B285" i="11"/>
  <c r="J285" i="11"/>
  <c r="C285" i="11"/>
  <c r="F285" i="11"/>
  <c r="K285" i="11"/>
  <c r="G285" i="11"/>
  <c r="D285" i="11"/>
  <c r="E285" i="11"/>
  <c r="L285" i="11"/>
  <c r="Y126" i="5"/>
  <c r="H232" i="11"/>
  <c r="D232" i="11"/>
  <c r="G232" i="11"/>
  <c r="L232" i="11"/>
  <c r="F232" i="11"/>
  <c r="E232" i="11"/>
  <c r="B232" i="11"/>
  <c r="C232" i="11"/>
  <c r="I232" i="11"/>
  <c r="J232" i="11"/>
  <c r="K232" i="11"/>
  <c r="G179" i="11"/>
  <c r="L179" i="11"/>
  <c r="H179" i="11"/>
  <c r="D179" i="11"/>
  <c r="F179" i="11"/>
  <c r="E179" i="11"/>
  <c r="C179" i="11"/>
  <c r="I179" i="11"/>
  <c r="K179" i="11"/>
  <c r="B179" i="11"/>
  <c r="J179" i="11"/>
  <c r="I12" i="5"/>
  <c r="G36" i="5"/>
  <c r="I14" i="5"/>
  <c r="I20" i="5"/>
  <c r="I42" i="5"/>
  <c r="G24" i="5"/>
  <c r="G47" i="5"/>
  <c r="I13" i="5"/>
  <c r="G8" i="5"/>
  <c r="G35" i="5"/>
  <c r="G39" i="5"/>
  <c r="G37" i="5"/>
  <c r="H50" i="5"/>
  <c r="H51" i="5" s="1"/>
  <c r="I26" i="5"/>
  <c r="I38" i="5"/>
  <c r="G18" i="5"/>
  <c r="G43" i="5"/>
  <c r="I21" i="5"/>
  <c r="I34" i="5"/>
  <c r="G13" i="5"/>
  <c r="G34" i="5"/>
  <c r="G48" i="5"/>
  <c r="I23" i="5"/>
  <c r="G9" i="5"/>
  <c r="G40" i="5"/>
  <c r="I36" i="5"/>
  <c r="G33" i="5"/>
  <c r="G21" i="5"/>
  <c r="G38" i="5"/>
  <c r="G19" i="5"/>
  <c r="I10" i="5"/>
  <c r="I40" i="5"/>
  <c r="I17" i="5"/>
  <c r="G16" i="5"/>
  <c r="G31" i="5"/>
  <c r="G29" i="5"/>
  <c r="G44" i="5"/>
  <c r="G46" i="5"/>
  <c r="I47" i="5"/>
  <c r="I41" i="5"/>
  <c r="G17" i="5"/>
  <c r="I19" i="5"/>
  <c r="G26" i="5"/>
  <c r="G11" i="5"/>
  <c r="I9" i="5"/>
  <c r="G42" i="5"/>
  <c r="AU58" i="21"/>
  <c r="AZ58" i="21" s="1"/>
  <c r="AD46" i="21"/>
  <c r="AS46" i="21" s="1"/>
  <c r="AX46" i="21" s="1"/>
  <c r="AD44" i="21"/>
  <c r="AS44" i="21" s="1"/>
  <c r="AX44" i="21" s="1"/>
  <c r="AD45" i="21"/>
  <c r="AS45" i="21" s="1"/>
  <c r="AX45" i="21" s="1"/>
  <c r="AD42" i="21"/>
  <c r="AS42" i="21" s="1"/>
  <c r="AX42" i="21" s="1"/>
  <c r="AD47" i="21"/>
  <c r="AS47" i="21" s="1"/>
  <c r="AX47" i="21" s="1"/>
  <c r="AD48" i="21"/>
  <c r="AS48" i="21" s="1"/>
  <c r="AX48" i="21" s="1"/>
  <c r="AD43" i="21"/>
  <c r="AS43" i="21" s="1"/>
  <c r="AX43" i="21" s="1"/>
  <c r="AI44" i="11"/>
  <c r="AJ52" i="11"/>
  <c r="AJ43" i="11"/>
  <c r="AI49" i="11"/>
  <c r="AI66" i="11"/>
  <c r="AJ50" i="11"/>
  <c r="AB40" i="5"/>
  <c r="G23" i="5"/>
  <c r="AI45" i="11"/>
  <c r="AI62" i="11"/>
  <c r="AI52" i="11"/>
  <c r="Z38" i="5"/>
  <c r="G7" i="5"/>
  <c r="G22" i="5"/>
  <c r="I8" i="5"/>
  <c r="G32" i="5"/>
  <c r="AI40" i="11"/>
  <c r="AI48" i="11"/>
  <c r="AJ53" i="11"/>
  <c r="AI64" i="11"/>
  <c r="AI61" i="11"/>
  <c r="AI56" i="11"/>
  <c r="H7" i="5"/>
  <c r="F9" i="5"/>
  <c r="H20" i="5"/>
  <c r="H8" i="5"/>
  <c r="AI43" i="11"/>
  <c r="AI47" i="11"/>
  <c r="AI57" i="11"/>
  <c r="AI59" i="11"/>
  <c r="AI63" i="11"/>
  <c r="AI46" i="11"/>
  <c r="I44" i="5"/>
  <c r="G10" i="5"/>
  <c r="G25" i="5"/>
  <c r="I16" i="5"/>
  <c r="G20" i="5"/>
  <c r="G45" i="5"/>
  <c r="AI55" i="11"/>
  <c r="AI50" i="11"/>
  <c r="AJ44" i="11"/>
  <c r="AJ47" i="11"/>
  <c r="AJ51" i="11"/>
  <c r="I46" i="5"/>
  <c r="G15" i="5"/>
  <c r="I15" i="5"/>
  <c r="I11" i="5"/>
  <c r="AI51" i="11"/>
  <c r="AJ48" i="11"/>
  <c r="AI42" i="11"/>
  <c r="AJ45" i="11"/>
  <c r="AI37" i="11"/>
  <c r="AI29" i="11"/>
  <c r="AI36" i="11"/>
  <c r="AI30" i="11"/>
  <c r="AI38" i="11"/>
  <c r="AI26" i="11"/>
  <c r="AI34" i="11"/>
  <c r="AI31" i="11"/>
  <c r="AI32" i="11"/>
  <c r="AI27" i="11"/>
  <c r="AI33" i="11"/>
  <c r="AI25" i="11"/>
  <c r="AI35" i="11"/>
  <c r="AI28" i="11"/>
  <c r="AI24" i="11"/>
  <c r="H75" i="11"/>
  <c r="K75" i="11"/>
  <c r="D75" i="11"/>
  <c r="L75" i="11"/>
  <c r="E75" i="11"/>
  <c r="I75" i="11"/>
  <c r="F75" i="11"/>
  <c r="B75" i="11"/>
  <c r="G75" i="11"/>
  <c r="J75" i="11"/>
  <c r="C75" i="11"/>
  <c r="AJ46" i="11"/>
  <c r="AI58" i="11"/>
  <c r="AI53" i="11"/>
  <c r="AI60" i="11"/>
  <c r="AJ30" i="11"/>
  <c r="AJ34" i="11"/>
  <c r="AJ26" i="11"/>
  <c r="AJ38" i="11"/>
  <c r="AJ31" i="11"/>
  <c r="AJ36" i="11"/>
  <c r="AJ39" i="11"/>
  <c r="AJ33" i="11"/>
  <c r="AJ25" i="11"/>
  <c r="AJ41" i="11"/>
  <c r="AJ40" i="11"/>
  <c r="AJ32" i="11"/>
  <c r="AJ29" i="11"/>
  <c r="AJ35" i="11"/>
  <c r="AJ37" i="11"/>
  <c r="AJ27" i="11"/>
  <c r="AJ24" i="11"/>
  <c r="AJ42" i="11"/>
  <c r="AJ28" i="11"/>
  <c r="AJ49" i="11"/>
  <c r="AI39" i="11"/>
  <c r="AI41" i="11"/>
  <c r="AI65" i="11"/>
  <c r="AI67" i="11"/>
  <c r="M109" i="23"/>
  <c r="N108" i="23"/>
  <c r="O62" i="11"/>
  <c r="AD62" i="11" s="1"/>
  <c r="O26" i="11"/>
  <c r="AD26" i="11" s="1"/>
  <c r="O63" i="11"/>
  <c r="AD63" i="11" s="1"/>
  <c r="O47" i="11"/>
  <c r="O31" i="11"/>
  <c r="AD31" i="11" s="1"/>
  <c r="O52" i="11"/>
  <c r="O25" i="11"/>
  <c r="AD25" i="11" s="1"/>
  <c r="O48" i="11"/>
  <c r="O64" i="11"/>
  <c r="AD64" i="11" s="1"/>
  <c r="O61" i="11"/>
  <c r="AD61" i="11" s="1"/>
  <c r="O45" i="11"/>
  <c r="O29" i="11"/>
  <c r="AD29" i="11" s="1"/>
  <c r="O30" i="11"/>
  <c r="AD30" i="11" s="1"/>
  <c r="O60" i="11"/>
  <c r="AD60" i="11" s="1"/>
  <c r="O38" i="11"/>
  <c r="O54" i="11"/>
  <c r="AD54" i="11" s="1"/>
  <c r="O58" i="11"/>
  <c r="AD58" i="11" s="1"/>
  <c r="O59" i="11"/>
  <c r="AD59" i="11" s="1"/>
  <c r="O43" i="11"/>
  <c r="O27" i="11"/>
  <c r="AD27" i="11" s="1"/>
  <c r="O44" i="11"/>
  <c r="O67" i="11"/>
  <c r="AD67" i="11" s="1"/>
  <c r="O24" i="11"/>
  <c r="AD24" i="11" s="1"/>
  <c r="O40" i="11"/>
  <c r="O46" i="11"/>
  <c r="O57" i="11"/>
  <c r="AD57" i="11" s="1"/>
  <c r="O41" i="11"/>
  <c r="AD41" i="11" s="1"/>
  <c r="O32" i="11"/>
  <c r="AD32" i="11" s="1"/>
  <c r="O34" i="11"/>
  <c r="AD34" i="11" s="1"/>
  <c r="O50" i="11"/>
  <c r="AD50" i="11" s="1"/>
  <c r="O55" i="11"/>
  <c r="AD55" i="11" s="1"/>
  <c r="O39" i="11"/>
  <c r="O56" i="11"/>
  <c r="AD56" i="11" s="1"/>
  <c r="O51" i="11"/>
  <c r="AD51" i="11" s="1"/>
  <c r="O36" i="11"/>
  <c r="AD36" i="11" s="1"/>
  <c r="O53" i="11"/>
  <c r="AD53" i="11" s="1"/>
  <c r="O37" i="11"/>
  <c r="AD37" i="11" s="1"/>
  <c r="O42" i="11"/>
  <c r="O35" i="11"/>
  <c r="AD35" i="11" s="1"/>
  <c r="O65" i="11"/>
  <c r="AD65" i="11" s="1"/>
  <c r="O49" i="11"/>
  <c r="AD49" i="11" s="1"/>
  <c r="O33" i="11"/>
  <c r="AD33" i="11" s="1"/>
  <c r="O66" i="11"/>
  <c r="AD66" i="11" s="1"/>
  <c r="O28" i="11"/>
  <c r="AD28" i="11" s="1"/>
  <c r="P61" i="11"/>
  <c r="AE61" i="11" s="1"/>
  <c r="P45" i="11"/>
  <c r="AE45" i="11" s="1"/>
  <c r="P29" i="11"/>
  <c r="AE29" i="11" s="1"/>
  <c r="P60" i="11"/>
  <c r="AE60" i="11" s="1"/>
  <c r="P44" i="11"/>
  <c r="AE44" i="11" s="1"/>
  <c r="P28" i="11"/>
  <c r="AE28" i="11" s="1"/>
  <c r="P65" i="11"/>
  <c r="AE65" i="11" s="1"/>
  <c r="P25" i="11"/>
  <c r="AE25" i="11" s="1"/>
  <c r="P48" i="11"/>
  <c r="AE48" i="11" s="1"/>
  <c r="P59" i="11"/>
  <c r="AE59" i="11" s="1"/>
  <c r="P43" i="11"/>
  <c r="AE43" i="11" s="1"/>
  <c r="P27" i="11"/>
  <c r="AE27" i="11" s="1"/>
  <c r="P58" i="11"/>
  <c r="AE58" i="11" s="1"/>
  <c r="P42" i="11"/>
  <c r="AE42" i="11" s="1"/>
  <c r="P32" i="11"/>
  <c r="AE32" i="11" s="1"/>
  <c r="P57" i="11"/>
  <c r="AE57" i="11" s="1"/>
  <c r="P41" i="11"/>
  <c r="AE41" i="11" s="1"/>
  <c r="P56" i="11"/>
  <c r="AE56" i="11" s="1"/>
  <c r="P40" i="11"/>
  <c r="AE40" i="11" s="1"/>
  <c r="P64" i="11"/>
  <c r="AE64" i="11" s="1"/>
  <c r="P55" i="11"/>
  <c r="AE55" i="11" s="1"/>
  <c r="P39" i="11"/>
  <c r="AE39" i="11" s="1"/>
  <c r="P24" i="11"/>
  <c r="AE24" i="11" s="1"/>
  <c r="P54" i="11"/>
  <c r="AE54" i="11" s="1"/>
  <c r="P38" i="11"/>
  <c r="AE38" i="11" s="1"/>
  <c r="P53" i="11"/>
  <c r="AE53" i="11" s="1"/>
  <c r="P37" i="11"/>
  <c r="AE37" i="11" s="1"/>
  <c r="P52" i="11"/>
  <c r="AE52" i="11" s="1"/>
  <c r="P36" i="11"/>
  <c r="AE36" i="11" s="1"/>
  <c r="P49" i="11"/>
  <c r="AE49" i="11" s="1"/>
  <c r="P67" i="11"/>
  <c r="AE67" i="11" s="1"/>
  <c r="P51" i="11"/>
  <c r="AE51" i="11" s="1"/>
  <c r="P35" i="11"/>
  <c r="AE35" i="11" s="1"/>
  <c r="P66" i="11"/>
  <c r="AE66" i="11" s="1"/>
  <c r="P50" i="11"/>
  <c r="AE50" i="11" s="1"/>
  <c r="P34" i="11"/>
  <c r="AE34" i="11" s="1"/>
  <c r="P33" i="11"/>
  <c r="AE33" i="11" s="1"/>
  <c r="P63" i="11"/>
  <c r="AE63" i="11" s="1"/>
  <c r="P47" i="11"/>
  <c r="AE47" i="11" s="1"/>
  <c r="P31" i="11"/>
  <c r="AE31" i="11" s="1"/>
  <c r="P26" i="11"/>
  <c r="AE26" i="11" s="1"/>
  <c r="P62" i="11"/>
  <c r="AE62" i="11" s="1"/>
  <c r="P46" i="11"/>
  <c r="AE46" i="11" s="1"/>
  <c r="P30" i="11"/>
  <c r="AE30" i="11" s="1"/>
  <c r="B47" i="11"/>
  <c r="V60" i="11"/>
  <c r="Y75" i="11"/>
  <c r="V75" i="11"/>
  <c r="W75" i="11"/>
  <c r="P75" i="11"/>
  <c r="X75" i="11"/>
  <c r="O75" i="11"/>
  <c r="Q75" i="11"/>
  <c r="R75" i="11"/>
  <c r="U75" i="11"/>
  <c r="S75" i="11"/>
  <c r="T75" i="11"/>
  <c r="Q61" i="11"/>
  <c r="AF61" i="11" s="1"/>
  <c r="R50" i="11"/>
  <c r="AG50" i="11" s="1"/>
  <c r="AG61" i="21"/>
  <c r="W61" i="21"/>
  <c r="W49" i="11"/>
  <c r="Z43" i="5"/>
  <c r="Z42" i="5"/>
  <c r="P118" i="5"/>
  <c r="AB36" i="5"/>
  <c r="Z36" i="5"/>
  <c r="I48" i="5"/>
  <c r="I31" i="5"/>
  <c r="I30" i="5"/>
  <c r="I28" i="5"/>
  <c r="I35" i="5"/>
  <c r="I33" i="5"/>
  <c r="I39" i="5"/>
  <c r="I27" i="5"/>
  <c r="I25" i="5"/>
  <c r="I32" i="5"/>
  <c r="I22" i="5"/>
  <c r="P59" i="5"/>
  <c r="P60" i="5" s="1"/>
  <c r="AB62" i="5"/>
  <c r="Z59" i="5"/>
  <c r="Z60" i="5" s="1"/>
  <c r="F143" i="5"/>
  <c r="G143" i="5" s="1"/>
  <c r="Z39" i="5"/>
  <c r="AB29" i="5"/>
  <c r="Z28" i="5"/>
  <c r="AB32" i="5"/>
  <c r="Z25" i="5"/>
  <c r="AB21" i="5"/>
  <c r="AB19" i="5"/>
  <c r="AB25" i="5"/>
  <c r="AB18" i="5"/>
  <c r="AB15" i="5"/>
  <c r="Z17" i="5"/>
  <c r="F147" i="5"/>
  <c r="G147" i="5" s="1"/>
  <c r="AB11" i="5"/>
  <c r="AB10" i="5"/>
  <c r="P9" i="5"/>
  <c r="AB14" i="5"/>
  <c r="Z10" i="5"/>
  <c r="Z7" i="5"/>
  <c r="Z32" i="5"/>
  <c r="Z21" i="5"/>
  <c r="Z14" i="5"/>
  <c r="AB8" i="5"/>
  <c r="Z47" i="5"/>
  <c r="U51" i="13"/>
  <c r="U36" i="13"/>
  <c r="U48" i="13"/>
  <c r="U67" i="13"/>
  <c r="U63" i="13"/>
  <c r="U59" i="13"/>
  <c r="U66" i="13"/>
  <c r="U26" i="13"/>
  <c r="U25" i="13"/>
  <c r="U49" i="13"/>
  <c r="U60" i="13"/>
  <c r="U31" i="13"/>
  <c r="U27" i="13"/>
  <c r="U34" i="13"/>
  <c r="U32" i="13"/>
  <c r="U38" i="13"/>
  <c r="U61" i="13"/>
  <c r="U47" i="13"/>
  <c r="U44" i="13"/>
  <c r="U52" i="13"/>
  <c r="U45" i="13"/>
  <c r="U41" i="13"/>
  <c r="U62" i="13"/>
  <c r="U54" i="13"/>
  <c r="U56" i="13"/>
  <c r="U24" i="13"/>
  <c r="U55" i="13"/>
  <c r="U29" i="13"/>
  <c r="U43" i="13"/>
  <c r="U50" i="13"/>
  <c r="U33" i="13"/>
  <c r="U65" i="13"/>
  <c r="U40" i="13"/>
  <c r="U30" i="13"/>
  <c r="U64" i="13"/>
  <c r="U46" i="13"/>
  <c r="U42" i="13"/>
  <c r="U37" i="13"/>
  <c r="U28" i="13"/>
  <c r="U58" i="13"/>
  <c r="U57" i="13"/>
  <c r="U53" i="13"/>
  <c r="U39" i="13"/>
  <c r="U35" i="13"/>
  <c r="V58" i="13"/>
  <c r="V57" i="13"/>
  <c r="V28" i="13"/>
  <c r="V63" i="13"/>
  <c r="V62" i="13"/>
  <c r="V26" i="13"/>
  <c r="V25" i="13"/>
  <c r="V54" i="13"/>
  <c r="V53" i="13"/>
  <c r="V39" i="13"/>
  <c r="V49" i="13"/>
  <c r="V41" i="13"/>
  <c r="V64" i="13"/>
  <c r="V31" i="13"/>
  <c r="V30" i="13"/>
  <c r="V34" i="13"/>
  <c r="V66" i="13"/>
  <c r="V60" i="13"/>
  <c r="V42" i="13"/>
  <c r="V36" i="13"/>
  <c r="V61" i="13"/>
  <c r="V47" i="13"/>
  <c r="V44" i="13"/>
  <c r="V43" i="13"/>
  <c r="V52" i="13"/>
  <c r="V46" i="13"/>
  <c r="V67" i="13"/>
  <c r="V45" i="13"/>
  <c r="V32" i="13"/>
  <c r="V37" i="13"/>
  <c r="V48" i="13"/>
  <c r="V56" i="13"/>
  <c r="V24" i="13"/>
  <c r="V38" i="13"/>
  <c r="V59" i="13"/>
  <c r="V55" i="13"/>
  <c r="V27" i="13"/>
  <c r="V29" i="13"/>
  <c r="V51" i="13"/>
  <c r="V50" i="13"/>
  <c r="V33" i="13"/>
  <c r="V35" i="13"/>
  <c r="V40" i="13"/>
  <c r="V65" i="13"/>
  <c r="T24" i="13"/>
  <c r="T26" i="13"/>
  <c r="T25" i="13"/>
  <c r="T43" i="13"/>
  <c r="T53" i="13"/>
  <c r="T39" i="13"/>
  <c r="T56" i="13"/>
  <c r="T49" i="13"/>
  <c r="T41" i="13"/>
  <c r="T59" i="13"/>
  <c r="T61" i="13"/>
  <c r="T47" i="13"/>
  <c r="T44" i="13"/>
  <c r="T51" i="13"/>
  <c r="T52" i="13"/>
  <c r="T35" i="13"/>
  <c r="T45" i="13"/>
  <c r="T27" i="13"/>
  <c r="T55" i="13"/>
  <c r="T62" i="13"/>
  <c r="T54" i="13"/>
  <c r="T63" i="13"/>
  <c r="T60" i="13"/>
  <c r="T29" i="13"/>
  <c r="T50" i="13"/>
  <c r="T33" i="13"/>
  <c r="T48" i="13"/>
  <c r="T65" i="13"/>
  <c r="T30" i="13"/>
  <c r="T28" i="13"/>
  <c r="T31" i="13"/>
  <c r="T46" i="13"/>
  <c r="T42" i="13"/>
  <c r="T64" i="13"/>
  <c r="T32" i="13"/>
  <c r="T37" i="13"/>
  <c r="T66" i="13"/>
  <c r="T34" i="13"/>
  <c r="T58" i="13"/>
  <c r="T57" i="13"/>
  <c r="T38" i="13"/>
  <c r="T36" i="13"/>
  <c r="T40" i="13"/>
  <c r="T67" i="13"/>
  <c r="W27" i="13"/>
  <c r="W26" i="13"/>
  <c r="W33" i="13"/>
  <c r="W31" i="13"/>
  <c r="W30" i="13"/>
  <c r="W24" i="13"/>
  <c r="W32" i="13"/>
  <c r="W25" i="13"/>
  <c r="W28" i="13"/>
  <c r="W29" i="13"/>
  <c r="W34" i="13"/>
  <c r="W35" i="13"/>
  <c r="W36" i="13"/>
  <c r="W37" i="13"/>
  <c r="W38" i="13"/>
  <c r="W39" i="13"/>
  <c r="W40" i="13"/>
  <c r="W41" i="13"/>
  <c r="W42" i="13"/>
  <c r="W43" i="13"/>
  <c r="W44" i="13"/>
  <c r="W45" i="13"/>
  <c r="W46" i="13"/>
  <c r="W47" i="13"/>
  <c r="X29" i="13"/>
  <c r="X50" i="13"/>
  <c r="X35" i="13"/>
  <c r="X60" i="13"/>
  <c r="X62" i="13"/>
  <c r="X58" i="13"/>
  <c r="X33" i="13"/>
  <c r="X30" i="13"/>
  <c r="X63" i="13"/>
  <c r="X65" i="13"/>
  <c r="X66" i="13"/>
  <c r="X41" i="13"/>
  <c r="X48" i="13"/>
  <c r="X46" i="13"/>
  <c r="X26" i="13"/>
  <c r="X57" i="13"/>
  <c r="X53" i="13"/>
  <c r="X39" i="13"/>
  <c r="X64" i="13"/>
  <c r="X38" i="13"/>
  <c r="X24" i="13"/>
  <c r="X59" i="13"/>
  <c r="X32" i="13"/>
  <c r="X51" i="13"/>
  <c r="X42" i="13"/>
  <c r="X27" i="13"/>
  <c r="X44" i="13"/>
  <c r="X52" i="13"/>
  <c r="X31" i="13"/>
  <c r="X34" i="13"/>
  <c r="X55" i="13"/>
  <c r="X54" i="13"/>
  <c r="X37" i="13"/>
  <c r="X61" i="13"/>
  <c r="X47" i="13"/>
  <c r="X25" i="13"/>
  <c r="X36" i="13"/>
  <c r="X49" i="13"/>
  <c r="X67" i="13"/>
  <c r="X45" i="13"/>
  <c r="X43" i="13"/>
  <c r="X56" i="13"/>
  <c r="X40" i="13"/>
  <c r="X28" i="13"/>
  <c r="W48" i="13"/>
  <c r="B48" i="11"/>
  <c r="R27" i="5"/>
  <c r="P41" i="5"/>
  <c r="W52" i="5"/>
  <c r="R59" i="5"/>
  <c r="R60" i="5" s="1"/>
  <c r="C52" i="5"/>
  <c r="P20" i="5"/>
  <c r="P30" i="5"/>
  <c r="P31" i="5"/>
  <c r="Z15" i="5"/>
  <c r="Z8" i="5"/>
  <c r="Z24" i="5"/>
  <c r="Z40" i="5"/>
  <c r="Z30" i="5"/>
  <c r="Z44" i="5"/>
  <c r="AB16" i="5"/>
  <c r="AB31" i="5"/>
  <c r="AB7" i="5"/>
  <c r="Z20" i="5"/>
  <c r="Z33" i="5"/>
  <c r="AB12" i="5"/>
  <c r="AB28" i="5"/>
  <c r="AB44" i="5"/>
  <c r="AB34" i="5"/>
  <c r="Z9" i="5"/>
  <c r="Z23" i="5"/>
  <c r="Z18" i="5"/>
  <c r="Z34" i="5"/>
  <c r="AB47" i="5"/>
  <c r="Z37" i="5"/>
  <c r="AB9" i="5"/>
  <c r="AB22" i="5"/>
  <c r="AB41" i="5"/>
  <c r="AB23" i="5"/>
  <c r="AB30" i="5"/>
  <c r="Z29" i="5"/>
  <c r="AB48" i="5"/>
  <c r="AB24" i="5"/>
  <c r="Z41" i="5"/>
  <c r="AB38" i="5"/>
  <c r="Z16" i="5"/>
  <c r="Z11" i="5"/>
  <c r="AB39" i="5"/>
  <c r="AB45" i="5"/>
  <c r="Z45" i="5"/>
  <c r="AB17" i="5"/>
  <c r="AB33" i="5"/>
  <c r="Z22" i="5"/>
  <c r="AB37" i="5"/>
  <c r="Z12" i="5"/>
  <c r="Z27" i="5"/>
  <c r="AB46" i="5"/>
  <c r="Z19" i="5"/>
  <c r="Z35" i="5"/>
  <c r="Z26" i="5"/>
  <c r="AB13" i="5"/>
  <c r="AB42" i="5"/>
  <c r="AB26" i="5"/>
  <c r="Z31" i="5"/>
  <c r="AB35" i="5"/>
  <c r="Z48" i="5"/>
  <c r="AB27" i="5"/>
  <c r="Z13" i="5"/>
  <c r="AB20" i="5"/>
  <c r="V127" i="5"/>
  <c r="W127" i="5" s="1"/>
  <c r="AB59" i="5"/>
  <c r="AB60" i="5" s="1"/>
  <c r="S20" i="5"/>
  <c r="S36" i="5"/>
  <c r="Q11" i="5"/>
  <c r="S22" i="5"/>
  <c r="S38" i="5"/>
  <c r="Q10" i="5"/>
  <c r="Q26" i="5"/>
  <c r="Q42" i="5"/>
  <c r="S18" i="5"/>
  <c r="Q12" i="5"/>
  <c r="Q43" i="5"/>
  <c r="S26" i="5"/>
  <c r="Q14" i="5"/>
  <c r="Q36" i="5"/>
  <c r="S21" i="5"/>
  <c r="Q9" i="5"/>
  <c r="Q28" i="5"/>
  <c r="Q46" i="5"/>
  <c r="S35" i="5"/>
  <c r="Q21" i="5"/>
  <c r="Q38" i="5"/>
  <c r="S17" i="5"/>
  <c r="S33" i="5"/>
  <c r="Q8" i="5"/>
  <c r="S15" i="5"/>
  <c r="S31" i="5"/>
  <c r="S47" i="5"/>
  <c r="Q19" i="5"/>
  <c r="Q35" i="5"/>
  <c r="S11" i="5"/>
  <c r="S43" i="5"/>
  <c r="Q39" i="5"/>
  <c r="S19" i="5"/>
  <c r="Q7" i="5"/>
  <c r="Q31" i="5"/>
  <c r="S8" i="5"/>
  <c r="S40" i="5"/>
  <c r="Q24" i="5"/>
  <c r="Q41" i="5"/>
  <c r="S29" i="5"/>
  <c r="Q17" i="5"/>
  <c r="Q34" i="5"/>
  <c r="S14" i="5"/>
  <c r="S46" i="5"/>
  <c r="S28" i="5"/>
  <c r="Q16" i="5"/>
  <c r="Q48" i="5"/>
  <c r="Q22" i="5"/>
  <c r="S45" i="5"/>
  <c r="Q44" i="5"/>
  <c r="Q20" i="5"/>
  <c r="S16" i="5"/>
  <c r="Q30" i="5"/>
  <c r="S39" i="5"/>
  <c r="S41" i="5"/>
  <c r="Q32" i="5"/>
  <c r="Q18" i="5"/>
  <c r="Q23" i="5"/>
  <c r="S34" i="5"/>
  <c r="S10" i="5"/>
  <c r="S7" i="5"/>
  <c r="S9" i="5"/>
  <c r="S44" i="5"/>
  <c r="Q45" i="5"/>
  <c r="Q47" i="5"/>
  <c r="Q27" i="5"/>
  <c r="Q15" i="5"/>
  <c r="S42" i="5"/>
  <c r="S23" i="5"/>
  <c r="Q13" i="5"/>
  <c r="S13" i="5"/>
  <c r="Q33" i="5"/>
  <c r="Q29" i="5"/>
  <c r="Q37" i="5"/>
  <c r="S12" i="5"/>
  <c r="S24" i="5"/>
  <c r="Q40" i="5"/>
  <c r="S48" i="5"/>
  <c r="S30" i="5"/>
  <c r="S25" i="5"/>
  <c r="S37" i="5"/>
  <c r="S32" i="5"/>
  <c r="S27" i="5"/>
  <c r="Q25" i="5"/>
  <c r="R16" i="5"/>
  <c r="P11" i="5"/>
  <c r="P21" i="5"/>
  <c r="P27" i="5"/>
  <c r="P37" i="5"/>
  <c r="P43" i="5"/>
  <c r="P13" i="5"/>
  <c r="P19" i="5"/>
  <c r="P29" i="5"/>
  <c r="P35" i="5"/>
  <c r="P45" i="5"/>
  <c r="R45" i="5"/>
  <c r="P17" i="5"/>
  <c r="R42" i="5"/>
  <c r="R21" i="5"/>
  <c r="P33" i="5"/>
  <c r="R19" i="5"/>
  <c r="R37" i="5"/>
  <c r="R12" i="5"/>
  <c r="R22" i="5"/>
  <c r="R28" i="5"/>
  <c r="R38" i="5"/>
  <c r="R44" i="5"/>
  <c r="R14" i="5"/>
  <c r="R20" i="5"/>
  <c r="R30" i="5"/>
  <c r="R36" i="5"/>
  <c r="R46" i="5"/>
  <c r="R35" i="5"/>
  <c r="R24" i="5"/>
  <c r="R43" i="5"/>
  <c r="P25" i="5"/>
  <c r="R11" i="5"/>
  <c r="R40" i="5"/>
  <c r="P22" i="5"/>
  <c r="R8" i="5"/>
  <c r="P16" i="5"/>
  <c r="P32" i="5"/>
  <c r="P8" i="5"/>
  <c r="P24" i="5"/>
  <c r="P40" i="5"/>
  <c r="P28" i="5"/>
  <c r="P46" i="5"/>
  <c r="P14" i="5"/>
  <c r="P23" i="5"/>
  <c r="R17" i="5"/>
  <c r="R39" i="5"/>
  <c r="P18" i="5"/>
  <c r="R41" i="5"/>
  <c r="R13" i="5"/>
  <c r="R32" i="5"/>
  <c r="R29" i="5"/>
  <c r="P39" i="5"/>
  <c r="P7" i="5"/>
  <c r="P15" i="5"/>
  <c r="R18" i="5"/>
  <c r="R9" i="5"/>
  <c r="R10" i="5"/>
  <c r="P47" i="5"/>
  <c r="P36" i="5"/>
  <c r="P44" i="5"/>
  <c r="M52" i="5"/>
  <c r="R23" i="5"/>
  <c r="P42" i="5"/>
  <c r="R25" i="5"/>
  <c r="R47" i="5"/>
  <c r="R136" i="5" s="1"/>
  <c r="R7" i="5"/>
  <c r="P26" i="5"/>
  <c r="R31" i="5"/>
  <c r="P48" i="5"/>
  <c r="P38" i="5"/>
  <c r="P12" i="5"/>
  <c r="R26" i="5"/>
  <c r="P10" i="5"/>
  <c r="R33" i="5"/>
  <c r="R15" i="5"/>
  <c r="P34" i="5"/>
  <c r="R34" i="5"/>
  <c r="P62" i="5"/>
  <c r="H62" i="5"/>
  <c r="R62" i="5"/>
  <c r="A63" i="5"/>
  <c r="Z62" i="5"/>
  <c r="D153" i="5"/>
  <c r="E143" i="5" s="1"/>
  <c r="H59" i="5"/>
  <c r="H60" i="5" s="1"/>
  <c r="F59" i="5"/>
  <c r="F60" i="5" s="1"/>
  <c r="AB31" i="13"/>
  <c r="AB30" i="13"/>
  <c r="AB24" i="13"/>
  <c r="AB35" i="13"/>
  <c r="AB26" i="13"/>
  <c r="AB29" i="13"/>
  <c r="AB27" i="13"/>
  <c r="AB36" i="13"/>
  <c r="AB33" i="13"/>
  <c r="AB34" i="13"/>
  <c r="AB32" i="13"/>
  <c r="AB28" i="13"/>
  <c r="AB25" i="13"/>
  <c r="AB37" i="13"/>
  <c r="AB42" i="13"/>
  <c r="AB43" i="13"/>
  <c r="AB41" i="13"/>
  <c r="AB38" i="13"/>
  <c r="AB40" i="13"/>
  <c r="AB44" i="13"/>
  <c r="AB39" i="13"/>
  <c r="AB45" i="13"/>
  <c r="AB46" i="13"/>
  <c r="AA60" i="11"/>
  <c r="AA40" i="13"/>
  <c r="Y28" i="13"/>
  <c r="Y38" i="13"/>
  <c r="AA63" i="13"/>
  <c r="Z47" i="13"/>
  <c r="AB49" i="11"/>
  <c r="Z66" i="13"/>
  <c r="Y54" i="13"/>
  <c r="Y40" i="13"/>
  <c r="AC39" i="13"/>
  <c r="Z52" i="13"/>
  <c r="AA47" i="13"/>
  <c r="AC48" i="13"/>
  <c r="Z45" i="13"/>
  <c r="Y43" i="13"/>
  <c r="Z31" i="13"/>
  <c r="Y51" i="13"/>
  <c r="Z30" i="13"/>
  <c r="Z63" i="13"/>
  <c r="AC58" i="13"/>
  <c r="AC67" i="13"/>
  <c r="AC52" i="13"/>
  <c r="AC35" i="13"/>
  <c r="AC60" i="13"/>
  <c r="AA59" i="13"/>
  <c r="Z53" i="13"/>
  <c r="AB61" i="21"/>
  <c r="Z42" i="13"/>
  <c r="AC42" i="13"/>
  <c r="AA32" i="13"/>
  <c r="AC66" i="13"/>
  <c r="AC26" i="13"/>
  <c r="AA52" i="13"/>
  <c r="Z64" i="13"/>
  <c r="AC31" i="13"/>
  <c r="Y52" i="13"/>
  <c r="Z54" i="13"/>
  <c r="AC28" i="13"/>
  <c r="Y53" i="13"/>
  <c r="AA36" i="13"/>
  <c r="Y27" i="13"/>
  <c r="AA39" i="13"/>
  <c r="AC56" i="13"/>
  <c r="AC64" i="13"/>
  <c r="Y45" i="13"/>
  <c r="Y33" i="13"/>
  <c r="AC24" i="13"/>
  <c r="AA42" i="13"/>
  <c r="AC37" i="13"/>
  <c r="Z38" i="13"/>
  <c r="Z28" i="13"/>
  <c r="Z58" i="13"/>
  <c r="AA38" i="13"/>
  <c r="AA50" i="13"/>
  <c r="AC54" i="13"/>
  <c r="Y60" i="13"/>
  <c r="Y36" i="13"/>
  <c r="AC45" i="13"/>
  <c r="AA62" i="13"/>
  <c r="Z26" i="13"/>
  <c r="Y49" i="13"/>
  <c r="Z65" i="13"/>
  <c r="AC36" i="13"/>
  <c r="AC43" i="13"/>
  <c r="Z36" i="13"/>
  <c r="AC34" i="13"/>
  <c r="AC49" i="13"/>
  <c r="AC40" i="13"/>
  <c r="AC51" i="13"/>
  <c r="Z40" i="13"/>
  <c r="AC59" i="13"/>
  <c r="Z33" i="13"/>
  <c r="AC65" i="13"/>
  <c r="Y37" i="13"/>
  <c r="AA29" i="13"/>
  <c r="AA55" i="13"/>
  <c r="Y59" i="13"/>
  <c r="Y46" i="13"/>
  <c r="AA57" i="13"/>
  <c r="Z25" i="13"/>
  <c r="AC57" i="13"/>
  <c r="Y29" i="13"/>
  <c r="Y41" i="13"/>
  <c r="Z51" i="13"/>
  <c r="Y32" i="13"/>
  <c r="Z62" i="13"/>
  <c r="AA45" i="13"/>
  <c r="Y24" i="13"/>
  <c r="Z35" i="13"/>
  <c r="Y58" i="13"/>
  <c r="AC46" i="13"/>
  <c r="Y61" i="13"/>
  <c r="Y63" i="13"/>
  <c r="Z37" i="13"/>
  <c r="Y39" i="13"/>
  <c r="Z43" i="13"/>
  <c r="AC25" i="13"/>
  <c r="AC38" i="13"/>
  <c r="Z55" i="13"/>
  <c r="Z32" i="13"/>
  <c r="Z61" i="13"/>
  <c r="Z34" i="13"/>
  <c r="AC33" i="13"/>
  <c r="AA35" i="13"/>
  <c r="Y26" i="13"/>
  <c r="Y48" i="13"/>
  <c r="Z27" i="13"/>
  <c r="Z39" i="13"/>
  <c r="Z59" i="13"/>
  <c r="AC30" i="13"/>
  <c r="AA34" i="13"/>
  <c r="Y62" i="13"/>
  <c r="AC41" i="13"/>
  <c r="AC29" i="13"/>
  <c r="Y66" i="13"/>
  <c r="AA30" i="13"/>
  <c r="AA66" i="13"/>
  <c r="AA65" i="13"/>
  <c r="AA64" i="13"/>
  <c r="Y30" i="13"/>
  <c r="Z50" i="13"/>
  <c r="Y57" i="13"/>
  <c r="AA41" i="13"/>
  <c r="Y34" i="13"/>
  <c r="Y31" i="13"/>
  <c r="AA27" i="13"/>
  <c r="AA33" i="13"/>
  <c r="AA43" i="13"/>
  <c r="AA37" i="13"/>
  <c r="Y42" i="13"/>
  <c r="Y64" i="13"/>
  <c r="Y67" i="13"/>
  <c r="AA67" i="13"/>
  <c r="AA31" i="13"/>
  <c r="AA44" i="13"/>
  <c r="Y55" i="13"/>
  <c r="Z41" i="13"/>
  <c r="AC50" i="13"/>
  <c r="Z60" i="13"/>
  <c r="AC47" i="13"/>
  <c r="AC44" i="13"/>
  <c r="Y65" i="13"/>
  <c r="AA26" i="13"/>
  <c r="Y47" i="13"/>
  <c r="AA48" i="13"/>
  <c r="Y44" i="13"/>
  <c r="Y50" i="13"/>
  <c r="AA46" i="13"/>
  <c r="AC55" i="13"/>
  <c r="Y56" i="13"/>
  <c r="AA53" i="13"/>
  <c r="AA56" i="13"/>
  <c r="AA61" i="13"/>
  <c r="Z56" i="13"/>
  <c r="Z49" i="13"/>
  <c r="AC32" i="13"/>
  <c r="AC62" i="13"/>
  <c r="Y25" i="13"/>
  <c r="AA24" i="13"/>
  <c r="AC63" i="13"/>
  <c r="Z44" i="13"/>
  <c r="Z48" i="13"/>
  <c r="AA25" i="13"/>
  <c r="AA49" i="13"/>
  <c r="AC61" i="13"/>
  <c r="Z24" i="13"/>
  <c r="Z29" i="13"/>
  <c r="AC53" i="13"/>
  <c r="AA60" i="13"/>
  <c r="AA58" i="13"/>
  <c r="AA28" i="13"/>
  <c r="AA51" i="13"/>
  <c r="Y35" i="13"/>
  <c r="Z67" i="13"/>
  <c r="AC27" i="13"/>
  <c r="Z46" i="13"/>
  <c r="AA54" i="13"/>
  <c r="Z57" i="13"/>
  <c r="U12" i="5" l="1"/>
  <c r="AD12" i="5" s="1"/>
  <c r="AD38" i="11"/>
  <c r="AD48" i="11"/>
  <c r="AD46" i="11"/>
  <c r="AD40" i="11"/>
  <c r="AD39" i="11"/>
  <c r="AD44" i="11"/>
  <c r="AD45" i="11"/>
  <c r="AD42" i="11"/>
  <c r="AD52" i="11"/>
  <c r="AD43" i="11"/>
  <c r="AU60" i="11"/>
  <c r="AD47" i="11"/>
  <c r="AV49" i="11"/>
  <c r="BG51" i="21"/>
  <c r="BD51" i="21"/>
  <c r="BH51" i="21"/>
  <c r="BF51" i="21"/>
  <c r="BE51" i="21"/>
  <c r="BD52" i="21"/>
  <c r="BH52" i="21"/>
  <c r="BF52" i="21"/>
  <c r="BE52" i="21"/>
  <c r="BG52" i="21"/>
  <c r="BF53" i="21"/>
  <c r="BG53" i="21"/>
  <c r="BD53" i="21"/>
  <c r="BH53" i="21"/>
  <c r="BE53" i="21"/>
  <c r="AQ46" i="13"/>
  <c r="AP46" i="13"/>
  <c r="AR46" i="13"/>
  <c r="AO46" i="13"/>
  <c r="AN46" i="13"/>
  <c r="AQ48" i="11"/>
  <c r="AO48" i="11"/>
  <c r="AR48" i="11"/>
  <c r="AP48" i="11"/>
  <c r="AN48" i="11"/>
  <c r="AR47" i="11"/>
  <c r="AO47" i="11"/>
  <c r="AP47" i="11"/>
  <c r="AN47" i="11"/>
  <c r="AQ47" i="11"/>
  <c r="K12" i="5"/>
  <c r="T11" i="5"/>
  <c r="J11" i="5"/>
  <c r="A12" i="5"/>
  <c r="H134" i="5"/>
  <c r="F130" i="5"/>
  <c r="F135" i="5"/>
  <c r="H127" i="5"/>
  <c r="F128" i="5"/>
  <c r="F129" i="5"/>
  <c r="F127" i="5"/>
  <c r="F132" i="5"/>
  <c r="H128" i="5"/>
  <c r="H130" i="5"/>
  <c r="H133" i="5"/>
  <c r="H131" i="5"/>
  <c r="H135" i="5"/>
  <c r="F134" i="5"/>
  <c r="H132" i="5"/>
  <c r="F131" i="5"/>
  <c r="F133" i="5"/>
  <c r="F136" i="5"/>
  <c r="J136" i="5" s="1"/>
  <c r="F49" i="5"/>
  <c r="BH37" i="21"/>
  <c r="BG37" i="21"/>
  <c r="BE37" i="21"/>
  <c r="BD37" i="21"/>
  <c r="BF37" i="21"/>
  <c r="BF38" i="21"/>
  <c r="BG38" i="21"/>
  <c r="BE38" i="21"/>
  <c r="BH38" i="21"/>
  <c r="BD38" i="21"/>
  <c r="BD49" i="21"/>
  <c r="BG49" i="21"/>
  <c r="BF49" i="21"/>
  <c r="BH49" i="21"/>
  <c r="BE49" i="21"/>
  <c r="BH41" i="21"/>
  <c r="BE41" i="21"/>
  <c r="BD41" i="21"/>
  <c r="BG41" i="21"/>
  <c r="BF41" i="21"/>
  <c r="BE50" i="21"/>
  <c r="BG50" i="21"/>
  <c r="BF50" i="21"/>
  <c r="BH50" i="21"/>
  <c r="BD50" i="21"/>
  <c r="BE39" i="21"/>
  <c r="BH39" i="21"/>
  <c r="BG39" i="21"/>
  <c r="BF39" i="21"/>
  <c r="BD39" i="21"/>
  <c r="BD40" i="21"/>
  <c r="BH40" i="21"/>
  <c r="BG40" i="21"/>
  <c r="BF40" i="21"/>
  <c r="BE40" i="21"/>
  <c r="G131" i="5"/>
  <c r="G136" i="5"/>
  <c r="G130" i="5"/>
  <c r="G135" i="5"/>
  <c r="G127" i="5"/>
  <c r="I135" i="5"/>
  <c r="B47" i="13"/>
  <c r="F47" i="13"/>
  <c r="I136" i="5"/>
  <c r="G129" i="5"/>
  <c r="AG46" i="13"/>
  <c r="AV46" i="13" s="1"/>
  <c r="H49" i="5"/>
  <c r="G128" i="5"/>
  <c r="I129" i="5"/>
  <c r="G134" i="5"/>
  <c r="G133" i="5"/>
  <c r="I126" i="5"/>
  <c r="I133" i="5"/>
  <c r="I132" i="5"/>
  <c r="I130" i="5"/>
  <c r="I128" i="5"/>
  <c r="I134" i="5"/>
  <c r="G132" i="5"/>
  <c r="I127" i="5"/>
  <c r="H129" i="5"/>
  <c r="Z133" i="5"/>
  <c r="H126" i="5"/>
  <c r="G126" i="5"/>
  <c r="F126" i="5"/>
  <c r="BD46" i="21"/>
  <c r="BE46" i="21"/>
  <c r="BH46" i="21"/>
  <c r="BF46" i="21"/>
  <c r="BG46" i="21"/>
  <c r="BF44" i="21"/>
  <c r="BE44" i="21"/>
  <c r="BG44" i="21"/>
  <c r="BD44" i="21"/>
  <c r="BH44" i="21"/>
  <c r="BE45" i="21"/>
  <c r="BD45" i="21"/>
  <c r="BH45" i="21"/>
  <c r="BF45" i="21"/>
  <c r="BG45" i="21"/>
  <c r="BE42" i="21"/>
  <c r="BH42" i="21"/>
  <c r="BG42" i="21"/>
  <c r="BF42" i="21"/>
  <c r="BD42" i="21"/>
  <c r="BF47" i="21"/>
  <c r="BE47" i="21"/>
  <c r="BD47" i="21"/>
  <c r="BH47" i="21"/>
  <c r="BG47" i="21"/>
  <c r="BD43" i="21"/>
  <c r="BF43" i="21"/>
  <c r="BG43" i="21"/>
  <c r="BE43" i="21"/>
  <c r="BH43" i="21"/>
  <c r="BF48" i="21"/>
  <c r="BH48" i="21"/>
  <c r="BE48" i="21"/>
  <c r="BD48" i="21"/>
  <c r="BG48" i="21"/>
  <c r="G49" i="5"/>
  <c r="Z134" i="5"/>
  <c r="I49" i="5"/>
  <c r="N109" i="23"/>
  <c r="Q62" i="11"/>
  <c r="AF62" i="11" s="1"/>
  <c r="R51" i="11"/>
  <c r="AG51" i="11" s="1"/>
  <c r="V61" i="11"/>
  <c r="AG62" i="21"/>
  <c r="W62" i="21"/>
  <c r="AS24" i="13"/>
  <c r="AV24" i="13"/>
  <c r="AT24" i="13"/>
  <c r="AW24" i="13"/>
  <c r="AU24" i="13"/>
  <c r="AV37" i="13"/>
  <c r="AS26" i="13"/>
  <c r="AT53" i="13"/>
  <c r="AT49" i="13"/>
  <c r="AW36" i="13"/>
  <c r="AW31" i="13"/>
  <c r="AW48" i="13"/>
  <c r="AW62" i="13"/>
  <c r="AV44" i="13"/>
  <c r="AV36" i="13"/>
  <c r="AV30" i="13"/>
  <c r="AS38" i="13"/>
  <c r="AS42" i="13"/>
  <c r="AS50" i="13"/>
  <c r="AS45" i="13"/>
  <c r="AS41" i="13"/>
  <c r="AU27" i="13"/>
  <c r="AU32" i="13"/>
  <c r="AU61" i="13"/>
  <c r="AU64" i="13"/>
  <c r="AU62" i="13"/>
  <c r="AT57" i="13"/>
  <c r="AT40" i="13"/>
  <c r="AT56" i="13"/>
  <c r="AT61" i="13"/>
  <c r="AT25" i="13"/>
  <c r="AT51" i="13"/>
  <c r="AW49" i="13"/>
  <c r="AU29" i="13"/>
  <c r="AT30" i="13"/>
  <c r="AT36" i="13"/>
  <c r="AW28" i="13"/>
  <c r="AW25" i="13"/>
  <c r="AW52" i="13"/>
  <c r="AW38" i="13"/>
  <c r="AW41" i="13"/>
  <c r="AW60" i="13"/>
  <c r="AV43" i="13"/>
  <c r="AV35" i="13"/>
  <c r="AV31" i="13"/>
  <c r="AS57" i="13"/>
  <c r="AS46" i="13"/>
  <c r="AS29" i="13"/>
  <c r="AS35" i="13"/>
  <c r="AS49" i="13"/>
  <c r="AU65" i="13"/>
  <c r="AU55" i="13"/>
  <c r="AU45" i="13"/>
  <c r="AU36" i="13"/>
  <c r="AU41" i="13"/>
  <c r="AU63" i="13"/>
  <c r="AT58" i="13"/>
  <c r="AT65" i="13"/>
  <c r="AT54" i="13"/>
  <c r="AT38" i="13"/>
  <c r="AT26" i="13"/>
  <c r="AW34" i="13"/>
  <c r="AS36" i="13"/>
  <c r="AU37" i="13"/>
  <c r="AW40" i="13"/>
  <c r="AW47" i="13"/>
  <c r="AW44" i="13"/>
  <c r="AW64" i="13"/>
  <c r="AW66" i="13"/>
  <c r="AW35" i="13"/>
  <c r="AV42" i="13"/>
  <c r="AV34" i="13"/>
  <c r="AV33" i="13"/>
  <c r="AS58" i="13"/>
  <c r="AS31" i="13"/>
  <c r="AS60" i="13"/>
  <c r="AS52" i="13"/>
  <c r="AS56" i="13"/>
  <c r="AU40" i="13"/>
  <c r="AU59" i="13"/>
  <c r="AU67" i="13"/>
  <c r="AU42" i="13"/>
  <c r="AU49" i="13"/>
  <c r="AU28" i="13"/>
  <c r="AT28" i="13"/>
  <c r="AT33" i="13"/>
  <c r="AT62" i="13"/>
  <c r="AT32" i="13"/>
  <c r="AT66" i="13"/>
  <c r="AW59" i="13"/>
  <c r="AS33" i="13"/>
  <c r="AU31" i="13"/>
  <c r="AW56" i="13"/>
  <c r="AW61" i="13"/>
  <c r="AW27" i="13"/>
  <c r="AW39" i="13"/>
  <c r="AW65" i="13"/>
  <c r="AW50" i="13"/>
  <c r="AV41" i="13"/>
  <c r="AV29" i="13"/>
  <c r="AV26" i="13"/>
  <c r="AS34" i="13"/>
  <c r="AS28" i="13"/>
  <c r="AS63" i="13"/>
  <c r="AS51" i="13"/>
  <c r="AS39" i="13"/>
  <c r="AU35" i="13"/>
  <c r="AU38" i="13"/>
  <c r="AU46" i="13"/>
  <c r="AU60" i="13"/>
  <c r="AU39" i="13"/>
  <c r="AU57" i="13"/>
  <c r="AT37" i="13"/>
  <c r="AT50" i="13"/>
  <c r="AT41" i="13"/>
  <c r="AT34" i="13"/>
  <c r="AT59" i="13"/>
  <c r="AW46" i="13"/>
  <c r="AS59" i="13"/>
  <c r="AW43" i="13"/>
  <c r="AW37" i="13"/>
  <c r="AW42" i="13"/>
  <c r="AW53" i="13"/>
  <c r="AW63" i="13"/>
  <c r="AW29" i="13"/>
  <c r="AV40" i="13"/>
  <c r="AV28" i="13"/>
  <c r="AV27" i="13"/>
  <c r="AS66" i="13"/>
  <c r="AS30" i="13"/>
  <c r="AS54" i="13"/>
  <c r="AS44" i="13"/>
  <c r="AS53" i="13"/>
  <c r="AU33" i="13"/>
  <c r="AU52" i="13"/>
  <c r="AU66" i="13"/>
  <c r="AU53" i="13"/>
  <c r="AU58" i="13"/>
  <c r="AT42" i="13"/>
  <c r="AT43" i="13"/>
  <c r="AT45" i="13"/>
  <c r="AT27" i="13"/>
  <c r="AT63" i="13"/>
  <c r="AV45" i="13"/>
  <c r="AS27" i="13"/>
  <c r="AU26" i="13"/>
  <c r="AW45" i="13"/>
  <c r="AW54" i="13"/>
  <c r="AW51" i="13"/>
  <c r="AW57" i="13"/>
  <c r="AW30" i="13"/>
  <c r="AV39" i="13"/>
  <c r="AV25" i="13"/>
  <c r="AS67" i="13"/>
  <c r="AS37" i="13"/>
  <c r="AS65" i="13"/>
  <c r="AS62" i="13"/>
  <c r="AS47" i="13"/>
  <c r="AS43" i="13"/>
  <c r="AU50" i="13"/>
  <c r="AU56" i="13"/>
  <c r="AU43" i="13"/>
  <c r="AU34" i="13"/>
  <c r="AU54" i="13"/>
  <c r="AT35" i="13"/>
  <c r="AT46" i="13"/>
  <c r="AT29" i="13"/>
  <c r="AT52" i="13"/>
  <c r="AT31" i="13"/>
  <c r="AT67" i="13"/>
  <c r="AW58" i="13"/>
  <c r="AS64" i="13"/>
  <c r="AU47" i="13"/>
  <c r="AT47" i="13"/>
  <c r="AW55" i="13"/>
  <c r="AW32" i="13"/>
  <c r="AW26" i="13"/>
  <c r="AW33" i="13"/>
  <c r="AV38" i="13"/>
  <c r="AV32" i="13"/>
  <c r="AS40" i="13"/>
  <c r="AS32" i="13"/>
  <c r="AS48" i="13"/>
  <c r="AS55" i="13"/>
  <c r="AS61" i="13"/>
  <c r="AS25" i="13"/>
  <c r="AU51" i="13"/>
  <c r="AU48" i="13"/>
  <c r="AU44" i="13"/>
  <c r="AU30" i="13"/>
  <c r="AU25" i="13"/>
  <c r="AT39" i="13"/>
  <c r="AT64" i="13"/>
  <c r="AT55" i="13"/>
  <c r="AT44" i="13"/>
  <c r="AT60" i="13"/>
  <c r="AT48" i="13"/>
  <c r="U25" i="11"/>
  <c r="U28" i="11"/>
  <c r="U38" i="11"/>
  <c r="U35" i="11"/>
  <c r="U67" i="11"/>
  <c r="U52" i="11"/>
  <c r="T38" i="11"/>
  <c r="T27" i="11"/>
  <c r="T59" i="11"/>
  <c r="T44" i="11"/>
  <c r="T37" i="11"/>
  <c r="U29" i="11"/>
  <c r="U49" i="11"/>
  <c r="U42" i="11"/>
  <c r="U39" i="11"/>
  <c r="U27" i="11"/>
  <c r="U56" i="11"/>
  <c r="T42" i="11"/>
  <c r="T31" i="11"/>
  <c r="T63" i="11"/>
  <c r="T48" i="11"/>
  <c r="T41" i="11"/>
  <c r="U61" i="11"/>
  <c r="U53" i="11"/>
  <c r="U46" i="11"/>
  <c r="U43" i="11"/>
  <c r="U31" i="11"/>
  <c r="U60" i="11"/>
  <c r="T46" i="11"/>
  <c r="T35" i="11"/>
  <c r="T67" i="11"/>
  <c r="T52" i="11"/>
  <c r="T45" i="11"/>
  <c r="U33" i="11"/>
  <c r="U57" i="11"/>
  <c r="U50" i="11"/>
  <c r="U47" i="11"/>
  <c r="U32" i="11"/>
  <c r="U64" i="11"/>
  <c r="T50" i="11"/>
  <c r="T39" i="11"/>
  <c r="T56" i="11"/>
  <c r="T49" i="11"/>
  <c r="U41" i="11"/>
  <c r="U65" i="11"/>
  <c r="U54" i="11"/>
  <c r="U51" i="11"/>
  <c r="U36" i="11"/>
  <c r="T25" i="11"/>
  <c r="T54" i="11"/>
  <c r="T43" i="11"/>
  <c r="T28" i="11"/>
  <c r="T60" i="11"/>
  <c r="T53" i="11"/>
  <c r="U37" i="11"/>
  <c r="U26" i="11"/>
  <c r="U58" i="11"/>
  <c r="U55" i="11"/>
  <c r="U40" i="11"/>
  <c r="T26" i="11"/>
  <c r="T58" i="11"/>
  <c r="T47" i="11"/>
  <c r="T32" i="11"/>
  <c r="T64" i="11"/>
  <c r="T57" i="11"/>
  <c r="U45" i="11"/>
  <c r="U30" i="11"/>
  <c r="U62" i="11"/>
  <c r="U59" i="11"/>
  <c r="U44" i="11"/>
  <c r="T30" i="11"/>
  <c r="T62" i="11"/>
  <c r="T51" i="11"/>
  <c r="T36" i="11"/>
  <c r="T29" i="11"/>
  <c r="T61" i="11"/>
  <c r="U24" i="11"/>
  <c r="U34" i="11"/>
  <c r="U66" i="11"/>
  <c r="U63" i="11"/>
  <c r="U48" i="11"/>
  <c r="T34" i="11"/>
  <c r="T66" i="11"/>
  <c r="T55" i="11"/>
  <c r="T40" i="11"/>
  <c r="T33" i="11"/>
  <c r="T65" i="11"/>
  <c r="W50" i="11"/>
  <c r="I131" i="5"/>
  <c r="AB127" i="5"/>
  <c r="Z132" i="5"/>
  <c r="AB126" i="5"/>
  <c r="AB135" i="5"/>
  <c r="Z129" i="5"/>
  <c r="AB132" i="5"/>
  <c r="AB129" i="5"/>
  <c r="AB128" i="5"/>
  <c r="R131" i="5"/>
  <c r="AB131" i="5"/>
  <c r="Z127" i="5"/>
  <c r="Z130" i="5"/>
  <c r="Z128" i="5"/>
  <c r="W49" i="13"/>
  <c r="AB130" i="5"/>
  <c r="R126" i="5"/>
  <c r="P136" i="5"/>
  <c r="P49" i="5"/>
  <c r="P126" i="5"/>
  <c r="P132" i="5"/>
  <c r="Q136" i="5"/>
  <c r="S132" i="5"/>
  <c r="R135" i="5"/>
  <c r="AB133" i="5"/>
  <c r="Z136" i="5"/>
  <c r="Z135" i="5"/>
  <c r="Z131" i="5"/>
  <c r="AB134" i="5"/>
  <c r="AB49" i="5"/>
  <c r="Z126" i="5"/>
  <c r="T24" i="11"/>
  <c r="B49" i="11"/>
  <c r="E147" i="5"/>
  <c r="X128" i="5"/>
  <c r="V128" i="5"/>
  <c r="W128" i="5" s="1"/>
  <c r="P129" i="5"/>
  <c r="Q133" i="5"/>
  <c r="P134" i="5"/>
  <c r="R49" i="5"/>
  <c r="R130" i="5"/>
  <c r="R134" i="5"/>
  <c r="R129" i="5"/>
  <c r="S127" i="5"/>
  <c r="Z49" i="5"/>
  <c r="AB136" i="5"/>
  <c r="R128" i="5"/>
  <c r="P131" i="5"/>
  <c r="S129" i="5"/>
  <c r="S128" i="5"/>
  <c r="U13" i="5"/>
  <c r="AD13" i="5" s="1"/>
  <c r="A64" i="5"/>
  <c r="AB63" i="5"/>
  <c r="H63" i="5"/>
  <c r="P63" i="5"/>
  <c r="R63" i="5"/>
  <c r="F63" i="5"/>
  <c r="Z63" i="5"/>
  <c r="P133" i="5"/>
  <c r="P135" i="5"/>
  <c r="P127" i="5"/>
  <c r="S131" i="5"/>
  <c r="Q128" i="5"/>
  <c r="Q134" i="5"/>
  <c r="Q129" i="5"/>
  <c r="R132" i="5"/>
  <c r="P130" i="5"/>
  <c r="R127" i="5"/>
  <c r="R133" i="5"/>
  <c r="P128" i="5"/>
  <c r="Q131" i="5"/>
  <c r="Q130" i="5"/>
  <c r="S134" i="5"/>
  <c r="Q132" i="5"/>
  <c r="S135" i="5"/>
  <c r="S136" i="5"/>
  <c r="S133" i="5"/>
  <c r="Q135" i="5"/>
  <c r="Q127" i="5"/>
  <c r="E151" i="5"/>
  <c r="E153" i="5"/>
  <c r="E149" i="5"/>
  <c r="E141" i="5"/>
  <c r="E150" i="5"/>
  <c r="E146" i="5"/>
  <c r="E145" i="5"/>
  <c r="E142" i="5"/>
  <c r="S130" i="5"/>
  <c r="S126" i="5"/>
  <c r="S49" i="5"/>
  <c r="Q49" i="5"/>
  <c r="Q126" i="5"/>
  <c r="AB47" i="13"/>
  <c r="AA61" i="11"/>
  <c r="Z38" i="11"/>
  <c r="Z33" i="11"/>
  <c r="Y39" i="11"/>
  <c r="Z32" i="11"/>
  <c r="Y43" i="11"/>
  <c r="Y61" i="11"/>
  <c r="Z58" i="11"/>
  <c r="Z64" i="11"/>
  <c r="Z41" i="11"/>
  <c r="Y56" i="11"/>
  <c r="Z56" i="11"/>
  <c r="Z29" i="11"/>
  <c r="Y24" i="11"/>
  <c r="Y57" i="11"/>
  <c r="Z42" i="11"/>
  <c r="Y31" i="11"/>
  <c r="Y63" i="11"/>
  <c r="Y28" i="11"/>
  <c r="Y47" i="11"/>
  <c r="Z53" i="11"/>
  <c r="Z52" i="11"/>
  <c r="Y50" i="11"/>
  <c r="Y62" i="11"/>
  <c r="Y48" i="11"/>
  <c r="Z39" i="11"/>
  <c r="Y46" i="11"/>
  <c r="Y30" i="11"/>
  <c r="Z24" i="11"/>
  <c r="Z46" i="11"/>
  <c r="Y59" i="11"/>
  <c r="Z61" i="11"/>
  <c r="Y32" i="11"/>
  <c r="Z43" i="11"/>
  <c r="Z37" i="11"/>
  <c r="Z44" i="11"/>
  <c r="Y36" i="11"/>
  <c r="Y44" i="11"/>
  <c r="Z35" i="11"/>
  <c r="Z40" i="11"/>
  <c r="Y60" i="11"/>
  <c r="Y41" i="11"/>
  <c r="Z45" i="11"/>
  <c r="Z36" i="11"/>
  <c r="Z66" i="11"/>
  <c r="Y42" i="11"/>
  <c r="Z25" i="11"/>
  <c r="Y53" i="11"/>
  <c r="Y37" i="11"/>
  <c r="Y52" i="11"/>
  <c r="Z26" i="11"/>
  <c r="Y54" i="11"/>
  <c r="Y66" i="11"/>
  <c r="Z49" i="11"/>
  <c r="Y27" i="11"/>
  <c r="Z30" i="11"/>
  <c r="Z67" i="11"/>
  <c r="Z57" i="11"/>
  <c r="Y35" i="11"/>
  <c r="Z51" i="11"/>
  <c r="Y25" i="11"/>
  <c r="Y29" i="11"/>
  <c r="AB50" i="11"/>
  <c r="Z60" i="11"/>
  <c r="Y38" i="11"/>
  <c r="Z47" i="11"/>
  <c r="Z59" i="11"/>
  <c r="Z63" i="11"/>
  <c r="Y33" i="11"/>
  <c r="Z65" i="11"/>
  <c r="Z62" i="11"/>
  <c r="Y55" i="11"/>
  <c r="Y40" i="11"/>
  <c r="Z55" i="11"/>
  <c r="Z54" i="11"/>
  <c r="Z50" i="11"/>
  <c r="Z48" i="11"/>
  <c r="Z28" i="11"/>
  <c r="Y51" i="11"/>
  <c r="Z31" i="11"/>
  <c r="Y49" i="11"/>
  <c r="Z34" i="11"/>
  <c r="Y64" i="11"/>
  <c r="Y58" i="11"/>
  <c r="Y26" i="11"/>
  <c r="AB62" i="21"/>
  <c r="Y45" i="11"/>
  <c r="Z27" i="11"/>
  <c r="Y34" i="11"/>
  <c r="Y67" i="11"/>
  <c r="Y65" i="11"/>
  <c r="AS44" i="11" l="1"/>
  <c r="AS45" i="11"/>
  <c r="AS46" i="11"/>
  <c r="J47" i="23"/>
  <c r="AK65" i="11" s="1"/>
  <c r="J48" i="23"/>
  <c r="AK66" i="11" s="1"/>
  <c r="J49" i="23"/>
  <c r="AK67" i="11" s="1"/>
  <c r="J46" i="23"/>
  <c r="AK64" i="11" s="1"/>
  <c r="AS43" i="11"/>
  <c r="AS39" i="11"/>
  <c r="AS38" i="11"/>
  <c r="AU61" i="11"/>
  <c r="AS33" i="11"/>
  <c r="AS30" i="11"/>
  <c r="AS65" i="11"/>
  <c r="AV50" i="11"/>
  <c r="AS34" i="11"/>
  <c r="AS40" i="11"/>
  <c r="AS28" i="11"/>
  <c r="AS58" i="11"/>
  <c r="AS66" i="11"/>
  <c r="AS62" i="11"/>
  <c r="AS63" i="11"/>
  <c r="AS36" i="11"/>
  <c r="AS56" i="11"/>
  <c r="AS27" i="11"/>
  <c r="AS51" i="11"/>
  <c r="AS48" i="11"/>
  <c r="AS42" i="11"/>
  <c r="AS57" i="11"/>
  <c r="AS47" i="11"/>
  <c r="AS60" i="11"/>
  <c r="AS25" i="11"/>
  <c r="AS53" i="11"/>
  <c r="AS52" i="11"/>
  <c r="AS50" i="11"/>
  <c r="AS32" i="11"/>
  <c r="AS54" i="11"/>
  <c r="AS24" i="11"/>
  <c r="AS29" i="11"/>
  <c r="AS41" i="11"/>
  <c r="AS61" i="11"/>
  <c r="AS37" i="11"/>
  <c r="AS59" i="11"/>
  <c r="AS49" i="11"/>
  <c r="AS55" i="11"/>
  <c r="AS31" i="11"/>
  <c r="AS26" i="11"/>
  <c r="AS35" i="11"/>
  <c r="AS67" i="11"/>
  <c r="AS64" i="11"/>
  <c r="AT46" i="11"/>
  <c r="AT45" i="11"/>
  <c r="AT48" i="11"/>
  <c r="AT52" i="11"/>
  <c r="AT40" i="11"/>
  <c r="AT42" i="11"/>
  <c r="AT47" i="11"/>
  <c r="AT41" i="11"/>
  <c r="AT53" i="11"/>
  <c r="AT38" i="11"/>
  <c r="AT44" i="11"/>
  <c r="AT50" i="11"/>
  <c r="AT51" i="11"/>
  <c r="AT43" i="11"/>
  <c r="AT39" i="11"/>
  <c r="AT49" i="11"/>
  <c r="AT28" i="11"/>
  <c r="AT37" i="11"/>
  <c r="AT30" i="11"/>
  <c r="AT32" i="11"/>
  <c r="AT27" i="11"/>
  <c r="AT26" i="11"/>
  <c r="AT31" i="11"/>
  <c r="AT34" i="11"/>
  <c r="AT35" i="11"/>
  <c r="AT36" i="11"/>
  <c r="AT24" i="11"/>
  <c r="AT29" i="11"/>
  <c r="AT33" i="11"/>
  <c r="AT25" i="11"/>
  <c r="AL59" i="11"/>
  <c r="AJ59" i="11"/>
  <c r="AT59" i="11" s="1"/>
  <c r="AL54" i="11"/>
  <c r="AJ54" i="11"/>
  <c r="AT54" i="11" s="1"/>
  <c r="AC260" i="11" a="1"/>
  <c r="AC260" i="11" s="1"/>
  <c r="BC53" i="21"/>
  <c r="BC52" i="21"/>
  <c r="BC51" i="21"/>
  <c r="AQ47" i="13"/>
  <c r="AR47" i="13"/>
  <c r="AO47" i="13"/>
  <c r="AN47" i="13"/>
  <c r="AP47" i="13"/>
  <c r="AR49" i="11"/>
  <c r="AQ49" i="11"/>
  <c r="AO49" i="11"/>
  <c r="AP49" i="11"/>
  <c r="AN49" i="11"/>
  <c r="J128" i="5"/>
  <c r="K13" i="5"/>
  <c r="T12" i="5"/>
  <c r="A13" i="5"/>
  <c r="J12" i="5"/>
  <c r="J127" i="5"/>
  <c r="J134" i="5"/>
  <c r="J130" i="5"/>
  <c r="J132" i="5"/>
  <c r="J135" i="5"/>
  <c r="J129" i="5"/>
  <c r="J133" i="5"/>
  <c r="J131" i="5"/>
  <c r="AL59" i="13"/>
  <c r="AM59" i="21"/>
  <c r="AW59" i="21" s="1"/>
  <c r="BB59" i="21" s="1"/>
  <c r="AM59" i="11"/>
  <c r="AM54" i="21"/>
  <c r="AW54" i="21" s="1"/>
  <c r="BB54" i="21" s="1"/>
  <c r="AL54" i="13"/>
  <c r="AM54" i="11"/>
  <c r="F137" i="5"/>
  <c r="BC37" i="21"/>
  <c r="BC38" i="21"/>
  <c r="BC39" i="21"/>
  <c r="BC41" i="21"/>
  <c r="BC49" i="21"/>
  <c r="BC50" i="21"/>
  <c r="BC40" i="21"/>
  <c r="AB259" i="11" a="1"/>
  <c r="AB259" i="11" s="1"/>
  <c r="AB257" i="11" a="1"/>
  <c r="AB257" i="11" s="1"/>
  <c r="AB258" i="11" a="1"/>
  <c r="AB258" i="11" s="1"/>
  <c r="AB256" i="11" a="1"/>
  <c r="AB256" i="11" s="1"/>
  <c r="AC261" i="11" a="1"/>
  <c r="AC261" i="11" s="1"/>
  <c r="AB261" i="11" a="1"/>
  <c r="AB261" i="11" s="1"/>
  <c r="AC257" i="11" a="1"/>
  <c r="AC257" i="11" s="1"/>
  <c r="AC258" i="11" a="1"/>
  <c r="AC258" i="11" s="1"/>
  <c r="AC255" i="11" a="1"/>
  <c r="AC255" i="11" s="1"/>
  <c r="AC256" i="11" a="1"/>
  <c r="AC256" i="11" s="1"/>
  <c r="AC259" i="11" a="1"/>
  <c r="AC259" i="11" s="1"/>
  <c r="AB260" i="11" a="1"/>
  <c r="AB260" i="11" s="1"/>
  <c r="I137" i="5"/>
  <c r="G137" i="5"/>
  <c r="AB213" i="11" a="1"/>
  <c r="AB213" i="11" s="1"/>
  <c r="AB206" i="11" a="1"/>
  <c r="AB206" i="11" s="1"/>
  <c r="B283" i="21" a="1"/>
  <c r="B177" i="21" a="1"/>
  <c r="B230" i="21" a="1"/>
  <c r="B125" i="21" a="1"/>
  <c r="AB211" i="11" a="1"/>
  <c r="AB211" i="11" s="1"/>
  <c r="AD128" i="5"/>
  <c r="O177" i="21" a="1"/>
  <c r="O230" i="21" a="1"/>
  <c r="O125" i="21" a="1"/>
  <c r="O283" i="21" a="1"/>
  <c r="AB209" i="11" a="1"/>
  <c r="AB209" i="11" s="1"/>
  <c r="J126" i="5"/>
  <c r="AG47" i="13"/>
  <c r="AV47" i="13" s="1"/>
  <c r="B48" i="13"/>
  <c r="F48" i="13"/>
  <c r="AB210" i="11" a="1"/>
  <c r="AB210" i="11" s="1"/>
  <c r="AB216" i="11" a="1"/>
  <c r="AB216" i="11" s="1"/>
  <c r="AD133" i="5"/>
  <c r="AB217" i="11" a="1"/>
  <c r="AB217" i="11" s="1"/>
  <c r="AB208" i="11" a="1"/>
  <c r="AB208" i="11" s="1"/>
  <c r="H137" i="5"/>
  <c r="AB218" i="11" a="1"/>
  <c r="AB218" i="11" s="1"/>
  <c r="AB215" i="11" a="1"/>
  <c r="AB215" i="11" s="1"/>
  <c r="AB214" i="11" a="1"/>
  <c r="AB214" i="11" s="1"/>
  <c r="AD134" i="5"/>
  <c r="AB212" i="11" a="1"/>
  <c r="AB212" i="11" s="1"/>
  <c r="AB207" i="11" a="1"/>
  <c r="AB207" i="11" s="1"/>
  <c r="O283" i="13" a="1"/>
  <c r="O73" i="13" a="1"/>
  <c r="O125" i="13" a="1"/>
  <c r="O177" i="13" a="1"/>
  <c r="O230" i="13" a="1"/>
  <c r="O283" i="11" a="1"/>
  <c r="O125" i="11" a="1"/>
  <c r="O73" i="11" a="1"/>
  <c r="O177" i="11" a="1"/>
  <c r="O230" i="11" a="1"/>
  <c r="B283" i="13" a="1"/>
  <c r="B73" i="13" a="1"/>
  <c r="B125" i="13" a="1"/>
  <c r="B230" i="13" a="1"/>
  <c r="B177" i="13" a="1"/>
  <c r="AD126" i="5"/>
  <c r="B73" i="21" a="1"/>
  <c r="B74" i="13" a="1"/>
  <c r="B231" i="13" a="1"/>
  <c r="B126" i="13" a="1"/>
  <c r="B178" i="13" a="1"/>
  <c r="B284" i="13" a="1"/>
  <c r="O73" i="21" a="1"/>
  <c r="B230" i="11" a="1"/>
  <c r="B73" i="11" a="1"/>
  <c r="B283" i="11" a="1"/>
  <c r="B125" i="11" a="1"/>
  <c r="B177" i="11" a="1"/>
  <c r="O74" i="11" a="1"/>
  <c r="O178" i="11" a="1"/>
  <c r="O231" i="11" a="1"/>
  <c r="O284" i="11" a="1"/>
  <c r="O126" i="11" a="1"/>
  <c r="O74" i="13" a="1"/>
  <c r="O231" i="13" a="1"/>
  <c r="O178" i="13" a="1"/>
  <c r="O126" i="13" a="1"/>
  <c r="O284" i="13" a="1"/>
  <c r="Y128" i="5"/>
  <c r="B178" i="11" a="1"/>
  <c r="B126" i="11" a="1"/>
  <c r="B74" i="11" a="1"/>
  <c r="B231" i="11" a="1"/>
  <c r="B284" i="11" a="1"/>
  <c r="AD135" i="5"/>
  <c r="AD132" i="5"/>
  <c r="AJ62" i="11"/>
  <c r="AT62" i="11" s="1"/>
  <c r="AJ64" i="11"/>
  <c r="AT64" i="11" s="1"/>
  <c r="AJ60" i="11"/>
  <c r="AT60" i="11" s="1"/>
  <c r="AJ63" i="11"/>
  <c r="AT63" i="11" s="1"/>
  <c r="AC212" i="11" a="1"/>
  <c r="AC212" i="11" s="1"/>
  <c r="AC214" i="11" a="1"/>
  <c r="AC214" i="11" s="1"/>
  <c r="AC218" i="11" a="1"/>
  <c r="AC218" i="11" s="1"/>
  <c r="T136" i="5"/>
  <c r="T126" i="5"/>
  <c r="AC213" i="11" a="1"/>
  <c r="AC213" i="11" s="1"/>
  <c r="BC47" i="21"/>
  <c r="BC48" i="21"/>
  <c r="BC42" i="21"/>
  <c r="BC45" i="21"/>
  <c r="BC43" i="21"/>
  <c r="BC44" i="21"/>
  <c r="BC46" i="21"/>
  <c r="AD129" i="5"/>
  <c r="AC217" i="11" a="1"/>
  <c r="AC217" i="11" s="1"/>
  <c r="AC209" i="11" a="1"/>
  <c r="AC209" i="11" s="1"/>
  <c r="AD130" i="5"/>
  <c r="AC211" i="11" a="1"/>
  <c r="AC211" i="11" s="1"/>
  <c r="AC207" i="11" a="1"/>
  <c r="AC207" i="11" s="1"/>
  <c r="AD131" i="5"/>
  <c r="AC208" i="11" a="1"/>
  <c r="AC208" i="11" s="1"/>
  <c r="AB137" i="5"/>
  <c r="AC206" i="11" a="1"/>
  <c r="AC206" i="11" s="1"/>
  <c r="AC215" i="11" a="1"/>
  <c r="AC215" i="11" s="1"/>
  <c r="AC216" i="11" a="1"/>
  <c r="AC216" i="11" s="1"/>
  <c r="AC210" i="11" a="1"/>
  <c r="AC210" i="11" s="1"/>
  <c r="AB219" i="11" a="1"/>
  <c r="AB219" i="11" s="1"/>
  <c r="AC219" i="11" a="1"/>
  <c r="AC219" i="11" s="1"/>
  <c r="R52" i="11"/>
  <c r="AG52" i="11" s="1"/>
  <c r="V62" i="11"/>
  <c r="Q63" i="11"/>
  <c r="AF63" i="11" s="1"/>
  <c r="AG63" i="21"/>
  <c r="W63" i="21"/>
  <c r="W51" i="11"/>
  <c r="AD127" i="5"/>
  <c r="T135" i="5"/>
  <c r="Z137" i="5"/>
  <c r="T128" i="5"/>
  <c r="T129" i="5"/>
  <c r="R137" i="5"/>
  <c r="W50" i="13"/>
  <c r="B50" i="11"/>
  <c r="V129" i="5"/>
  <c r="X129" i="5"/>
  <c r="Y129" i="5" s="1"/>
  <c r="T131" i="5"/>
  <c r="T134" i="5"/>
  <c r="AD136" i="5"/>
  <c r="T132" i="5"/>
  <c r="U14" i="5"/>
  <c r="AD14" i="5" s="1"/>
  <c r="P137" i="5"/>
  <c r="S137" i="5"/>
  <c r="T133" i="5"/>
  <c r="A65" i="5"/>
  <c r="P64" i="5"/>
  <c r="Z64" i="5"/>
  <c r="F64" i="5"/>
  <c r="H64" i="5"/>
  <c r="R64" i="5"/>
  <c r="AB64" i="5"/>
  <c r="T130" i="5"/>
  <c r="Q137" i="5"/>
  <c r="T127" i="5"/>
  <c r="AB48" i="13"/>
  <c r="AA62" i="11"/>
  <c r="AB63" i="21"/>
  <c r="AB51" i="11"/>
  <c r="AU62" i="11" l="1"/>
  <c r="AV51" i="11"/>
  <c r="AL57" i="11"/>
  <c r="AJ57" i="11"/>
  <c r="AT57" i="11" s="1"/>
  <c r="AL56" i="11"/>
  <c r="AJ56" i="11"/>
  <c r="AT56" i="11" s="1"/>
  <c r="AL55" i="11"/>
  <c r="AJ55" i="11"/>
  <c r="AT55" i="11" s="1"/>
  <c r="AM66" i="21"/>
  <c r="AW66" i="21" s="1"/>
  <c r="BB66" i="21" s="1"/>
  <c r="AJ66" i="11"/>
  <c r="AT66" i="11" s="1"/>
  <c r="AM65" i="21"/>
  <c r="AW65" i="21" s="1"/>
  <c r="BB65" i="21" s="1"/>
  <c r="AJ65" i="11"/>
  <c r="AT65" i="11" s="1"/>
  <c r="AM61" i="21"/>
  <c r="AW61" i="21" s="1"/>
  <c r="BB61" i="21" s="1"/>
  <c r="AJ61" i="11"/>
  <c r="AT61" i="11" s="1"/>
  <c r="AM67" i="21"/>
  <c r="AW67" i="21" s="1"/>
  <c r="BB67" i="21" s="1"/>
  <c r="AJ67" i="11"/>
  <c r="AT67" i="11" s="1"/>
  <c r="AL58" i="11"/>
  <c r="AJ58" i="11"/>
  <c r="AT58" i="11" s="1"/>
  <c r="AQ48" i="13"/>
  <c r="AP48" i="13"/>
  <c r="AO48" i="13"/>
  <c r="AR48" i="13"/>
  <c r="AN48" i="13"/>
  <c r="AO50" i="11"/>
  <c r="AR50" i="11"/>
  <c r="AQ50" i="11"/>
  <c r="AP50" i="11"/>
  <c r="AN50" i="11"/>
  <c r="K14" i="5"/>
  <c r="T13" i="5"/>
  <c r="A14" i="5"/>
  <c r="J13" i="5"/>
  <c r="BD54" i="21"/>
  <c r="BE54" i="21"/>
  <c r="BG54" i="21"/>
  <c r="BH54" i="21"/>
  <c r="BF54" i="21"/>
  <c r="BD59" i="21"/>
  <c r="BF59" i="21"/>
  <c r="BG59" i="21"/>
  <c r="BH59" i="21"/>
  <c r="BE59" i="21"/>
  <c r="J137" i="5"/>
  <c r="AM56" i="11"/>
  <c r="AL56" i="13"/>
  <c r="AM56" i="21"/>
  <c r="AW56" i="21" s="1"/>
  <c r="BB56" i="21" s="1"/>
  <c r="AM55" i="21"/>
  <c r="AW55" i="21" s="1"/>
  <c r="BB55" i="21" s="1"/>
  <c r="AM55" i="11"/>
  <c r="AL55" i="13"/>
  <c r="AM58" i="21"/>
  <c r="AW58" i="21" s="1"/>
  <c r="BB58" i="21" s="1"/>
  <c r="AM58" i="11"/>
  <c r="AL58" i="13"/>
  <c r="AM57" i="11"/>
  <c r="AL57" i="13"/>
  <c r="AM57" i="21"/>
  <c r="AW57" i="21" s="1"/>
  <c r="BB57" i="21" s="1"/>
  <c r="AM67" i="11"/>
  <c r="AM67" i="13"/>
  <c r="AM63" i="11"/>
  <c r="AM63" i="21"/>
  <c r="AW63" i="21" s="1"/>
  <c r="BB63" i="21" s="1"/>
  <c r="AM60" i="11"/>
  <c r="AM60" i="21"/>
  <c r="AW60" i="21" s="1"/>
  <c r="BB60" i="21" s="1"/>
  <c r="AM62" i="11"/>
  <c r="AM62" i="21"/>
  <c r="AW62" i="21" s="1"/>
  <c r="BB62" i="21" s="1"/>
  <c r="AM64" i="11"/>
  <c r="AM64" i="21"/>
  <c r="AW64" i="21" s="1"/>
  <c r="BB64" i="21" s="1"/>
  <c r="AL66" i="21"/>
  <c r="AM66" i="11"/>
  <c r="AB262" i="11" a="1"/>
  <c r="AB262" i="11" s="1"/>
  <c r="AC262" i="11" a="1"/>
  <c r="AC262" i="11" s="1"/>
  <c r="AL65" i="13"/>
  <c r="AM65" i="11"/>
  <c r="AL61" i="13"/>
  <c r="AM61" i="11"/>
  <c r="AL62" i="11"/>
  <c r="AL62" i="13"/>
  <c r="AL66" i="11"/>
  <c r="AL66" i="13"/>
  <c r="B49" i="13"/>
  <c r="F49" i="13"/>
  <c r="X177" i="21"/>
  <c r="Y177" i="21"/>
  <c r="R177" i="21"/>
  <c r="Q177" i="21"/>
  <c r="U177" i="21"/>
  <c r="T177" i="21"/>
  <c r="V177" i="21"/>
  <c r="O177" i="21"/>
  <c r="S177" i="21"/>
  <c r="W177" i="21"/>
  <c r="P177" i="21"/>
  <c r="AL67" i="21"/>
  <c r="AL67" i="13"/>
  <c r="H125" i="21"/>
  <c r="B125" i="21"/>
  <c r="J125" i="21"/>
  <c r="C125" i="21"/>
  <c r="G125" i="21"/>
  <c r="D125" i="21"/>
  <c r="L125" i="21"/>
  <c r="E125" i="21"/>
  <c r="F125" i="21"/>
  <c r="I125" i="21"/>
  <c r="K125" i="21"/>
  <c r="AL60" i="11"/>
  <c r="AL60" i="13"/>
  <c r="H230" i="21"/>
  <c r="E230" i="21"/>
  <c r="I230" i="21"/>
  <c r="L230" i="21"/>
  <c r="K230" i="21"/>
  <c r="B230" i="21"/>
  <c r="D230" i="21"/>
  <c r="C230" i="21"/>
  <c r="F230" i="21"/>
  <c r="G230" i="21"/>
  <c r="J230" i="21"/>
  <c r="AL63" i="21"/>
  <c r="AV63" i="21" s="1"/>
  <c r="BA63" i="21" s="1"/>
  <c r="AL63" i="13"/>
  <c r="X283" i="21"/>
  <c r="Y283" i="21"/>
  <c r="Q283" i="21"/>
  <c r="V283" i="21"/>
  <c r="T283" i="21"/>
  <c r="R283" i="21"/>
  <c r="P283" i="21"/>
  <c r="O283" i="21"/>
  <c r="W283" i="21"/>
  <c r="S283" i="21"/>
  <c r="U283" i="21"/>
  <c r="H177" i="21"/>
  <c r="D177" i="21"/>
  <c r="I177" i="21"/>
  <c r="L177" i="21"/>
  <c r="E177" i="21"/>
  <c r="G177" i="21"/>
  <c r="B177" i="21"/>
  <c r="F177" i="21"/>
  <c r="J177" i="21"/>
  <c r="C177" i="21"/>
  <c r="K177" i="21"/>
  <c r="AL63" i="11"/>
  <c r="AL64" i="21"/>
  <c r="AL64" i="13"/>
  <c r="AG48" i="13"/>
  <c r="AV48" i="13" s="1"/>
  <c r="Y125" i="21"/>
  <c r="V125" i="21"/>
  <c r="S125" i="21"/>
  <c r="P125" i="21"/>
  <c r="X125" i="21"/>
  <c r="O125" i="21"/>
  <c r="U125" i="21"/>
  <c r="W125" i="21"/>
  <c r="T125" i="21"/>
  <c r="R125" i="21"/>
  <c r="Q125" i="21"/>
  <c r="G283" i="21"/>
  <c r="I283" i="21"/>
  <c r="D283" i="21"/>
  <c r="K283" i="21"/>
  <c r="H283" i="21"/>
  <c r="L283" i="21"/>
  <c r="B283" i="21"/>
  <c r="C283" i="21"/>
  <c r="F283" i="21"/>
  <c r="J283" i="21"/>
  <c r="E283" i="21"/>
  <c r="Y230" i="21"/>
  <c r="R230" i="21"/>
  <c r="S230" i="21"/>
  <c r="X230" i="21"/>
  <c r="Q230" i="21"/>
  <c r="O230" i="21"/>
  <c r="W230" i="21"/>
  <c r="V230" i="21"/>
  <c r="U230" i="21"/>
  <c r="T230" i="21"/>
  <c r="P230" i="21"/>
  <c r="AL60" i="21"/>
  <c r="AV60" i="21" s="1"/>
  <c r="BA60" i="21" s="1"/>
  <c r="AL62" i="21"/>
  <c r="AV62" i="21" s="1"/>
  <c r="BA62" i="21" s="1"/>
  <c r="W129" i="5"/>
  <c r="Y231" i="13"/>
  <c r="R231" i="13"/>
  <c r="S231" i="13"/>
  <c r="V231" i="13"/>
  <c r="T231" i="13"/>
  <c r="O231" i="13"/>
  <c r="Q231" i="13"/>
  <c r="U231" i="13"/>
  <c r="W231" i="13"/>
  <c r="P231" i="13"/>
  <c r="X231" i="13"/>
  <c r="G177" i="11"/>
  <c r="H177" i="11"/>
  <c r="B177" i="11"/>
  <c r="E177" i="11"/>
  <c r="J177" i="11"/>
  <c r="I177" i="11"/>
  <c r="F177" i="11"/>
  <c r="C177" i="11"/>
  <c r="K177" i="11"/>
  <c r="D177" i="11"/>
  <c r="L177" i="11"/>
  <c r="H126" i="13"/>
  <c r="F126" i="13"/>
  <c r="I126" i="13"/>
  <c r="C126" i="13"/>
  <c r="D126" i="13"/>
  <c r="G126" i="13"/>
  <c r="K126" i="13"/>
  <c r="B126" i="13"/>
  <c r="L126" i="13"/>
  <c r="J126" i="13"/>
  <c r="E126" i="13"/>
  <c r="H230" i="13"/>
  <c r="E230" i="13"/>
  <c r="D230" i="13"/>
  <c r="F230" i="13"/>
  <c r="J230" i="13"/>
  <c r="L230" i="13"/>
  <c r="G230" i="13"/>
  <c r="B230" i="13"/>
  <c r="I230" i="13"/>
  <c r="C230" i="13"/>
  <c r="K230" i="13"/>
  <c r="Q73" i="11"/>
  <c r="O73" i="11"/>
  <c r="P73" i="11"/>
  <c r="W73" i="11"/>
  <c r="X73" i="11"/>
  <c r="U73" i="11"/>
  <c r="V73" i="11"/>
  <c r="T73" i="11"/>
  <c r="S73" i="11"/>
  <c r="R73" i="11"/>
  <c r="Y73" i="11"/>
  <c r="Y74" i="13"/>
  <c r="U74" i="13"/>
  <c r="P74" i="13"/>
  <c r="X74" i="13"/>
  <c r="V74" i="13"/>
  <c r="O74" i="13"/>
  <c r="W74" i="13"/>
  <c r="R74" i="13"/>
  <c r="Q74" i="13"/>
  <c r="T74" i="13"/>
  <c r="S74" i="13"/>
  <c r="H125" i="11"/>
  <c r="C125" i="11"/>
  <c r="F125" i="11"/>
  <c r="K125" i="11"/>
  <c r="D125" i="11"/>
  <c r="B125" i="11"/>
  <c r="L125" i="11"/>
  <c r="E125" i="11"/>
  <c r="J125" i="11"/>
  <c r="I125" i="11"/>
  <c r="G125" i="11"/>
  <c r="H231" i="13"/>
  <c r="I231" i="13"/>
  <c r="B231" i="13"/>
  <c r="D231" i="13"/>
  <c r="F231" i="13"/>
  <c r="J231" i="13"/>
  <c r="L231" i="13"/>
  <c r="G231" i="13"/>
  <c r="C231" i="13"/>
  <c r="K231" i="13"/>
  <c r="E231" i="13"/>
  <c r="H125" i="13"/>
  <c r="C125" i="13"/>
  <c r="D125" i="13"/>
  <c r="G125" i="13"/>
  <c r="K125" i="13"/>
  <c r="L125" i="13"/>
  <c r="I125" i="13"/>
  <c r="B125" i="13"/>
  <c r="E125" i="13"/>
  <c r="J125" i="13"/>
  <c r="F125" i="13"/>
  <c r="Y125" i="11"/>
  <c r="P125" i="11"/>
  <c r="O125" i="11"/>
  <c r="X125" i="11"/>
  <c r="T125" i="11"/>
  <c r="W125" i="11"/>
  <c r="U125" i="11"/>
  <c r="V125" i="11"/>
  <c r="S125" i="11"/>
  <c r="R125" i="11"/>
  <c r="Q125" i="11"/>
  <c r="H284" i="11"/>
  <c r="G284" i="11"/>
  <c r="D284" i="11"/>
  <c r="L284" i="11"/>
  <c r="B284" i="11"/>
  <c r="E284" i="11"/>
  <c r="J284" i="11"/>
  <c r="C284" i="11"/>
  <c r="I284" i="11"/>
  <c r="F284" i="11"/>
  <c r="K284" i="11"/>
  <c r="H283" i="11"/>
  <c r="D283" i="11"/>
  <c r="L283" i="11"/>
  <c r="E283" i="11"/>
  <c r="B283" i="11"/>
  <c r="J283" i="11"/>
  <c r="C283" i="11"/>
  <c r="F283" i="11"/>
  <c r="K283" i="11"/>
  <c r="I283" i="11"/>
  <c r="G283" i="11"/>
  <c r="H74" i="13"/>
  <c r="F74" i="13"/>
  <c r="I74" i="13"/>
  <c r="B74" i="13"/>
  <c r="C74" i="13"/>
  <c r="J74" i="13"/>
  <c r="K74" i="13"/>
  <c r="D74" i="13"/>
  <c r="E74" i="13"/>
  <c r="G74" i="13"/>
  <c r="L74" i="13"/>
  <c r="H73" i="13"/>
  <c r="F73" i="13"/>
  <c r="I73" i="13"/>
  <c r="B73" i="13"/>
  <c r="C73" i="13"/>
  <c r="E73" i="13"/>
  <c r="J73" i="13"/>
  <c r="K73" i="13"/>
  <c r="D73" i="13"/>
  <c r="L73" i="13"/>
  <c r="G73" i="13"/>
  <c r="Y283" i="11"/>
  <c r="R283" i="11"/>
  <c r="P283" i="11"/>
  <c r="Q283" i="11"/>
  <c r="X283" i="11"/>
  <c r="U283" i="11"/>
  <c r="S283" i="11"/>
  <c r="O283" i="11"/>
  <c r="V283" i="11"/>
  <c r="T283" i="11"/>
  <c r="W283" i="11"/>
  <c r="H231" i="11"/>
  <c r="F231" i="11"/>
  <c r="E231" i="11"/>
  <c r="B231" i="11"/>
  <c r="C231" i="11"/>
  <c r="J231" i="11"/>
  <c r="K231" i="11"/>
  <c r="I231" i="11"/>
  <c r="D231" i="11"/>
  <c r="G231" i="11"/>
  <c r="L231" i="11"/>
  <c r="Y126" i="11"/>
  <c r="P126" i="11"/>
  <c r="O126" i="11"/>
  <c r="X126" i="11"/>
  <c r="T126" i="11"/>
  <c r="V126" i="11"/>
  <c r="W126" i="11"/>
  <c r="R126" i="11"/>
  <c r="U126" i="11"/>
  <c r="Q126" i="11"/>
  <c r="S126" i="11"/>
  <c r="B73" i="11"/>
  <c r="H73" i="11"/>
  <c r="I73" i="11"/>
  <c r="F73" i="11"/>
  <c r="E73" i="11"/>
  <c r="L73" i="11"/>
  <c r="D73" i="11"/>
  <c r="K73" i="11"/>
  <c r="C73" i="11"/>
  <c r="J73" i="11"/>
  <c r="G73" i="11"/>
  <c r="H283" i="13"/>
  <c r="B283" i="13"/>
  <c r="J283" i="13"/>
  <c r="C283" i="13"/>
  <c r="I283" i="13"/>
  <c r="K283" i="13"/>
  <c r="D283" i="13"/>
  <c r="G283" i="13"/>
  <c r="L283" i="13"/>
  <c r="E283" i="13"/>
  <c r="F283" i="13"/>
  <c r="Y230" i="13"/>
  <c r="S230" i="13"/>
  <c r="R230" i="13"/>
  <c r="O230" i="13"/>
  <c r="U230" i="13"/>
  <c r="W230" i="13"/>
  <c r="P230" i="13"/>
  <c r="X230" i="13"/>
  <c r="Q230" i="13"/>
  <c r="T230" i="13"/>
  <c r="V230" i="13"/>
  <c r="B74" i="11"/>
  <c r="H74" i="11"/>
  <c r="I74" i="11"/>
  <c r="L74" i="11"/>
  <c r="D74" i="11"/>
  <c r="E74" i="11"/>
  <c r="G74" i="11"/>
  <c r="F74" i="11"/>
  <c r="K74" i="11"/>
  <c r="C74" i="11"/>
  <c r="J74" i="11"/>
  <c r="Y284" i="11"/>
  <c r="T284" i="11"/>
  <c r="W284" i="11"/>
  <c r="Q284" i="11"/>
  <c r="V284" i="11"/>
  <c r="P284" i="11"/>
  <c r="X284" i="11"/>
  <c r="U284" i="11"/>
  <c r="S284" i="11"/>
  <c r="R284" i="11"/>
  <c r="O284" i="11"/>
  <c r="H230" i="11"/>
  <c r="C230" i="11"/>
  <c r="B230" i="11"/>
  <c r="K230" i="11"/>
  <c r="J230" i="11"/>
  <c r="I230" i="11"/>
  <c r="D230" i="11"/>
  <c r="G230" i="11"/>
  <c r="L230" i="11"/>
  <c r="F230" i="11"/>
  <c r="E230" i="11"/>
  <c r="H73" i="21"/>
  <c r="E73" i="21"/>
  <c r="I73" i="21"/>
  <c r="D73" i="21"/>
  <c r="L73" i="21"/>
  <c r="B73" i="21"/>
  <c r="J73" i="21"/>
  <c r="C73" i="21"/>
  <c r="K73" i="21"/>
  <c r="F73" i="21"/>
  <c r="G73" i="21"/>
  <c r="Y177" i="13"/>
  <c r="T177" i="13"/>
  <c r="U177" i="13"/>
  <c r="S177" i="13"/>
  <c r="R177" i="13"/>
  <c r="O177" i="13"/>
  <c r="W177" i="13"/>
  <c r="P177" i="13"/>
  <c r="V177" i="13"/>
  <c r="X177" i="13"/>
  <c r="Q177" i="13"/>
  <c r="H126" i="11"/>
  <c r="G126" i="11"/>
  <c r="C126" i="11"/>
  <c r="F126" i="11"/>
  <c r="K126" i="11"/>
  <c r="D126" i="11"/>
  <c r="E126" i="11"/>
  <c r="B126" i="11"/>
  <c r="I126" i="11"/>
  <c r="L126" i="11"/>
  <c r="J126" i="11"/>
  <c r="X284" i="13"/>
  <c r="Y284" i="13"/>
  <c r="Q284" i="13"/>
  <c r="R284" i="13"/>
  <c r="U284" i="13"/>
  <c r="V284" i="13"/>
  <c r="O284" i="13"/>
  <c r="W284" i="13"/>
  <c r="S284" i="13"/>
  <c r="T284" i="13"/>
  <c r="P284" i="13"/>
  <c r="Y231" i="11"/>
  <c r="U231" i="11"/>
  <c r="X231" i="11"/>
  <c r="O231" i="11"/>
  <c r="V231" i="11"/>
  <c r="W231" i="11"/>
  <c r="S231" i="11"/>
  <c r="T231" i="11"/>
  <c r="Q231" i="11"/>
  <c r="R231" i="11"/>
  <c r="P231" i="11"/>
  <c r="Y73" i="21"/>
  <c r="W73" i="21"/>
  <c r="P73" i="21"/>
  <c r="Q73" i="21"/>
  <c r="X73" i="21"/>
  <c r="R73" i="21"/>
  <c r="U73" i="21"/>
  <c r="V73" i="21"/>
  <c r="S73" i="21"/>
  <c r="T73" i="21"/>
  <c r="O73" i="21"/>
  <c r="Y125" i="13"/>
  <c r="W125" i="13"/>
  <c r="P125" i="13"/>
  <c r="Q125" i="13"/>
  <c r="T125" i="13"/>
  <c r="U125" i="13"/>
  <c r="X125" i="13"/>
  <c r="R125" i="13"/>
  <c r="V125" i="13"/>
  <c r="S125" i="13"/>
  <c r="O125" i="13"/>
  <c r="G178" i="11"/>
  <c r="L178" i="11"/>
  <c r="H178" i="11"/>
  <c r="D178" i="11"/>
  <c r="C178" i="11"/>
  <c r="K178" i="11"/>
  <c r="I178" i="11"/>
  <c r="B178" i="11"/>
  <c r="J178" i="11"/>
  <c r="E178" i="11"/>
  <c r="F178" i="11"/>
  <c r="Y126" i="13"/>
  <c r="V126" i="13"/>
  <c r="O126" i="13"/>
  <c r="W126" i="13"/>
  <c r="Q126" i="13"/>
  <c r="R126" i="13"/>
  <c r="P126" i="13"/>
  <c r="T126" i="13"/>
  <c r="U126" i="13"/>
  <c r="X126" i="13"/>
  <c r="S126" i="13"/>
  <c r="X178" i="11"/>
  <c r="Y178" i="11"/>
  <c r="U178" i="11"/>
  <c r="Q178" i="11"/>
  <c r="W178" i="11"/>
  <c r="P178" i="11"/>
  <c r="T178" i="11"/>
  <c r="R178" i="11"/>
  <c r="S178" i="11"/>
  <c r="V178" i="11"/>
  <c r="O178" i="11"/>
  <c r="H284" i="13"/>
  <c r="F284" i="13"/>
  <c r="B284" i="13"/>
  <c r="E284" i="13"/>
  <c r="J284" i="13"/>
  <c r="C284" i="13"/>
  <c r="K284" i="13"/>
  <c r="D284" i="13"/>
  <c r="G284" i="13"/>
  <c r="L284" i="13"/>
  <c r="I284" i="13"/>
  <c r="Y230" i="11"/>
  <c r="W230" i="11"/>
  <c r="V230" i="11"/>
  <c r="S230" i="11"/>
  <c r="T230" i="11"/>
  <c r="R230" i="11"/>
  <c r="P230" i="11"/>
  <c r="Q230" i="11"/>
  <c r="U230" i="11"/>
  <c r="X230" i="11"/>
  <c r="O230" i="11"/>
  <c r="Y73" i="13"/>
  <c r="R73" i="13"/>
  <c r="O73" i="13"/>
  <c r="W73" i="13"/>
  <c r="S73" i="13"/>
  <c r="T73" i="13"/>
  <c r="U73" i="13"/>
  <c r="V73" i="13"/>
  <c r="P73" i="13"/>
  <c r="Q73" i="13"/>
  <c r="X73" i="13"/>
  <c r="Y178" i="13"/>
  <c r="W178" i="13"/>
  <c r="P178" i="13"/>
  <c r="V178" i="13"/>
  <c r="X178" i="13"/>
  <c r="T178" i="13"/>
  <c r="R178" i="13"/>
  <c r="U178" i="13"/>
  <c r="S178" i="13"/>
  <c r="O178" i="13"/>
  <c r="Q178" i="13"/>
  <c r="R74" i="11"/>
  <c r="P74" i="11"/>
  <c r="Q74" i="11"/>
  <c r="W74" i="11"/>
  <c r="V74" i="11"/>
  <c r="T74" i="11"/>
  <c r="Y74" i="11"/>
  <c r="X74" i="11"/>
  <c r="O74" i="11"/>
  <c r="U74" i="11"/>
  <c r="S74" i="11"/>
  <c r="H178" i="13"/>
  <c r="E178" i="13"/>
  <c r="C178" i="13"/>
  <c r="K178" i="13"/>
  <c r="D178" i="13"/>
  <c r="L178" i="13"/>
  <c r="B178" i="13"/>
  <c r="J178" i="13"/>
  <c r="F178" i="13"/>
  <c r="G178" i="13"/>
  <c r="I178" i="13"/>
  <c r="H177" i="13"/>
  <c r="E177" i="13"/>
  <c r="L177" i="13"/>
  <c r="B177" i="13"/>
  <c r="J177" i="13"/>
  <c r="I177" i="13"/>
  <c r="F177" i="13"/>
  <c r="G177" i="13"/>
  <c r="C177" i="13"/>
  <c r="K177" i="13"/>
  <c r="D177" i="13"/>
  <c r="X177" i="11"/>
  <c r="Y177" i="11"/>
  <c r="U177" i="11"/>
  <c r="R177" i="11"/>
  <c r="Q177" i="11"/>
  <c r="S177" i="11"/>
  <c r="O177" i="11"/>
  <c r="V177" i="11"/>
  <c r="W177" i="11"/>
  <c r="P177" i="11"/>
  <c r="T177" i="11"/>
  <c r="Y283" i="13"/>
  <c r="O283" i="13"/>
  <c r="W283" i="13"/>
  <c r="Q283" i="13"/>
  <c r="S283" i="13"/>
  <c r="R283" i="13"/>
  <c r="T283" i="13"/>
  <c r="P283" i="13"/>
  <c r="U283" i="13"/>
  <c r="X283" i="13"/>
  <c r="V283" i="13"/>
  <c r="AL64" i="11"/>
  <c r="AD137" i="5"/>
  <c r="AL67" i="11"/>
  <c r="AL65" i="21"/>
  <c r="AL65" i="11"/>
  <c r="AL61" i="21"/>
  <c r="AV61" i="21" s="1"/>
  <c r="BA61" i="21" s="1"/>
  <c r="AL61" i="11"/>
  <c r="AB220" i="11" a="1"/>
  <c r="AB220" i="11" s="1"/>
  <c r="AC220" i="11" a="1"/>
  <c r="AC220" i="11" s="1"/>
  <c r="R53" i="11"/>
  <c r="AG53" i="11" s="1"/>
  <c r="Q64" i="11"/>
  <c r="AF64" i="11" s="1"/>
  <c r="V63" i="11"/>
  <c r="W64" i="21"/>
  <c r="AG64" i="21"/>
  <c r="W52" i="11"/>
  <c r="V130" i="5"/>
  <c r="W130" i="5" s="1"/>
  <c r="W51" i="13"/>
  <c r="B51" i="11"/>
  <c r="T137" i="5"/>
  <c r="F65" i="5"/>
  <c r="F66" i="5" s="1"/>
  <c r="Z65" i="5"/>
  <c r="Z66" i="5" s="1"/>
  <c r="AB65" i="5"/>
  <c r="AB66" i="5" s="1"/>
  <c r="A68" i="5"/>
  <c r="P65" i="5"/>
  <c r="P66" i="5" s="1"/>
  <c r="R65" i="5"/>
  <c r="R66" i="5" s="1"/>
  <c r="H65" i="5"/>
  <c r="H66" i="5" s="1"/>
  <c r="U15" i="5"/>
  <c r="AD15" i="5" s="1"/>
  <c r="AB49" i="13"/>
  <c r="AA63" i="11"/>
  <c r="AB64" i="21"/>
  <c r="AB52" i="11"/>
  <c r="AU63" i="11" l="1"/>
  <c r="AV52" i="11"/>
  <c r="AQ49" i="13"/>
  <c r="AO49" i="13"/>
  <c r="AP49" i="13"/>
  <c r="AR49" i="13"/>
  <c r="AN49" i="13"/>
  <c r="AH67" i="13"/>
  <c r="AW67" i="13" s="1"/>
  <c r="AR51" i="11"/>
  <c r="AO51" i="11"/>
  <c r="AP51" i="11"/>
  <c r="AQ51" i="11"/>
  <c r="AN51" i="11"/>
  <c r="K15" i="5"/>
  <c r="T14" i="5"/>
  <c r="A15" i="5"/>
  <c r="J14" i="5"/>
  <c r="BG57" i="21"/>
  <c r="BH57" i="21"/>
  <c r="BD57" i="21"/>
  <c r="BF57" i="21"/>
  <c r="BE57" i="21"/>
  <c r="BG55" i="21"/>
  <c r="BE55" i="21"/>
  <c r="BF55" i="21"/>
  <c r="BH55" i="21"/>
  <c r="BD55" i="21"/>
  <c r="BD56" i="21"/>
  <c r="BG56" i="21"/>
  <c r="BE56" i="21"/>
  <c r="BH56" i="21"/>
  <c r="BF56" i="21"/>
  <c r="BC59" i="21"/>
  <c r="BE58" i="21"/>
  <c r="BD58" i="21"/>
  <c r="BG58" i="21"/>
  <c r="BF58" i="21"/>
  <c r="BH58" i="21"/>
  <c r="BC54" i="21"/>
  <c r="BE62" i="21"/>
  <c r="BD60" i="21"/>
  <c r="AB263" i="11" a="1"/>
  <c r="AB263" i="11" s="1"/>
  <c r="AC263" i="11" a="1"/>
  <c r="AC263" i="11" s="1"/>
  <c r="AA102" i="13"/>
  <c r="AE106" i="13"/>
  <c r="AA185" i="11"/>
  <c r="N310" i="13"/>
  <c r="Z264" i="11"/>
  <c r="AE76" i="13"/>
  <c r="N154" i="13"/>
  <c r="N129" i="11"/>
  <c r="AF223" i="13"/>
  <c r="N287" i="11"/>
  <c r="AA148" i="11"/>
  <c r="Z188" i="11"/>
  <c r="N158" i="13"/>
  <c r="M78" i="13"/>
  <c r="Z315" i="11"/>
  <c r="AA314" i="11"/>
  <c r="Z147" i="11"/>
  <c r="AA142" i="11"/>
  <c r="N291" i="13"/>
  <c r="M84" i="13"/>
  <c r="AA302" i="11"/>
  <c r="AA103" i="13"/>
  <c r="Z309" i="11"/>
  <c r="M304" i="11"/>
  <c r="AA159" i="11"/>
  <c r="N134" i="11"/>
  <c r="N238" i="11"/>
  <c r="AA129" i="21"/>
  <c r="AA133" i="21"/>
  <c r="AA137" i="21"/>
  <c r="AA141" i="21"/>
  <c r="AA145" i="21"/>
  <c r="AA149" i="21"/>
  <c r="AA153" i="21"/>
  <c r="AA157" i="21"/>
  <c r="AA161" i="21"/>
  <c r="AA165" i="21"/>
  <c r="AA169" i="21"/>
  <c r="AA130" i="21"/>
  <c r="AA134" i="21"/>
  <c r="AA138" i="21"/>
  <c r="AA142" i="21"/>
  <c r="AA146" i="21"/>
  <c r="AA150" i="21"/>
  <c r="AA154" i="21"/>
  <c r="AA158" i="21"/>
  <c r="AA162" i="21"/>
  <c r="AA166" i="21"/>
  <c r="AA170" i="21"/>
  <c r="AA131" i="21"/>
  <c r="AA135" i="21"/>
  <c r="AA139" i="21"/>
  <c r="AA143" i="21"/>
  <c r="AA147" i="21"/>
  <c r="AA151" i="21"/>
  <c r="AA155" i="21"/>
  <c r="AA159" i="21"/>
  <c r="AA163" i="21"/>
  <c r="AA167" i="21"/>
  <c r="AA171" i="21"/>
  <c r="AA136" i="21"/>
  <c r="AA152" i="21"/>
  <c r="AA168" i="21"/>
  <c r="AA128" i="21"/>
  <c r="AA140" i="21"/>
  <c r="AA156" i="21"/>
  <c r="AA144" i="21"/>
  <c r="AA160" i="21"/>
  <c r="AA132" i="21"/>
  <c r="AA148" i="21"/>
  <c r="AA164" i="21"/>
  <c r="N181" i="21"/>
  <c r="N185" i="21"/>
  <c r="N189" i="21"/>
  <c r="N193" i="21"/>
  <c r="N197" i="21"/>
  <c r="N201" i="21"/>
  <c r="N205" i="21"/>
  <c r="N183" i="21"/>
  <c r="N187" i="21"/>
  <c r="N191" i="21"/>
  <c r="N195" i="21"/>
  <c r="N199" i="21"/>
  <c r="N203" i="21"/>
  <c r="N207" i="21"/>
  <c r="N211" i="21"/>
  <c r="N213" i="21"/>
  <c r="N217" i="21"/>
  <c r="N221" i="21"/>
  <c r="N184" i="21"/>
  <c r="N192" i="21"/>
  <c r="N200" i="21"/>
  <c r="N208" i="21"/>
  <c r="N186" i="21"/>
  <c r="N194" i="21"/>
  <c r="N202" i="21"/>
  <c r="N209" i="21"/>
  <c r="N214" i="21"/>
  <c r="N218" i="21"/>
  <c r="N222" i="21"/>
  <c r="N210" i="21"/>
  <c r="N215" i="21"/>
  <c r="N219" i="21"/>
  <c r="N223" i="21"/>
  <c r="N188" i="21"/>
  <c r="N196" i="21"/>
  <c r="N204" i="21"/>
  <c r="N180" i="21"/>
  <c r="N182" i="21"/>
  <c r="N190" i="21"/>
  <c r="N198" i="21"/>
  <c r="N206" i="21"/>
  <c r="N212" i="21"/>
  <c r="N216" i="21"/>
  <c r="N220" i="21"/>
  <c r="AG49" i="13"/>
  <c r="AV49" i="13" s="1"/>
  <c r="N135" i="11"/>
  <c r="AA234" i="21"/>
  <c r="AA238" i="21"/>
  <c r="AA242" i="21"/>
  <c r="AA246" i="21"/>
  <c r="AA250" i="21"/>
  <c r="AA254" i="21"/>
  <c r="AA258" i="21"/>
  <c r="AA262" i="21"/>
  <c r="AA266" i="21"/>
  <c r="AA270" i="21"/>
  <c r="AA274" i="21"/>
  <c r="AA236" i="21"/>
  <c r="AA240" i="21"/>
  <c r="AA244" i="21"/>
  <c r="AA248" i="21"/>
  <c r="AA252" i="21"/>
  <c r="AA256" i="21"/>
  <c r="AA260" i="21"/>
  <c r="AA264" i="21"/>
  <c r="AA268" i="21"/>
  <c r="AA272" i="21"/>
  <c r="AA276" i="21"/>
  <c r="AA251" i="21"/>
  <c r="AA261" i="21"/>
  <c r="AA241" i="21"/>
  <c r="AA263" i="21"/>
  <c r="AA273" i="21"/>
  <c r="AA243" i="21"/>
  <c r="AA253" i="21"/>
  <c r="AA275" i="21"/>
  <c r="AA255" i="21"/>
  <c r="AA265" i="21"/>
  <c r="AA233" i="21"/>
  <c r="AA235" i="21"/>
  <c r="AA245" i="21"/>
  <c r="AA267" i="21"/>
  <c r="AA247" i="21"/>
  <c r="AA257" i="21"/>
  <c r="AA237" i="21"/>
  <c r="AA259" i="21"/>
  <c r="AA269" i="21"/>
  <c r="AA239" i="21"/>
  <c r="AA249" i="21"/>
  <c r="AA271" i="21"/>
  <c r="AA287" i="21"/>
  <c r="AA291" i="21"/>
  <c r="AA295" i="21"/>
  <c r="AA299" i="21"/>
  <c r="AA303" i="21"/>
  <c r="AA307" i="21"/>
  <c r="AA311" i="21"/>
  <c r="AA315" i="21"/>
  <c r="AA319" i="21"/>
  <c r="AA323" i="21"/>
  <c r="AA327" i="21"/>
  <c r="AA288" i="21"/>
  <c r="AA292" i="21"/>
  <c r="AA296" i="21"/>
  <c r="AA300" i="21"/>
  <c r="AA304" i="21"/>
  <c r="AA308" i="21"/>
  <c r="AA312" i="21"/>
  <c r="AA316" i="21"/>
  <c r="AA320" i="21"/>
  <c r="AA324" i="21"/>
  <c r="AA289" i="21"/>
  <c r="AA293" i="21"/>
  <c r="AA297" i="21"/>
  <c r="AA301" i="21"/>
  <c r="AA305" i="21"/>
  <c r="AA309" i="21"/>
  <c r="AA313" i="21"/>
  <c r="AA317" i="21"/>
  <c r="AA321" i="21"/>
  <c r="AA325" i="21"/>
  <c r="AA329" i="21"/>
  <c r="AA298" i="21"/>
  <c r="AA314" i="21"/>
  <c r="AA286" i="21"/>
  <c r="AA302" i="21"/>
  <c r="AA318" i="21"/>
  <c r="AA290" i="21"/>
  <c r="AA306" i="21"/>
  <c r="AA322" i="21"/>
  <c r="AA294" i="21"/>
  <c r="AA310" i="21"/>
  <c r="AA326" i="21"/>
  <c r="AA328" i="21"/>
  <c r="B50" i="13"/>
  <c r="F50" i="13"/>
  <c r="AF169" i="13"/>
  <c r="N287" i="21"/>
  <c r="N291" i="21"/>
  <c r="N295" i="21"/>
  <c r="N299" i="21"/>
  <c r="N303" i="21"/>
  <c r="N307" i="21"/>
  <c r="N311" i="21"/>
  <c r="N315" i="21"/>
  <c r="N319" i="21"/>
  <c r="N323" i="21"/>
  <c r="N327" i="21"/>
  <c r="N289" i="21"/>
  <c r="N293" i="21"/>
  <c r="N297" i="21"/>
  <c r="N301" i="21"/>
  <c r="N305" i="21"/>
  <c r="N309" i="21"/>
  <c r="N313" i="21"/>
  <c r="N317" i="21"/>
  <c r="N321" i="21"/>
  <c r="N325" i="21"/>
  <c r="N329" i="21"/>
  <c r="N296" i="21"/>
  <c r="N306" i="21"/>
  <c r="N328" i="21"/>
  <c r="N308" i="21"/>
  <c r="N318" i="21"/>
  <c r="N286" i="21"/>
  <c r="N288" i="21"/>
  <c r="N298" i="21"/>
  <c r="N320" i="21"/>
  <c r="N300" i="21"/>
  <c r="N310" i="21"/>
  <c r="N290" i="21"/>
  <c r="N312" i="21"/>
  <c r="N322" i="21"/>
  <c r="N292" i="21"/>
  <c r="N302" i="21"/>
  <c r="N324" i="21"/>
  <c r="N304" i="21"/>
  <c r="N314" i="21"/>
  <c r="N294" i="21"/>
  <c r="N316" i="21"/>
  <c r="N326" i="21"/>
  <c r="N161" i="11"/>
  <c r="AF234" i="13"/>
  <c r="AA184" i="11"/>
  <c r="N328" i="13"/>
  <c r="AA78" i="13"/>
  <c r="Z329" i="11"/>
  <c r="Z129" i="11"/>
  <c r="AE98" i="13"/>
  <c r="AA129" i="11"/>
  <c r="N141" i="13"/>
  <c r="N153" i="11"/>
  <c r="AF106" i="13"/>
  <c r="N318" i="11"/>
  <c r="Z304" i="11"/>
  <c r="N202" i="13"/>
  <c r="Z241" i="11"/>
  <c r="N223" i="13"/>
  <c r="Z149" i="11"/>
  <c r="Z82" i="13"/>
  <c r="N276" i="11"/>
  <c r="AE223" i="13"/>
  <c r="N234" i="21"/>
  <c r="N238" i="21"/>
  <c r="N242" i="21"/>
  <c r="N246" i="21"/>
  <c r="N250" i="21"/>
  <c r="N254" i="21"/>
  <c r="N258" i="21"/>
  <c r="N262" i="21"/>
  <c r="N266" i="21"/>
  <c r="N270" i="21"/>
  <c r="N274" i="21"/>
  <c r="N236" i="21"/>
  <c r="N240" i="21"/>
  <c r="N244" i="21"/>
  <c r="N248" i="21"/>
  <c r="N252" i="21"/>
  <c r="N256" i="21"/>
  <c r="N260" i="21"/>
  <c r="N264" i="21"/>
  <c r="N268" i="21"/>
  <c r="N272" i="21"/>
  <c r="N276" i="21"/>
  <c r="N241" i="21"/>
  <c r="N263" i="21"/>
  <c r="N273" i="21"/>
  <c r="N243" i="21"/>
  <c r="N253" i="21"/>
  <c r="N275" i="21"/>
  <c r="N255" i="21"/>
  <c r="N265" i="21"/>
  <c r="N233" i="21"/>
  <c r="N235" i="21"/>
  <c r="N245" i="21"/>
  <c r="N267" i="21"/>
  <c r="N247" i="21"/>
  <c r="N257" i="21"/>
  <c r="N237" i="21"/>
  <c r="N259" i="21"/>
  <c r="N269" i="21"/>
  <c r="N239" i="21"/>
  <c r="N249" i="21"/>
  <c r="N271" i="21"/>
  <c r="N251" i="21"/>
  <c r="N261" i="21"/>
  <c r="AF95" i="13"/>
  <c r="Z168" i="11"/>
  <c r="Z203" i="11"/>
  <c r="Z273" i="11"/>
  <c r="Z198" i="11"/>
  <c r="Z85" i="13"/>
  <c r="N241" i="13"/>
  <c r="N251" i="11"/>
  <c r="AE170" i="13"/>
  <c r="N129" i="21"/>
  <c r="N133" i="21"/>
  <c r="N137" i="21"/>
  <c r="N141" i="21"/>
  <c r="N145" i="21"/>
  <c r="N149" i="21"/>
  <c r="N153" i="21"/>
  <c r="N157" i="21"/>
  <c r="N161" i="21"/>
  <c r="N165" i="21"/>
  <c r="N169" i="21"/>
  <c r="N130" i="21"/>
  <c r="N134" i="21"/>
  <c r="N138" i="21"/>
  <c r="N142" i="21"/>
  <c r="N146" i="21"/>
  <c r="N150" i="21"/>
  <c r="N154" i="21"/>
  <c r="N158" i="21"/>
  <c r="N162" i="21"/>
  <c r="N166" i="21"/>
  <c r="N170" i="21"/>
  <c r="N131" i="21"/>
  <c r="N135" i="21"/>
  <c r="N139" i="21"/>
  <c r="N143" i="21"/>
  <c r="N147" i="21"/>
  <c r="N151" i="21"/>
  <c r="N155" i="21"/>
  <c r="N159" i="21"/>
  <c r="N163" i="21"/>
  <c r="N167" i="21"/>
  <c r="N171" i="21"/>
  <c r="N132" i="21"/>
  <c r="N148" i="21"/>
  <c r="N164" i="21"/>
  <c r="N136" i="21"/>
  <c r="N152" i="21"/>
  <c r="N168" i="21"/>
  <c r="N128" i="21"/>
  <c r="N140" i="21"/>
  <c r="N156" i="21"/>
  <c r="N144" i="21"/>
  <c r="N160" i="21"/>
  <c r="AA181" i="21"/>
  <c r="AA185" i="21"/>
  <c r="AA189" i="21"/>
  <c r="AA193" i="21"/>
  <c r="AA197" i="21"/>
  <c r="AA201" i="21"/>
  <c r="AA205" i="21"/>
  <c r="AA209" i="21"/>
  <c r="AA213" i="21"/>
  <c r="AA217" i="21"/>
  <c r="AA221" i="21"/>
  <c r="AA183" i="21"/>
  <c r="AA187" i="21"/>
  <c r="AA191" i="21"/>
  <c r="AA195" i="21"/>
  <c r="AA199" i="21"/>
  <c r="AA203" i="21"/>
  <c r="AA207" i="21"/>
  <c r="AA211" i="21"/>
  <c r="AA215" i="21"/>
  <c r="AA219" i="21"/>
  <c r="AA223" i="21"/>
  <c r="AA186" i="21"/>
  <c r="AA188" i="21"/>
  <c r="AA196" i="21"/>
  <c r="AA204" i="21"/>
  <c r="AA212" i="21"/>
  <c r="AA220" i="21"/>
  <c r="AA190" i="21"/>
  <c r="AA198" i="21"/>
  <c r="AA206" i="21"/>
  <c r="AA214" i="21"/>
  <c r="AA222" i="21"/>
  <c r="AA182" i="21"/>
  <c r="AA180" i="21"/>
  <c r="AA192" i="21"/>
  <c r="AA200" i="21"/>
  <c r="AA208" i="21"/>
  <c r="AA216" i="21"/>
  <c r="AA184" i="21"/>
  <c r="AA194" i="21"/>
  <c r="AA202" i="21"/>
  <c r="AA210" i="21"/>
  <c r="AA218" i="21"/>
  <c r="BH62" i="21"/>
  <c r="BD62" i="21"/>
  <c r="BF62" i="21"/>
  <c r="BG62" i="21"/>
  <c r="BG60" i="21"/>
  <c r="BF60" i="21"/>
  <c r="BH60" i="21"/>
  <c r="BE60" i="21"/>
  <c r="AA166" i="11"/>
  <c r="AA158" i="11"/>
  <c r="N142" i="11"/>
  <c r="N170" i="11"/>
  <c r="Z165" i="11"/>
  <c r="Z169" i="11"/>
  <c r="Z130" i="11"/>
  <c r="Z240" i="11"/>
  <c r="Z272" i="11"/>
  <c r="Z312" i="11"/>
  <c r="Z249" i="11"/>
  <c r="Z291" i="11"/>
  <c r="Z323" i="11"/>
  <c r="Z92" i="13"/>
  <c r="Z97" i="13"/>
  <c r="M112" i="13"/>
  <c r="M83" i="13"/>
  <c r="N165" i="13"/>
  <c r="N151" i="13"/>
  <c r="N218" i="13"/>
  <c r="N246" i="13"/>
  <c r="N305" i="13"/>
  <c r="N255" i="13"/>
  <c r="N326" i="13"/>
  <c r="AA95" i="13"/>
  <c r="AA207" i="11"/>
  <c r="N208" i="11"/>
  <c r="N316" i="11"/>
  <c r="N221" i="11"/>
  <c r="AA199" i="11"/>
  <c r="AE300" i="13"/>
  <c r="AE203" i="13"/>
  <c r="AE167" i="13"/>
  <c r="AF182" i="13"/>
  <c r="AF187" i="13"/>
  <c r="AF296" i="13"/>
  <c r="M317" i="11"/>
  <c r="Z128" i="11"/>
  <c r="N165" i="11"/>
  <c r="AA139" i="11"/>
  <c r="Z181" i="11"/>
  <c r="Z213" i="11"/>
  <c r="AA131" i="11"/>
  <c r="AA140" i="11"/>
  <c r="N139" i="11"/>
  <c r="N147" i="11"/>
  <c r="N138" i="11"/>
  <c r="Z167" i="11"/>
  <c r="Z171" i="11"/>
  <c r="Z146" i="11"/>
  <c r="Z242" i="11"/>
  <c r="Z274" i="11"/>
  <c r="Z314" i="11"/>
  <c r="Z251" i="11"/>
  <c r="Z293" i="11"/>
  <c r="Z325" i="11"/>
  <c r="Z80" i="13"/>
  <c r="Z99" i="13"/>
  <c r="M77" i="13"/>
  <c r="M91" i="13"/>
  <c r="N143" i="13"/>
  <c r="N164" i="13"/>
  <c r="N185" i="13"/>
  <c r="N248" i="13"/>
  <c r="N307" i="13"/>
  <c r="N257" i="13"/>
  <c r="AA76" i="13"/>
  <c r="AA326" i="11"/>
  <c r="N264" i="11"/>
  <c r="N320" i="11"/>
  <c r="AA319" i="11"/>
  <c r="AA310" i="11"/>
  <c r="AE308" i="13"/>
  <c r="AE211" i="13"/>
  <c r="AE171" i="13"/>
  <c r="AF164" i="13"/>
  <c r="AF249" i="13"/>
  <c r="N322" i="13"/>
  <c r="N306" i="13"/>
  <c r="N290" i="13"/>
  <c r="N265" i="13"/>
  <c r="N249" i="13"/>
  <c r="N233" i="13"/>
  <c r="N317" i="13"/>
  <c r="N301" i="13"/>
  <c r="N276" i="13"/>
  <c r="N260" i="13"/>
  <c r="N244" i="13"/>
  <c r="N219" i="13"/>
  <c r="N187" i="13"/>
  <c r="N209" i="13"/>
  <c r="N198" i="13"/>
  <c r="N200" i="13"/>
  <c r="N180" i="13"/>
  <c r="N320" i="13"/>
  <c r="N304" i="13"/>
  <c r="N288" i="13"/>
  <c r="N263" i="13"/>
  <c r="N247" i="13"/>
  <c r="N222" i="13"/>
  <c r="N315" i="13"/>
  <c r="N299" i="13"/>
  <c r="N274" i="13"/>
  <c r="N258" i="13"/>
  <c r="N242" i="13"/>
  <c r="N215" i="13"/>
  <c r="N183" i="13"/>
  <c r="N197" i="13"/>
  <c r="N194" i="13"/>
  <c r="N192" i="13"/>
  <c r="N318" i="13"/>
  <c r="N302" i="13"/>
  <c r="N286" i="13"/>
  <c r="N261" i="13"/>
  <c r="N245" i="13"/>
  <c r="N329" i="13"/>
  <c r="N313" i="13"/>
  <c r="N297" i="13"/>
  <c r="N272" i="13"/>
  <c r="N256" i="13"/>
  <c r="N240" i="13"/>
  <c r="N211" i="13"/>
  <c r="N217" i="13"/>
  <c r="N181" i="13"/>
  <c r="N190" i="13"/>
  <c r="N184" i="13"/>
  <c r="N316" i="13"/>
  <c r="N300" i="13"/>
  <c r="N275" i="13"/>
  <c r="N324" i="13"/>
  <c r="N292" i="13"/>
  <c r="N253" i="13"/>
  <c r="N325" i="13"/>
  <c r="N303" i="13"/>
  <c r="N266" i="13"/>
  <c r="N238" i="13"/>
  <c r="N195" i="13"/>
  <c r="N214" i="13"/>
  <c r="N208" i="13"/>
  <c r="N314" i="13"/>
  <c r="N273" i="13"/>
  <c r="N251" i="13"/>
  <c r="N323" i="13"/>
  <c r="N295" i="13"/>
  <c r="N264" i="13"/>
  <c r="N236" i="13"/>
  <c r="N191" i="13"/>
  <c r="N210" i="13"/>
  <c r="N220" i="13"/>
  <c r="N312" i="13"/>
  <c r="N271" i="13"/>
  <c r="N243" i="13"/>
  <c r="N321" i="13"/>
  <c r="N293" i="13"/>
  <c r="N262" i="13"/>
  <c r="N234" i="13"/>
  <c r="N205" i="13"/>
  <c r="N206" i="13"/>
  <c r="N212" i="13"/>
  <c r="N298" i="13"/>
  <c r="N259" i="13"/>
  <c r="N237" i="13"/>
  <c r="N309" i="13"/>
  <c r="N287" i="13"/>
  <c r="N250" i="13"/>
  <c r="N207" i="13"/>
  <c r="N201" i="13"/>
  <c r="N182" i="13"/>
  <c r="N188" i="13"/>
  <c r="AF300" i="13"/>
  <c r="AF146" i="13"/>
  <c r="Z210" i="11"/>
  <c r="N130" i="11"/>
  <c r="Z215" i="11"/>
  <c r="AA156" i="11"/>
  <c r="N160" i="11"/>
  <c r="Z246" i="11"/>
  <c r="Z255" i="11"/>
  <c r="Z107" i="13"/>
  <c r="N153" i="13"/>
  <c r="N213" i="13"/>
  <c r="N267" i="13"/>
  <c r="N268" i="11"/>
  <c r="AE85" i="13"/>
  <c r="Z200" i="11"/>
  <c r="N157" i="11"/>
  <c r="N128" i="11"/>
  <c r="Z136" i="11"/>
  <c r="Z320" i="11"/>
  <c r="Z235" i="11"/>
  <c r="Z86" i="13"/>
  <c r="Z109" i="13"/>
  <c r="N166" i="13"/>
  <c r="N254" i="13"/>
  <c r="AA92" i="13"/>
  <c r="N298" i="11"/>
  <c r="AA197" i="11"/>
  <c r="AE249" i="13"/>
  <c r="AF326" i="13"/>
  <c r="AF327" i="13"/>
  <c r="AF181" i="13"/>
  <c r="AA132" i="11"/>
  <c r="Z197" i="11"/>
  <c r="Z191" i="11"/>
  <c r="Z186" i="11"/>
  <c r="AA157" i="11"/>
  <c r="AA144" i="11"/>
  <c r="N132" i="11"/>
  <c r="N136" i="11"/>
  <c r="AA169" i="11"/>
  <c r="Z157" i="11"/>
  <c r="Z135" i="11"/>
  <c r="AA151" i="11"/>
  <c r="Z256" i="11"/>
  <c r="Z296" i="11"/>
  <c r="Z328" i="11"/>
  <c r="Z265" i="11"/>
  <c r="Z307" i="11"/>
  <c r="Z112" i="13"/>
  <c r="Z77" i="13"/>
  <c r="Z117" i="13"/>
  <c r="M93" i="13"/>
  <c r="N142" i="13"/>
  <c r="N160" i="13"/>
  <c r="N216" i="13"/>
  <c r="N199" i="13"/>
  <c r="N268" i="13"/>
  <c r="N327" i="13"/>
  <c r="N294" i="13"/>
  <c r="AA119" i="13"/>
  <c r="AA193" i="11"/>
  <c r="N182" i="11"/>
  <c r="N248" i="11"/>
  <c r="N234" i="11"/>
  <c r="AA313" i="11"/>
  <c r="AA195" i="11"/>
  <c r="AE95" i="13"/>
  <c r="AE268" i="13"/>
  <c r="AE220" i="13"/>
  <c r="AE321" i="13"/>
  <c r="AF190" i="13"/>
  <c r="AF81" i="13"/>
  <c r="AF259" i="13"/>
  <c r="AA160" i="11"/>
  <c r="AA164" i="11"/>
  <c r="Z220" i="11"/>
  <c r="N169" i="11"/>
  <c r="Z166" i="11"/>
  <c r="Z126" i="11"/>
  <c r="Z286" i="11"/>
  <c r="Z297" i="11"/>
  <c r="Z108" i="13"/>
  <c r="M108" i="13"/>
  <c r="N252" i="13"/>
  <c r="AA108" i="13"/>
  <c r="AA206" i="11"/>
  <c r="AA244" i="11"/>
  <c r="AE182" i="13"/>
  <c r="AG182" i="13" s="1"/>
  <c r="AE251" i="13"/>
  <c r="Z190" i="11"/>
  <c r="AA150" i="11"/>
  <c r="Z139" i="11"/>
  <c r="Z248" i="11"/>
  <c r="Z257" i="11"/>
  <c r="M103" i="13"/>
  <c r="N204" i="13"/>
  <c r="N319" i="13"/>
  <c r="AA111" i="13"/>
  <c r="N322" i="11"/>
  <c r="AE144" i="13"/>
  <c r="AE259" i="13"/>
  <c r="AA137" i="11"/>
  <c r="Z219" i="11"/>
  <c r="Z214" i="11"/>
  <c r="AA135" i="11"/>
  <c r="AA147" i="11"/>
  <c r="N143" i="11"/>
  <c r="N167" i="11"/>
  <c r="Z161" i="11"/>
  <c r="Z164" i="11"/>
  <c r="Z258" i="11"/>
  <c r="Z298" i="11"/>
  <c r="Z233" i="11"/>
  <c r="Z267" i="11"/>
  <c r="Z84" i="13"/>
  <c r="Z79" i="13"/>
  <c r="M97" i="13"/>
  <c r="M101" i="13"/>
  <c r="N152" i="13"/>
  <c r="N163" i="13"/>
  <c r="N193" i="13"/>
  <c r="N203" i="13"/>
  <c r="N270" i="13"/>
  <c r="N235" i="13"/>
  <c r="N296" i="13"/>
  <c r="AA298" i="11"/>
  <c r="N190" i="11"/>
  <c r="N260" i="11"/>
  <c r="AA272" i="11"/>
  <c r="AE168" i="13"/>
  <c r="AE302" i="13"/>
  <c r="AE238" i="13"/>
  <c r="AE325" i="13"/>
  <c r="AF92" i="13"/>
  <c r="AF142" i="13"/>
  <c r="AF267" i="13"/>
  <c r="Z218" i="11"/>
  <c r="Z193" i="11"/>
  <c r="Z159" i="11"/>
  <c r="Z318" i="11"/>
  <c r="Z76" i="13"/>
  <c r="M95" i="13"/>
  <c r="N196" i="13"/>
  <c r="N311" i="13"/>
  <c r="AE183" i="13"/>
  <c r="AF253" i="13"/>
  <c r="AF114" i="13"/>
  <c r="AA251" i="11"/>
  <c r="AA223" i="11"/>
  <c r="AA263" i="11"/>
  <c r="AA192" i="11"/>
  <c r="AA316" i="11"/>
  <c r="AA286" i="11"/>
  <c r="AA276" i="11"/>
  <c r="AA248" i="11"/>
  <c r="AA291" i="11"/>
  <c r="AA208" i="11"/>
  <c r="AA254" i="11"/>
  <c r="AA189" i="11"/>
  <c r="AA191" i="11"/>
  <c r="AA259" i="11"/>
  <c r="AA300" i="11"/>
  <c r="AA188" i="11"/>
  <c r="AA318" i="11"/>
  <c r="AA317" i="11"/>
  <c r="AA289" i="11"/>
  <c r="AA323" i="11"/>
  <c r="AA252" i="11"/>
  <c r="AA295" i="11"/>
  <c r="AA187" i="11"/>
  <c r="AA216" i="11"/>
  <c r="AA239" i="11"/>
  <c r="AA271" i="11"/>
  <c r="AA243" i="11"/>
  <c r="AA315" i="11"/>
  <c r="AA249" i="11"/>
  <c r="AA182" i="11"/>
  <c r="AA321" i="11"/>
  <c r="AA190" i="11"/>
  <c r="AA293" i="11"/>
  <c r="AA297" i="11"/>
  <c r="AA301" i="11"/>
  <c r="AA305" i="11"/>
  <c r="AA309" i="11"/>
  <c r="AA247" i="11"/>
  <c r="AA304" i="11"/>
  <c r="AA290" i="11"/>
  <c r="AA235" i="11"/>
  <c r="AA253" i="11"/>
  <c r="AA222" i="11"/>
  <c r="AA325" i="11"/>
  <c r="AA320" i="11"/>
  <c r="AA186" i="11"/>
  <c r="AA245" i="11"/>
  <c r="AA250" i="11"/>
  <c r="AA209" i="11"/>
  <c r="AA233" i="11"/>
  <c r="AA241" i="11"/>
  <c r="AA255" i="11"/>
  <c r="AA292" i="11"/>
  <c r="AA267" i="11"/>
  <c r="AA306" i="11"/>
  <c r="AA273" i="11"/>
  <c r="AA180" i="11"/>
  <c r="AA183" i="11"/>
  <c r="AA181" i="11"/>
  <c r="AA329" i="11"/>
  <c r="AA237" i="11"/>
  <c r="AA312" i="11"/>
  <c r="AA287" i="11"/>
  <c r="AA294" i="11"/>
  <c r="AA257" i="11"/>
  <c r="AA87" i="13"/>
  <c r="AA100" i="13"/>
  <c r="AA117" i="13"/>
  <c r="AA101" i="13"/>
  <c r="AA107" i="13"/>
  <c r="AA82" i="13"/>
  <c r="AA116" i="13"/>
  <c r="AA99" i="13"/>
  <c r="AA90" i="13"/>
  <c r="AA97" i="13"/>
  <c r="AA77" i="13"/>
  <c r="AA98" i="13"/>
  <c r="AA115" i="13"/>
  <c r="AA93" i="13"/>
  <c r="AA106" i="13"/>
  <c r="AA79" i="13"/>
  <c r="AA80" i="13"/>
  <c r="AA114" i="13"/>
  <c r="AA91" i="13"/>
  <c r="AA88" i="13"/>
  <c r="AA105" i="13"/>
  <c r="AA94" i="13"/>
  <c r="AA84" i="13"/>
  <c r="AA81" i="13"/>
  <c r="AA96" i="13"/>
  <c r="AA85" i="13"/>
  <c r="AA89" i="13"/>
  <c r="AA109" i="13"/>
  <c r="AA112" i="13"/>
  <c r="AA86" i="13"/>
  <c r="AA83" i="13"/>
  <c r="AA113" i="13"/>
  <c r="AA104" i="13"/>
  <c r="AA110" i="13"/>
  <c r="Z321" i="11"/>
  <c r="Z305" i="11"/>
  <c r="Z289" i="11"/>
  <c r="Z263" i="11"/>
  <c r="Z247" i="11"/>
  <c r="Z326" i="11"/>
  <c r="Z310" i="11"/>
  <c r="Z294" i="11"/>
  <c r="Z270" i="11"/>
  <c r="Z254" i="11"/>
  <c r="Z238" i="11"/>
  <c r="Z195" i="11"/>
  <c r="Z182" i="11"/>
  <c r="Z183" i="11"/>
  <c r="Z217" i="11"/>
  <c r="Z211" i="11"/>
  <c r="Z319" i="11"/>
  <c r="Z303" i="11"/>
  <c r="Z287" i="11"/>
  <c r="Z261" i="11"/>
  <c r="Z245" i="11"/>
  <c r="Z324" i="11"/>
  <c r="Z308" i="11"/>
  <c r="Z292" i="11"/>
  <c r="Z268" i="11"/>
  <c r="Z252" i="11"/>
  <c r="Z236" i="11"/>
  <c r="Z184" i="11"/>
  <c r="Z216" i="11"/>
  <c r="Z208" i="11"/>
  <c r="Z185" i="11"/>
  <c r="Z202" i="11"/>
  <c r="Z204" i="11"/>
  <c r="Z317" i="11"/>
  <c r="Z301" i="11"/>
  <c r="Z275" i="11"/>
  <c r="Z259" i="11"/>
  <c r="Z243" i="11"/>
  <c r="Z322" i="11"/>
  <c r="Z306" i="11"/>
  <c r="Z290" i="11"/>
  <c r="Z266" i="11"/>
  <c r="Z250" i="11"/>
  <c r="Z234" i="11"/>
  <c r="Z189" i="11"/>
  <c r="Z196" i="11"/>
  <c r="Z180" i="11"/>
  <c r="Z221" i="11"/>
  <c r="Z209" i="11"/>
  <c r="Z207" i="11"/>
  <c r="Z327" i="11"/>
  <c r="Z311" i="11"/>
  <c r="Z295" i="11"/>
  <c r="Z269" i="11"/>
  <c r="Z253" i="11"/>
  <c r="Z237" i="11"/>
  <c r="Z316" i="11"/>
  <c r="Z300" i="11"/>
  <c r="Z276" i="11"/>
  <c r="Z260" i="11"/>
  <c r="Z244" i="11"/>
  <c r="Z206" i="11"/>
  <c r="Z194" i="11"/>
  <c r="Z201" i="11"/>
  <c r="Z212" i="11"/>
  <c r="Z199" i="11"/>
  <c r="M237" i="11"/>
  <c r="M287" i="11"/>
  <c r="M289" i="11"/>
  <c r="M266" i="11"/>
  <c r="M203" i="11"/>
  <c r="M222" i="11"/>
  <c r="M305" i="11"/>
  <c r="M319" i="11"/>
  <c r="M327" i="11"/>
  <c r="M184" i="11"/>
  <c r="E13" i="15" s="1"/>
  <c r="E13" i="26" s="1"/>
  <c r="Y13" i="26" s="1"/>
  <c r="M301" i="11"/>
  <c r="M248" i="11"/>
  <c r="M295" i="11"/>
  <c r="M194" i="11"/>
  <c r="M273" i="11"/>
  <c r="M242" i="11"/>
  <c r="AA130" i="11"/>
  <c r="AA155" i="11"/>
  <c r="AA128" i="11"/>
  <c r="AA134" i="11"/>
  <c r="AA167" i="11"/>
  <c r="AA146" i="11"/>
  <c r="AA141" i="11"/>
  <c r="AA162" i="11"/>
  <c r="AA138" i="11"/>
  <c r="AA161" i="11"/>
  <c r="AA170" i="11"/>
  <c r="AA152" i="11"/>
  <c r="AA163" i="11"/>
  <c r="AA165" i="11"/>
  <c r="AA136" i="11"/>
  <c r="AA133" i="11"/>
  <c r="AA154" i="11"/>
  <c r="AA145" i="11"/>
  <c r="AA149" i="11"/>
  <c r="AA143" i="11"/>
  <c r="AA168" i="11"/>
  <c r="N215" i="11"/>
  <c r="N299" i="11"/>
  <c r="N258" i="11"/>
  <c r="N211" i="11"/>
  <c r="N195" i="11"/>
  <c r="E24" i="14" s="1"/>
  <c r="N222" i="11"/>
  <c r="N312" i="11"/>
  <c r="N271" i="11"/>
  <c r="F47" i="14" s="1"/>
  <c r="N239" i="11"/>
  <c r="N249" i="11"/>
  <c r="N194" i="11"/>
  <c r="N257" i="11"/>
  <c r="N256" i="11"/>
  <c r="N317" i="11"/>
  <c r="N265" i="11"/>
  <c r="N196" i="11"/>
  <c r="N327" i="11"/>
  <c r="N295" i="11"/>
  <c r="N254" i="11"/>
  <c r="N209" i="11"/>
  <c r="N193" i="11"/>
  <c r="N220" i="11"/>
  <c r="N308" i="11"/>
  <c r="N267" i="11"/>
  <c r="N235" i="11"/>
  <c r="N289" i="11"/>
  <c r="N187" i="11"/>
  <c r="N236" i="11"/>
  <c r="N245" i="11"/>
  <c r="N293" i="11"/>
  <c r="N244" i="11"/>
  <c r="N186" i="11"/>
  <c r="N323" i="11"/>
  <c r="N291" i="11"/>
  <c r="N250" i="11"/>
  <c r="N207" i="11"/>
  <c r="N189" i="11"/>
  <c r="N218" i="11"/>
  <c r="N304" i="11"/>
  <c r="N263" i="11"/>
  <c r="N223" i="11"/>
  <c r="N269" i="11"/>
  <c r="N185" i="11"/>
  <c r="N210" i="11"/>
  <c r="N305" i="11"/>
  <c r="N192" i="11"/>
  <c r="N233" i="11"/>
  <c r="N273" i="11"/>
  <c r="N217" i="11"/>
  <c r="N270" i="11"/>
  <c r="N205" i="11"/>
  <c r="N314" i="11"/>
  <c r="N296" i="11"/>
  <c r="N243" i="11"/>
  <c r="N206" i="11"/>
  <c r="N191" i="11"/>
  <c r="N188" i="11"/>
  <c r="N180" i="11"/>
  <c r="N240" i="11"/>
  <c r="N319" i="11"/>
  <c r="N266" i="11"/>
  <c r="N203" i="11"/>
  <c r="N310" i="11"/>
  <c r="N292" i="11"/>
  <c r="N329" i="11"/>
  <c r="N202" i="11"/>
  <c r="N181" i="11"/>
  <c r="N184" i="11"/>
  <c r="N294" i="11"/>
  <c r="N212" i="11"/>
  <c r="N315" i="11"/>
  <c r="N262" i="11"/>
  <c r="N201" i="11"/>
  <c r="N216" i="11"/>
  <c r="N288" i="11"/>
  <c r="N313" i="11"/>
  <c r="G36" i="14" s="1"/>
  <c r="N198" i="11"/>
  <c r="N241" i="11"/>
  <c r="N302" i="11"/>
  <c r="N253" i="11"/>
  <c r="F29" i="14" s="1"/>
  <c r="N311" i="11"/>
  <c r="N246" i="11"/>
  <c r="N199" i="11"/>
  <c r="N328" i="11"/>
  <c r="N275" i="11"/>
  <c r="N301" i="11"/>
  <c r="N183" i="11"/>
  <c r="N297" i="11"/>
  <c r="G20" i="14" s="1"/>
  <c r="AC20" i="15" s="1"/>
  <c r="N272" i="11"/>
  <c r="N204" i="11"/>
  <c r="N219" i="11"/>
  <c r="N213" i="11"/>
  <c r="N300" i="11"/>
  <c r="G23" i="14" s="1"/>
  <c r="N237" i="11"/>
  <c r="N200" i="11"/>
  <c r="N261" i="11"/>
  <c r="N307" i="11"/>
  <c r="N197" i="11"/>
  <c r="N259" i="11"/>
  <c r="N325" i="11"/>
  <c r="N321" i="11"/>
  <c r="G44" i="14" s="1"/>
  <c r="N303" i="11"/>
  <c r="N326" i="11"/>
  <c r="N255" i="11"/>
  <c r="N309" i="11"/>
  <c r="N306" i="11"/>
  <c r="N242" i="11"/>
  <c r="N324" i="11"/>
  <c r="N290" i="11"/>
  <c r="N286" i="11"/>
  <c r="N252" i="11"/>
  <c r="Z223" i="11"/>
  <c r="AA171" i="11"/>
  <c r="N131" i="11"/>
  <c r="Z140" i="11"/>
  <c r="Z288" i="11"/>
  <c r="Z299" i="11"/>
  <c r="Z106" i="13"/>
  <c r="M102" i="13"/>
  <c r="N189" i="13"/>
  <c r="N269" i="13"/>
  <c r="AA219" i="11"/>
  <c r="AA288" i="11"/>
  <c r="AE101" i="13"/>
  <c r="Z187" i="11"/>
  <c r="AA153" i="11"/>
  <c r="Z222" i="11"/>
  <c r="Z205" i="11"/>
  <c r="Z192" i="11"/>
  <c r="AA125" i="11"/>
  <c r="N141" i="11"/>
  <c r="N149" i="11"/>
  <c r="Z155" i="11"/>
  <c r="Z143" i="11"/>
  <c r="Z262" i="11"/>
  <c r="Z302" i="11"/>
  <c r="Z239" i="11"/>
  <c r="Z271" i="11"/>
  <c r="Z313" i="11"/>
  <c r="Z116" i="13"/>
  <c r="Z83" i="13"/>
  <c r="M79" i="13"/>
  <c r="M110" i="13"/>
  <c r="N145" i="13"/>
  <c r="N186" i="13"/>
  <c r="N221" i="13"/>
  <c r="N289" i="13"/>
  <c r="N239" i="13"/>
  <c r="N308" i="13"/>
  <c r="AA118" i="13"/>
  <c r="AA221" i="11"/>
  <c r="N214" i="11"/>
  <c r="N247" i="11"/>
  <c r="N274" i="11"/>
  <c r="AA201" i="11"/>
  <c r="AA218" i="11"/>
  <c r="AA327" i="11"/>
  <c r="AE154" i="13"/>
  <c r="AE252" i="13"/>
  <c r="AF96" i="13"/>
  <c r="AF216" i="13"/>
  <c r="AE276" i="13"/>
  <c r="AE128" i="13"/>
  <c r="AE317" i="13"/>
  <c r="AE275" i="13"/>
  <c r="AE243" i="13"/>
  <c r="AE201" i="13"/>
  <c r="AE163" i="13"/>
  <c r="AE131" i="13"/>
  <c r="AE90" i="13"/>
  <c r="AE296" i="13"/>
  <c r="AE212" i="13"/>
  <c r="AE142" i="13"/>
  <c r="AE233" i="13"/>
  <c r="AE269" i="13"/>
  <c r="AE195" i="13"/>
  <c r="AE108" i="13"/>
  <c r="AE202" i="13"/>
  <c r="AE169" i="13"/>
  <c r="AG169" i="13" s="1"/>
  <c r="AI169" i="13" s="1"/>
  <c r="AE260" i="13"/>
  <c r="AE83" i="13"/>
  <c r="AE96" i="13"/>
  <c r="AE257" i="13"/>
  <c r="AE292" i="13"/>
  <c r="AE208" i="13"/>
  <c r="AE138" i="13"/>
  <c r="AE199" i="13"/>
  <c r="AE314" i="13"/>
  <c r="AE214" i="13"/>
  <c r="AE206" i="13"/>
  <c r="AE313" i="13"/>
  <c r="AE271" i="13"/>
  <c r="AE239" i="13"/>
  <c r="AE197" i="13"/>
  <c r="AE159" i="13"/>
  <c r="AE118" i="13"/>
  <c r="AE86" i="13"/>
  <c r="AE288" i="13"/>
  <c r="AE204" i="13"/>
  <c r="AE134" i="13"/>
  <c r="AE129" i="13"/>
  <c r="AE261" i="13"/>
  <c r="AE187" i="13"/>
  <c r="AE100" i="13"/>
  <c r="AE186" i="13"/>
  <c r="AE145" i="13"/>
  <c r="AE244" i="13"/>
  <c r="AE315" i="13"/>
  <c r="AE326" i="13"/>
  <c r="AE241" i="13"/>
  <c r="AE274" i="13"/>
  <c r="AE200" i="13"/>
  <c r="AE130" i="13"/>
  <c r="AE161" i="13"/>
  <c r="AE240" i="13"/>
  <c r="AE272" i="13"/>
  <c r="AE136" i="13"/>
  <c r="AE309" i="13"/>
  <c r="AE267" i="13"/>
  <c r="AG267" i="13" s="1"/>
  <c r="AE235" i="13"/>
  <c r="AE193" i="13"/>
  <c r="AE155" i="13"/>
  <c r="AE114" i="13"/>
  <c r="AE82" i="13"/>
  <c r="AE270" i="13"/>
  <c r="AE196" i="13"/>
  <c r="AE117" i="13"/>
  <c r="AE327" i="13"/>
  <c r="AE253" i="13"/>
  <c r="AG253" i="13" s="1"/>
  <c r="AH253" i="13" s="1"/>
  <c r="AE165" i="13"/>
  <c r="AE92" i="13"/>
  <c r="AE156" i="13"/>
  <c r="AE104" i="13"/>
  <c r="AE210" i="13"/>
  <c r="AE307" i="13"/>
  <c r="AE286" i="13"/>
  <c r="AE191" i="13"/>
  <c r="AE266" i="13"/>
  <c r="AE192" i="13"/>
  <c r="AE113" i="13"/>
  <c r="AE137" i="13"/>
  <c r="AE160" i="13"/>
  <c r="AE103" i="13"/>
  <c r="AE119" i="13"/>
  <c r="AE329" i="13"/>
  <c r="AE297" i="13"/>
  <c r="AE255" i="13"/>
  <c r="AE213" i="13"/>
  <c r="AE181" i="13"/>
  <c r="AE143" i="13"/>
  <c r="AE102" i="13"/>
  <c r="AE320" i="13"/>
  <c r="AE246" i="13"/>
  <c r="AE166" i="13"/>
  <c r="AE93" i="13"/>
  <c r="AE303" i="13"/>
  <c r="AE219" i="13"/>
  <c r="AE141" i="13"/>
  <c r="AE294" i="13"/>
  <c r="AE91" i="13"/>
  <c r="AE310" i="13"/>
  <c r="AE148" i="13"/>
  <c r="AE207" i="13"/>
  <c r="AE115" i="13"/>
  <c r="AE316" i="13"/>
  <c r="AE242" i="13"/>
  <c r="AE162" i="13"/>
  <c r="AE89" i="13"/>
  <c r="AE248" i="13"/>
  <c r="AE222" i="13"/>
  <c r="AE198" i="13"/>
  <c r="AE190" i="13"/>
  <c r="AE305" i="13"/>
  <c r="AE221" i="13"/>
  <c r="AE151" i="13"/>
  <c r="AE78" i="13"/>
  <c r="AE188" i="13"/>
  <c r="AE319" i="13"/>
  <c r="AE157" i="13"/>
  <c r="AE140" i="13"/>
  <c r="AE194" i="13"/>
  <c r="AE236" i="13"/>
  <c r="AE258" i="13"/>
  <c r="AE105" i="13"/>
  <c r="AE87" i="13"/>
  <c r="AE256" i="13"/>
  <c r="M94" i="13"/>
  <c r="M82" i="13"/>
  <c r="M90" i="13"/>
  <c r="M119" i="13"/>
  <c r="M109" i="13"/>
  <c r="M89" i="13"/>
  <c r="AE301" i="13"/>
  <c r="AE217" i="13"/>
  <c r="AE147" i="13"/>
  <c r="AE328" i="13"/>
  <c r="AE180" i="13"/>
  <c r="AE311" i="13"/>
  <c r="AE149" i="13"/>
  <c r="AE107" i="13"/>
  <c r="AE164" i="13"/>
  <c r="AE250" i="13"/>
  <c r="AE97" i="13"/>
  <c r="AE306" i="13"/>
  <c r="AE264" i="13"/>
  <c r="M86" i="13"/>
  <c r="M117" i="13"/>
  <c r="M107" i="13"/>
  <c r="M116" i="13"/>
  <c r="M106" i="13"/>
  <c r="I39" i="15" s="1"/>
  <c r="AE293" i="13"/>
  <c r="AE209" i="13"/>
  <c r="AE139" i="13"/>
  <c r="AE312" i="13"/>
  <c r="AE158" i="13"/>
  <c r="AE295" i="13"/>
  <c r="AE133" i="13"/>
  <c r="AE273" i="13"/>
  <c r="AE132" i="13"/>
  <c r="AE323" i="13"/>
  <c r="AE234" i="13"/>
  <c r="AG234" i="13" s="1"/>
  <c r="AE81" i="13"/>
  <c r="AE152" i="13"/>
  <c r="AE111" i="13"/>
  <c r="M111" i="13"/>
  <c r="M114" i="13"/>
  <c r="M104" i="13"/>
  <c r="AE289" i="13"/>
  <c r="AE205" i="13"/>
  <c r="AE135" i="13"/>
  <c r="AE304" i="13"/>
  <c r="AE150" i="13"/>
  <c r="AE287" i="13"/>
  <c r="AE116" i="13"/>
  <c r="AE215" i="13"/>
  <c r="AE99" i="13"/>
  <c r="AE299" i="13"/>
  <c r="AE216" i="13"/>
  <c r="AE265" i="13"/>
  <c r="AE79" i="13"/>
  <c r="AE172" i="13"/>
  <c r="N169" i="13"/>
  <c r="N147" i="13"/>
  <c r="N150" i="13"/>
  <c r="N146" i="13"/>
  <c r="N139" i="13"/>
  <c r="N171" i="13"/>
  <c r="N156" i="13"/>
  <c r="N144" i="13"/>
  <c r="N137" i="13"/>
  <c r="N133" i="13"/>
  <c r="N136" i="13"/>
  <c r="N167" i="13"/>
  <c r="N157" i="13"/>
  <c r="N131" i="13"/>
  <c r="N134" i="13"/>
  <c r="N130" i="13"/>
  <c r="N161" i="13"/>
  <c r="Z105" i="13"/>
  <c r="Z89" i="13"/>
  <c r="Z119" i="13"/>
  <c r="Z103" i="13"/>
  <c r="I36" i="15" s="1"/>
  <c r="Z87" i="13"/>
  <c r="Z88" i="13"/>
  <c r="AF297" i="13"/>
  <c r="AF213" i="13"/>
  <c r="AF143" i="13"/>
  <c r="AF328" i="13"/>
  <c r="AF254" i="13"/>
  <c r="AF180" i="13"/>
  <c r="AF101" i="13"/>
  <c r="AF291" i="13"/>
  <c r="AF207" i="13"/>
  <c r="AF133" i="13"/>
  <c r="AF264" i="13"/>
  <c r="AF244" i="13"/>
  <c r="AF91" i="13"/>
  <c r="AF198" i="13"/>
  <c r="N152" i="11"/>
  <c r="N154" i="11"/>
  <c r="N156" i="11"/>
  <c r="N166" i="11"/>
  <c r="N155" i="11"/>
  <c r="Z137" i="11"/>
  <c r="Z131" i="11"/>
  <c r="Z141" i="11"/>
  <c r="Z133" i="11"/>
  <c r="Z163" i="11"/>
  <c r="Z152" i="11"/>
  <c r="Z100" i="13"/>
  <c r="Z104" i="13"/>
  <c r="Z81" i="13"/>
  <c r="Z101" i="13"/>
  <c r="M115" i="13"/>
  <c r="M87" i="13"/>
  <c r="M98" i="13"/>
  <c r="M99" i="13"/>
  <c r="N155" i="13"/>
  <c r="N159" i="13"/>
  <c r="N138" i="13"/>
  <c r="AE298" i="13"/>
  <c r="AE184" i="13"/>
  <c r="AE291" i="13"/>
  <c r="AE84" i="13"/>
  <c r="AE109" i="13"/>
  <c r="AE110" i="13"/>
  <c r="AE263" i="13"/>
  <c r="AF206" i="13"/>
  <c r="AF248" i="13"/>
  <c r="AF191" i="13"/>
  <c r="AF85" i="13"/>
  <c r="AF238" i="13"/>
  <c r="AF118" i="13"/>
  <c r="AF271" i="13"/>
  <c r="AF185" i="13"/>
  <c r="N140" i="11"/>
  <c r="N150" i="11"/>
  <c r="N144" i="11"/>
  <c r="N146" i="11"/>
  <c r="N133" i="11"/>
  <c r="N151" i="11"/>
  <c r="Z142" i="11"/>
  <c r="Z145" i="11"/>
  <c r="Z160" i="11"/>
  <c r="Z150" i="11"/>
  <c r="Z153" i="11"/>
  <c r="Z144" i="11"/>
  <c r="Z94" i="13"/>
  <c r="Z90" i="13"/>
  <c r="Z78" i="13"/>
  <c r="Z91" i="13"/>
  <c r="Z111" i="13"/>
  <c r="M92" i="13"/>
  <c r="M113" i="13"/>
  <c r="M88" i="13"/>
  <c r="M105" i="13"/>
  <c r="N168" i="13"/>
  <c r="N170" i="13"/>
  <c r="N132" i="13"/>
  <c r="AE322" i="13"/>
  <c r="AE324" i="13"/>
  <c r="AE318" i="13"/>
  <c r="AE237" i="13"/>
  <c r="AE254" i="13"/>
  <c r="AE185" i="13"/>
  <c r="AF194" i="13"/>
  <c r="AF104" i="13"/>
  <c r="AF261" i="13"/>
  <c r="AF154" i="13"/>
  <c r="AF308" i="13"/>
  <c r="AF193" i="13"/>
  <c r="N159" i="11"/>
  <c r="N163" i="11"/>
  <c r="N145" i="11"/>
  <c r="N171" i="11"/>
  <c r="N148" i="11"/>
  <c r="N158" i="11"/>
  <c r="Z138" i="11"/>
  <c r="Z156" i="11"/>
  <c r="Z134" i="11"/>
  <c r="Z132" i="11"/>
  <c r="Z154" i="11"/>
  <c r="Z151" i="11"/>
  <c r="Z102" i="13"/>
  <c r="Z98" i="13"/>
  <c r="Z96" i="13"/>
  <c r="Z93" i="13"/>
  <c r="Z113" i="13"/>
  <c r="M100" i="13"/>
  <c r="M80" i="13"/>
  <c r="M96" i="13"/>
  <c r="M118" i="13"/>
  <c r="N149" i="13"/>
  <c r="N140" i="13"/>
  <c r="N135" i="13"/>
  <c r="AE88" i="13"/>
  <c r="AE112" i="13"/>
  <c r="AE80" i="13"/>
  <c r="AE245" i="13"/>
  <c r="AE262" i="13"/>
  <c r="AE189" i="13"/>
  <c r="AF202" i="13"/>
  <c r="AF108" i="13"/>
  <c r="AF265" i="13"/>
  <c r="AF158" i="13"/>
  <c r="AF312" i="13"/>
  <c r="AF197" i="13"/>
  <c r="N162" i="11"/>
  <c r="N164" i="11"/>
  <c r="N137" i="11"/>
  <c r="N168" i="11"/>
  <c r="Z170" i="11"/>
  <c r="Z148" i="11"/>
  <c r="Z158" i="11"/>
  <c r="Z162" i="11"/>
  <c r="Z118" i="13"/>
  <c r="Z110" i="13"/>
  <c r="Z114" i="13"/>
  <c r="Z95" i="13"/>
  <c r="Z115" i="13"/>
  <c r="M81" i="13"/>
  <c r="M85" i="13"/>
  <c r="I18" i="15" s="1"/>
  <c r="I18" i="26" s="1"/>
  <c r="AC18" i="26" s="1"/>
  <c r="M76" i="13"/>
  <c r="N129" i="13"/>
  <c r="N162" i="13"/>
  <c r="N128" i="13"/>
  <c r="N148" i="13"/>
  <c r="AE290" i="13"/>
  <c r="AE146" i="13"/>
  <c r="AE153" i="13"/>
  <c r="AE218" i="13"/>
  <c r="AE77" i="13"/>
  <c r="AE94" i="13"/>
  <c r="AE247" i="13"/>
  <c r="AF306" i="13"/>
  <c r="AF318" i="13"/>
  <c r="AF165" i="13"/>
  <c r="AF323" i="13"/>
  <c r="AF212" i="13"/>
  <c r="AF102" i="13"/>
  <c r="AF255" i="13"/>
  <c r="AA194" i="11"/>
  <c r="AA211" i="11"/>
  <c r="AA196" i="11"/>
  <c r="AA213" i="11"/>
  <c r="AA198" i="11"/>
  <c r="AA234" i="11"/>
  <c r="AA200" i="11"/>
  <c r="AA238" i="11"/>
  <c r="AA215" i="11"/>
  <c r="AA203" i="11"/>
  <c r="AA328" i="11"/>
  <c r="AA322" i="11"/>
  <c r="AA210" i="11"/>
  <c r="AA258" i="11"/>
  <c r="AA212" i="11"/>
  <c r="AA262" i="11"/>
  <c r="AA214" i="11"/>
  <c r="AA266" i="11"/>
  <c r="AA236" i="11"/>
  <c r="AA270" i="11"/>
  <c r="AA202" i="11"/>
  <c r="AA242" i="11"/>
  <c r="AA217" i="11"/>
  <c r="AA205" i="11"/>
  <c r="AA256" i="11"/>
  <c r="AA299" i="11"/>
  <c r="AA260" i="11"/>
  <c r="AA303" i="11"/>
  <c r="AA264" i="11"/>
  <c r="AA307" i="11"/>
  <c r="AA268" i="11"/>
  <c r="AA311" i="11"/>
  <c r="AA240" i="11"/>
  <c r="AA274" i="11"/>
  <c r="AA204" i="11"/>
  <c r="AA246" i="11"/>
  <c r="AA296" i="11"/>
  <c r="AA308" i="11"/>
  <c r="G31" i="14" s="1"/>
  <c r="AA261" i="11"/>
  <c r="AA324" i="11"/>
  <c r="AA265" i="11"/>
  <c r="AA275" i="11"/>
  <c r="AA269" i="11"/>
  <c r="AA220" i="11"/>
  <c r="AF309" i="13"/>
  <c r="AF128" i="13"/>
  <c r="AF276" i="13"/>
  <c r="AF293" i="13"/>
  <c r="AF251" i="13"/>
  <c r="AF209" i="13"/>
  <c r="AF171" i="13"/>
  <c r="AF139" i="13"/>
  <c r="AF98" i="13"/>
  <c r="AF324" i="13"/>
  <c r="AF292" i="13"/>
  <c r="AF250" i="13"/>
  <c r="AF208" i="13"/>
  <c r="AF170" i="13"/>
  <c r="AF138" i="13"/>
  <c r="AF97" i="13"/>
  <c r="AF319" i="13"/>
  <c r="AF287" i="13"/>
  <c r="AF245" i="13"/>
  <c r="AF203" i="13"/>
  <c r="AF161" i="13"/>
  <c r="AF129" i="13"/>
  <c r="AF88" i="13"/>
  <c r="AF214" i="13"/>
  <c r="AF310" i="13"/>
  <c r="AF236" i="13"/>
  <c r="AF156" i="13"/>
  <c r="AF83" i="13"/>
  <c r="AF222" i="13"/>
  <c r="AF144" i="13"/>
  <c r="AF289" i="13"/>
  <c r="AF247" i="13"/>
  <c r="AF205" i="13"/>
  <c r="AF167" i="13"/>
  <c r="AF135" i="13"/>
  <c r="AF94" i="13"/>
  <c r="AF320" i="13"/>
  <c r="AF288" i="13"/>
  <c r="AF246" i="13"/>
  <c r="AF204" i="13"/>
  <c r="AF166" i="13"/>
  <c r="AF134" i="13"/>
  <c r="AF93" i="13"/>
  <c r="AF315" i="13"/>
  <c r="AF273" i="13"/>
  <c r="AF241" i="13"/>
  <c r="AF199" i="13"/>
  <c r="AF157" i="13"/>
  <c r="AF116" i="13"/>
  <c r="AF84" i="13"/>
  <c r="AF152" i="13"/>
  <c r="AF302" i="13"/>
  <c r="AF218" i="13"/>
  <c r="AF148" i="13"/>
  <c r="AF298" i="13"/>
  <c r="AF160" i="13"/>
  <c r="AF87" i="13"/>
  <c r="AF275" i="13"/>
  <c r="AF243" i="13"/>
  <c r="AF201" i="13"/>
  <c r="AF163" i="13"/>
  <c r="AF131" i="13"/>
  <c r="AF90" i="13"/>
  <c r="AF316" i="13"/>
  <c r="AF274" i="13"/>
  <c r="AF242" i="13"/>
  <c r="AF200" i="13"/>
  <c r="AF162" i="13"/>
  <c r="AF130" i="13"/>
  <c r="AF89" i="13"/>
  <c r="AF311" i="13"/>
  <c r="AF269" i="13"/>
  <c r="AF237" i="13"/>
  <c r="AF195" i="13"/>
  <c r="AF153" i="13"/>
  <c r="AF112" i="13"/>
  <c r="AF80" i="13"/>
  <c r="AF103" i="13"/>
  <c r="AF294" i="13"/>
  <c r="AF210" i="13"/>
  <c r="AF140" i="13"/>
  <c r="AF256" i="13"/>
  <c r="AF79" i="13"/>
  <c r="AF172" i="13"/>
  <c r="AF317" i="13"/>
  <c r="AF263" i="13"/>
  <c r="AF221" i="13"/>
  <c r="AF189" i="13"/>
  <c r="AF151" i="13"/>
  <c r="AF110" i="13"/>
  <c r="AF78" i="13"/>
  <c r="AF304" i="13"/>
  <c r="AF262" i="13"/>
  <c r="AF220" i="13"/>
  <c r="AF188" i="13"/>
  <c r="AF150" i="13"/>
  <c r="AF109" i="13"/>
  <c r="AF77" i="13"/>
  <c r="AF299" i="13"/>
  <c r="AF257" i="13"/>
  <c r="AF215" i="13"/>
  <c r="AF183" i="13"/>
  <c r="AF141" i="13"/>
  <c r="AF100" i="13"/>
  <c r="AF314" i="13"/>
  <c r="AF119" i="13"/>
  <c r="AF260" i="13"/>
  <c r="AF186" i="13"/>
  <c r="AF107" i="13"/>
  <c r="AF136" i="13"/>
  <c r="AF111" i="13"/>
  <c r="AF272" i="13"/>
  <c r="AF99" i="13"/>
  <c r="AF252" i="13"/>
  <c r="AF290" i="13"/>
  <c r="AF137" i="13"/>
  <c r="AF211" i="13"/>
  <c r="AF295" i="13"/>
  <c r="AF105" i="13"/>
  <c r="AF184" i="13"/>
  <c r="AF258" i="13"/>
  <c r="AF329" i="13"/>
  <c r="AF147" i="13"/>
  <c r="AF217" i="13"/>
  <c r="AF313" i="13"/>
  <c r="AF168" i="13"/>
  <c r="AF115" i="13"/>
  <c r="AF268" i="13"/>
  <c r="AF322" i="13"/>
  <c r="AF145" i="13"/>
  <c r="AF219" i="13"/>
  <c r="AF303" i="13"/>
  <c r="AF113" i="13"/>
  <c r="AF192" i="13"/>
  <c r="AF266" i="13"/>
  <c r="AF82" i="13"/>
  <c r="AF155" i="13"/>
  <c r="AF235" i="13"/>
  <c r="AF321" i="13"/>
  <c r="AF240" i="13"/>
  <c r="AF132" i="13"/>
  <c r="AF286" i="13"/>
  <c r="AF76" i="13"/>
  <c r="AF149" i="13"/>
  <c r="AF233" i="13"/>
  <c r="AF307" i="13"/>
  <c r="AF117" i="13"/>
  <c r="AF196" i="13"/>
  <c r="AF270" i="13"/>
  <c r="AF86" i="13"/>
  <c r="AF159" i="13"/>
  <c r="AF239" i="13"/>
  <c r="M187" i="11"/>
  <c r="M200" i="11"/>
  <c r="M311" i="11"/>
  <c r="M249" i="11"/>
  <c r="M312" i="11"/>
  <c r="M201" i="11"/>
  <c r="M251" i="11"/>
  <c r="M180" i="11"/>
  <c r="M313" i="11"/>
  <c r="M207" i="11"/>
  <c r="M329" i="11"/>
  <c r="M189" i="11"/>
  <c r="M296" i="11"/>
  <c r="M246" i="11"/>
  <c r="M239" i="11"/>
  <c r="M221" i="11"/>
  <c r="M297" i="11"/>
  <c r="M192" i="11"/>
  <c r="M324" i="11"/>
  <c r="M250" i="11"/>
  <c r="M254" i="11"/>
  <c r="M193" i="11"/>
  <c r="M300" i="11"/>
  <c r="M212" i="11"/>
  <c r="M116" i="11"/>
  <c r="M79" i="11"/>
  <c r="M117" i="11"/>
  <c r="M86" i="11"/>
  <c r="M103" i="11"/>
  <c r="M106" i="11"/>
  <c r="M110" i="11"/>
  <c r="M89" i="11"/>
  <c r="M83" i="11"/>
  <c r="M93" i="11"/>
  <c r="M94" i="11"/>
  <c r="M109" i="11"/>
  <c r="M119" i="11"/>
  <c r="M92" i="11"/>
  <c r="M102" i="11"/>
  <c r="M98" i="11"/>
  <c r="AE304" i="11"/>
  <c r="AE263" i="11"/>
  <c r="AE222" i="11"/>
  <c r="AE323" i="11"/>
  <c r="AE250" i="11"/>
  <c r="AE245" i="11"/>
  <c r="AE265" i="11"/>
  <c r="AE192" i="11"/>
  <c r="AE223" i="11"/>
  <c r="AE305" i="11"/>
  <c r="AE269" i="11"/>
  <c r="AE327" i="11"/>
  <c r="AE254" i="11"/>
  <c r="AE286" i="11"/>
  <c r="AE181" i="11"/>
  <c r="AE189" i="11"/>
  <c r="M101" i="11"/>
  <c r="M113" i="11"/>
  <c r="M82" i="11"/>
  <c r="AE157" i="11"/>
  <c r="AE107" i="11"/>
  <c r="AE84" i="11"/>
  <c r="AE137" i="11"/>
  <c r="AE117" i="11"/>
  <c r="AE98" i="11"/>
  <c r="AE165" i="11"/>
  <c r="AE136" i="11"/>
  <c r="AE128" i="11"/>
  <c r="AE114" i="11"/>
  <c r="AE116" i="11"/>
  <c r="AE300" i="11"/>
  <c r="AE259" i="11"/>
  <c r="AE218" i="11"/>
  <c r="AE315" i="11"/>
  <c r="AE242" i="11"/>
  <c r="AE190" i="11"/>
  <c r="AE257" i="11"/>
  <c r="AE188" i="11"/>
  <c r="AE199" i="11"/>
  <c r="AE289" i="11"/>
  <c r="AE212" i="11"/>
  <c r="AE319" i="11"/>
  <c r="AE246" i="11"/>
  <c r="AE253" i="11"/>
  <c r="AE260" i="11"/>
  <c r="AE185" i="11"/>
  <c r="M81" i="11"/>
  <c r="M84" i="11"/>
  <c r="M115" i="11"/>
  <c r="M77" i="11"/>
  <c r="AE153" i="11"/>
  <c r="AE164" i="11"/>
  <c r="AE91" i="11"/>
  <c r="AE94" i="11"/>
  <c r="AE87" i="11"/>
  <c r="AE108" i="11"/>
  <c r="AE146" i="11"/>
  <c r="AE95" i="11"/>
  <c r="AE99" i="11"/>
  <c r="AE154" i="11"/>
  <c r="AE79" i="11"/>
  <c r="AE328" i="11"/>
  <c r="AE296" i="11"/>
  <c r="AE255" i="11"/>
  <c r="AE214" i="11"/>
  <c r="AE307" i="11"/>
  <c r="AE234" i="11"/>
  <c r="AE322" i="11"/>
  <c r="AE249" i="11"/>
  <c r="AE184" i="11"/>
  <c r="AE187" i="11"/>
  <c r="AE256" i="11"/>
  <c r="AE182" i="11"/>
  <c r="AE311" i="11"/>
  <c r="AE238" i="11"/>
  <c r="AE204" i="11"/>
  <c r="AE325" i="11"/>
  <c r="AE244" i="11"/>
  <c r="M76" i="11"/>
  <c r="M111" i="11"/>
  <c r="M112" i="11"/>
  <c r="AE138" i="11"/>
  <c r="AE160" i="11"/>
  <c r="AE80" i="11"/>
  <c r="AE101" i="11"/>
  <c r="AE163" i="11"/>
  <c r="AE112" i="11"/>
  <c r="AE131" i="11"/>
  <c r="AE102" i="11"/>
  <c r="AE106" i="11"/>
  <c r="AE150" i="11"/>
  <c r="AE86" i="11"/>
  <c r="AE324" i="11"/>
  <c r="AE292" i="11"/>
  <c r="AE251" i="11"/>
  <c r="AE210" i="11"/>
  <c r="AE299" i="11"/>
  <c r="AE217" i="11"/>
  <c r="AE314" i="11"/>
  <c r="AE241" i="11"/>
  <c r="AE180" i="11"/>
  <c r="AE294" i="11"/>
  <c r="AE240" i="11"/>
  <c r="AE313" i="11"/>
  <c r="AE303" i="11"/>
  <c r="AE221" i="11"/>
  <c r="AE186" i="11"/>
  <c r="AE195" i="11"/>
  <c r="AE301" i="11"/>
  <c r="M107" i="11"/>
  <c r="M80" i="11"/>
  <c r="M85" i="11"/>
  <c r="M118" i="11"/>
  <c r="AE134" i="11"/>
  <c r="AE149" i="11"/>
  <c r="AE170" i="11"/>
  <c r="AE105" i="11"/>
  <c r="AE159" i="11"/>
  <c r="AE115" i="11"/>
  <c r="AE169" i="11"/>
  <c r="AE162" i="11"/>
  <c r="AE109" i="11"/>
  <c r="AE139" i="11"/>
  <c r="AE161" i="11"/>
  <c r="AE320" i="11"/>
  <c r="AE288" i="11"/>
  <c r="AE247" i="11"/>
  <c r="AE206" i="11"/>
  <c r="AE291" i="11"/>
  <c r="AE209" i="11"/>
  <c r="AE306" i="11"/>
  <c r="AE233" i="11"/>
  <c r="AE329" i="11"/>
  <c r="AE261" i="11"/>
  <c r="AE215" i="11"/>
  <c r="AE264" i="11"/>
  <c r="AE295" i="11"/>
  <c r="AE213" i="11"/>
  <c r="AE276" i="11"/>
  <c r="AE317" i="11"/>
  <c r="AE219" i="11"/>
  <c r="M100" i="11"/>
  <c r="M88" i="11"/>
  <c r="M78" i="11"/>
  <c r="M104" i="11"/>
  <c r="AE93" i="11"/>
  <c r="AE145" i="11"/>
  <c r="AE167" i="11"/>
  <c r="AE81" i="11"/>
  <c r="AE148" i="11"/>
  <c r="AE118" i="11"/>
  <c r="AE166" i="11"/>
  <c r="AE158" i="11"/>
  <c r="AE113" i="11"/>
  <c r="AE135" i="11"/>
  <c r="AE142" i="11"/>
  <c r="AE316" i="11"/>
  <c r="AE275" i="11"/>
  <c r="AE243" i="11"/>
  <c r="AE202" i="11"/>
  <c r="AE274" i="11"/>
  <c r="AE201" i="11"/>
  <c r="AE298" i="11"/>
  <c r="AE216" i="11"/>
  <c r="AE297" i="11"/>
  <c r="AE220" i="11"/>
  <c r="AE191" i="11"/>
  <c r="AE207" i="11"/>
  <c r="AE287" i="11"/>
  <c r="AE205" i="11"/>
  <c r="AE211" i="11"/>
  <c r="AE236" i="11"/>
  <c r="AE293" i="11"/>
  <c r="M97" i="11"/>
  <c r="M105" i="11"/>
  <c r="M96" i="11"/>
  <c r="M108" i="11"/>
  <c r="AE97" i="11"/>
  <c r="AE130" i="11"/>
  <c r="AE156" i="11"/>
  <c r="AE88" i="11"/>
  <c r="AE144" i="11"/>
  <c r="AE85" i="11"/>
  <c r="AE155" i="11"/>
  <c r="AE147" i="11"/>
  <c r="AE119" i="11"/>
  <c r="AE92" i="11"/>
  <c r="AE76" i="11"/>
  <c r="AE312" i="11"/>
  <c r="AE271" i="11"/>
  <c r="AE239" i="11"/>
  <c r="AE198" i="11"/>
  <c r="AE266" i="11"/>
  <c r="AE193" i="11"/>
  <c r="AE290" i="11"/>
  <c r="AE208" i="11"/>
  <c r="AE272" i="11"/>
  <c r="AE196" i="11"/>
  <c r="AE183" i="11"/>
  <c r="AE302" i="11"/>
  <c r="AE270" i="11"/>
  <c r="AE197" i="11"/>
  <c r="AE268" i="11"/>
  <c r="AE252" i="11"/>
  <c r="M99" i="11"/>
  <c r="M114" i="11"/>
  <c r="M95" i="11"/>
  <c r="AE171" i="11"/>
  <c r="AE100" i="11"/>
  <c r="AE111" i="11"/>
  <c r="AE152" i="11"/>
  <c r="AE78" i="11"/>
  <c r="AE133" i="11"/>
  <c r="AE82" i="11"/>
  <c r="AE151" i="11"/>
  <c r="AE143" i="11"/>
  <c r="AE83" i="11"/>
  <c r="AE96" i="11"/>
  <c r="AE308" i="11"/>
  <c r="AE267" i="11"/>
  <c r="AE235" i="11"/>
  <c r="AE194" i="11"/>
  <c r="AE258" i="11"/>
  <c r="AE310" i="11"/>
  <c r="AE273" i="11"/>
  <c r="AE200" i="11"/>
  <c r="AE248" i="11"/>
  <c r="AE321" i="11"/>
  <c r="AE318" i="11"/>
  <c r="AE237" i="11"/>
  <c r="AE262" i="11"/>
  <c r="AE326" i="11"/>
  <c r="AE203" i="11"/>
  <c r="AE309" i="11"/>
  <c r="M91" i="11"/>
  <c r="M90" i="11"/>
  <c r="M87" i="11"/>
  <c r="AE168" i="11"/>
  <c r="AE104" i="11"/>
  <c r="AE77" i="11"/>
  <c r="AE141" i="11"/>
  <c r="AE89" i="11"/>
  <c r="AE129" i="11"/>
  <c r="AE90" i="11"/>
  <c r="AE140" i="11"/>
  <c r="AE132" i="11"/>
  <c r="AE110" i="11"/>
  <c r="AE103" i="11"/>
  <c r="AF325" i="13"/>
  <c r="M240" i="11"/>
  <c r="M328" i="11"/>
  <c r="M204" i="11"/>
  <c r="M234" i="11"/>
  <c r="M272" i="11"/>
  <c r="M236" i="11"/>
  <c r="M258" i="11"/>
  <c r="M322" i="11"/>
  <c r="M209" i="11"/>
  <c r="M326" i="11"/>
  <c r="M217" i="11"/>
  <c r="N86" i="11"/>
  <c r="N94" i="11"/>
  <c r="N100" i="11"/>
  <c r="N117" i="11"/>
  <c r="N108" i="11"/>
  <c r="N110" i="11"/>
  <c r="N104" i="11"/>
  <c r="N107" i="11"/>
  <c r="N81" i="11"/>
  <c r="N118" i="11"/>
  <c r="N93" i="11"/>
  <c r="N101" i="11"/>
  <c r="N98" i="11"/>
  <c r="N113" i="11"/>
  <c r="N95" i="11"/>
  <c r="N90" i="11"/>
  <c r="N112" i="11"/>
  <c r="N80" i="11"/>
  <c r="N97" i="11"/>
  <c r="N79" i="11"/>
  <c r="N109" i="11"/>
  <c r="N83" i="11"/>
  <c r="N92" i="11"/>
  <c r="N78" i="11"/>
  <c r="N82" i="11"/>
  <c r="N111" i="11"/>
  <c r="N115" i="11"/>
  <c r="N89" i="11"/>
  <c r="N102" i="11"/>
  <c r="N84" i="11"/>
  <c r="N91" i="11"/>
  <c r="N96" i="11"/>
  <c r="N106" i="11"/>
  <c r="N87" i="11"/>
  <c r="N114" i="11"/>
  <c r="N116" i="11"/>
  <c r="N76" i="11"/>
  <c r="N77" i="11"/>
  <c r="N99" i="11"/>
  <c r="N105" i="11"/>
  <c r="N119" i="11"/>
  <c r="N85" i="11"/>
  <c r="N103" i="11"/>
  <c r="N88" i="11"/>
  <c r="M140" i="11"/>
  <c r="M135" i="11"/>
  <c r="M156" i="11"/>
  <c r="M129" i="11"/>
  <c r="M166" i="11"/>
  <c r="M158" i="11"/>
  <c r="M139" i="11"/>
  <c r="M147" i="11"/>
  <c r="M128" i="11"/>
  <c r="M165" i="11"/>
  <c r="M152" i="11"/>
  <c r="M146" i="11"/>
  <c r="M148" i="11"/>
  <c r="M137" i="11"/>
  <c r="M160" i="11"/>
  <c r="M145" i="11"/>
  <c r="M155" i="11"/>
  <c r="M163" i="11"/>
  <c r="M144" i="11"/>
  <c r="M168" i="11"/>
  <c r="M161" i="11"/>
  <c r="M151" i="11"/>
  <c r="M131" i="11"/>
  <c r="M141" i="11"/>
  <c r="M134" i="11"/>
  <c r="M132" i="11"/>
  <c r="M138" i="11"/>
  <c r="M149" i="11"/>
  <c r="D30" i="15" s="1"/>
  <c r="M153" i="11"/>
  <c r="D34" i="15" s="1"/>
  <c r="M171" i="11"/>
  <c r="M157" i="11"/>
  <c r="M130" i="11"/>
  <c r="M164" i="11"/>
  <c r="M162" i="11"/>
  <c r="M133" i="11"/>
  <c r="M136" i="11"/>
  <c r="M159" i="11"/>
  <c r="M169" i="11"/>
  <c r="M167" i="11"/>
  <c r="M142" i="11"/>
  <c r="M150" i="11"/>
  <c r="M170" i="11"/>
  <c r="M143" i="11"/>
  <c r="M154" i="11"/>
  <c r="N78" i="21"/>
  <c r="N82" i="21"/>
  <c r="N86" i="21"/>
  <c r="N90" i="21"/>
  <c r="N94" i="21"/>
  <c r="N98" i="21"/>
  <c r="N102" i="21"/>
  <c r="N106" i="21"/>
  <c r="N110" i="21"/>
  <c r="N114" i="21"/>
  <c r="N118" i="21"/>
  <c r="N79" i="21"/>
  <c r="N83" i="21"/>
  <c r="N87" i="21"/>
  <c r="N91" i="21"/>
  <c r="N95" i="21"/>
  <c r="N99" i="21"/>
  <c r="N103" i="21"/>
  <c r="N107" i="21"/>
  <c r="N111" i="21"/>
  <c r="N115" i="21"/>
  <c r="N119" i="21"/>
  <c r="N76" i="21"/>
  <c r="N80" i="21"/>
  <c r="N84" i="21"/>
  <c r="N88" i="21"/>
  <c r="N92" i="21"/>
  <c r="N96" i="21"/>
  <c r="N100" i="21"/>
  <c r="N104" i="21"/>
  <c r="N108" i="21"/>
  <c r="N112" i="21"/>
  <c r="N116" i="21"/>
  <c r="N77" i="21"/>
  <c r="N81" i="21"/>
  <c r="N85" i="21"/>
  <c r="N89" i="21"/>
  <c r="N93" i="21"/>
  <c r="N97" i="21"/>
  <c r="N101" i="21"/>
  <c r="N105" i="21"/>
  <c r="N109" i="21"/>
  <c r="N113" i="21"/>
  <c r="N117" i="21"/>
  <c r="AA89" i="11"/>
  <c r="AA95" i="11"/>
  <c r="AA86" i="11"/>
  <c r="AA100" i="11"/>
  <c r="AA98" i="11"/>
  <c r="AA104" i="11"/>
  <c r="AA79" i="11"/>
  <c r="AA107" i="11"/>
  <c r="AA83" i="11"/>
  <c r="AA84" i="11"/>
  <c r="AA119" i="11"/>
  <c r="AA112" i="11"/>
  <c r="AA93" i="11"/>
  <c r="AA96" i="11"/>
  <c r="AA81" i="11"/>
  <c r="AA97" i="11"/>
  <c r="AA109" i="11"/>
  <c r="AA102" i="11"/>
  <c r="AA87" i="11"/>
  <c r="AA78" i="11"/>
  <c r="AA115" i="11"/>
  <c r="AA111" i="11"/>
  <c r="AA94" i="11"/>
  <c r="AA106" i="11"/>
  <c r="AA118" i="11"/>
  <c r="AA76" i="11"/>
  <c r="AA103" i="11"/>
  <c r="AA82" i="11"/>
  <c r="AA80" i="11"/>
  <c r="AA116" i="11"/>
  <c r="AA85" i="11"/>
  <c r="AA88" i="11"/>
  <c r="AA114" i="11"/>
  <c r="AA110" i="11"/>
  <c r="AA99" i="11"/>
  <c r="AA91" i="11"/>
  <c r="AA92" i="11"/>
  <c r="AA113" i="11"/>
  <c r="AA117" i="11"/>
  <c r="AA77" i="11"/>
  <c r="AA101" i="11"/>
  <c r="AA90" i="11"/>
  <c r="AA108" i="11"/>
  <c r="AA105" i="11"/>
  <c r="AF301" i="13"/>
  <c r="M264" i="11"/>
  <c r="M274" i="11"/>
  <c r="M263" i="11"/>
  <c r="M275" i="11"/>
  <c r="M270" i="11"/>
  <c r="M220" i="11"/>
  <c r="M292" i="11"/>
  <c r="G15" i="15" s="1"/>
  <c r="G15" i="26" s="1"/>
  <c r="AA15" i="26" s="1"/>
  <c r="M261" i="11"/>
  <c r="M238" i="11"/>
  <c r="M198" i="11"/>
  <c r="M245" i="11"/>
  <c r="M256" i="11"/>
  <c r="M318" i="11"/>
  <c r="M306" i="11"/>
  <c r="M241" i="11"/>
  <c r="M302" i="11"/>
  <c r="M267" i="11"/>
  <c r="M316" i="11"/>
  <c r="M243" i="11"/>
  <c r="M321" i="11"/>
  <c r="M253" i="11"/>
  <c r="M244" i="11"/>
  <c r="M182" i="11"/>
  <c r="M197" i="11"/>
  <c r="M268" i="11"/>
  <c r="M269" i="11"/>
  <c r="M259" i="11"/>
  <c r="M202" i="11"/>
  <c r="M223" i="11"/>
  <c r="M255" i="11"/>
  <c r="M291" i="11"/>
  <c r="M320" i="11"/>
  <c r="M260" i="11"/>
  <c r="M190" i="11"/>
  <c r="M214" i="11"/>
  <c r="M211" i="11"/>
  <c r="M288" i="11"/>
  <c r="M290" i="11"/>
  <c r="M271" i="11"/>
  <c r="M183" i="11"/>
  <c r="M210" i="11"/>
  <c r="M181" i="11"/>
  <c r="M303" i="11"/>
  <c r="M293" i="11"/>
  <c r="M233" i="11"/>
  <c r="M219" i="11"/>
  <c r="M252" i="11"/>
  <c r="M294" i="11"/>
  <c r="M299" i="11"/>
  <c r="M195" i="11"/>
  <c r="M185" i="11"/>
  <c r="M307" i="11"/>
  <c r="M186" i="11"/>
  <c r="M247" i="11"/>
  <c r="M308" i="11"/>
  <c r="M315" i="11"/>
  <c r="M208" i="11"/>
  <c r="M196" i="11"/>
  <c r="N119" i="13"/>
  <c r="N78" i="13"/>
  <c r="N80" i="13"/>
  <c r="N82" i="13"/>
  <c r="N118" i="13"/>
  <c r="N95" i="13"/>
  <c r="I28" i="14" s="1"/>
  <c r="N116" i="13"/>
  <c r="N77" i="13"/>
  <c r="N94" i="13"/>
  <c r="N115" i="13"/>
  <c r="N99" i="13"/>
  <c r="N117" i="13"/>
  <c r="N104" i="13"/>
  <c r="N113" i="13"/>
  <c r="N100" i="13"/>
  <c r="N89" i="13"/>
  <c r="N91" i="13"/>
  <c r="N114" i="13"/>
  <c r="N101" i="13"/>
  <c r="N110" i="13"/>
  <c r="N92" i="13"/>
  <c r="N81" i="13"/>
  <c r="N105" i="13"/>
  <c r="N86" i="13"/>
  <c r="N97" i="13"/>
  <c r="N96" i="13"/>
  <c r="N98" i="13"/>
  <c r="N88" i="13"/>
  <c r="N90" i="13"/>
  <c r="N111" i="13"/>
  <c r="N103" i="13"/>
  <c r="N109" i="13"/>
  <c r="N108" i="13"/>
  <c r="N107" i="13"/>
  <c r="N106" i="13"/>
  <c r="N83" i="13"/>
  <c r="N93" i="13"/>
  <c r="N84" i="13"/>
  <c r="N76" i="13"/>
  <c r="N85" i="13"/>
  <c r="N79" i="13"/>
  <c r="N87" i="13"/>
  <c r="N102" i="13"/>
  <c r="N112" i="13"/>
  <c r="AF305" i="13"/>
  <c r="M265" i="11"/>
  <c r="F41" i="15" s="1"/>
  <c r="M188" i="11"/>
  <c r="M323" i="11"/>
  <c r="M205" i="11"/>
  <c r="M298" i="11"/>
  <c r="M191" i="11"/>
  <c r="M276" i="11"/>
  <c r="M206" i="11"/>
  <c r="M262" i="11"/>
  <c r="M314" i="11"/>
  <c r="M213" i="11"/>
  <c r="AF312" i="11"/>
  <c r="AF271" i="11"/>
  <c r="AF239" i="11"/>
  <c r="AF198" i="11"/>
  <c r="AF303" i="11"/>
  <c r="AF262" i="11"/>
  <c r="AF221" i="11"/>
  <c r="AF326" i="11"/>
  <c r="AF294" i="11"/>
  <c r="AF253" i="11"/>
  <c r="AF212" i="11"/>
  <c r="AF180" i="11"/>
  <c r="AF321" i="11"/>
  <c r="AF248" i="11"/>
  <c r="AF301" i="11"/>
  <c r="AF211" i="11"/>
  <c r="AF149" i="11"/>
  <c r="AF141" i="11"/>
  <c r="AF117" i="11"/>
  <c r="AF129" i="11"/>
  <c r="AF169" i="11"/>
  <c r="AF105" i="11"/>
  <c r="AF143" i="11"/>
  <c r="AF85" i="11"/>
  <c r="AF95" i="11"/>
  <c r="AF153" i="11"/>
  <c r="AF99" i="11"/>
  <c r="AF308" i="11"/>
  <c r="AF267" i="11"/>
  <c r="AF235" i="11"/>
  <c r="AF194" i="11"/>
  <c r="AF299" i="11"/>
  <c r="AF258" i="11"/>
  <c r="AF217" i="11"/>
  <c r="AF322" i="11"/>
  <c r="AF290" i="11"/>
  <c r="AF249" i="11"/>
  <c r="AF208" i="11"/>
  <c r="AF309" i="11"/>
  <c r="AF313" i="11"/>
  <c r="AF240" i="11"/>
  <c r="AF244" i="11"/>
  <c r="AF293" i="11"/>
  <c r="AF145" i="11"/>
  <c r="AF137" i="11"/>
  <c r="AF80" i="11"/>
  <c r="AF111" i="11"/>
  <c r="AF166" i="11"/>
  <c r="AF81" i="11"/>
  <c r="AF132" i="11"/>
  <c r="AF157" i="11"/>
  <c r="AF102" i="11"/>
  <c r="AF138" i="11"/>
  <c r="AF106" i="11"/>
  <c r="AF304" i="11"/>
  <c r="AF263" i="11"/>
  <c r="AF222" i="11"/>
  <c r="AF327" i="11"/>
  <c r="AF295" i="11"/>
  <c r="AF254" i="11"/>
  <c r="AF213" i="11"/>
  <c r="AF318" i="11"/>
  <c r="AF286" i="11"/>
  <c r="AF245" i="11"/>
  <c r="AF204" i="11"/>
  <c r="AF252" i="11"/>
  <c r="AF305" i="11"/>
  <c r="AF223" i="11"/>
  <c r="AF276" i="11"/>
  <c r="AF236" i="11"/>
  <c r="AF130" i="11"/>
  <c r="AF93" i="11"/>
  <c r="AF87" i="11"/>
  <c r="AF77" i="11"/>
  <c r="AF155" i="11"/>
  <c r="AF88" i="11"/>
  <c r="AF128" i="11"/>
  <c r="AF116" i="11"/>
  <c r="AF78" i="11"/>
  <c r="AF83" i="11"/>
  <c r="AF113" i="11"/>
  <c r="AF300" i="11"/>
  <c r="AF259" i="11"/>
  <c r="AF218" i="11"/>
  <c r="AF323" i="11"/>
  <c r="AF291" i="11"/>
  <c r="AF250" i="11"/>
  <c r="AF209" i="11"/>
  <c r="AF314" i="11"/>
  <c r="AF273" i="11"/>
  <c r="AF241" i="11"/>
  <c r="AF200" i="11"/>
  <c r="AF187" i="11"/>
  <c r="AF297" i="11"/>
  <c r="AF215" i="11"/>
  <c r="AF190" i="11"/>
  <c r="AF203" i="11"/>
  <c r="AF110" i="11"/>
  <c r="AF97" i="11"/>
  <c r="AF163" i="11"/>
  <c r="AF84" i="11"/>
  <c r="AF151" i="11"/>
  <c r="AF92" i="11"/>
  <c r="AF98" i="11"/>
  <c r="AF90" i="11"/>
  <c r="AF82" i="11"/>
  <c r="AF165" i="11"/>
  <c r="AF103" i="11"/>
  <c r="AF328" i="11"/>
  <c r="AF296" i="11"/>
  <c r="AF255" i="11"/>
  <c r="AF214" i="11"/>
  <c r="AF319" i="11"/>
  <c r="AF287" i="11"/>
  <c r="AF246" i="11"/>
  <c r="AF205" i="11"/>
  <c r="AF310" i="11"/>
  <c r="AF269" i="11"/>
  <c r="AF237" i="11"/>
  <c r="AF196" i="11"/>
  <c r="AF325" i="11"/>
  <c r="AF289" i="11"/>
  <c r="AF207" i="11"/>
  <c r="AF186" i="11"/>
  <c r="AF181" i="11"/>
  <c r="AF170" i="11"/>
  <c r="AF100" i="11"/>
  <c r="AF159" i="11"/>
  <c r="AF171" i="11"/>
  <c r="AF140" i="11"/>
  <c r="AF91" i="11"/>
  <c r="AF108" i="11"/>
  <c r="AF154" i="11"/>
  <c r="AF89" i="11"/>
  <c r="AF161" i="11"/>
  <c r="AF86" i="11"/>
  <c r="AF324" i="11"/>
  <c r="AF292" i="11"/>
  <c r="AF251" i="11"/>
  <c r="AF210" i="11"/>
  <c r="AF315" i="11"/>
  <c r="AF274" i="11"/>
  <c r="AF242" i="11"/>
  <c r="AF201" i="11"/>
  <c r="AF306" i="11"/>
  <c r="AF265" i="11"/>
  <c r="AF233" i="11"/>
  <c r="AF192" i="11"/>
  <c r="AF268" i="11"/>
  <c r="AF272" i="11"/>
  <c r="AF199" i="11"/>
  <c r="AF182" i="11"/>
  <c r="AF195" i="11"/>
  <c r="AF167" i="11"/>
  <c r="AF104" i="11"/>
  <c r="AF148" i="11"/>
  <c r="AF134" i="11"/>
  <c r="AF136" i="11"/>
  <c r="AF162" i="11"/>
  <c r="AF112" i="11"/>
  <c r="AF150" i="11"/>
  <c r="AF109" i="11"/>
  <c r="AF146" i="11"/>
  <c r="AF76" i="11"/>
  <c r="Z104" i="11"/>
  <c r="Z106" i="11"/>
  <c r="Z105" i="11"/>
  <c r="Z95" i="11"/>
  <c r="Z91" i="11"/>
  <c r="AF320" i="11"/>
  <c r="AF288" i="11"/>
  <c r="AF247" i="11"/>
  <c r="AF206" i="11"/>
  <c r="AF311" i="11"/>
  <c r="AF270" i="11"/>
  <c r="AF238" i="11"/>
  <c r="AF197" i="11"/>
  <c r="AF302" i="11"/>
  <c r="AF261" i="11"/>
  <c r="AF220" i="11"/>
  <c r="AF188" i="11"/>
  <c r="AF219" i="11"/>
  <c r="AF264" i="11"/>
  <c r="AF191" i="11"/>
  <c r="AF317" i="11"/>
  <c r="AF189" i="11"/>
  <c r="AF164" i="11"/>
  <c r="AF156" i="11"/>
  <c r="AF107" i="11"/>
  <c r="AF144" i="11"/>
  <c r="AF96" i="11"/>
  <c r="AF94" i="11"/>
  <c r="AF158" i="11"/>
  <c r="AF115" i="11"/>
  <c r="AF139" i="11"/>
  <c r="AF119" i="11"/>
  <c r="AF142" i="11"/>
  <c r="AF316" i="11"/>
  <c r="AF275" i="11"/>
  <c r="AF243" i="11"/>
  <c r="AF202" i="11"/>
  <c r="AF307" i="11"/>
  <c r="AF266" i="11"/>
  <c r="AF234" i="11"/>
  <c r="AF193" i="11"/>
  <c r="AF298" i="11"/>
  <c r="AF257" i="11"/>
  <c r="AF216" i="11"/>
  <c r="AF184" i="11"/>
  <c r="AF329" i="11"/>
  <c r="AF256" i="11"/>
  <c r="AF183" i="11"/>
  <c r="AF260" i="11"/>
  <c r="AF185" i="11"/>
  <c r="AF160" i="11"/>
  <c r="AF152" i="11"/>
  <c r="AF114" i="11"/>
  <c r="AF133" i="11"/>
  <c r="AF79" i="11"/>
  <c r="AF101" i="11"/>
  <c r="AF147" i="11"/>
  <c r="AF118" i="11"/>
  <c r="AF135" i="11"/>
  <c r="AF168" i="11"/>
  <c r="AF131" i="11"/>
  <c r="Z88" i="11"/>
  <c r="Z85" i="11"/>
  <c r="Z119" i="11"/>
  <c r="Z89" i="11"/>
  <c r="Z80" i="11"/>
  <c r="Z109" i="11"/>
  <c r="Z83" i="11"/>
  <c r="Z114" i="11"/>
  <c r="Z99" i="11"/>
  <c r="Z77" i="11"/>
  <c r="Z110" i="11"/>
  <c r="Z115" i="11"/>
  <c r="Z94" i="11"/>
  <c r="Z90" i="11"/>
  <c r="Z103" i="11"/>
  <c r="Z112" i="11"/>
  <c r="Z79" i="11"/>
  <c r="Z93" i="11"/>
  <c r="Z97" i="11"/>
  <c r="Z82" i="11"/>
  <c r="Z87" i="11"/>
  <c r="Z76" i="11"/>
  <c r="Z84" i="11"/>
  <c r="Z117" i="11"/>
  <c r="Z111" i="11"/>
  <c r="Z116" i="11"/>
  <c r="Z78" i="11"/>
  <c r="Z113" i="11"/>
  <c r="Z92" i="11"/>
  <c r="Z118" i="11"/>
  <c r="Z107" i="11"/>
  <c r="Z98" i="11"/>
  <c r="Z81" i="11"/>
  <c r="Z101" i="11"/>
  <c r="Z86" i="11"/>
  <c r="Z100" i="11"/>
  <c r="Z96" i="11"/>
  <c r="Z102" i="11"/>
  <c r="Z108" i="11"/>
  <c r="M235" i="11"/>
  <c r="M215" i="11"/>
  <c r="M309" i="11"/>
  <c r="M216" i="11"/>
  <c r="M325" i="11"/>
  <c r="M218" i="11"/>
  <c r="M310" i="11"/>
  <c r="M199" i="11"/>
  <c r="M286" i="11"/>
  <c r="M257" i="11"/>
  <c r="AA78" i="21"/>
  <c r="AA82" i="21"/>
  <c r="AA86" i="21"/>
  <c r="AA90" i="21"/>
  <c r="AA94" i="21"/>
  <c r="AA98" i="21"/>
  <c r="AA102" i="21"/>
  <c r="AA106" i="21"/>
  <c r="AA110" i="21"/>
  <c r="AA114" i="21"/>
  <c r="AA118" i="21"/>
  <c r="AA79" i="21"/>
  <c r="AA83" i="21"/>
  <c r="AA87" i="21"/>
  <c r="AA91" i="21"/>
  <c r="AA95" i="21"/>
  <c r="AA99" i="21"/>
  <c r="AA103" i="21"/>
  <c r="AA107" i="21"/>
  <c r="AA111" i="21"/>
  <c r="AA115" i="21"/>
  <c r="AA119" i="21"/>
  <c r="AA76" i="21"/>
  <c r="AA80" i="21"/>
  <c r="AA84" i="21"/>
  <c r="AA88" i="21"/>
  <c r="AA92" i="21"/>
  <c r="AA96" i="21"/>
  <c r="AA100" i="21"/>
  <c r="AA104" i="21"/>
  <c r="AA108" i="21"/>
  <c r="AA112" i="21"/>
  <c r="AA116" i="21"/>
  <c r="AA77" i="21"/>
  <c r="AA81" i="21"/>
  <c r="AA85" i="21"/>
  <c r="AA89" i="21"/>
  <c r="AA93" i="21"/>
  <c r="AA97" i="21"/>
  <c r="AA101" i="21"/>
  <c r="AA105" i="21"/>
  <c r="AA109" i="21"/>
  <c r="AA113" i="21"/>
  <c r="AA117" i="21"/>
  <c r="BE61" i="21"/>
  <c r="BH61" i="21"/>
  <c r="BD61" i="21"/>
  <c r="BG61" i="21"/>
  <c r="BF61" i="21"/>
  <c r="AB221" i="11" a="1"/>
  <c r="AB221" i="11" s="1"/>
  <c r="AC221" i="11" a="1"/>
  <c r="AC221" i="11" s="1"/>
  <c r="V64" i="11"/>
  <c r="Q65" i="11"/>
  <c r="AF65" i="11" s="1"/>
  <c r="R54" i="11"/>
  <c r="AG54" i="11" s="1"/>
  <c r="AV64" i="21"/>
  <c r="BA64" i="21" s="1"/>
  <c r="W65" i="21"/>
  <c r="AG65" i="21"/>
  <c r="BF63" i="21"/>
  <c r="BE63" i="21"/>
  <c r="BD63" i="21"/>
  <c r="BH63" i="21"/>
  <c r="BG63" i="21"/>
  <c r="AA319" i="13"/>
  <c r="AA194" i="13"/>
  <c r="AA210" i="13"/>
  <c r="AA187" i="13"/>
  <c r="AA203" i="13"/>
  <c r="AA219" i="13"/>
  <c r="AA243" i="13"/>
  <c r="AA259" i="13"/>
  <c r="AA275" i="13"/>
  <c r="AA300" i="13"/>
  <c r="AA316" i="13"/>
  <c r="AA223" i="13"/>
  <c r="AA248" i="13"/>
  <c r="AA264" i="13"/>
  <c r="AA289" i="13"/>
  <c r="AA305" i="13"/>
  <c r="AA321" i="13"/>
  <c r="AA180" i="13"/>
  <c r="AA196" i="13"/>
  <c r="AA212" i="13"/>
  <c r="AA189" i="13"/>
  <c r="AA205" i="13"/>
  <c r="AA220" i="13"/>
  <c r="AA245" i="13"/>
  <c r="AA261" i="13"/>
  <c r="AA286" i="13"/>
  <c r="AA302" i="13"/>
  <c r="AA318" i="13"/>
  <c r="AA234" i="13"/>
  <c r="AA250" i="13"/>
  <c r="AA266" i="13"/>
  <c r="AA291" i="13"/>
  <c r="AA307" i="13"/>
  <c r="AA323" i="13"/>
  <c r="AA182" i="13"/>
  <c r="AA198" i="13"/>
  <c r="AA214" i="13"/>
  <c r="AA191" i="13"/>
  <c r="AA207" i="13"/>
  <c r="AA222" i="13"/>
  <c r="AA247" i="13"/>
  <c r="AA263" i="13"/>
  <c r="AA288" i="13"/>
  <c r="AA304" i="13"/>
  <c r="AA320" i="13"/>
  <c r="AA236" i="13"/>
  <c r="AA252" i="13"/>
  <c r="AA268" i="13"/>
  <c r="AA293" i="13"/>
  <c r="AA309" i="13"/>
  <c r="AA325" i="13"/>
  <c r="AA184" i="13"/>
  <c r="AA200" i="13"/>
  <c r="AA216" i="13"/>
  <c r="AA193" i="13"/>
  <c r="AA209" i="13"/>
  <c r="AA233" i="13"/>
  <c r="AA249" i="13"/>
  <c r="AA265" i="13"/>
  <c r="AA290" i="13"/>
  <c r="AA306" i="13"/>
  <c r="AA322" i="13"/>
  <c r="AA238" i="13"/>
  <c r="AA254" i="13"/>
  <c r="AA270" i="13"/>
  <c r="AA295" i="13"/>
  <c r="AA311" i="13"/>
  <c r="AA327" i="13"/>
  <c r="AA186" i="13"/>
  <c r="AA202" i="13"/>
  <c r="AA218" i="13"/>
  <c r="AA195" i="13"/>
  <c r="AA211" i="13"/>
  <c r="AA235" i="13"/>
  <c r="AA251" i="13"/>
  <c r="AA267" i="13"/>
  <c r="AA292" i="13"/>
  <c r="AA308" i="13"/>
  <c r="AA324" i="13"/>
  <c r="AA240" i="13"/>
  <c r="AA256" i="13"/>
  <c r="AA272" i="13"/>
  <c r="AA297" i="13"/>
  <c r="AA313" i="13"/>
  <c r="AA329" i="13"/>
  <c r="AA188" i="13"/>
  <c r="AA204" i="13"/>
  <c r="AA181" i="13"/>
  <c r="AA197" i="13"/>
  <c r="AA213" i="13"/>
  <c r="AA237" i="13"/>
  <c r="AA253" i="13"/>
  <c r="AA269" i="13"/>
  <c r="AA294" i="13"/>
  <c r="AA310" i="13"/>
  <c r="AA326" i="13"/>
  <c r="AA242" i="13"/>
  <c r="AA258" i="13"/>
  <c r="AA274" i="13"/>
  <c r="AA299" i="13"/>
  <c r="AA315" i="13"/>
  <c r="AA157" i="13"/>
  <c r="AA141" i="13"/>
  <c r="AA168" i="13"/>
  <c r="AA152" i="13"/>
  <c r="AA136" i="13"/>
  <c r="AA171" i="13"/>
  <c r="AA155" i="13"/>
  <c r="AA139" i="13"/>
  <c r="AA166" i="13"/>
  <c r="AA150" i="13"/>
  <c r="AA134" i="13"/>
  <c r="AA169" i="13"/>
  <c r="AA153" i="13"/>
  <c r="AA137" i="13"/>
  <c r="AA164" i="13"/>
  <c r="AA148" i="13"/>
  <c r="AA132" i="13"/>
  <c r="AA167" i="13"/>
  <c r="AA151" i="13"/>
  <c r="AA135" i="13"/>
  <c r="AA162" i="13"/>
  <c r="AA146" i="13"/>
  <c r="AA130" i="13"/>
  <c r="AA165" i="13"/>
  <c r="AA149" i="13"/>
  <c r="AA133" i="13"/>
  <c r="AA160" i="13"/>
  <c r="AA144" i="13"/>
  <c r="AA128" i="13"/>
  <c r="AA163" i="13"/>
  <c r="AA147" i="13"/>
  <c r="AA131" i="13"/>
  <c r="AA158" i="13"/>
  <c r="AA142" i="13"/>
  <c r="AA161" i="13"/>
  <c r="AA145" i="13"/>
  <c r="AA129" i="13"/>
  <c r="AA156" i="13"/>
  <c r="AA140" i="13"/>
  <c r="AA159" i="13"/>
  <c r="AA143" i="13"/>
  <c r="AA170" i="13"/>
  <c r="AA154" i="13"/>
  <c r="AA138" i="13"/>
  <c r="AA190" i="13"/>
  <c r="AA206" i="13"/>
  <c r="AA183" i="13"/>
  <c r="AA199" i="13"/>
  <c r="AA215" i="13"/>
  <c r="AA239" i="13"/>
  <c r="AA255" i="13"/>
  <c r="AA271" i="13"/>
  <c r="AA296" i="13"/>
  <c r="AA312" i="13"/>
  <c r="AA328" i="13"/>
  <c r="AA244" i="13"/>
  <c r="AA260" i="13"/>
  <c r="AA276" i="13"/>
  <c r="AA301" i="13"/>
  <c r="AA317" i="13"/>
  <c r="AA192" i="13"/>
  <c r="AA208" i="13"/>
  <c r="AA185" i="13"/>
  <c r="AA201" i="13"/>
  <c r="AA217" i="13"/>
  <c r="AA241" i="13"/>
  <c r="AA257" i="13"/>
  <c r="AA273" i="13"/>
  <c r="AA298" i="13"/>
  <c r="AA314" i="13"/>
  <c r="AA221" i="13"/>
  <c r="AA246" i="13"/>
  <c r="AA262" i="13"/>
  <c r="AA287" i="13"/>
  <c r="AA303" i="13"/>
  <c r="Z171" i="13"/>
  <c r="Z169" i="13"/>
  <c r="Z167" i="13"/>
  <c r="Z165" i="13"/>
  <c r="Z163" i="13"/>
  <c r="Z161" i="13"/>
  <c r="Z159" i="13"/>
  <c r="Z157" i="13"/>
  <c r="Z155" i="13"/>
  <c r="Z153" i="13"/>
  <c r="Z151" i="13"/>
  <c r="Z149" i="13"/>
  <c r="Z147" i="13"/>
  <c r="Z145" i="13"/>
  <c r="Z143" i="13"/>
  <c r="Z141" i="13"/>
  <c r="Z139" i="13"/>
  <c r="Z137" i="13"/>
  <c r="Z135" i="13"/>
  <c r="Z133" i="13"/>
  <c r="Z131" i="13"/>
  <c r="Z129" i="13"/>
  <c r="Z154" i="13"/>
  <c r="Z138" i="13"/>
  <c r="Z146" i="13"/>
  <c r="Z160" i="13"/>
  <c r="Z144" i="13"/>
  <c r="Z128" i="13"/>
  <c r="Z170" i="13"/>
  <c r="Z166" i="13"/>
  <c r="Z150" i="13"/>
  <c r="Z134" i="13"/>
  <c r="Z162" i="13"/>
  <c r="Z130" i="13"/>
  <c r="Z156" i="13"/>
  <c r="Z140" i="13"/>
  <c r="Z152" i="13"/>
  <c r="Z136" i="13"/>
  <c r="Z132" i="13"/>
  <c r="Z168" i="13"/>
  <c r="Z158" i="13"/>
  <c r="Z142" i="13"/>
  <c r="Z164" i="13"/>
  <c r="Z148" i="13"/>
  <c r="Z328" i="13"/>
  <c r="Z326" i="13"/>
  <c r="Z324" i="13"/>
  <c r="Z322" i="13"/>
  <c r="Z320" i="13"/>
  <c r="Z318" i="13"/>
  <c r="Z316" i="13"/>
  <c r="Z325" i="13"/>
  <c r="Z317" i="13"/>
  <c r="Z311" i="13"/>
  <c r="Z306" i="13"/>
  <c r="Z295" i="13"/>
  <c r="Z290" i="13"/>
  <c r="Z270" i="13"/>
  <c r="Z265" i="13"/>
  <c r="Z254" i="13"/>
  <c r="Z249" i="13"/>
  <c r="Z238" i="13"/>
  <c r="Z233" i="13"/>
  <c r="Z305" i="13"/>
  <c r="Z300" i="13"/>
  <c r="Z289" i="13"/>
  <c r="Z275" i="13"/>
  <c r="Z264" i="13"/>
  <c r="Z259" i="13"/>
  <c r="Z248" i="13"/>
  <c r="Z243" i="13"/>
  <c r="Z223" i="13"/>
  <c r="Z323" i="13"/>
  <c r="Z315" i="13"/>
  <c r="Z310" i="13"/>
  <c r="Z299" i="13"/>
  <c r="Z294" i="13"/>
  <c r="Z274" i="13"/>
  <c r="Z269" i="13"/>
  <c r="Z258" i="13"/>
  <c r="Z253" i="13"/>
  <c r="Z242" i="13"/>
  <c r="Z237" i="13"/>
  <c r="Z219" i="13"/>
  <c r="Z217" i="13"/>
  <c r="Z215" i="13"/>
  <c r="Z213" i="13"/>
  <c r="Z211" i="13"/>
  <c r="Z209" i="13"/>
  <c r="Z207" i="13"/>
  <c r="Z205" i="13"/>
  <c r="Z203" i="13"/>
  <c r="Z201" i="13"/>
  <c r="Z199" i="13"/>
  <c r="Z197" i="13"/>
  <c r="Z195" i="13"/>
  <c r="Z193" i="13"/>
  <c r="Z191" i="13"/>
  <c r="Z189" i="13"/>
  <c r="Z187" i="13"/>
  <c r="Z185" i="13"/>
  <c r="Z183" i="13"/>
  <c r="Z181" i="13"/>
  <c r="Z309" i="13"/>
  <c r="Z304" i="13"/>
  <c r="Z293" i="13"/>
  <c r="Z288" i="13"/>
  <c r="Z268" i="13"/>
  <c r="Z263" i="13"/>
  <c r="Z252" i="13"/>
  <c r="Z247" i="13"/>
  <c r="Z313" i="13"/>
  <c r="Z308" i="13"/>
  <c r="Z297" i="13"/>
  <c r="Z292" i="13"/>
  <c r="Z272" i="13"/>
  <c r="Z267" i="13"/>
  <c r="Z256" i="13"/>
  <c r="Z251" i="13"/>
  <c r="Z240" i="13"/>
  <c r="Z235" i="13"/>
  <c r="Z314" i="13"/>
  <c r="Z301" i="13"/>
  <c r="Z286" i="13"/>
  <c r="Z262" i="13"/>
  <c r="Z236" i="13"/>
  <c r="Z307" i="13"/>
  <c r="Z271" i="13"/>
  <c r="Z298" i="13"/>
  <c r="Z276" i="13"/>
  <c r="Z261" i="13"/>
  <c r="Z246" i="13"/>
  <c r="Z329" i="13"/>
  <c r="Z312" i="13"/>
  <c r="Z273" i="13"/>
  <c r="Z260" i="13"/>
  <c r="Z245" i="13"/>
  <c r="Z234" i="13"/>
  <c r="Z218" i="13"/>
  <c r="Z214" i="13"/>
  <c r="Z210" i="13"/>
  <c r="Z206" i="13"/>
  <c r="Z202" i="13"/>
  <c r="Z198" i="13"/>
  <c r="Z194" i="13"/>
  <c r="Z190" i="13"/>
  <c r="Z186" i="13"/>
  <c r="Z182" i="13"/>
  <c r="Z327" i="13"/>
  <c r="Z296" i="13"/>
  <c r="Z257" i="13"/>
  <c r="Z244" i="13"/>
  <c r="Z222" i="13"/>
  <c r="Z321" i="13"/>
  <c r="Z291" i="13"/>
  <c r="Z255" i="13"/>
  <c r="Z241" i="13"/>
  <c r="Z221" i="13"/>
  <c r="Z239" i="13"/>
  <c r="Z319" i="13"/>
  <c r="Z303" i="13"/>
  <c r="Z266" i="13"/>
  <c r="Z220" i="13"/>
  <c r="Z216" i="13"/>
  <c r="Z212" i="13"/>
  <c r="Z208" i="13"/>
  <c r="Z204" i="13"/>
  <c r="Z200" i="13"/>
  <c r="Z196" i="13"/>
  <c r="Z192" i="13"/>
  <c r="Z188" i="13"/>
  <c r="Z184" i="13"/>
  <c r="Z180" i="13"/>
  <c r="Z302" i="13"/>
  <c r="Z287" i="13"/>
  <c r="Z250" i="13"/>
  <c r="M170" i="13"/>
  <c r="M168" i="13"/>
  <c r="M161" i="13"/>
  <c r="M158" i="13"/>
  <c r="M145" i="13"/>
  <c r="M142" i="13"/>
  <c r="M129" i="13"/>
  <c r="M134" i="13"/>
  <c r="J15" i="15" s="1"/>
  <c r="J15" i="26" s="1"/>
  <c r="AD15" i="26" s="1"/>
  <c r="M171" i="13"/>
  <c r="J52" i="15" s="1"/>
  <c r="M167" i="13"/>
  <c r="M164" i="13"/>
  <c r="J45" i="15" s="1"/>
  <c r="M151" i="13"/>
  <c r="M148" i="13"/>
  <c r="M135" i="13"/>
  <c r="M132" i="13"/>
  <c r="M166" i="13"/>
  <c r="M150" i="13"/>
  <c r="M137" i="13"/>
  <c r="M157" i="13"/>
  <c r="M154" i="13"/>
  <c r="M141" i="13"/>
  <c r="M138" i="13"/>
  <c r="M153" i="13"/>
  <c r="M163" i="13"/>
  <c r="M160" i="13"/>
  <c r="M147" i="13"/>
  <c r="M144" i="13"/>
  <c r="J25" i="15" s="1"/>
  <c r="M131" i="13"/>
  <c r="M128" i="13"/>
  <c r="M169" i="13"/>
  <c r="M159" i="13"/>
  <c r="J40" i="15" s="1"/>
  <c r="M156" i="13"/>
  <c r="M143" i="13"/>
  <c r="M140" i="13"/>
  <c r="M152" i="13"/>
  <c r="M139" i="13"/>
  <c r="M165" i="13"/>
  <c r="M162" i="13"/>
  <c r="M149" i="13"/>
  <c r="M146" i="13"/>
  <c r="M133" i="13"/>
  <c r="M130" i="13"/>
  <c r="J11" i="15" s="1"/>
  <c r="J11" i="26" s="1"/>
  <c r="AD11" i="26" s="1"/>
  <c r="M155" i="13"/>
  <c r="M136" i="13"/>
  <c r="M328" i="13"/>
  <c r="M51" i="15" s="1"/>
  <c r="M326" i="13"/>
  <c r="M49" i="15" s="1"/>
  <c r="M324" i="13"/>
  <c r="M47" i="15" s="1"/>
  <c r="M322" i="13"/>
  <c r="M45" i="15" s="1"/>
  <c r="M320" i="13"/>
  <c r="M43" i="15" s="1"/>
  <c r="M318" i="13"/>
  <c r="M41" i="15" s="1"/>
  <c r="M316" i="13"/>
  <c r="M39" i="15" s="1"/>
  <c r="M314" i="13"/>
  <c r="M312" i="13"/>
  <c r="M310" i="13"/>
  <c r="M308" i="13"/>
  <c r="M306" i="13"/>
  <c r="M304" i="13"/>
  <c r="M27" i="15" s="1"/>
  <c r="M27" i="26" s="1"/>
  <c r="AG27" i="26" s="1"/>
  <c r="M302" i="13"/>
  <c r="M300" i="13"/>
  <c r="M298" i="13"/>
  <c r="M296" i="13"/>
  <c r="M294" i="13"/>
  <c r="M292" i="13"/>
  <c r="M290" i="13"/>
  <c r="M288" i="13"/>
  <c r="M286" i="13"/>
  <c r="M275" i="13"/>
  <c r="L51" i="15" s="1"/>
  <c r="M273" i="13"/>
  <c r="M271" i="13"/>
  <c r="M269" i="13"/>
  <c r="M267" i="13"/>
  <c r="M265" i="13"/>
  <c r="M263" i="13"/>
  <c r="M261" i="13"/>
  <c r="M259" i="13"/>
  <c r="M257" i="13"/>
  <c r="M255" i="13"/>
  <c r="M253" i="13"/>
  <c r="M251" i="13"/>
  <c r="M249" i="13"/>
  <c r="M247" i="13"/>
  <c r="M245" i="13"/>
  <c r="M243" i="13"/>
  <c r="M241" i="13"/>
  <c r="M239" i="13"/>
  <c r="M237" i="13"/>
  <c r="M235" i="13"/>
  <c r="M233" i="13"/>
  <c r="M222" i="13"/>
  <c r="M301" i="13"/>
  <c r="M276" i="13"/>
  <c r="M260" i="13"/>
  <c r="M244" i="13"/>
  <c r="M220" i="13"/>
  <c r="M218" i="13"/>
  <c r="M216" i="13"/>
  <c r="M214" i="13"/>
  <c r="M212" i="13"/>
  <c r="M210" i="13"/>
  <c r="M208" i="13"/>
  <c r="M206" i="13"/>
  <c r="M204" i="13"/>
  <c r="M202" i="13"/>
  <c r="M200" i="13"/>
  <c r="M198" i="13"/>
  <c r="M196" i="13"/>
  <c r="M194" i="13"/>
  <c r="M192" i="13"/>
  <c r="M190" i="13"/>
  <c r="M188" i="13"/>
  <c r="M186" i="13"/>
  <c r="M184" i="13"/>
  <c r="M182" i="13"/>
  <c r="M180" i="13"/>
  <c r="M325" i="13"/>
  <c r="M317" i="13"/>
  <c r="M311" i="13"/>
  <c r="M295" i="13"/>
  <c r="M270" i="13"/>
  <c r="M254" i="13"/>
  <c r="M238" i="13"/>
  <c r="M305" i="13"/>
  <c r="M289" i="13"/>
  <c r="M264" i="13"/>
  <c r="L40" i="15" s="1"/>
  <c r="M248" i="13"/>
  <c r="M223" i="13"/>
  <c r="M323" i="13"/>
  <c r="M315" i="13"/>
  <c r="M299" i="13"/>
  <c r="M274" i="13"/>
  <c r="M258" i="13"/>
  <c r="M329" i="13"/>
  <c r="M321" i="13"/>
  <c r="M303" i="13"/>
  <c r="M287" i="13"/>
  <c r="M10" i="15" s="1"/>
  <c r="M10" i="26" s="1"/>
  <c r="AG10" i="26" s="1"/>
  <c r="M262" i="13"/>
  <c r="M246" i="13"/>
  <c r="M221" i="13"/>
  <c r="M250" i="13"/>
  <c r="M313" i="13"/>
  <c r="M236" i="13"/>
  <c r="M219" i="13"/>
  <c r="M215" i="13"/>
  <c r="M211" i="13"/>
  <c r="K40" i="15" s="1"/>
  <c r="M207" i="13"/>
  <c r="M203" i="13"/>
  <c r="M199" i="13"/>
  <c r="M195" i="13"/>
  <c r="M191" i="13"/>
  <c r="M187" i="13"/>
  <c r="M183" i="13"/>
  <c r="M293" i="13"/>
  <c r="M242" i="13"/>
  <c r="M297" i="13"/>
  <c r="M256" i="13"/>
  <c r="M309" i="13"/>
  <c r="M272" i="13"/>
  <c r="M234" i="13"/>
  <c r="M327" i="13"/>
  <c r="M307" i="13"/>
  <c r="M268" i="13"/>
  <c r="M217" i="13"/>
  <c r="M213" i="13"/>
  <c r="M209" i="13"/>
  <c r="M205" i="13"/>
  <c r="M201" i="13"/>
  <c r="M197" i="13"/>
  <c r="M193" i="13"/>
  <c r="M189" i="13"/>
  <c r="M185" i="13"/>
  <c r="M181" i="13"/>
  <c r="M319" i="13"/>
  <c r="M266" i="13"/>
  <c r="M291" i="13"/>
  <c r="M252" i="13"/>
  <c r="M240" i="13"/>
  <c r="L16" i="15" s="1"/>
  <c r="L16" i="26" s="1"/>
  <c r="AF16" i="26" s="1"/>
  <c r="W53" i="11"/>
  <c r="V131" i="5"/>
  <c r="W131" i="5" s="1"/>
  <c r="W52" i="13"/>
  <c r="B52" i="11"/>
  <c r="U16" i="5"/>
  <c r="AD16" i="5" s="1"/>
  <c r="AB68" i="5"/>
  <c r="H68" i="5"/>
  <c r="F68" i="5"/>
  <c r="A69" i="5"/>
  <c r="P68" i="5"/>
  <c r="Z68" i="5"/>
  <c r="R68" i="5"/>
  <c r="AB50" i="13"/>
  <c r="AA64" i="11"/>
  <c r="AB53" i="11"/>
  <c r="AB65" i="21"/>
  <c r="J10" i="14" l="1"/>
  <c r="AF10" i="15" s="1"/>
  <c r="J17" i="14"/>
  <c r="AF17" i="15" s="1"/>
  <c r="AU64" i="11"/>
  <c r="AV53" i="11"/>
  <c r="AG164" i="13"/>
  <c r="AI164" i="13" s="1"/>
  <c r="S19" i="14"/>
  <c r="AO19" i="15" s="1"/>
  <c r="M20" i="15"/>
  <c r="M20" i="26" s="1"/>
  <c r="AG20" i="26" s="1"/>
  <c r="P42" i="14"/>
  <c r="K51" i="15"/>
  <c r="P14" i="14"/>
  <c r="AL14" i="15" s="1"/>
  <c r="P13" i="14"/>
  <c r="AL13" i="15" s="1"/>
  <c r="P24" i="14"/>
  <c r="P35" i="14"/>
  <c r="P46" i="14"/>
  <c r="AQ50" i="13"/>
  <c r="AR50" i="13"/>
  <c r="AO50" i="13"/>
  <c r="AP50" i="13"/>
  <c r="AN50" i="13"/>
  <c r="AR52" i="11"/>
  <c r="AP52" i="11"/>
  <c r="AN52" i="11"/>
  <c r="AQ52" i="11"/>
  <c r="AO52" i="11"/>
  <c r="AH182" i="13"/>
  <c r="K12" i="24" s="1"/>
  <c r="AI182" i="13"/>
  <c r="K16" i="5"/>
  <c r="T15" i="5"/>
  <c r="X127" i="5"/>
  <c r="Y127" i="5" s="1"/>
  <c r="J15" i="5"/>
  <c r="A16" i="5"/>
  <c r="K34" i="15"/>
  <c r="G50" i="15"/>
  <c r="K25" i="15"/>
  <c r="K17" i="15"/>
  <c r="K17" i="26" s="1"/>
  <c r="AE17" i="26" s="1"/>
  <c r="K49" i="15"/>
  <c r="K18" i="15"/>
  <c r="K18" i="26" s="1"/>
  <c r="AE18" i="26" s="1"/>
  <c r="K15" i="15"/>
  <c r="K15" i="26" s="1"/>
  <c r="AE15" i="26" s="1"/>
  <c r="K47" i="15"/>
  <c r="K30" i="15"/>
  <c r="K48" i="15"/>
  <c r="K16" i="15"/>
  <c r="K16" i="26" s="1"/>
  <c r="AE16" i="26" s="1"/>
  <c r="K52" i="15"/>
  <c r="K33" i="15"/>
  <c r="K20" i="15"/>
  <c r="K20" i="26" s="1"/>
  <c r="AE20" i="26" s="1"/>
  <c r="K19" i="15"/>
  <c r="K19" i="26" s="1"/>
  <c r="AE19" i="26" s="1"/>
  <c r="K38" i="15"/>
  <c r="K23" i="15"/>
  <c r="K23" i="26" s="1"/>
  <c r="AE23" i="26" s="1"/>
  <c r="K22" i="15"/>
  <c r="K22" i="26" s="1"/>
  <c r="AE22" i="26" s="1"/>
  <c r="K10" i="15"/>
  <c r="K10" i="26" s="1"/>
  <c r="AE10" i="26" s="1"/>
  <c r="K42" i="15"/>
  <c r="K32" i="15"/>
  <c r="K13" i="15"/>
  <c r="K13" i="26" s="1"/>
  <c r="AE13" i="26" s="1"/>
  <c r="K45" i="15"/>
  <c r="K22" i="14"/>
  <c r="AG22" i="15" s="1"/>
  <c r="K20" i="14"/>
  <c r="K37" i="14"/>
  <c r="K46" i="14"/>
  <c r="K12" i="14"/>
  <c r="AG12" i="15" s="1"/>
  <c r="K38" i="14"/>
  <c r="K33" i="14"/>
  <c r="K28" i="14"/>
  <c r="K43" i="14"/>
  <c r="K40" i="14"/>
  <c r="AG40" i="15" s="1"/>
  <c r="K44" i="14"/>
  <c r="K16" i="14"/>
  <c r="AG16" i="15" s="1"/>
  <c r="K35" i="15"/>
  <c r="K24" i="15"/>
  <c r="K21" i="15"/>
  <c r="K21" i="26" s="1"/>
  <c r="AE21" i="26" s="1"/>
  <c r="K50" i="14"/>
  <c r="K25" i="14"/>
  <c r="K45" i="14"/>
  <c r="K17" i="14"/>
  <c r="AG17" i="15" s="1"/>
  <c r="K24" i="14"/>
  <c r="AG24" i="15" s="1"/>
  <c r="K48" i="14"/>
  <c r="K37" i="15"/>
  <c r="K28" i="15"/>
  <c r="K39" i="15"/>
  <c r="K15" i="14"/>
  <c r="AG15" i="15" s="1"/>
  <c r="K11" i="14"/>
  <c r="AG11" i="15" s="1"/>
  <c r="K14" i="15"/>
  <c r="K14" i="26" s="1"/>
  <c r="AE14" i="26" s="1"/>
  <c r="K18" i="14"/>
  <c r="AG18" i="15" s="1"/>
  <c r="K30" i="14"/>
  <c r="K41" i="14"/>
  <c r="K14" i="14"/>
  <c r="AG14" i="15" s="1"/>
  <c r="K52" i="14"/>
  <c r="K36" i="15"/>
  <c r="K11" i="15"/>
  <c r="K11" i="26" s="1"/>
  <c r="AE11" i="26" s="1"/>
  <c r="K27" i="15"/>
  <c r="K43" i="15"/>
  <c r="K36" i="14"/>
  <c r="K35" i="14"/>
  <c r="K13" i="14"/>
  <c r="AG13" i="15" s="1"/>
  <c r="K21" i="14"/>
  <c r="AG21" i="15" s="1"/>
  <c r="K41" i="15"/>
  <c r="K29" i="15"/>
  <c r="K42" i="14"/>
  <c r="K34" i="14"/>
  <c r="K49" i="14"/>
  <c r="K19" i="14"/>
  <c r="AG19" i="15" s="1"/>
  <c r="K23" i="14"/>
  <c r="AG23" i="15" s="1"/>
  <c r="K29" i="14"/>
  <c r="K31" i="14"/>
  <c r="K46" i="15"/>
  <c r="K50" i="15"/>
  <c r="K26" i="15"/>
  <c r="K12" i="15"/>
  <c r="K12" i="26" s="1"/>
  <c r="AE12" i="26" s="1"/>
  <c r="K44" i="15"/>
  <c r="K31" i="15"/>
  <c r="K32" i="14"/>
  <c r="K39" i="14"/>
  <c r="K10" i="14"/>
  <c r="AG10" i="15" s="1"/>
  <c r="K26" i="14"/>
  <c r="K51" i="14"/>
  <c r="K27" i="14"/>
  <c r="K47" i="14"/>
  <c r="I9" i="14"/>
  <c r="AE9" i="15" s="1"/>
  <c r="I36" i="14"/>
  <c r="AE36" i="15" s="1"/>
  <c r="BC56" i="21"/>
  <c r="BC57" i="21"/>
  <c r="BC58" i="21"/>
  <c r="BC55" i="21"/>
  <c r="I20" i="15"/>
  <c r="I20" i="26" s="1"/>
  <c r="AC20" i="26" s="1"/>
  <c r="F40" i="15"/>
  <c r="P10" i="14"/>
  <c r="AL10" i="15" s="1"/>
  <c r="I35" i="14"/>
  <c r="F21" i="14"/>
  <c r="AB21" i="15" s="1"/>
  <c r="F43" i="15"/>
  <c r="E22" i="15"/>
  <c r="P31" i="14"/>
  <c r="P52" i="14"/>
  <c r="P20" i="14"/>
  <c r="AL20" i="15" s="1"/>
  <c r="M23" i="14"/>
  <c r="AI23" i="15" s="1"/>
  <c r="J43" i="14"/>
  <c r="D15" i="14"/>
  <c r="Z15" i="15" s="1"/>
  <c r="D42" i="14"/>
  <c r="G10" i="14"/>
  <c r="AC10" i="15" s="1"/>
  <c r="D18" i="15"/>
  <c r="D18" i="26" s="1"/>
  <c r="X18" i="26" s="1"/>
  <c r="G13" i="15"/>
  <c r="G13" i="26" s="1"/>
  <c r="AA13" i="26" s="1"/>
  <c r="E21" i="14"/>
  <c r="AA21" i="15" s="1"/>
  <c r="C27" i="15"/>
  <c r="D42" i="15"/>
  <c r="D17" i="14"/>
  <c r="Z17" i="15" s="1"/>
  <c r="C15" i="15"/>
  <c r="C15" i="26" s="1"/>
  <c r="W15" i="26" s="1"/>
  <c r="J31" i="14"/>
  <c r="C50" i="15"/>
  <c r="C24" i="15"/>
  <c r="D41" i="15"/>
  <c r="G42" i="14"/>
  <c r="L41" i="14"/>
  <c r="M11" i="14"/>
  <c r="AI11" i="15" s="1"/>
  <c r="D49" i="15"/>
  <c r="G52" i="14"/>
  <c r="G46" i="14"/>
  <c r="G12" i="14"/>
  <c r="AC12" i="15" s="1"/>
  <c r="M9" i="14"/>
  <c r="AI9" i="15" s="1"/>
  <c r="I15" i="15"/>
  <c r="I15" i="26" s="1"/>
  <c r="AC15" i="26" s="1"/>
  <c r="J33" i="14"/>
  <c r="L18" i="14"/>
  <c r="AH18" i="15" s="1"/>
  <c r="M30" i="14"/>
  <c r="AI30" i="15" s="1"/>
  <c r="M44" i="14"/>
  <c r="L51" i="14"/>
  <c r="AH51" i="15" s="1"/>
  <c r="F46" i="15"/>
  <c r="E29" i="15"/>
  <c r="L16" i="14"/>
  <c r="AH16" i="15" s="1"/>
  <c r="L35" i="14"/>
  <c r="G44" i="15"/>
  <c r="AC44" i="15" s="1"/>
  <c r="I13" i="15"/>
  <c r="I13" i="26" s="1"/>
  <c r="AC13" i="26" s="1"/>
  <c r="D47" i="14"/>
  <c r="D34" i="14"/>
  <c r="Z34" i="15" s="1"/>
  <c r="I17" i="15"/>
  <c r="I17" i="26" s="1"/>
  <c r="AC17" i="26" s="1"/>
  <c r="M33" i="14"/>
  <c r="AI33" i="15" s="1"/>
  <c r="I24" i="14"/>
  <c r="F34" i="15"/>
  <c r="I16" i="15"/>
  <c r="I16" i="26" s="1"/>
  <c r="AC16" i="26" s="1"/>
  <c r="P41" i="14"/>
  <c r="J47" i="14"/>
  <c r="L40" i="14"/>
  <c r="AH40" i="15" s="1"/>
  <c r="I10" i="14"/>
  <c r="AE10" i="15" s="1"/>
  <c r="E10" i="15"/>
  <c r="E10" i="26" s="1"/>
  <c r="Y10" i="26" s="1"/>
  <c r="E13" i="14"/>
  <c r="AA13" i="15" s="1"/>
  <c r="R15" i="14"/>
  <c r="AN15" i="15" s="1"/>
  <c r="R11" i="14"/>
  <c r="AN11" i="15" s="1"/>
  <c r="R39" i="14"/>
  <c r="E17" i="15"/>
  <c r="E17" i="26" s="1"/>
  <c r="Y17" i="26" s="1"/>
  <c r="F44" i="15"/>
  <c r="D52" i="15"/>
  <c r="F48" i="15"/>
  <c r="F22" i="15"/>
  <c r="F22" i="26" s="1"/>
  <c r="Z22" i="26" s="1"/>
  <c r="G42" i="15"/>
  <c r="AG308" i="13"/>
  <c r="AI308" i="13" s="1"/>
  <c r="G34" i="14"/>
  <c r="E46" i="14"/>
  <c r="S22" i="14"/>
  <c r="AO22" i="15" s="1"/>
  <c r="S27" i="14"/>
  <c r="AO27" i="15" s="1"/>
  <c r="S38" i="14"/>
  <c r="AG167" i="13"/>
  <c r="AH167" i="13" s="1"/>
  <c r="AG106" i="13"/>
  <c r="AH106" i="13" s="1"/>
  <c r="I40" i="24" s="1"/>
  <c r="J27" i="14"/>
  <c r="G17" i="15"/>
  <c r="G17" i="26" s="1"/>
  <c r="AA17" i="26" s="1"/>
  <c r="AG270" i="13"/>
  <c r="AH270" i="13" s="1"/>
  <c r="L47" i="24" s="1"/>
  <c r="AG208" i="13"/>
  <c r="AH208" i="13" s="1"/>
  <c r="K38" i="24" s="1"/>
  <c r="E44" i="14"/>
  <c r="I43" i="14"/>
  <c r="G29" i="15"/>
  <c r="D29" i="14"/>
  <c r="F39" i="14"/>
  <c r="J48" i="14"/>
  <c r="J22" i="14"/>
  <c r="I47" i="14"/>
  <c r="E40" i="15"/>
  <c r="E31" i="15"/>
  <c r="G24" i="14"/>
  <c r="F17" i="14"/>
  <c r="AB17" i="15" s="1"/>
  <c r="F19" i="14"/>
  <c r="AB19" i="15" s="1"/>
  <c r="AG95" i="13"/>
  <c r="AI95" i="13" s="1"/>
  <c r="D52" i="14"/>
  <c r="I30" i="14"/>
  <c r="D28" i="15"/>
  <c r="E50" i="15"/>
  <c r="I23" i="15"/>
  <c r="G50" i="14"/>
  <c r="R32" i="14"/>
  <c r="R42" i="14"/>
  <c r="R10" i="14"/>
  <c r="AN10" i="15" s="1"/>
  <c r="I18" i="14"/>
  <c r="AE18" i="15" s="1"/>
  <c r="F45" i="15"/>
  <c r="F15" i="15"/>
  <c r="F15" i="26" s="1"/>
  <c r="Z15" i="26" s="1"/>
  <c r="AG254" i="13"/>
  <c r="AH254" i="13" s="1"/>
  <c r="L31" i="24" s="1"/>
  <c r="E21" i="15"/>
  <c r="E21" i="26" s="1"/>
  <c r="Y21" i="26" s="1"/>
  <c r="G30" i="14"/>
  <c r="L45" i="14"/>
  <c r="I33" i="14"/>
  <c r="E30" i="15"/>
  <c r="AG136" i="13"/>
  <c r="AI136" i="13" s="1"/>
  <c r="AG131" i="13"/>
  <c r="AI131" i="13" s="1"/>
  <c r="AG129" i="13"/>
  <c r="AH129" i="13" s="1"/>
  <c r="AG170" i="13"/>
  <c r="AI170" i="13" s="1"/>
  <c r="AG108" i="13"/>
  <c r="AI108" i="13" s="1"/>
  <c r="D27" i="14"/>
  <c r="E30" i="14"/>
  <c r="E10" i="14"/>
  <c r="AA10" i="15" s="1"/>
  <c r="E14" i="14"/>
  <c r="AA14" i="15" s="1"/>
  <c r="F30" i="14"/>
  <c r="R45" i="14"/>
  <c r="R9" i="14"/>
  <c r="AN9" i="15" s="1"/>
  <c r="R17" i="14"/>
  <c r="AN17" i="15" s="1"/>
  <c r="E48" i="14"/>
  <c r="G11" i="14"/>
  <c r="AC11" i="15" s="1"/>
  <c r="G32" i="14"/>
  <c r="AG219" i="13"/>
  <c r="AH219" i="13" s="1"/>
  <c r="AG239" i="13"/>
  <c r="AI239" i="13" s="1"/>
  <c r="AG316" i="13"/>
  <c r="AH316" i="13" s="1"/>
  <c r="M40" i="24" s="1"/>
  <c r="G23" i="15"/>
  <c r="AC23" i="15" s="1"/>
  <c r="F36" i="14"/>
  <c r="G35" i="15"/>
  <c r="F28" i="15"/>
  <c r="G25" i="14"/>
  <c r="J39" i="14"/>
  <c r="R25" i="14"/>
  <c r="R21" i="14"/>
  <c r="AN21" i="15" s="1"/>
  <c r="R49" i="14"/>
  <c r="S15" i="14"/>
  <c r="AO15" i="15" s="1"/>
  <c r="S42" i="14"/>
  <c r="S26" i="14"/>
  <c r="AO26" i="15" s="1"/>
  <c r="S10" i="14"/>
  <c r="AO10" i="15" s="1"/>
  <c r="S39" i="14"/>
  <c r="S50" i="14"/>
  <c r="S34" i="14"/>
  <c r="S18" i="14"/>
  <c r="AO18" i="15" s="1"/>
  <c r="D19" i="15"/>
  <c r="D19" i="26" s="1"/>
  <c r="X19" i="26" s="1"/>
  <c r="J20" i="14"/>
  <c r="AF20" i="15" s="1"/>
  <c r="C41" i="15"/>
  <c r="C16" i="15"/>
  <c r="C16" i="26" s="1"/>
  <c r="W16" i="26" s="1"/>
  <c r="F45" i="14"/>
  <c r="AB45" i="15" s="1"/>
  <c r="E33" i="14"/>
  <c r="I48" i="15"/>
  <c r="I46" i="15"/>
  <c r="AG190" i="13"/>
  <c r="F31" i="14"/>
  <c r="G48" i="14"/>
  <c r="F13" i="15"/>
  <c r="F13" i="26" s="1"/>
  <c r="Z13" i="26" s="1"/>
  <c r="J21" i="14"/>
  <c r="AF21" i="15" s="1"/>
  <c r="E38" i="15"/>
  <c r="F50" i="14"/>
  <c r="G22" i="14"/>
  <c r="J9" i="14"/>
  <c r="AF9" i="15" s="1"/>
  <c r="J38" i="14"/>
  <c r="C45" i="15"/>
  <c r="F47" i="15"/>
  <c r="AB47" i="15" s="1"/>
  <c r="D22" i="15"/>
  <c r="E41" i="15"/>
  <c r="AG142" i="13"/>
  <c r="AI142" i="13" s="1"/>
  <c r="G28" i="14"/>
  <c r="E18" i="14"/>
  <c r="AA18" i="15" s="1"/>
  <c r="S46" i="14"/>
  <c r="S30" i="14"/>
  <c r="S14" i="14"/>
  <c r="AO14" i="15" s="1"/>
  <c r="AG202" i="13"/>
  <c r="AH202" i="13" s="1"/>
  <c r="K32" i="24" s="1"/>
  <c r="AG76" i="13"/>
  <c r="AI76" i="13" s="1"/>
  <c r="AG117" i="13"/>
  <c r="AH117" i="13" s="1"/>
  <c r="I51" i="24" s="1"/>
  <c r="AB264" i="11" a="1"/>
  <c r="AB264" i="11" s="1"/>
  <c r="AC264" i="11" a="1"/>
  <c r="AC264" i="11" s="1"/>
  <c r="G52" i="15"/>
  <c r="G27" i="15"/>
  <c r="D10" i="14"/>
  <c r="Z10" i="15" s="1"/>
  <c r="D43" i="14"/>
  <c r="I51" i="15"/>
  <c r="D14" i="14"/>
  <c r="Z14" i="15" s="1"/>
  <c r="E36" i="14"/>
  <c r="F18" i="15"/>
  <c r="F18" i="26" s="1"/>
  <c r="Z18" i="26" s="1"/>
  <c r="D23" i="14"/>
  <c r="P29" i="14"/>
  <c r="P28" i="14"/>
  <c r="P39" i="14"/>
  <c r="P50" i="14"/>
  <c r="P18" i="14"/>
  <c r="AL18" i="15" s="1"/>
  <c r="F49" i="15"/>
  <c r="S28" i="14"/>
  <c r="G9" i="15"/>
  <c r="G9" i="26" s="1"/>
  <c r="AA9" i="26" s="1"/>
  <c r="G21" i="15"/>
  <c r="G21" i="26" s="1"/>
  <c r="AA21" i="26" s="1"/>
  <c r="I21" i="14"/>
  <c r="AE21" i="15" s="1"/>
  <c r="F31" i="15"/>
  <c r="R52" i="14"/>
  <c r="R20" i="14"/>
  <c r="AN20" i="15" s="1"/>
  <c r="R30" i="14"/>
  <c r="S33" i="14"/>
  <c r="F10" i="15"/>
  <c r="F10" i="26" s="1"/>
  <c r="Z10" i="26" s="1"/>
  <c r="M51" i="14"/>
  <c r="AI51" i="15" s="1"/>
  <c r="J44" i="14"/>
  <c r="L13" i="14"/>
  <c r="AH13" i="15" s="1"/>
  <c r="M34" i="14"/>
  <c r="AI34" i="15" s="1"/>
  <c r="C47" i="15"/>
  <c r="AG181" i="13"/>
  <c r="G21" i="14"/>
  <c r="AC21" i="15" s="1"/>
  <c r="P9" i="14"/>
  <c r="AL9" i="15" s="1"/>
  <c r="S37" i="14"/>
  <c r="R51" i="14"/>
  <c r="M40" i="14"/>
  <c r="J19" i="14"/>
  <c r="AF19" i="15" s="1"/>
  <c r="M16" i="14"/>
  <c r="AI16" i="15" s="1"/>
  <c r="L37" i="14"/>
  <c r="AG307" i="13"/>
  <c r="AI307" i="13" s="1"/>
  <c r="F18" i="14"/>
  <c r="AB18" i="15" s="1"/>
  <c r="F34" i="14"/>
  <c r="F10" i="14"/>
  <c r="AB10" i="15" s="1"/>
  <c r="AG218" i="13"/>
  <c r="AH218" i="13" s="1"/>
  <c r="K48" i="24" s="1"/>
  <c r="I9" i="15"/>
  <c r="I9" i="26" s="1"/>
  <c r="AC9" i="26" s="1"/>
  <c r="AG245" i="13"/>
  <c r="AI245" i="13" s="1"/>
  <c r="I29" i="15"/>
  <c r="AG185" i="13"/>
  <c r="D36" i="14"/>
  <c r="AG198" i="13"/>
  <c r="F28" i="14"/>
  <c r="G49" i="14"/>
  <c r="G38" i="14"/>
  <c r="F20" i="14"/>
  <c r="G35" i="14"/>
  <c r="F42" i="15"/>
  <c r="G41" i="14"/>
  <c r="F27" i="14"/>
  <c r="D38" i="14"/>
  <c r="P33" i="14"/>
  <c r="R23" i="14"/>
  <c r="R29" i="14"/>
  <c r="R40" i="14"/>
  <c r="R50" i="14"/>
  <c r="R18" i="14"/>
  <c r="AN18" i="15" s="1"/>
  <c r="S45" i="14"/>
  <c r="S44" i="14"/>
  <c r="S12" i="14"/>
  <c r="AO12" i="15" s="1"/>
  <c r="G37" i="14"/>
  <c r="R33" i="14"/>
  <c r="L33" i="14"/>
  <c r="J35" i="14"/>
  <c r="L30" i="14"/>
  <c r="M14" i="14"/>
  <c r="AI14" i="15" s="1"/>
  <c r="I42" i="14"/>
  <c r="E27" i="15"/>
  <c r="AG151" i="13"/>
  <c r="AH151" i="13" s="1"/>
  <c r="J33" i="24" s="1"/>
  <c r="AG274" i="13"/>
  <c r="AI274" i="13" s="1"/>
  <c r="E31" i="14"/>
  <c r="I11" i="15"/>
  <c r="I11" i="26" s="1"/>
  <c r="AC11" i="26" s="1"/>
  <c r="G26" i="14"/>
  <c r="E49" i="14"/>
  <c r="F35" i="15"/>
  <c r="G43" i="15"/>
  <c r="P17" i="14"/>
  <c r="AL17" i="15" s="1"/>
  <c r="R47" i="14"/>
  <c r="R43" i="14"/>
  <c r="R19" i="14"/>
  <c r="AN19" i="15" s="1"/>
  <c r="R36" i="14"/>
  <c r="R46" i="14"/>
  <c r="R14" i="14"/>
  <c r="AN14" i="15" s="1"/>
  <c r="S35" i="14"/>
  <c r="D32" i="15"/>
  <c r="AG263" i="13"/>
  <c r="AI263" i="13" s="1"/>
  <c r="AG215" i="13"/>
  <c r="AI215" i="13" s="1"/>
  <c r="AG132" i="13"/>
  <c r="AI132" i="13" s="1"/>
  <c r="AG147" i="13"/>
  <c r="AH147" i="13" s="1"/>
  <c r="AG207" i="13"/>
  <c r="AI207" i="13" s="1"/>
  <c r="AG93" i="13"/>
  <c r="AH93" i="13" s="1"/>
  <c r="I27" i="24" s="1"/>
  <c r="AG244" i="13"/>
  <c r="AI244" i="13" s="1"/>
  <c r="AG313" i="13"/>
  <c r="AI313" i="13" s="1"/>
  <c r="AG269" i="13"/>
  <c r="AI269" i="13" s="1"/>
  <c r="I35" i="15"/>
  <c r="E29" i="14"/>
  <c r="F41" i="14"/>
  <c r="AB41" i="15" s="1"/>
  <c r="E9" i="14"/>
  <c r="AA9" i="15" s="1"/>
  <c r="F11" i="14"/>
  <c r="AB11" i="15" s="1"/>
  <c r="F15" i="14"/>
  <c r="AB15" i="15" s="1"/>
  <c r="G14" i="14"/>
  <c r="AC14" i="15" s="1"/>
  <c r="F32" i="15"/>
  <c r="G43" i="14"/>
  <c r="I25" i="15"/>
  <c r="P40" i="14"/>
  <c r="P51" i="14"/>
  <c r="P19" i="14"/>
  <c r="AL19" i="15" s="1"/>
  <c r="P30" i="14"/>
  <c r="R27" i="14"/>
  <c r="S49" i="14"/>
  <c r="S9" i="14"/>
  <c r="AO9" i="15" s="1"/>
  <c r="D16" i="14"/>
  <c r="Z16" i="15" s="1"/>
  <c r="D40" i="14"/>
  <c r="E47" i="14"/>
  <c r="D30" i="14"/>
  <c r="Z30" i="15" s="1"/>
  <c r="F48" i="14"/>
  <c r="G20" i="15"/>
  <c r="G20" i="26" s="1"/>
  <c r="AA20" i="26" s="1"/>
  <c r="AG223" i="13"/>
  <c r="AI223" i="13" s="1"/>
  <c r="S32" i="14"/>
  <c r="G38" i="15"/>
  <c r="D40" i="15"/>
  <c r="AG102" i="13"/>
  <c r="AI102" i="13" s="1"/>
  <c r="G36" i="15"/>
  <c r="AC36" i="15" s="1"/>
  <c r="F16" i="14"/>
  <c r="AB16" i="15" s="1"/>
  <c r="E34" i="14"/>
  <c r="F26" i="14"/>
  <c r="E23" i="14"/>
  <c r="F25" i="14"/>
  <c r="AB25" i="15" s="1"/>
  <c r="I32" i="15"/>
  <c r="R24" i="14"/>
  <c r="R34" i="14"/>
  <c r="D10" i="15"/>
  <c r="D10" i="26" s="1"/>
  <c r="X10" i="26" s="1"/>
  <c r="L25" i="14"/>
  <c r="L39" i="14"/>
  <c r="G32" i="15"/>
  <c r="G17" i="14"/>
  <c r="AC17" i="15" s="1"/>
  <c r="F52" i="14"/>
  <c r="P45" i="14"/>
  <c r="P32" i="14"/>
  <c r="P43" i="14"/>
  <c r="P11" i="14"/>
  <c r="AL11" i="15" s="1"/>
  <c r="P22" i="14"/>
  <c r="M47" i="14"/>
  <c r="AI47" i="15" s="1"/>
  <c r="M12" i="14"/>
  <c r="AI12" i="15" s="1"/>
  <c r="E28" i="15"/>
  <c r="I39" i="14"/>
  <c r="AE39" i="15" s="1"/>
  <c r="I31" i="14"/>
  <c r="I34" i="14"/>
  <c r="AG81" i="13"/>
  <c r="AH81" i="13" s="1"/>
  <c r="P21" i="14"/>
  <c r="AL21" i="15" s="1"/>
  <c r="L12" i="14"/>
  <c r="AH12" i="15" s="1"/>
  <c r="E42" i="15"/>
  <c r="I11" i="14"/>
  <c r="AE11" i="15" s="1"/>
  <c r="G30" i="15"/>
  <c r="E36" i="15"/>
  <c r="D39" i="14"/>
  <c r="R13" i="14"/>
  <c r="AN13" i="15" s="1"/>
  <c r="R31" i="14"/>
  <c r="S52" i="14"/>
  <c r="S20" i="14"/>
  <c r="AO20" i="15" s="1"/>
  <c r="J46" i="14"/>
  <c r="G26" i="15"/>
  <c r="E43" i="15"/>
  <c r="G15" i="14"/>
  <c r="AC15" i="15" s="1"/>
  <c r="E20" i="14"/>
  <c r="F49" i="14"/>
  <c r="G18" i="15"/>
  <c r="G18" i="26" s="1"/>
  <c r="AA18" i="26" s="1"/>
  <c r="E32" i="15"/>
  <c r="D50" i="14"/>
  <c r="P49" i="14"/>
  <c r="R44" i="14"/>
  <c r="R12" i="14"/>
  <c r="AN12" i="15" s="1"/>
  <c r="R22" i="14"/>
  <c r="AN22" i="15" s="1"/>
  <c r="AG328" i="13"/>
  <c r="AI328" i="13" s="1"/>
  <c r="AG115" i="13"/>
  <c r="AI115" i="13" s="1"/>
  <c r="AG113" i="13"/>
  <c r="AI113" i="13" s="1"/>
  <c r="AG156" i="13"/>
  <c r="AH156" i="13" s="1"/>
  <c r="AG292" i="13"/>
  <c r="AI292" i="13" s="1"/>
  <c r="AG163" i="13"/>
  <c r="AI163" i="13" s="1"/>
  <c r="E43" i="14"/>
  <c r="G25" i="15"/>
  <c r="F37" i="14"/>
  <c r="F38" i="14"/>
  <c r="E25" i="14"/>
  <c r="E23" i="15"/>
  <c r="G45" i="15"/>
  <c r="E52" i="14"/>
  <c r="D25" i="14"/>
  <c r="I19" i="15"/>
  <c r="I19" i="26" s="1"/>
  <c r="AC19" i="26" s="1"/>
  <c r="F44" i="14"/>
  <c r="D46" i="14"/>
  <c r="AG300" i="13"/>
  <c r="AH300" i="13" s="1"/>
  <c r="M24" i="24" s="1"/>
  <c r="P44" i="14"/>
  <c r="P12" i="14"/>
  <c r="AL12" i="15" s="1"/>
  <c r="P23" i="14"/>
  <c r="P34" i="14"/>
  <c r="S48" i="14"/>
  <c r="S16" i="14"/>
  <c r="AO16" i="15" s="1"/>
  <c r="Q49" i="14"/>
  <c r="Q47" i="14"/>
  <c r="Q21" i="14"/>
  <c r="AM21" i="15" s="1"/>
  <c r="Q28" i="14"/>
  <c r="Q22" i="14"/>
  <c r="F14" i="14"/>
  <c r="AB14" i="15" s="1"/>
  <c r="M35" i="14"/>
  <c r="AI35" i="15" s="1"/>
  <c r="M20" i="14"/>
  <c r="AI20" i="15" s="1"/>
  <c r="L27" i="14"/>
  <c r="D20" i="15"/>
  <c r="D20" i="26" s="1"/>
  <c r="X20" i="26" s="1"/>
  <c r="F27" i="15"/>
  <c r="AG153" i="13"/>
  <c r="AI153" i="13" s="1"/>
  <c r="D39" i="15"/>
  <c r="AG80" i="13"/>
  <c r="AI80" i="13" s="1"/>
  <c r="I47" i="15"/>
  <c r="AG273" i="13"/>
  <c r="AI273" i="13" s="1"/>
  <c r="S13" i="14"/>
  <c r="AO13" i="15" s="1"/>
  <c r="Q52" i="14"/>
  <c r="Q16" i="14"/>
  <c r="AM16" i="15" s="1"/>
  <c r="Q10" i="14"/>
  <c r="AM10" i="15" s="1"/>
  <c r="AG107" i="13"/>
  <c r="AI107" i="13" s="1"/>
  <c r="I22" i="15"/>
  <c r="AG78" i="13"/>
  <c r="AI78" i="13" s="1"/>
  <c r="AG91" i="13"/>
  <c r="AI91" i="13" s="1"/>
  <c r="AG320" i="13"/>
  <c r="AI320" i="13" s="1"/>
  <c r="AG200" i="13"/>
  <c r="AI200" i="13" s="1"/>
  <c r="AG100" i="13"/>
  <c r="AI100" i="13" s="1"/>
  <c r="AG260" i="13"/>
  <c r="AI260" i="13" s="1"/>
  <c r="AG317" i="13"/>
  <c r="AH317" i="13" s="1"/>
  <c r="M41" i="24" s="1"/>
  <c r="G47" i="14"/>
  <c r="F23" i="14"/>
  <c r="AB23" i="15" s="1"/>
  <c r="G18" i="14"/>
  <c r="AC18" i="15" s="1"/>
  <c r="F35" i="14"/>
  <c r="F25" i="15"/>
  <c r="F25" i="26" s="1"/>
  <c r="Z25" i="26" s="1"/>
  <c r="D37" i="15"/>
  <c r="D25" i="15"/>
  <c r="AG304" i="13"/>
  <c r="AI304" i="13" s="1"/>
  <c r="AG152" i="13"/>
  <c r="AH152" i="13" s="1"/>
  <c r="AG158" i="13"/>
  <c r="AI158" i="13" s="1"/>
  <c r="P37" i="14"/>
  <c r="S23" i="14"/>
  <c r="AO23" i="15" s="1"/>
  <c r="S29" i="14"/>
  <c r="L17" i="14"/>
  <c r="AH17" i="15" s="1"/>
  <c r="AG160" i="13"/>
  <c r="AI160" i="13" s="1"/>
  <c r="AG197" i="13"/>
  <c r="AG104" i="13"/>
  <c r="AH104" i="13" s="1"/>
  <c r="I38" i="24" s="1"/>
  <c r="AG143" i="13"/>
  <c r="AH143" i="13" s="1"/>
  <c r="AG194" i="13"/>
  <c r="AG77" i="13"/>
  <c r="AI77" i="13" s="1"/>
  <c r="AG322" i="13"/>
  <c r="AI322" i="13" s="1"/>
  <c r="AG312" i="13"/>
  <c r="AI312" i="13" s="1"/>
  <c r="AG326" i="13"/>
  <c r="AH326" i="13" s="1"/>
  <c r="M50" i="24" s="1"/>
  <c r="AG98" i="13"/>
  <c r="AI98" i="13" s="1"/>
  <c r="AG187" i="13"/>
  <c r="D50" i="15"/>
  <c r="AG146" i="13"/>
  <c r="AI146" i="13" s="1"/>
  <c r="I12" i="15"/>
  <c r="I12" i="26" s="1"/>
  <c r="AC12" i="26" s="1"/>
  <c r="D9" i="14"/>
  <c r="Z9" i="15" s="1"/>
  <c r="AG302" i="13"/>
  <c r="AI302" i="13" s="1"/>
  <c r="D24" i="14"/>
  <c r="D31" i="14"/>
  <c r="D45" i="14"/>
  <c r="D11" i="14"/>
  <c r="Z11" i="15" s="1"/>
  <c r="F40" i="14"/>
  <c r="G37" i="15"/>
  <c r="E50" i="14"/>
  <c r="P36" i="14"/>
  <c r="P47" i="14"/>
  <c r="P15" i="14"/>
  <c r="AL15" i="15" s="1"/>
  <c r="P26" i="14"/>
  <c r="S41" i="14"/>
  <c r="S40" i="14"/>
  <c r="Q45" i="14"/>
  <c r="Q25" i="14"/>
  <c r="Q43" i="14"/>
  <c r="Q13" i="14"/>
  <c r="AM13" i="15" s="1"/>
  <c r="Q24" i="14"/>
  <c r="Q18" i="14"/>
  <c r="AM18" i="15" s="1"/>
  <c r="L27" i="15"/>
  <c r="Q33" i="14"/>
  <c r="F17" i="15"/>
  <c r="F17" i="26" s="1"/>
  <c r="Z17" i="26" s="1"/>
  <c r="AG290" i="13"/>
  <c r="AH290" i="13" s="1"/>
  <c r="M14" i="24" s="1"/>
  <c r="I27" i="15"/>
  <c r="I31" i="15"/>
  <c r="D35" i="14"/>
  <c r="AG79" i="13"/>
  <c r="AI79" i="13" s="1"/>
  <c r="I40" i="15"/>
  <c r="AG87" i="13"/>
  <c r="AI87" i="13" s="1"/>
  <c r="AG248" i="13"/>
  <c r="AH248" i="13" s="1"/>
  <c r="AG310" i="13"/>
  <c r="AI310" i="13" s="1"/>
  <c r="AG191" i="13"/>
  <c r="AG193" i="13"/>
  <c r="AG130" i="13"/>
  <c r="AI130" i="13" s="1"/>
  <c r="AG186" i="13"/>
  <c r="AG83" i="13"/>
  <c r="AI83" i="13" s="1"/>
  <c r="E16" i="15"/>
  <c r="E16" i="26" s="1"/>
  <c r="Y16" i="26" s="1"/>
  <c r="F51" i="14"/>
  <c r="E27" i="14"/>
  <c r="G19" i="14"/>
  <c r="AC19" i="15" s="1"/>
  <c r="F32" i="14"/>
  <c r="D26" i="14"/>
  <c r="G34" i="15"/>
  <c r="F39" i="15"/>
  <c r="G29" i="14"/>
  <c r="G27" i="14"/>
  <c r="E16" i="14"/>
  <c r="AA16" i="15" s="1"/>
  <c r="I10" i="15"/>
  <c r="I10" i="26" s="1"/>
  <c r="AC10" i="26" s="1"/>
  <c r="D21" i="14"/>
  <c r="Z21" i="15" s="1"/>
  <c r="G39" i="14"/>
  <c r="D51" i="14"/>
  <c r="S17" i="14"/>
  <c r="AO17" i="15" s="1"/>
  <c r="S31" i="14"/>
  <c r="S36" i="14"/>
  <c r="Q41" i="14"/>
  <c r="Q17" i="14"/>
  <c r="AM17" i="15" s="1"/>
  <c r="Q38" i="14"/>
  <c r="Q50" i="14"/>
  <c r="Q20" i="14"/>
  <c r="AM20" i="15" s="1"/>
  <c r="Q14" i="14"/>
  <c r="AM14" i="15" s="1"/>
  <c r="P25" i="14"/>
  <c r="R28" i="14"/>
  <c r="R38" i="14"/>
  <c r="S51" i="14"/>
  <c r="Q35" i="14"/>
  <c r="Q31" i="14"/>
  <c r="Q46" i="14"/>
  <c r="M32" i="14"/>
  <c r="AI32" i="15" s="1"/>
  <c r="F9" i="15"/>
  <c r="F9" i="26" s="1"/>
  <c r="Z9" i="26" s="1"/>
  <c r="G41" i="15"/>
  <c r="Q27" i="14"/>
  <c r="Q48" i="14"/>
  <c r="Q23" i="14"/>
  <c r="Q42" i="14"/>
  <c r="Q12" i="14"/>
  <c r="AM12" i="15" s="1"/>
  <c r="J16" i="14"/>
  <c r="AF16" i="15" s="1"/>
  <c r="J50" i="14"/>
  <c r="L9" i="14"/>
  <c r="AH9" i="15" s="1"/>
  <c r="M42" i="14"/>
  <c r="D12" i="14"/>
  <c r="Z12" i="15" s="1"/>
  <c r="R35" i="14"/>
  <c r="R41" i="14"/>
  <c r="S47" i="14"/>
  <c r="S43" i="14"/>
  <c r="S24" i="14"/>
  <c r="AO24" i="15" s="1"/>
  <c r="AG50" i="13"/>
  <c r="AV50" i="13" s="1"/>
  <c r="Q19" i="14"/>
  <c r="AM19" i="15" s="1"/>
  <c r="Q44" i="14"/>
  <c r="Q15" i="14"/>
  <c r="AM15" i="15" s="1"/>
  <c r="Q40" i="14"/>
  <c r="Q34" i="14"/>
  <c r="L44" i="14"/>
  <c r="L21" i="14"/>
  <c r="AH21" i="15" s="1"/>
  <c r="E47" i="15"/>
  <c r="I28" i="15"/>
  <c r="D18" i="14"/>
  <c r="Z18" i="15" s="1"/>
  <c r="F33" i="15"/>
  <c r="AG321" i="13"/>
  <c r="AI321" i="13" s="1"/>
  <c r="E11" i="14"/>
  <c r="AA11" i="15" s="1"/>
  <c r="D13" i="14"/>
  <c r="Z13" i="15" s="1"/>
  <c r="I42" i="15"/>
  <c r="G48" i="15"/>
  <c r="AG203" i="13"/>
  <c r="AH203" i="13" s="1"/>
  <c r="K33" i="24" s="1"/>
  <c r="P48" i="14"/>
  <c r="P16" i="14"/>
  <c r="AL16" i="15" s="1"/>
  <c r="P27" i="14"/>
  <c r="P38" i="14"/>
  <c r="R48" i="14"/>
  <c r="R16" i="14"/>
  <c r="AN16" i="15" s="1"/>
  <c r="R26" i="14"/>
  <c r="S25" i="14"/>
  <c r="AO25" i="15" s="1"/>
  <c r="S21" i="14"/>
  <c r="AO21" i="15" s="1"/>
  <c r="Q11" i="14"/>
  <c r="AM11" i="15" s="1"/>
  <c r="Q39" i="14"/>
  <c r="Q37" i="14"/>
  <c r="Q36" i="14"/>
  <c r="Q30" i="14"/>
  <c r="AG140" i="13"/>
  <c r="AI140" i="13" s="1"/>
  <c r="AG213" i="13"/>
  <c r="AI213" i="13" s="1"/>
  <c r="AG271" i="13"/>
  <c r="AI271" i="13" s="1"/>
  <c r="E15" i="14"/>
  <c r="AA15" i="15" s="1"/>
  <c r="F43" i="14"/>
  <c r="E37" i="14"/>
  <c r="AG259" i="13"/>
  <c r="AH259" i="13" s="1"/>
  <c r="L36" i="24" s="1"/>
  <c r="G16" i="15"/>
  <c r="G16" i="26" s="1"/>
  <c r="AA16" i="26" s="1"/>
  <c r="R37" i="14"/>
  <c r="S11" i="14"/>
  <c r="AO11" i="15" s="1"/>
  <c r="B51" i="13"/>
  <c r="F51" i="13"/>
  <c r="Q9" i="14"/>
  <c r="AM9" i="15" s="1"/>
  <c r="Q51" i="14"/>
  <c r="Q29" i="14"/>
  <c r="Q32" i="14"/>
  <c r="Q26" i="14"/>
  <c r="D26" i="15"/>
  <c r="D23" i="15"/>
  <c r="E35" i="14"/>
  <c r="F9" i="14"/>
  <c r="AB9" i="15" s="1"/>
  <c r="I14" i="15"/>
  <c r="I14" i="26" s="1"/>
  <c r="AC14" i="26" s="1"/>
  <c r="F13" i="14"/>
  <c r="AB13" i="15" s="1"/>
  <c r="E51" i="14"/>
  <c r="F33" i="14"/>
  <c r="F50" i="15"/>
  <c r="L20" i="14"/>
  <c r="AH20" i="15" s="1"/>
  <c r="J40" i="14"/>
  <c r="AF40" i="15" s="1"/>
  <c r="M52" i="14"/>
  <c r="C36" i="15"/>
  <c r="G46" i="15"/>
  <c r="I32" i="14"/>
  <c r="E15" i="15"/>
  <c r="E15" i="26" s="1"/>
  <c r="Y15" i="26" s="1"/>
  <c r="G11" i="15"/>
  <c r="G11" i="26" s="1"/>
  <c r="AA11" i="26" s="1"/>
  <c r="AG162" i="13"/>
  <c r="AH162" i="13" s="1"/>
  <c r="AG183" i="13"/>
  <c r="D20" i="14"/>
  <c r="E38" i="14"/>
  <c r="I24" i="15"/>
  <c r="D16" i="15"/>
  <c r="D16" i="26" s="1"/>
  <c r="X16" i="26" s="1"/>
  <c r="F16" i="15"/>
  <c r="F16" i="26" s="1"/>
  <c r="Z16" i="26" s="1"/>
  <c r="C44" i="15"/>
  <c r="F12" i="14"/>
  <c r="AB12" i="15" s="1"/>
  <c r="F26" i="15"/>
  <c r="AG262" i="13"/>
  <c r="AI262" i="13" s="1"/>
  <c r="AG180" i="13"/>
  <c r="AI180" i="13" s="1"/>
  <c r="AG221" i="13"/>
  <c r="AH221" i="13" s="1"/>
  <c r="K51" i="24" s="1"/>
  <c r="AG294" i="13"/>
  <c r="AI294" i="13" s="1"/>
  <c r="AG298" i="13"/>
  <c r="AH298" i="13" s="1"/>
  <c r="M22" i="24" s="1"/>
  <c r="AG149" i="13"/>
  <c r="AH149" i="13" s="1"/>
  <c r="AG247" i="13"/>
  <c r="AH247" i="13" s="1"/>
  <c r="L24" i="24" s="1"/>
  <c r="AG103" i="13"/>
  <c r="AI103" i="13" s="1"/>
  <c r="BC62" i="21"/>
  <c r="AG134" i="13"/>
  <c r="AH134" i="13" s="1"/>
  <c r="J16" i="24" s="1"/>
  <c r="D47" i="15"/>
  <c r="AG110" i="13"/>
  <c r="AI110" i="13" s="1"/>
  <c r="AG116" i="13"/>
  <c r="AH116" i="13" s="1"/>
  <c r="I50" i="24" s="1"/>
  <c r="AG92" i="13"/>
  <c r="AH92" i="13" s="1"/>
  <c r="I26" i="24" s="1"/>
  <c r="AG252" i="13"/>
  <c r="AI252" i="13" s="1"/>
  <c r="E12" i="14"/>
  <c r="AA12" i="15" s="1"/>
  <c r="G33" i="14"/>
  <c r="AG220" i="13"/>
  <c r="AI220" i="13" s="1"/>
  <c r="E22" i="14"/>
  <c r="D19" i="14"/>
  <c r="Z19" i="15" s="1"/>
  <c r="I30" i="15"/>
  <c r="E34" i="15"/>
  <c r="D35" i="15"/>
  <c r="D17" i="15"/>
  <c r="D17" i="26" s="1"/>
  <c r="X17" i="26" s="1"/>
  <c r="E46" i="15"/>
  <c r="E52" i="15"/>
  <c r="AG84" i="13"/>
  <c r="AI84" i="13" s="1"/>
  <c r="AG275" i="13"/>
  <c r="AH275" i="13" s="1"/>
  <c r="L52" i="24" s="1"/>
  <c r="L49" i="14"/>
  <c r="AG237" i="13"/>
  <c r="AH237" i="13" s="1"/>
  <c r="L14" i="24" s="1"/>
  <c r="AG327" i="13"/>
  <c r="AH327" i="13" s="1"/>
  <c r="M51" i="24" s="1"/>
  <c r="AG212" i="13"/>
  <c r="AI212" i="13" s="1"/>
  <c r="AG168" i="13"/>
  <c r="AI168" i="13" s="1"/>
  <c r="D41" i="14"/>
  <c r="J42" i="14"/>
  <c r="I41" i="14"/>
  <c r="F19" i="15"/>
  <c r="F19" i="26" s="1"/>
  <c r="Z19" i="26" s="1"/>
  <c r="I37" i="15"/>
  <c r="I13" i="14"/>
  <c r="AE13" i="15" s="1"/>
  <c r="I38" i="15"/>
  <c r="J26" i="14"/>
  <c r="L32" i="14"/>
  <c r="L46" i="14"/>
  <c r="D43" i="15"/>
  <c r="D46" i="15"/>
  <c r="D49" i="14"/>
  <c r="I21" i="15"/>
  <c r="I21" i="26" s="1"/>
  <c r="AC21" i="26" s="1"/>
  <c r="D33" i="14"/>
  <c r="I50" i="15"/>
  <c r="AG105" i="13"/>
  <c r="AI105" i="13" s="1"/>
  <c r="AG119" i="13"/>
  <c r="AI119" i="13" s="1"/>
  <c r="E39" i="14"/>
  <c r="G10" i="15"/>
  <c r="G10" i="26" s="1"/>
  <c r="AA10" i="26" s="1"/>
  <c r="J41" i="14"/>
  <c r="M49" i="14"/>
  <c r="AI49" i="15" s="1"/>
  <c r="C20" i="15"/>
  <c r="C20" i="26" s="1"/>
  <c r="W20" i="26" s="1"/>
  <c r="F38" i="15"/>
  <c r="I12" i="14"/>
  <c r="AE12" i="15" s="1"/>
  <c r="E14" i="15"/>
  <c r="E14" i="26" s="1"/>
  <c r="Y14" i="26" s="1"/>
  <c r="L19" i="14"/>
  <c r="AH19" i="15" s="1"/>
  <c r="G33" i="15"/>
  <c r="C46" i="15"/>
  <c r="E35" i="15"/>
  <c r="E25" i="15"/>
  <c r="AG195" i="13"/>
  <c r="F29" i="15"/>
  <c r="AG111" i="13"/>
  <c r="AH111" i="13" s="1"/>
  <c r="I45" i="24" s="1"/>
  <c r="AG188" i="13"/>
  <c r="AG329" i="13"/>
  <c r="AH329" i="13" s="1"/>
  <c r="M53" i="24" s="1"/>
  <c r="AG291" i="13"/>
  <c r="AI291" i="13" s="1"/>
  <c r="AG265" i="13"/>
  <c r="AI265" i="13" s="1"/>
  <c r="AG286" i="13"/>
  <c r="AH286" i="13" s="1"/>
  <c r="AG235" i="13"/>
  <c r="AI235" i="13" s="1"/>
  <c r="AG314" i="13"/>
  <c r="AI314" i="13" s="1"/>
  <c r="G51" i="14"/>
  <c r="E40" i="14"/>
  <c r="J13" i="14"/>
  <c r="AF13" i="15" s="1"/>
  <c r="M10" i="14"/>
  <c r="AI10" i="15" s="1"/>
  <c r="L15" i="14"/>
  <c r="AH15" i="15" s="1"/>
  <c r="J51" i="14"/>
  <c r="J14" i="14"/>
  <c r="AF14" i="15" s="1"/>
  <c r="L14" i="14"/>
  <c r="AH14" i="15" s="1"/>
  <c r="I20" i="14"/>
  <c r="AE20" i="15" s="1"/>
  <c r="I40" i="14"/>
  <c r="I29" i="14"/>
  <c r="I48" i="14"/>
  <c r="F51" i="15"/>
  <c r="G49" i="15"/>
  <c r="G51" i="15"/>
  <c r="G47" i="15"/>
  <c r="G45" i="14"/>
  <c r="D29" i="15"/>
  <c r="AG112" i="13"/>
  <c r="AH112" i="13" s="1"/>
  <c r="I46" i="24" s="1"/>
  <c r="I33" i="15"/>
  <c r="D44" i="14"/>
  <c r="D32" i="14"/>
  <c r="AG109" i="13"/>
  <c r="AI109" i="13" s="1"/>
  <c r="D37" i="14"/>
  <c r="AG172" i="13"/>
  <c r="AI172" i="13" s="1"/>
  <c r="AG287" i="13"/>
  <c r="AI287" i="13" s="1"/>
  <c r="I44" i="15"/>
  <c r="AG133" i="13"/>
  <c r="AH133" i="13" s="1"/>
  <c r="J15" i="24" s="1"/>
  <c r="I49" i="15"/>
  <c r="AG217" i="13"/>
  <c r="AH217" i="13" s="1"/>
  <c r="K47" i="24" s="1"/>
  <c r="AG256" i="13"/>
  <c r="AH256" i="13" s="1"/>
  <c r="L33" i="24" s="1"/>
  <c r="AG319" i="13"/>
  <c r="AI319" i="13" s="1"/>
  <c r="AG222" i="13"/>
  <c r="AH222" i="13" s="1"/>
  <c r="K52" i="24" s="1"/>
  <c r="AG148" i="13"/>
  <c r="AH148" i="13" s="1"/>
  <c r="AG166" i="13"/>
  <c r="AI166" i="13" s="1"/>
  <c r="AG297" i="13"/>
  <c r="AI297" i="13" s="1"/>
  <c r="AG266" i="13"/>
  <c r="AI266" i="13" s="1"/>
  <c r="AG165" i="13"/>
  <c r="AH165" i="13" s="1"/>
  <c r="AG155" i="13"/>
  <c r="AI155" i="13" s="1"/>
  <c r="AG161" i="13"/>
  <c r="AI161" i="13" s="1"/>
  <c r="AG145" i="13"/>
  <c r="AI145" i="13" s="1"/>
  <c r="AG288" i="13"/>
  <c r="AH288" i="13" s="1"/>
  <c r="M12" i="24" s="1"/>
  <c r="AG206" i="13"/>
  <c r="AI206" i="13" s="1"/>
  <c r="AG96" i="13"/>
  <c r="AI96" i="13" s="1"/>
  <c r="AG233" i="13"/>
  <c r="AI233" i="13" s="1"/>
  <c r="AG243" i="13"/>
  <c r="AI243" i="13" s="1"/>
  <c r="AG154" i="13"/>
  <c r="AI154" i="13" s="1"/>
  <c r="D24" i="15"/>
  <c r="G9" i="14"/>
  <c r="AC9" i="15" s="1"/>
  <c r="E41" i="14"/>
  <c r="E32" i="14"/>
  <c r="G16" i="14"/>
  <c r="AC16" i="15" s="1"/>
  <c r="G40" i="14"/>
  <c r="G13" i="14"/>
  <c r="AC13" i="15" s="1"/>
  <c r="E19" i="14"/>
  <c r="AA19" i="15" s="1"/>
  <c r="E45" i="14"/>
  <c r="E17" i="14"/>
  <c r="AA17" i="15" s="1"/>
  <c r="F24" i="14"/>
  <c r="AB24" i="15" s="1"/>
  <c r="AG238" i="13"/>
  <c r="AI238" i="13" s="1"/>
  <c r="D48" i="14"/>
  <c r="AG144" i="13"/>
  <c r="AI144" i="13" s="1"/>
  <c r="AG268" i="13"/>
  <c r="AH268" i="13" s="1"/>
  <c r="L45" i="24" s="1"/>
  <c r="I26" i="15"/>
  <c r="AG249" i="13"/>
  <c r="AI249" i="13" s="1"/>
  <c r="D28" i="14"/>
  <c r="E28" i="14"/>
  <c r="J28" i="14"/>
  <c r="J36" i="14"/>
  <c r="L29" i="14"/>
  <c r="M50" i="14"/>
  <c r="M13" i="14"/>
  <c r="AI13" i="15" s="1"/>
  <c r="L10" i="14"/>
  <c r="AH10" i="15" s="1"/>
  <c r="L24" i="14"/>
  <c r="C52" i="15"/>
  <c r="E37" i="15"/>
  <c r="E39" i="15"/>
  <c r="E9" i="15"/>
  <c r="E9" i="26" s="1"/>
  <c r="Y9" i="26" s="1"/>
  <c r="AG135" i="13"/>
  <c r="AH135" i="13" s="1"/>
  <c r="AG296" i="13"/>
  <c r="I45" i="15"/>
  <c r="M37" i="14"/>
  <c r="AI37" i="15" s="1"/>
  <c r="J37" i="14"/>
  <c r="J18" i="14"/>
  <c r="AF18" i="15" s="1"/>
  <c r="J52" i="14"/>
  <c r="AF52" i="15" s="1"/>
  <c r="M27" i="14"/>
  <c r="AI27" i="15" s="1"/>
  <c r="C49" i="15"/>
  <c r="C26" i="15"/>
  <c r="C10" i="15"/>
  <c r="C10" i="26" s="1"/>
  <c r="W10" i="26" s="1"/>
  <c r="I14" i="14"/>
  <c r="AE14" i="15" s="1"/>
  <c r="I46" i="14"/>
  <c r="E12" i="15"/>
  <c r="E12" i="26" s="1"/>
  <c r="Y12" i="26" s="1"/>
  <c r="D48" i="15"/>
  <c r="F12" i="15"/>
  <c r="F12" i="26" s="1"/>
  <c r="Z12" i="26" s="1"/>
  <c r="AG94" i="13"/>
  <c r="AI94" i="13" s="1"/>
  <c r="I43" i="15"/>
  <c r="AG324" i="13"/>
  <c r="AI324" i="13" s="1"/>
  <c r="I34" i="15"/>
  <c r="AG299" i="13"/>
  <c r="AI299" i="13" s="1"/>
  <c r="AG205" i="13"/>
  <c r="AI205" i="13" s="1"/>
  <c r="AG264" i="13"/>
  <c r="AH264" i="13" s="1"/>
  <c r="L41" i="24" s="1"/>
  <c r="AG236" i="13"/>
  <c r="AI236" i="13" s="1"/>
  <c r="AG242" i="13"/>
  <c r="AH242" i="13" s="1"/>
  <c r="L19" i="24" s="1"/>
  <c r="AG196" i="13"/>
  <c r="AG309" i="13"/>
  <c r="AI309" i="13" s="1"/>
  <c r="AG261" i="13"/>
  <c r="AH261" i="13" s="1"/>
  <c r="L38" i="24" s="1"/>
  <c r="AG276" i="13"/>
  <c r="AH276" i="13" s="1"/>
  <c r="L53" i="24" s="1"/>
  <c r="D22" i="14"/>
  <c r="M21" i="14"/>
  <c r="AI21" i="15" s="1"/>
  <c r="M19" i="14"/>
  <c r="AI19" i="15" s="1"/>
  <c r="J34" i="14"/>
  <c r="L34" i="14"/>
  <c r="M18" i="14"/>
  <c r="AI18" i="15" s="1"/>
  <c r="M48" i="14"/>
  <c r="M25" i="14"/>
  <c r="AI25" i="15" s="1"/>
  <c r="C12" i="15"/>
  <c r="C12" i="26" s="1"/>
  <c r="W12" i="26" s="1"/>
  <c r="C32" i="15"/>
  <c r="I23" i="14"/>
  <c r="I37" i="14"/>
  <c r="G31" i="15"/>
  <c r="G14" i="15"/>
  <c r="G14" i="26" s="1"/>
  <c r="AA14" i="26" s="1"/>
  <c r="AG99" i="13"/>
  <c r="AG323" i="13"/>
  <c r="AG305" i="13"/>
  <c r="AI305" i="13" s="1"/>
  <c r="BC60" i="21"/>
  <c r="AG82" i="13"/>
  <c r="AH82" i="13" s="1"/>
  <c r="AG272" i="13"/>
  <c r="AH272" i="13" s="1"/>
  <c r="L49" i="24" s="1"/>
  <c r="AG157" i="13"/>
  <c r="AI157" i="13" s="1"/>
  <c r="AG204" i="13"/>
  <c r="AI204" i="13" s="1"/>
  <c r="AG114" i="13"/>
  <c r="AH114" i="13" s="1"/>
  <c r="AG159" i="13"/>
  <c r="AH159" i="13" s="1"/>
  <c r="AG199" i="13"/>
  <c r="AG289" i="13"/>
  <c r="AI289" i="13" s="1"/>
  <c r="AG85" i="13"/>
  <c r="AH85" i="13" s="1"/>
  <c r="I19" i="24" s="1"/>
  <c r="AG325" i="13"/>
  <c r="AH325" i="13" s="1"/>
  <c r="M49" i="24" s="1"/>
  <c r="AG240" i="13"/>
  <c r="AH240" i="13" s="1"/>
  <c r="AG303" i="13"/>
  <c r="AI303" i="13" s="1"/>
  <c r="AG257" i="13"/>
  <c r="AI257" i="13" s="1"/>
  <c r="AG201" i="13"/>
  <c r="AI201" i="13" s="1"/>
  <c r="AG315" i="13"/>
  <c r="AI315" i="13" s="1"/>
  <c r="AG255" i="13"/>
  <c r="AI255" i="13" s="1"/>
  <c r="AG192" i="13"/>
  <c r="C31" i="15"/>
  <c r="M41" i="14"/>
  <c r="AI41" i="15" s="1"/>
  <c r="L48" i="14"/>
  <c r="L11" i="14"/>
  <c r="AH11" i="15" s="1"/>
  <c r="M39" i="14"/>
  <c r="AI39" i="15" s="1"/>
  <c r="C35" i="15"/>
  <c r="C9" i="15"/>
  <c r="C9" i="26" s="1"/>
  <c r="W9" i="26" s="1"/>
  <c r="AG88" i="13"/>
  <c r="AH88" i="13" s="1"/>
  <c r="I22" i="24" s="1"/>
  <c r="AG150" i="13"/>
  <c r="AI150" i="13" s="1"/>
  <c r="AG295" i="13"/>
  <c r="AG246" i="13"/>
  <c r="AI246" i="13" s="1"/>
  <c r="AG86" i="13"/>
  <c r="AI86" i="13" s="1"/>
  <c r="AG214" i="13"/>
  <c r="AI214" i="13" s="1"/>
  <c r="F42" i="14"/>
  <c r="I41" i="15"/>
  <c r="L47" i="14"/>
  <c r="X47" i="14" s="1"/>
  <c r="M46" i="14"/>
  <c r="E18" i="15"/>
  <c r="E18" i="26" s="1"/>
  <c r="Y18" i="26" s="1"/>
  <c r="AG89" i="13"/>
  <c r="AH89" i="13" s="1"/>
  <c r="I23" i="24" s="1"/>
  <c r="AG118" i="13"/>
  <c r="AI118" i="13" s="1"/>
  <c r="AG101" i="13"/>
  <c r="AI101" i="13" s="1"/>
  <c r="E42" i="14"/>
  <c r="G24" i="15"/>
  <c r="G12" i="15"/>
  <c r="G12" i="26" s="1"/>
  <c r="AA12" i="26" s="1"/>
  <c r="I27" i="14"/>
  <c r="I52" i="14"/>
  <c r="F21" i="15"/>
  <c r="F21" i="26" s="1"/>
  <c r="Z21" i="26" s="1"/>
  <c r="AG171" i="13"/>
  <c r="J25" i="14"/>
  <c r="AF25" i="15" s="1"/>
  <c r="L52" i="14"/>
  <c r="E44" i="15"/>
  <c r="D51" i="15"/>
  <c r="D13" i="15"/>
  <c r="D13" i="26" s="1"/>
  <c r="X13" i="26" s="1"/>
  <c r="D44" i="15"/>
  <c r="AG189" i="13"/>
  <c r="AG139" i="13"/>
  <c r="AG311" i="13"/>
  <c r="AI311" i="13" s="1"/>
  <c r="I52" i="15"/>
  <c r="AG141" i="13"/>
  <c r="AG210" i="13"/>
  <c r="AH210" i="13" s="1"/>
  <c r="K40" i="24" s="1"/>
  <c r="AG241" i="13"/>
  <c r="AH241" i="13" s="1"/>
  <c r="L18" i="24" s="1"/>
  <c r="AG138" i="13"/>
  <c r="AI138" i="13" s="1"/>
  <c r="AG90" i="13"/>
  <c r="AI90" i="13" s="1"/>
  <c r="E26" i="14"/>
  <c r="F22" i="14"/>
  <c r="AB22" i="15" s="1"/>
  <c r="F46" i="14"/>
  <c r="L50" i="14"/>
  <c r="D27" i="15"/>
  <c r="J23" i="14"/>
  <c r="M28" i="14"/>
  <c r="AI28" i="15" s="1"/>
  <c r="J16" i="15"/>
  <c r="J16" i="26" s="1"/>
  <c r="AD16" i="26" s="1"/>
  <c r="I38" i="14"/>
  <c r="I49" i="14"/>
  <c r="G22" i="15"/>
  <c r="F36" i="15"/>
  <c r="F14" i="15"/>
  <c r="F14" i="26" s="1"/>
  <c r="Z14" i="26" s="1"/>
  <c r="M26" i="14"/>
  <c r="AI26" i="15" s="1"/>
  <c r="M24" i="14"/>
  <c r="AI24" i="15" s="1"/>
  <c r="L31" i="14"/>
  <c r="J32" i="14"/>
  <c r="J15" i="14"/>
  <c r="AF15" i="15" s="1"/>
  <c r="J49" i="14"/>
  <c r="L23" i="14"/>
  <c r="C40" i="15"/>
  <c r="C17" i="15"/>
  <c r="C17" i="26" s="1"/>
  <c r="W17" i="26" s="1"/>
  <c r="C28" i="15"/>
  <c r="I19" i="14"/>
  <c r="AE19" i="15" s="1"/>
  <c r="I22" i="14"/>
  <c r="E24" i="15"/>
  <c r="AA24" i="15" s="1"/>
  <c r="E19" i="15"/>
  <c r="E19" i="26" s="1"/>
  <c r="Y19" i="26" s="1"/>
  <c r="G39" i="15"/>
  <c r="D14" i="15"/>
  <c r="D14" i="26" s="1"/>
  <c r="X14" i="26" s="1"/>
  <c r="D33" i="15"/>
  <c r="G19" i="15"/>
  <c r="G19" i="26" s="1"/>
  <c r="AA19" i="26" s="1"/>
  <c r="AG318" i="13"/>
  <c r="AG184" i="13"/>
  <c r="AG216" i="13"/>
  <c r="AG258" i="13"/>
  <c r="AG128" i="13"/>
  <c r="G40" i="15"/>
  <c r="G28" i="15"/>
  <c r="AG251" i="13"/>
  <c r="L38" i="14"/>
  <c r="L36" i="14"/>
  <c r="J24" i="14"/>
  <c r="J30" i="14"/>
  <c r="M17" i="14"/>
  <c r="AI17" i="15" s="1"/>
  <c r="M31" i="14"/>
  <c r="AI31" i="15" s="1"/>
  <c r="M45" i="14"/>
  <c r="AI45" i="15" s="1"/>
  <c r="L28" i="14"/>
  <c r="L42" i="14"/>
  <c r="C25" i="15"/>
  <c r="C13" i="15"/>
  <c r="C13" i="26" s="1"/>
  <c r="W13" i="26" s="1"/>
  <c r="C39" i="15"/>
  <c r="I17" i="14"/>
  <c r="AE17" i="15" s="1"/>
  <c r="I44" i="14"/>
  <c r="E26" i="15"/>
  <c r="F37" i="15"/>
  <c r="AG301" i="13"/>
  <c r="AI301" i="13" s="1"/>
  <c r="D15" i="15"/>
  <c r="D15" i="26" s="1"/>
  <c r="X15" i="26" s="1"/>
  <c r="AG209" i="13"/>
  <c r="AG306" i="13"/>
  <c r="AG137" i="13"/>
  <c r="AG211" i="13"/>
  <c r="L22" i="14"/>
  <c r="AH22" i="15" s="1"/>
  <c r="J12" i="14"/>
  <c r="AF12" i="15" s="1"/>
  <c r="J29" i="14"/>
  <c r="M38" i="14"/>
  <c r="M15" i="14"/>
  <c r="AI15" i="15" s="1"/>
  <c r="M29" i="14"/>
  <c r="AI29" i="15" s="1"/>
  <c r="L26" i="14"/>
  <c r="C22" i="15"/>
  <c r="I26" i="14"/>
  <c r="I25" i="14"/>
  <c r="I51" i="14"/>
  <c r="E11" i="15"/>
  <c r="E11" i="26" s="1"/>
  <c r="Y11" i="26" s="1"/>
  <c r="D11" i="15"/>
  <c r="D11" i="26" s="1"/>
  <c r="X11" i="26" s="1"/>
  <c r="AG293" i="13"/>
  <c r="AG97" i="13"/>
  <c r="J11" i="14"/>
  <c r="AF11" i="15" s="1"/>
  <c r="J45" i="14"/>
  <c r="AF45" i="15" s="1"/>
  <c r="M22" i="14"/>
  <c r="AI22" i="15" s="1"/>
  <c r="M36" i="14"/>
  <c r="AI36" i="15" s="1"/>
  <c r="L43" i="14"/>
  <c r="M43" i="14"/>
  <c r="AI43" i="15" s="1"/>
  <c r="E45" i="15"/>
  <c r="C30" i="15"/>
  <c r="C43" i="15"/>
  <c r="F52" i="15"/>
  <c r="I45" i="14"/>
  <c r="I16" i="14"/>
  <c r="AE16" i="15" s="1"/>
  <c r="I50" i="14"/>
  <c r="I15" i="14"/>
  <c r="AE15" i="15" s="1"/>
  <c r="F23" i="15"/>
  <c r="F23" i="26" s="1"/>
  <c r="Z23" i="26" s="1"/>
  <c r="F20" i="15"/>
  <c r="F20" i="26" s="1"/>
  <c r="Z20" i="26" s="1"/>
  <c r="E49" i="15"/>
  <c r="D38" i="15"/>
  <c r="D12" i="15"/>
  <c r="D12" i="26" s="1"/>
  <c r="X12" i="26" s="1"/>
  <c r="AG250" i="13"/>
  <c r="E51" i="15"/>
  <c r="F24" i="15"/>
  <c r="F24" i="26" s="1"/>
  <c r="Z24" i="26" s="1"/>
  <c r="J48" i="15"/>
  <c r="O22" i="14"/>
  <c r="O33" i="14"/>
  <c r="O48" i="14"/>
  <c r="O16" i="14"/>
  <c r="AK16" i="15" s="1"/>
  <c r="O27" i="14"/>
  <c r="AG90" i="11"/>
  <c r="AG321" i="11"/>
  <c r="AG267" i="11"/>
  <c r="AG78" i="11"/>
  <c r="AG252" i="11"/>
  <c r="AI252" i="11" s="1"/>
  <c r="AG208" i="11"/>
  <c r="AG76" i="11"/>
  <c r="AG156" i="11"/>
  <c r="AG236" i="11"/>
  <c r="AI236" i="11" s="1"/>
  <c r="AG216" i="11"/>
  <c r="AI216" i="11" s="1"/>
  <c r="AG142" i="11"/>
  <c r="AG167" i="11"/>
  <c r="AG317" i="11"/>
  <c r="AG161" i="11"/>
  <c r="AG170" i="11"/>
  <c r="AG195" i="11"/>
  <c r="AG86" i="11"/>
  <c r="AG80" i="11"/>
  <c r="AG204" i="11"/>
  <c r="AG154" i="11"/>
  <c r="AG253" i="11"/>
  <c r="AI253" i="11" s="1"/>
  <c r="AG190" i="11"/>
  <c r="AI190" i="11" s="1"/>
  <c r="AG128" i="11"/>
  <c r="AG327" i="11"/>
  <c r="AG323" i="11"/>
  <c r="C38" i="14"/>
  <c r="C29" i="14"/>
  <c r="C11" i="14"/>
  <c r="Y11" i="15" s="1"/>
  <c r="C23" i="14"/>
  <c r="C40" i="14"/>
  <c r="AI253" i="13"/>
  <c r="AD253" i="13" s="1"/>
  <c r="L30" i="25" s="1"/>
  <c r="L30" i="24"/>
  <c r="D31" i="15"/>
  <c r="D45" i="15"/>
  <c r="D36" i="15"/>
  <c r="D9" i="15"/>
  <c r="D9" i="26" s="1"/>
  <c r="X9" i="26" s="1"/>
  <c r="D21" i="15"/>
  <c r="D21" i="26" s="1"/>
  <c r="X21" i="26" s="1"/>
  <c r="F30" i="15"/>
  <c r="AG233" i="11"/>
  <c r="AG241" i="11"/>
  <c r="AG322" i="11"/>
  <c r="AG164" i="11"/>
  <c r="AG157" i="11"/>
  <c r="F11" i="15"/>
  <c r="F11" i="26" s="1"/>
  <c r="Z11" i="26" s="1"/>
  <c r="C18" i="15"/>
  <c r="C18" i="26" s="1"/>
  <c r="W18" i="26" s="1"/>
  <c r="E20" i="15"/>
  <c r="E20" i="26" s="1"/>
  <c r="Y20" i="26" s="1"/>
  <c r="E48" i="15"/>
  <c r="E33" i="15"/>
  <c r="O50" i="14"/>
  <c r="O18" i="14"/>
  <c r="O29" i="14"/>
  <c r="O44" i="14"/>
  <c r="O12" i="14"/>
  <c r="O23" i="14"/>
  <c r="C32" i="14"/>
  <c r="C24" i="14"/>
  <c r="C25" i="14"/>
  <c r="C28" i="14"/>
  <c r="C37" i="14"/>
  <c r="AG129" i="11"/>
  <c r="AG248" i="11"/>
  <c r="AG308" i="11"/>
  <c r="AG152" i="11"/>
  <c r="AG268" i="11"/>
  <c r="AG290" i="11"/>
  <c r="AG92" i="11"/>
  <c r="AG130" i="11"/>
  <c r="AG211" i="11"/>
  <c r="AG298" i="11"/>
  <c r="AG135" i="11"/>
  <c r="AG145" i="11"/>
  <c r="AG276" i="11"/>
  <c r="AG306" i="11"/>
  <c r="AG139" i="11"/>
  <c r="AG149" i="11"/>
  <c r="AG186" i="11"/>
  <c r="AG314" i="11"/>
  <c r="AG150" i="11"/>
  <c r="AG160" i="11"/>
  <c r="AG238" i="11"/>
  <c r="AG234" i="11"/>
  <c r="AG99" i="11"/>
  <c r="AG153" i="11"/>
  <c r="AG246" i="11"/>
  <c r="AG242" i="11"/>
  <c r="AG136" i="11"/>
  <c r="AG269" i="11"/>
  <c r="AG222" i="11"/>
  <c r="O46" i="14"/>
  <c r="O14" i="14"/>
  <c r="O25" i="14"/>
  <c r="O40" i="14"/>
  <c r="O51" i="14"/>
  <c r="O19" i="14"/>
  <c r="C10" i="14"/>
  <c r="Y10" i="15" s="1"/>
  <c r="C17" i="14"/>
  <c r="Y17" i="15" s="1"/>
  <c r="C16" i="14"/>
  <c r="Y16" i="15" s="1"/>
  <c r="C46" i="14"/>
  <c r="C43" i="14"/>
  <c r="AG89" i="11"/>
  <c r="AG309" i="11"/>
  <c r="AG200" i="11"/>
  <c r="AG96" i="11"/>
  <c r="AG111" i="11"/>
  <c r="AG197" i="11"/>
  <c r="AG193" i="11"/>
  <c r="AG119" i="11"/>
  <c r="AG97" i="11"/>
  <c r="AG205" i="11"/>
  <c r="AG201" i="11"/>
  <c r="AG113" i="11"/>
  <c r="AG93" i="11"/>
  <c r="AG213" i="11"/>
  <c r="AG209" i="11"/>
  <c r="AG109" i="11"/>
  <c r="AG134" i="11"/>
  <c r="AG221" i="11"/>
  <c r="AG217" i="11"/>
  <c r="AG106" i="11"/>
  <c r="AG138" i="11"/>
  <c r="AG311" i="11"/>
  <c r="AG307" i="11"/>
  <c r="AG95" i="11"/>
  <c r="AG319" i="11"/>
  <c r="AG315" i="11"/>
  <c r="AG165" i="11"/>
  <c r="AG305" i="11"/>
  <c r="AG263" i="11"/>
  <c r="O42" i="14"/>
  <c r="O10" i="14"/>
  <c r="O21" i="14"/>
  <c r="O36" i="14"/>
  <c r="O47" i="14"/>
  <c r="O15" i="14"/>
  <c r="C9" i="14"/>
  <c r="Y9" i="15" s="1"/>
  <c r="C35" i="14"/>
  <c r="C42" i="14"/>
  <c r="C31" i="14"/>
  <c r="C41" i="14"/>
  <c r="AG141" i="11"/>
  <c r="AG203" i="11"/>
  <c r="AG273" i="11"/>
  <c r="AG83" i="11"/>
  <c r="AG100" i="11"/>
  <c r="AG270" i="11"/>
  <c r="AG266" i="11"/>
  <c r="AG147" i="11"/>
  <c r="AG287" i="11"/>
  <c r="AG274" i="11"/>
  <c r="AG158" i="11"/>
  <c r="C37" i="15"/>
  <c r="AG295" i="11"/>
  <c r="AG291" i="11"/>
  <c r="AG162" i="11"/>
  <c r="C51" i="15"/>
  <c r="AG303" i="11"/>
  <c r="AG299" i="11"/>
  <c r="AG102" i="11"/>
  <c r="AG182" i="11"/>
  <c r="AG214" i="11"/>
  <c r="AG146" i="11"/>
  <c r="C48" i="15"/>
  <c r="AG212" i="11"/>
  <c r="AG218" i="11"/>
  <c r="AG98" i="11"/>
  <c r="C34" i="15"/>
  <c r="AG223" i="11"/>
  <c r="AG304" i="11"/>
  <c r="C23" i="15"/>
  <c r="C42" i="15"/>
  <c r="O38" i="14"/>
  <c r="O49" i="14"/>
  <c r="O17" i="14"/>
  <c r="O32" i="14"/>
  <c r="O43" i="14"/>
  <c r="O11" i="14"/>
  <c r="C21" i="14"/>
  <c r="Y21" i="15" s="1"/>
  <c r="C49" i="14"/>
  <c r="C22" i="14"/>
  <c r="C12" i="14"/>
  <c r="Y12" i="15" s="1"/>
  <c r="C34" i="14"/>
  <c r="C50" i="14"/>
  <c r="AG103" i="11"/>
  <c r="AG77" i="11"/>
  <c r="AG326" i="11"/>
  <c r="AG310" i="11"/>
  <c r="AG143" i="11"/>
  <c r="AG171" i="11"/>
  <c r="AG302" i="11"/>
  <c r="AG198" i="11"/>
  <c r="AG155" i="11"/>
  <c r="C29" i="15"/>
  <c r="AG207" i="11"/>
  <c r="AG202" i="11"/>
  <c r="AG166" i="11"/>
  <c r="C11" i="15"/>
  <c r="C11" i="26" s="1"/>
  <c r="W11" i="26" s="1"/>
  <c r="AG264" i="11"/>
  <c r="AG206" i="11"/>
  <c r="AG169" i="11"/>
  <c r="AG313" i="11"/>
  <c r="AG210" i="11"/>
  <c r="AG131" i="11"/>
  <c r="AG256" i="11"/>
  <c r="AG255" i="11"/>
  <c r="AG108" i="11"/>
  <c r="AG289" i="11"/>
  <c r="AG259" i="11"/>
  <c r="AG117" i="11"/>
  <c r="AG189" i="11"/>
  <c r="AG192" i="11"/>
  <c r="O34" i="14"/>
  <c r="O45" i="14"/>
  <c r="O13" i="14"/>
  <c r="O28" i="14"/>
  <c r="O39" i="14"/>
  <c r="C36" i="14"/>
  <c r="C47" i="14"/>
  <c r="C48" i="14"/>
  <c r="C30" i="14"/>
  <c r="C26" i="14"/>
  <c r="C33" i="14"/>
  <c r="AG110" i="11"/>
  <c r="AG104" i="11"/>
  <c r="AG262" i="11"/>
  <c r="AG258" i="11"/>
  <c r="AG151" i="11"/>
  <c r="AG183" i="11"/>
  <c r="AG239" i="11"/>
  <c r="AG85" i="11"/>
  <c r="C38" i="15"/>
  <c r="AG191" i="11"/>
  <c r="AG243" i="11"/>
  <c r="AG118" i="11"/>
  <c r="C21" i="15"/>
  <c r="C21" i="26" s="1"/>
  <c r="W21" i="26" s="1"/>
  <c r="AG215" i="11"/>
  <c r="AG247" i="11"/>
  <c r="AG115" i="11"/>
  <c r="AG240" i="11"/>
  <c r="AG251" i="11"/>
  <c r="AG112" i="11"/>
  <c r="AG187" i="11"/>
  <c r="AG296" i="11"/>
  <c r="AG87" i="11"/>
  <c r="C14" i="15"/>
  <c r="C14" i="26" s="1"/>
  <c r="W14" i="26" s="1"/>
  <c r="AG199" i="11"/>
  <c r="AG300" i="11"/>
  <c r="AG137" i="11"/>
  <c r="AG181" i="11"/>
  <c r="AG265" i="11"/>
  <c r="O30" i="14"/>
  <c r="O41" i="14"/>
  <c r="O9" i="14"/>
  <c r="O24" i="14"/>
  <c r="O35" i="14"/>
  <c r="C18" i="14"/>
  <c r="Y18" i="15" s="1"/>
  <c r="C20" i="14"/>
  <c r="Y20" i="15" s="1"/>
  <c r="C44" i="14"/>
  <c r="C13" i="14"/>
  <c r="Y13" i="15" s="1"/>
  <c r="C51" i="14"/>
  <c r="Y51" i="15" s="1"/>
  <c r="C27" i="14"/>
  <c r="AG132" i="11"/>
  <c r="AG168" i="11"/>
  <c r="AG237" i="11"/>
  <c r="AG194" i="11"/>
  <c r="AG82" i="11"/>
  <c r="AG196" i="11"/>
  <c r="AG271" i="11"/>
  <c r="AG144" i="11"/>
  <c r="AG220" i="11"/>
  <c r="AG275" i="11"/>
  <c r="AG148" i="11"/>
  <c r="C33" i="15"/>
  <c r="AG261" i="11"/>
  <c r="AG288" i="11"/>
  <c r="AG159" i="11"/>
  <c r="AG294" i="11"/>
  <c r="AG292" i="11"/>
  <c r="AG163" i="11"/>
  <c r="AG244" i="11"/>
  <c r="AG184" i="11"/>
  <c r="AG328" i="11"/>
  <c r="AG94" i="11"/>
  <c r="AG185" i="11"/>
  <c r="AG188" i="11"/>
  <c r="AG116" i="11"/>
  <c r="AG84" i="11"/>
  <c r="AG286" i="11"/>
  <c r="AG245" i="11"/>
  <c r="C19" i="15"/>
  <c r="C19" i="26" s="1"/>
  <c r="W19" i="26" s="1"/>
  <c r="O26" i="14"/>
  <c r="O37" i="14"/>
  <c r="O52" i="14"/>
  <c r="O20" i="14"/>
  <c r="O31" i="14"/>
  <c r="C52" i="14"/>
  <c r="C39" i="14"/>
  <c r="C15" i="14"/>
  <c r="Y15" i="15" s="1"/>
  <c r="C45" i="14"/>
  <c r="C14" i="14"/>
  <c r="Y14" i="15" s="1"/>
  <c r="C19" i="14"/>
  <c r="Y19" i="15" s="1"/>
  <c r="AG140" i="11"/>
  <c r="AG318" i="11"/>
  <c r="AG235" i="11"/>
  <c r="AG133" i="11"/>
  <c r="AG272" i="11"/>
  <c r="AG312" i="11"/>
  <c r="AG88" i="11"/>
  <c r="AG293" i="11"/>
  <c r="AG297" i="11"/>
  <c r="AG316" i="11"/>
  <c r="AG81" i="11"/>
  <c r="AG219" i="11"/>
  <c r="AG329" i="11"/>
  <c r="AG320" i="11"/>
  <c r="AG105" i="11"/>
  <c r="AG301" i="11"/>
  <c r="AG180" i="11"/>
  <c r="AG324" i="11"/>
  <c r="AG101" i="11"/>
  <c r="AG325" i="11"/>
  <c r="AG249" i="11"/>
  <c r="AG79" i="11"/>
  <c r="AG91" i="11"/>
  <c r="AG260" i="11"/>
  <c r="AG257" i="11"/>
  <c r="AG114" i="11"/>
  <c r="AG107" i="11"/>
  <c r="AG254" i="11"/>
  <c r="AG250" i="11"/>
  <c r="M14" i="15"/>
  <c r="M14" i="26" s="1"/>
  <c r="AG14" i="26" s="1"/>
  <c r="L13" i="15"/>
  <c r="L13" i="26" s="1"/>
  <c r="AF13" i="26" s="1"/>
  <c r="M33" i="15"/>
  <c r="M33" i="26" s="1"/>
  <c r="AG33" i="26" s="1"/>
  <c r="J18" i="15"/>
  <c r="J18" i="26" s="1"/>
  <c r="AD18" i="26" s="1"/>
  <c r="AH169" i="13"/>
  <c r="J51" i="24" s="1"/>
  <c r="J13" i="15"/>
  <c r="J13" i="26" s="1"/>
  <c r="AD13" i="26" s="1"/>
  <c r="K9" i="14"/>
  <c r="AG9" i="15" s="1"/>
  <c r="M46" i="15"/>
  <c r="J20" i="15"/>
  <c r="J20" i="26" s="1"/>
  <c r="AD20" i="26" s="1"/>
  <c r="J36" i="15"/>
  <c r="M18" i="15"/>
  <c r="M18" i="26" s="1"/>
  <c r="AG18" i="26" s="1"/>
  <c r="J22" i="15"/>
  <c r="M42" i="15"/>
  <c r="M32" i="15"/>
  <c r="M32" i="26" s="1"/>
  <c r="AG32" i="26" s="1"/>
  <c r="M36" i="15"/>
  <c r="M36" i="26" s="1"/>
  <c r="AG36" i="26" s="1"/>
  <c r="L26" i="15"/>
  <c r="L34" i="15"/>
  <c r="J38" i="15"/>
  <c r="M28" i="15"/>
  <c r="M28" i="26" s="1"/>
  <c r="AG28" i="26" s="1"/>
  <c r="AI267" i="13"/>
  <c r="AH267" i="13"/>
  <c r="AI234" i="13"/>
  <c r="AH234" i="13"/>
  <c r="L18" i="15"/>
  <c r="L18" i="26" s="1"/>
  <c r="AF18" i="26" s="1"/>
  <c r="L46" i="15"/>
  <c r="M12" i="15"/>
  <c r="M12" i="26" s="1"/>
  <c r="AG12" i="26" s="1"/>
  <c r="BC61" i="21"/>
  <c r="J28" i="15"/>
  <c r="M50" i="15"/>
  <c r="M52" i="15"/>
  <c r="M40" i="15"/>
  <c r="J12" i="15"/>
  <c r="J12" i="26" s="1"/>
  <c r="AD12" i="26" s="1"/>
  <c r="L38" i="15"/>
  <c r="L25" i="15"/>
  <c r="M13" i="15"/>
  <c r="M13" i="26" s="1"/>
  <c r="AG13" i="26" s="1"/>
  <c r="J27" i="15"/>
  <c r="L10" i="15"/>
  <c r="L10" i="26" s="1"/>
  <c r="AF10" i="26" s="1"/>
  <c r="M26" i="15"/>
  <c r="M26" i="26" s="1"/>
  <c r="AG26" i="26" s="1"/>
  <c r="L29" i="15"/>
  <c r="J43" i="15"/>
  <c r="J50" i="15"/>
  <c r="M21" i="15"/>
  <c r="M21" i="26" s="1"/>
  <c r="AG21" i="26" s="1"/>
  <c r="J39" i="15"/>
  <c r="M23" i="15"/>
  <c r="M23" i="26" s="1"/>
  <c r="AG23" i="26" s="1"/>
  <c r="L45" i="15"/>
  <c r="L23" i="15"/>
  <c r="J24" i="15"/>
  <c r="J31" i="15"/>
  <c r="M30" i="15"/>
  <c r="M30" i="26" s="1"/>
  <c r="AG30" i="26" s="1"/>
  <c r="M48" i="15"/>
  <c r="L44" i="15"/>
  <c r="L22" i="15"/>
  <c r="L22" i="26" s="1"/>
  <c r="AF22" i="26" s="1"/>
  <c r="M22" i="15"/>
  <c r="M22" i="26" s="1"/>
  <c r="AG22" i="26" s="1"/>
  <c r="J14" i="15"/>
  <c r="J14" i="26" s="1"/>
  <c r="AD14" i="26" s="1"/>
  <c r="J30" i="15"/>
  <c r="AB222" i="11" a="1"/>
  <c r="AB222" i="11" s="1"/>
  <c r="AC222" i="11" a="1"/>
  <c r="AC222" i="11" s="1"/>
  <c r="J19" i="15"/>
  <c r="J19" i="26" s="1"/>
  <c r="AD19" i="26" s="1"/>
  <c r="J23" i="15"/>
  <c r="L17" i="15"/>
  <c r="L17" i="26" s="1"/>
  <c r="AF17" i="26" s="1"/>
  <c r="L33" i="15"/>
  <c r="L49" i="15"/>
  <c r="J35" i="15"/>
  <c r="J32" i="15"/>
  <c r="M16" i="15"/>
  <c r="M16" i="26" s="1"/>
  <c r="AG16" i="26" s="1"/>
  <c r="M38" i="15"/>
  <c r="V65" i="11"/>
  <c r="Q66" i="11"/>
  <c r="AF66" i="11" s="1"/>
  <c r="R55" i="11"/>
  <c r="AG55" i="11" s="1"/>
  <c r="L41" i="15"/>
  <c r="L42" i="15"/>
  <c r="L30" i="15"/>
  <c r="L48" i="15"/>
  <c r="L15" i="15"/>
  <c r="L15" i="26" s="1"/>
  <c r="AF15" i="26" s="1"/>
  <c r="J46" i="15"/>
  <c r="J9" i="15"/>
  <c r="J9" i="26" s="1"/>
  <c r="AD9" i="26" s="1"/>
  <c r="L39" i="15"/>
  <c r="M11" i="15"/>
  <c r="M11" i="26" s="1"/>
  <c r="AG11" i="26" s="1"/>
  <c r="J51" i="15"/>
  <c r="M17" i="15"/>
  <c r="M17" i="26" s="1"/>
  <c r="AG17" i="26" s="1"/>
  <c r="L12" i="15"/>
  <c r="L12" i="26" s="1"/>
  <c r="AF12" i="26" s="1"/>
  <c r="L24" i="15"/>
  <c r="M34" i="15"/>
  <c r="M34" i="26" s="1"/>
  <c r="AG34" i="26" s="1"/>
  <c r="L36" i="15"/>
  <c r="J17" i="15"/>
  <c r="J17" i="26" s="1"/>
  <c r="AD17" i="26" s="1"/>
  <c r="L32" i="15"/>
  <c r="L50" i="15"/>
  <c r="L14" i="15"/>
  <c r="L14" i="26" s="1"/>
  <c r="AF14" i="26" s="1"/>
  <c r="J41" i="15"/>
  <c r="L28" i="15"/>
  <c r="L9" i="15"/>
  <c r="L9" i="26" s="1"/>
  <c r="AF9" i="26" s="1"/>
  <c r="AV65" i="21"/>
  <c r="BA65" i="21" s="1"/>
  <c r="AG66" i="21"/>
  <c r="W66" i="21"/>
  <c r="AG67" i="21"/>
  <c r="W67" i="21"/>
  <c r="BC63" i="21"/>
  <c r="BH64" i="21"/>
  <c r="BF64" i="21"/>
  <c r="BG64" i="21"/>
  <c r="BE64" i="21"/>
  <c r="BD64" i="21"/>
  <c r="K9" i="15"/>
  <c r="K9" i="26" s="1"/>
  <c r="AE9" i="26" s="1"/>
  <c r="M24" i="15"/>
  <c r="M24" i="26" s="1"/>
  <c r="AG24" i="26" s="1"/>
  <c r="L21" i="15"/>
  <c r="L21" i="26" s="1"/>
  <c r="AF21" i="26" s="1"/>
  <c r="L37" i="15"/>
  <c r="M9" i="15"/>
  <c r="M9" i="26" s="1"/>
  <c r="AG9" i="26" s="1"/>
  <c r="M25" i="15"/>
  <c r="M25" i="26" s="1"/>
  <c r="AG25" i="26" s="1"/>
  <c r="J21" i="15"/>
  <c r="J21" i="26" s="1"/>
  <c r="AD21" i="26" s="1"/>
  <c r="J49" i="15"/>
  <c r="L43" i="15"/>
  <c r="M37" i="15"/>
  <c r="M37" i="26" s="1"/>
  <c r="AG37" i="26" s="1"/>
  <c r="J37" i="15"/>
  <c r="L52" i="15"/>
  <c r="L19" i="15"/>
  <c r="L19" i="26" s="1"/>
  <c r="AF19" i="26" s="1"/>
  <c r="L35" i="15"/>
  <c r="J33" i="15"/>
  <c r="J42" i="15"/>
  <c r="M29" i="15"/>
  <c r="M29" i="26" s="1"/>
  <c r="AG29" i="26" s="1"/>
  <c r="J44" i="15"/>
  <c r="J47" i="15"/>
  <c r="L11" i="15"/>
  <c r="L11" i="26" s="1"/>
  <c r="AF11" i="26" s="1"/>
  <c r="M15" i="15"/>
  <c r="M15" i="26" s="1"/>
  <c r="AG15" i="26" s="1"/>
  <c r="M31" i="15"/>
  <c r="M31" i="26" s="1"/>
  <c r="AG31" i="26" s="1"/>
  <c r="J34" i="15"/>
  <c r="J10" i="15"/>
  <c r="J10" i="26" s="1"/>
  <c r="AD10" i="26" s="1"/>
  <c r="M44" i="15"/>
  <c r="L20" i="15"/>
  <c r="L20" i="26" s="1"/>
  <c r="AF20" i="26" s="1"/>
  <c r="L31" i="15"/>
  <c r="L47" i="15"/>
  <c r="M19" i="15"/>
  <c r="M19" i="26" s="1"/>
  <c r="AG19" i="26" s="1"/>
  <c r="M35" i="15"/>
  <c r="M35" i="26" s="1"/>
  <c r="AG35" i="26" s="1"/>
  <c r="J29" i="15"/>
  <c r="J26" i="15"/>
  <c r="W54" i="11"/>
  <c r="W53" i="13"/>
  <c r="B53" i="11"/>
  <c r="V132" i="5"/>
  <c r="W132" i="5" s="1"/>
  <c r="A70" i="5"/>
  <c r="P69" i="5"/>
  <c r="AB69" i="5"/>
  <c r="Z69" i="5"/>
  <c r="F69" i="5"/>
  <c r="H69" i="5"/>
  <c r="R69" i="5"/>
  <c r="U17" i="5"/>
  <c r="AD17" i="5" s="1"/>
  <c r="AB51" i="13"/>
  <c r="AA65" i="11"/>
  <c r="AB67" i="21"/>
  <c r="AB66" i="21"/>
  <c r="AB54" i="11"/>
  <c r="AU65" i="11" l="1"/>
  <c r="AV54" i="11"/>
  <c r="AH164" i="13"/>
  <c r="AD164" i="13" s="1"/>
  <c r="J46" i="25" s="1"/>
  <c r="J45" i="26" s="1"/>
  <c r="AD45" i="26" s="1"/>
  <c r="AG51" i="15"/>
  <c r="AI38" i="15"/>
  <c r="AI40" i="15"/>
  <c r="AQ51" i="13"/>
  <c r="AR51" i="13"/>
  <c r="AN51" i="13"/>
  <c r="AO51" i="13"/>
  <c r="AP51" i="13"/>
  <c r="AP53" i="11"/>
  <c r="AN53" i="11"/>
  <c r="AO53" i="11"/>
  <c r="AQ53" i="11"/>
  <c r="AR53" i="11"/>
  <c r="AG27" i="15"/>
  <c r="AG25" i="15"/>
  <c r="AG26" i="15"/>
  <c r="AD182" i="13"/>
  <c r="K12" i="25" s="1"/>
  <c r="AH191" i="13"/>
  <c r="K21" i="24" s="1"/>
  <c r="AI191" i="13"/>
  <c r="AH192" i="13"/>
  <c r="AI192" i="13"/>
  <c r="AH196" i="13"/>
  <c r="AI196" i="13"/>
  <c r="AH195" i="13"/>
  <c r="AI195" i="13"/>
  <c r="AH185" i="13"/>
  <c r="K15" i="24" s="1"/>
  <c r="AI185" i="13"/>
  <c r="AI190" i="13"/>
  <c r="AH190" i="13"/>
  <c r="K20" i="24" s="1"/>
  <c r="AH183" i="13"/>
  <c r="AI183" i="13"/>
  <c r="AH181" i="13"/>
  <c r="AI181" i="13"/>
  <c r="AH199" i="13"/>
  <c r="AI199" i="13"/>
  <c r="AI194" i="13"/>
  <c r="AH194" i="13"/>
  <c r="K24" i="24" s="1"/>
  <c r="AH184" i="13"/>
  <c r="AI184" i="13"/>
  <c r="AI186" i="13"/>
  <c r="AH186" i="13"/>
  <c r="K16" i="24" s="1"/>
  <c r="AH187" i="13"/>
  <c r="K17" i="24" s="1"/>
  <c r="AI187" i="13"/>
  <c r="AH189" i="13"/>
  <c r="AI189" i="13"/>
  <c r="AH188" i="13"/>
  <c r="AI188" i="13"/>
  <c r="AH197" i="13"/>
  <c r="K27" i="24" s="1"/>
  <c r="AI197" i="13"/>
  <c r="AH193" i="13"/>
  <c r="AI193" i="13"/>
  <c r="AI198" i="13"/>
  <c r="AH198" i="13"/>
  <c r="K28" i="24" s="1"/>
  <c r="AG30" i="15"/>
  <c r="K17" i="5"/>
  <c r="T16" i="5"/>
  <c r="AG33" i="15"/>
  <c r="AG29" i="15"/>
  <c r="AG31" i="15"/>
  <c r="AG28" i="15"/>
  <c r="AB46" i="15"/>
  <c r="A17" i="5"/>
  <c r="J16" i="5"/>
  <c r="AC50" i="15"/>
  <c r="AB32" i="15"/>
  <c r="AB48" i="15"/>
  <c r="AA38" i="15"/>
  <c r="AB40" i="15"/>
  <c r="AB44" i="15"/>
  <c r="AB35" i="15"/>
  <c r="AA50" i="15"/>
  <c r="AB43" i="15"/>
  <c r="AA42" i="15"/>
  <c r="AB49" i="15"/>
  <c r="AE29" i="15"/>
  <c r="AB34" i="15"/>
  <c r="AA20" i="15"/>
  <c r="W20" i="14"/>
  <c r="AG32" i="15"/>
  <c r="Y32" i="14"/>
  <c r="W32" i="14"/>
  <c r="AB20" i="15"/>
  <c r="X20" i="14"/>
  <c r="Y47" i="14"/>
  <c r="X32" i="14"/>
  <c r="Z20" i="15"/>
  <c r="V20" i="14"/>
  <c r="W47" i="14"/>
  <c r="V47" i="14"/>
  <c r="AB42" i="15"/>
  <c r="V32" i="14"/>
  <c r="AG20" i="15"/>
  <c r="Y20" i="14"/>
  <c r="Y41" i="15"/>
  <c r="AB28" i="15"/>
  <c r="AB27" i="15"/>
  <c r="AB38" i="15"/>
  <c r="AB39" i="15"/>
  <c r="AB26" i="15"/>
  <c r="AB50" i="15"/>
  <c r="Y45" i="15"/>
  <c r="Y48" i="15"/>
  <c r="AA34" i="15"/>
  <c r="Z32" i="15"/>
  <c r="Z23" i="15"/>
  <c r="AA22" i="15"/>
  <c r="AE23" i="15"/>
  <c r="AE47" i="15"/>
  <c r="AI42" i="15"/>
  <c r="AI46" i="15"/>
  <c r="AI44" i="15"/>
  <c r="AE35" i="15"/>
  <c r="AE43" i="15"/>
  <c r="Z49" i="15"/>
  <c r="AA33" i="15"/>
  <c r="B50" i="15"/>
  <c r="B50" i="26" s="1"/>
  <c r="V50" i="26" s="1"/>
  <c r="Y50" i="15"/>
  <c r="J29" i="24"/>
  <c r="Z47" i="15"/>
  <c r="L29" i="26"/>
  <c r="AF29" i="26" s="1"/>
  <c r="AA32" i="15"/>
  <c r="Z26" i="15"/>
  <c r="Z42" i="15"/>
  <c r="AA30" i="15"/>
  <c r="Z38" i="15"/>
  <c r="Y27" i="15"/>
  <c r="Y22" i="15"/>
  <c r="AC45" i="15"/>
  <c r="AH108" i="13"/>
  <c r="I42" i="24" s="1"/>
  <c r="AE22" i="15"/>
  <c r="AH95" i="13"/>
  <c r="I29" i="24" s="1"/>
  <c r="AH48" i="15"/>
  <c r="Y47" i="15"/>
  <c r="AA29" i="15"/>
  <c r="Z52" i="15"/>
  <c r="AC52" i="15"/>
  <c r="AH35" i="15"/>
  <c r="Z28" i="15"/>
  <c r="AC25" i="15"/>
  <c r="AC42" i="15"/>
  <c r="Z41" i="15"/>
  <c r="AE46" i="15"/>
  <c r="B41" i="15"/>
  <c r="B41" i="26" s="1"/>
  <c r="V41" i="26" s="1"/>
  <c r="AH308" i="13"/>
  <c r="AD308" i="13" s="1"/>
  <c r="M32" i="25" s="1"/>
  <c r="AE42" i="15"/>
  <c r="Y24" i="15"/>
  <c r="H48" i="14"/>
  <c r="AA27" i="15"/>
  <c r="AC32" i="15"/>
  <c r="AA28" i="15"/>
  <c r="AA41" i="15"/>
  <c r="AH44" i="15"/>
  <c r="AC29" i="15"/>
  <c r="AH131" i="13"/>
  <c r="AD131" i="13" s="1"/>
  <c r="J13" i="25" s="1"/>
  <c r="AI167" i="13"/>
  <c r="AD167" i="13" s="1"/>
  <c r="J49" i="25" s="1"/>
  <c r="J48" i="26" s="1"/>
  <c r="AD48" i="26" s="1"/>
  <c r="AI270" i="13"/>
  <c r="AI208" i="13"/>
  <c r="AI129" i="13"/>
  <c r="AD129" i="13" s="1"/>
  <c r="J11" i="25" s="1"/>
  <c r="AI316" i="13"/>
  <c r="AD316" i="13" s="1"/>
  <c r="M40" i="25" s="1"/>
  <c r="M39" i="26" s="1"/>
  <c r="AG39" i="26" s="1"/>
  <c r="AI254" i="13"/>
  <c r="AD254" i="13" s="1"/>
  <c r="L31" i="25" s="1"/>
  <c r="L30" i="26" s="1"/>
  <c r="AF30" i="26" s="1"/>
  <c r="AI106" i="13"/>
  <c r="AD106" i="13" s="1"/>
  <c r="I40" i="25" s="1"/>
  <c r="I39" i="26" s="1"/>
  <c r="AC39" i="26" s="1"/>
  <c r="AH170" i="13"/>
  <c r="AD170" i="13" s="1"/>
  <c r="J52" i="25" s="1"/>
  <c r="J51" i="26" s="1"/>
  <c r="AD51" i="26" s="1"/>
  <c r="AI219" i="13"/>
  <c r="AC27" i="15"/>
  <c r="AA31" i="15"/>
  <c r="AC35" i="15"/>
  <c r="N41" i="14"/>
  <c r="AH136" i="13"/>
  <c r="AD136" i="13" s="1"/>
  <c r="J18" i="25" s="1"/>
  <c r="B29" i="14"/>
  <c r="AE31" i="15"/>
  <c r="N38" i="14"/>
  <c r="Z22" i="15"/>
  <c r="AB31" i="15"/>
  <c r="AA25" i="15"/>
  <c r="AA23" i="15"/>
  <c r="AH239" i="13"/>
  <c r="AD239" i="13" s="1"/>
  <c r="L16" i="25" s="1"/>
  <c r="B23" i="14"/>
  <c r="N34" i="14"/>
  <c r="AE48" i="15"/>
  <c r="AH26" i="15"/>
  <c r="AH23" i="15"/>
  <c r="AH24" i="15"/>
  <c r="AH25" i="15"/>
  <c r="AH27" i="15"/>
  <c r="AH76" i="13"/>
  <c r="AD76" i="13" s="1"/>
  <c r="I10" i="25" s="1"/>
  <c r="AH142" i="13"/>
  <c r="AD142" i="13" s="1"/>
  <c r="J24" i="25" s="1"/>
  <c r="J23" i="26" s="1"/>
  <c r="AD23" i="26" s="1"/>
  <c r="AG35" i="15"/>
  <c r="AF24" i="15"/>
  <c r="AI218" i="13"/>
  <c r="AH33" i="15"/>
  <c r="AH37" i="15"/>
  <c r="AH31" i="15"/>
  <c r="AH36" i="15"/>
  <c r="AH34" i="15"/>
  <c r="AH46" i="15"/>
  <c r="AG37" i="15"/>
  <c r="AF23" i="15"/>
  <c r="AH29" i="15"/>
  <c r="AH32" i="15"/>
  <c r="AG36" i="15"/>
  <c r="AH30" i="15"/>
  <c r="AH28" i="15"/>
  <c r="AH38" i="15"/>
  <c r="AF26" i="15"/>
  <c r="AG34" i="15"/>
  <c r="AG38" i="15"/>
  <c r="AF22" i="15"/>
  <c r="AI202" i="13"/>
  <c r="AH113" i="13"/>
  <c r="AD113" i="13" s="1"/>
  <c r="I47" i="25" s="1"/>
  <c r="I46" i="26" s="1"/>
  <c r="AC46" i="26" s="1"/>
  <c r="AI248" i="13"/>
  <c r="AD248" i="13" s="1"/>
  <c r="L25" i="25" s="1"/>
  <c r="L24" i="26" s="1"/>
  <c r="AF24" i="26" s="1"/>
  <c r="AH77" i="13"/>
  <c r="AD77" i="13" s="1"/>
  <c r="I11" i="25" s="1"/>
  <c r="AI117" i="13"/>
  <c r="AD117" i="13" s="1"/>
  <c r="I51" i="25" s="1"/>
  <c r="I50" i="26" s="1"/>
  <c r="AC50" i="26" s="1"/>
  <c r="AH245" i="13"/>
  <c r="AD245" i="13" s="1"/>
  <c r="L22" i="25" s="1"/>
  <c r="Y43" i="15"/>
  <c r="AI93" i="13"/>
  <c r="AD93" i="13" s="1"/>
  <c r="I27" i="25" s="1"/>
  <c r="I26" i="26" s="1"/>
  <c r="AC26" i="26" s="1"/>
  <c r="AH215" i="13"/>
  <c r="K45" i="24" s="1"/>
  <c r="AH263" i="13"/>
  <c r="L40" i="24" s="1"/>
  <c r="AH269" i="13"/>
  <c r="L46" i="24" s="1"/>
  <c r="AH274" i="13"/>
  <c r="L51" i="24" s="1"/>
  <c r="AH320" i="13"/>
  <c r="AD320" i="13" s="1"/>
  <c r="M44" i="25" s="1"/>
  <c r="M43" i="26" s="1"/>
  <c r="AG43" i="26" s="1"/>
  <c r="Z25" i="15"/>
  <c r="AC43" i="15"/>
  <c r="AC28" i="15"/>
  <c r="H47" i="14"/>
  <c r="Z24" i="15"/>
  <c r="AC22" i="15"/>
  <c r="AC26" i="15"/>
  <c r="AC30" i="15"/>
  <c r="AC24" i="15"/>
  <c r="AC31" i="15"/>
  <c r="AH273" i="13"/>
  <c r="L50" i="24" s="1"/>
  <c r="AH163" i="13"/>
  <c r="AD163" i="13" s="1"/>
  <c r="J45" i="25" s="1"/>
  <c r="J44" i="26" s="1"/>
  <c r="AD44" i="26" s="1"/>
  <c r="AH115" i="13"/>
  <c r="AD115" i="13" s="1"/>
  <c r="I49" i="25" s="1"/>
  <c r="I48" i="26" s="1"/>
  <c r="AC48" i="26" s="1"/>
  <c r="AH223" i="13"/>
  <c r="K53" i="24" s="1"/>
  <c r="AH91" i="13"/>
  <c r="AD91" i="13" s="1"/>
  <c r="I25" i="25" s="1"/>
  <c r="I24" i="26" s="1"/>
  <c r="AC24" i="26" s="1"/>
  <c r="AH313" i="13"/>
  <c r="AD313" i="13" s="1"/>
  <c r="M37" i="25" s="1"/>
  <c r="AH328" i="13"/>
  <c r="AD328" i="13" s="1"/>
  <c r="M52" i="25" s="1"/>
  <c r="M51" i="26" s="1"/>
  <c r="AG51" i="26" s="1"/>
  <c r="AH292" i="13"/>
  <c r="AD292" i="13" s="1"/>
  <c r="M16" i="25" s="1"/>
  <c r="AH78" i="13"/>
  <c r="AD78" i="13" s="1"/>
  <c r="I12" i="25" s="1"/>
  <c r="AH158" i="13"/>
  <c r="AD158" i="13" s="1"/>
  <c r="J40" i="25" s="1"/>
  <c r="J39" i="26" s="1"/>
  <c r="AD39" i="26" s="1"/>
  <c r="AI317" i="13"/>
  <c r="AD317" i="13" s="1"/>
  <c r="M41" i="25" s="1"/>
  <c r="AI151" i="13"/>
  <c r="AD151" i="13" s="1"/>
  <c r="J33" i="25" s="1"/>
  <c r="J32" i="26" s="1"/>
  <c r="AD32" i="26" s="1"/>
  <c r="AI147" i="13"/>
  <c r="AD147" i="13" s="1"/>
  <c r="J29" i="25" s="1"/>
  <c r="J28" i="26" s="1"/>
  <c r="AD28" i="26" s="1"/>
  <c r="AI300" i="13"/>
  <c r="AD300" i="13" s="1"/>
  <c r="M24" i="25" s="1"/>
  <c r="AG39" i="15"/>
  <c r="AA26" i="15"/>
  <c r="AC47" i="15"/>
  <c r="AC34" i="15"/>
  <c r="AC39" i="15"/>
  <c r="Y23" i="15"/>
  <c r="AC40" i="15"/>
  <c r="AC33" i="15"/>
  <c r="AC37" i="15"/>
  <c r="AC41" i="15"/>
  <c r="AC38" i="15"/>
  <c r="AC46" i="15"/>
  <c r="AB265" i="11" a="1"/>
  <c r="AB265" i="11" s="1"/>
  <c r="AC265" i="11" a="1"/>
  <c r="AC265" i="11" s="1"/>
  <c r="Z39" i="15"/>
  <c r="AE32" i="15"/>
  <c r="Z40" i="15"/>
  <c r="AA47" i="15"/>
  <c r="AE44" i="15"/>
  <c r="AI156" i="13"/>
  <c r="AD156" i="13" s="1"/>
  <c r="J38" i="25" s="1"/>
  <c r="J37" i="26" s="1"/>
  <c r="AD37" i="26" s="1"/>
  <c r="AI326" i="13"/>
  <c r="AD326" i="13" s="1"/>
  <c r="M50" i="25" s="1"/>
  <c r="M49" i="26" s="1"/>
  <c r="AG49" i="26" s="1"/>
  <c r="AH153" i="13"/>
  <c r="J35" i="24" s="1"/>
  <c r="AE38" i="15"/>
  <c r="AH244" i="13"/>
  <c r="L21" i="24" s="1"/>
  <c r="Y35" i="15"/>
  <c r="AH132" i="13"/>
  <c r="J14" i="24" s="1"/>
  <c r="AH235" i="13"/>
  <c r="AD235" i="13" s="1"/>
  <c r="L12" i="25" s="1"/>
  <c r="AH200" i="13"/>
  <c r="N39" i="14"/>
  <c r="AH307" i="13"/>
  <c r="AD307" i="13" s="1"/>
  <c r="M31" i="25" s="1"/>
  <c r="AE25" i="15"/>
  <c r="AH262" i="13"/>
  <c r="AD262" i="13" s="1"/>
  <c r="L39" i="25" s="1"/>
  <c r="L38" i="26" s="1"/>
  <c r="AF38" i="26" s="1"/>
  <c r="AH260" i="13"/>
  <c r="AD260" i="13" s="1"/>
  <c r="L37" i="25" s="1"/>
  <c r="L36" i="26" s="1"/>
  <c r="AF36" i="26" s="1"/>
  <c r="N35" i="14"/>
  <c r="N33" i="14"/>
  <c r="AH160" i="13"/>
  <c r="J42" i="24" s="1"/>
  <c r="AH207" i="13"/>
  <c r="K37" i="24" s="1"/>
  <c r="AE27" i="15"/>
  <c r="AH102" i="13"/>
  <c r="I36" i="24" s="1"/>
  <c r="AE37" i="15"/>
  <c r="AA43" i="15"/>
  <c r="AG45" i="15"/>
  <c r="AF38" i="15"/>
  <c r="AE30" i="15"/>
  <c r="AH42" i="15"/>
  <c r="AH41" i="15"/>
  <c r="AF50" i="15"/>
  <c r="Z43" i="15"/>
  <c r="AG46" i="15"/>
  <c r="AF36" i="15"/>
  <c r="AA48" i="15"/>
  <c r="Z36" i="15"/>
  <c r="AC49" i="15"/>
  <c r="AB29" i="15"/>
  <c r="B25" i="15"/>
  <c r="B25" i="26" s="1"/>
  <c r="V25" i="26" s="1"/>
  <c r="Z27" i="15"/>
  <c r="AB51" i="15"/>
  <c r="AA52" i="15"/>
  <c r="AE24" i="15"/>
  <c r="AG41" i="15"/>
  <c r="AG44" i="15"/>
  <c r="AH45" i="15"/>
  <c r="AG49" i="15"/>
  <c r="AF48" i="15"/>
  <c r="H43" i="14"/>
  <c r="AB36" i="15"/>
  <c r="AA37" i="15"/>
  <c r="AE33" i="15"/>
  <c r="AA46" i="15"/>
  <c r="AB33" i="15"/>
  <c r="AB52" i="15"/>
  <c r="AB37" i="15"/>
  <c r="AA44" i="15"/>
  <c r="AE34" i="15"/>
  <c r="AH39" i="15"/>
  <c r="H40" i="15"/>
  <c r="H40" i="26" s="1"/>
  <c r="AB40" i="26" s="1"/>
  <c r="M40" i="26"/>
  <c r="AG40" i="26" s="1"/>
  <c r="B42" i="15"/>
  <c r="B42" i="26" s="1"/>
  <c r="V42" i="26" s="1"/>
  <c r="AA49" i="15"/>
  <c r="B32" i="15"/>
  <c r="B32" i="26" s="1"/>
  <c r="V32" i="26" s="1"/>
  <c r="Z29" i="15"/>
  <c r="AE28" i="15"/>
  <c r="AI52" i="15"/>
  <c r="H34" i="14"/>
  <c r="AC48" i="15"/>
  <c r="Z50" i="15"/>
  <c r="AA36" i="15"/>
  <c r="N26" i="14"/>
  <c r="B28" i="14"/>
  <c r="AI48" i="15"/>
  <c r="AI104" i="13"/>
  <c r="AD104" i="13" s="1"/>
  <c r="I38" i="25" s="1"/>
  <c r="I37" i="26" s="1"/>
  <c r="AC37" i="26" s="1"/>
  <c r="B23" i="15"/>
  <c r="B23" i="26" s="1"/>
  <c r="V23" i="26" s="1"/>
  <c r="AH100" i="13"/>
  <c r="AD100" i="13" s="1"/>
  <c r="I34" i="25" s="1"/>
  <c r="I33" i="26" s="1"/>
  <c r="AC33" i="26" s="1"/>
  <c r="B52" i="15"/>
  <c r="B52" i="26" s="1"/>
  <c r="V52" i="26" s="1"/>
  <c r="AH80" i="13"/>
  <c r="AD80" i="13" s="1"/>
  <c r="I14" i="25" s="1"/>
  <c r="H32" i="14"/>
  <c r="H21" i="14"/>
  <c r="N28" i="14"/>
  <c r="N32" i="14"/>
  <c r="Z37" i="15"/>
  <c r="AI152" i="13"/>
  <c r="AD152" i="13" s="1"/>
  <c r="J34" i="25" s="1"/>
  <c r="J33" i="26" s="1"/>
  <c r="AD33" i="26" s="1"/>
  <c r="AI81" i="13"/>
  <c r="AD81" i="13" s="1"/>
  <c r="I15" i="25" s="1"/>
  <c r="AH79" i="13"/>
  <c r="I13" i="24" s="1"/>
  <c r="N47" i="14"/>
  <c r="AA39" i="15"/>
  <c r="AI134" i="13"/>
  <c r="AD134" i="13" s="1"/>
  <c r="J16" i="25" s="1"/>
  <c r="N43" i="14"/>
  <c r="Y32" i="15"/>
  <c r="N48" i="14"/>
  <c r="B27" i="15"/>
  <c r="B27" i="26" s="1"/>
  <c r="V27" i="26" s="1"/>
  <c r="N52" i="14"/>
  <c r="N45" i="14"/>
  <c r="N49" i="14"/>
  <c r="N36" i="14"/>
  <c r="N44" i="14"/>
  <c r="AH233" i="13"/>
  <c r="AD233" i="13" s="1"/>
  <c r="L10" i="25" s="1"/>
  <c r="Z31" i="15"/>
  <c r="AH107" i="13"/>
  <c r="AD107" i="13" s="1"/>
  <c r="I41" i="25" s="1"/>
  <c r="I40" i="26" s="1"/>
  <c r="AC40" i="26" s="1"/>
  <c r="B38" i="14"/>
  <c r="B22" i="15"/>
  <c r="B22" i="26" s="1"/>
  <c r="V22" i="26" s="1"/>
  <c r="B15" i="15"/>
  <c r="B15" i="26" s="1"/>
  <c r="V15" i="26" s="1"/>
  <c r="B16" i="15"/>
  <c r="B25" i="14"/>
  <c r="N30" i="14"/>
  <c r="N42" i="14"/>
  <c r="N50" i="14"/>
  <c r="AA35" i="15"/>
  <c r="H18" i="14"/>
  <c r="AH304" i="13"/>
  <c r="M28" i="24" s="1"/>
  <c r="B37" i="15"/>
  <c r="B37" i="26" s="1"/>
  <c r="V37" i="26" s="1"/>
  <c r="H51" i="14"/>
  <c r="B49" i="15"/>
  <c r="B49" i="26" s="1"/>
  <c r="V49" i="26" s="1"/>
  <c r="B40" i="14"/>
  <c r="Z46" i="15"/>
  <c r="N31" i="14"/>
  <c r="AC51" i="15"/>
  <c r="N24" i="14"/>
  <c r="N51" i="14"/>
  <c r="J41" i="24"/>
  <c r="Z48" i="15"/>
  <c r="AH98" i="13"/>
  <c r="AD98" i="13" s="1"/>
  <c r="I32" i="25" s="1"/>
  <c r="I31" i="26" s="1"/>
  <c r="AC31" i="26" s="1"/>
  <c r="AI143" i="13"/>
  <c r="AD143" i="13" s="1"/>
  <c r="J25" i="25" s="1"/>
  <c r="J24" i="26" s="1"/>
  <c r="AD24" i="26" s="1"/>
  <c r="AI203" i="13"/>
  <c r="AH312" i="13"/>
  <c r="AD312" i="13" s="1"/>
  <c r="M36" i="25" s="1"/>
  <c r="AH302" i="13"/>
  <c r="AD302" i="13" s="1"/>
  <c r="M26" i="25" s="1"/>
  <c r="AH84" i="13"/>
  <c r="AD84" i="13" s="1"/>
  <c r="I18" i="25" s="1"/>
  <c r="AH213" i="13"/>
  <c r="K43" i="24" s="1"/>
  <c r="AH83" i="13"/>
  <c r="I17" i="24" s="1"/>
  <c r="AI259" i="13"/>
  <c r="AD259" i="13" s="1"/>
  <c r="L36" i="25" s="1"/>
  <c r="L35" i="26" s="1"/>
  <c r="AF35" i="26" s="1"/>
  <c r="AH130" i="13"/>
  <c r="AD130" i="13" s="1"/>
  <c r="J12" i="25" s="1"/>
  <c r="AH322" i="13"/>
  <c r="AD322" i="13" s="1"/>
  <c r="M46" i="25" s="1"/>
  <c r="M45" i="26" s="1"/>
  <c r="AG45" i="26" s="1"/>
  <c r="AH180" i="13"/>
  <c r="AD180" i="13" s="1"/>
  <c r="K10" i="25" s="1"/>
  <c r="AH146" i="13"/>
  <c r="AD146" i="13" s="1"/>
  <c r="J28" i="25" s="1"/>
  <c r="J27" i="26" s="1"/>
  <c r="AD27" i="26" s="1"/>
  <c r="AH87" i="13"/>
  <c r="AD87" i="13" s="1"/>
  <c r="I21" i="25" s="1"/>
  <c r="AH271" i="13"/>
  <c r="L48" i="24" s="1"/>
  <c r="AI92" i="13"/>
  <c r="AD92" i="13" s="1"/>
  <c r="I26" i="25" s="1"/>
  <c r="I25" i="26" s="1"/>
  <c r="AC25" i="26" s="1"/>
  <c r="AH310" i="13"/>
  <c r="AI290" i="13"/>
  <c r="AD290" i="13" s="1"/>
  <c r="M14" i="25" s="1"/>
  <c r="B36" i="15"/>
  <c r="B36" i="26" s="1"/>
  <c r="V36" i="26" s="1"/>
  <c r="AH49" i="15"/>
  <c r="N40" i="14"/>
  <c r="Z51" i="15"/>
  <c r="B10" i="15"/>
  <c r="B10" i="26" s="1"/>
  <c r="V10" i="26" s="1"/>
  <c r="B46" i="15"/>
  <c r="B46" i="26" s="1"/>
  <c r="V46" i="26" s="1"/>
  <c r="B35" i="15"/>
  <c r="N37" i="14"/>
  <c r="N25" i="14"/>
  <c r="N29" i="14"/>
  <c r="N27" i="14"/>
  <c r="H50" i="14"/>
  <c r="AE45" i="15"/>
  <c r="Y44" i="15"/>
  <c r="AA45" i="15"/>
  <c r="B12" i="15"/>
  <c r="B12" i="26" s="1"/>
  <c r="V12" i="26" s="1"/>
  <c r="AG51" i="13"/>
  <c r="AV51" i="13" s="1"/>
  <c r="N46" i="14"/>
  <c r="H35" i="14"/>
  <c r="AF28" i="15"/>
  <c r="Z33" i="15"/>
  <c r="B17" i="15"/>
  <c r="B17" i="26" s="1"/>
  <c r="V17" i="26" s="1"/>
  <c r="B47" i="15"/>
  <c r="B47" i="26" s="1"/>
  <c r="V47" i="26" s="1"/>
  <c r="B52" i="13"/>
  <c r="F52" i="13"/>
  <c r="AH140" i="13"/>
  <c r="AD140" i="13" s="1"/>
  <c r="J22" i="25" s="1"/>
  <c r="AA40" i="15"/>
  <c r="AH321" i="13"/>
  <c r="AD321" i="13" s="1"/>
  <c r="M45" i="25" s="1"/>
  <c r="M44" i="26" s="1"/>
  <c r="AG44" i="26" s="1"/>
  <c r="Y52" i="15"/>
  <c r="AE26" i="15"/>
  <c r="B13" i="15"/>
  <c r="B13" i="26" s="1"/>
  <c r="V13" i="26" s="1"/>
  <c r="B34" i="15"/>
  <c r="B34" i="26" s="1"/>
  <c r="V34" i="26" s="1"/>
  <c r="U29" i="14"/>
  <c r="AI162" i="13"/>
  <c r="AD162" i="13" s="1"/>
  <c r="J44" i="25" s="1"/>
  <c r="J43" i="26" s="1"/>
  <c r="AD43" i="26" s="1"/>
  <c r="H40" i="14"/>
  <c r="B26" i="15"/>
  <c r="B26" i="26" s="1"/>
  <c r="V26" i="26" s="1"/>
  <c r="H41" i="14"/>
  <c r="Y36" i="15"/>
  <c r="AE41" i="15"/>
  <c r="AG52" i="15"/>
  <c r="B13" i="14"/>
  <c r="B44" i="14"/>
  <c r="Y38" i="15"/>
  <c r="B45" i="15"/>
  <c r="B45" i="26" s="1"/>
  <c r="V45" i="26" s="1"/>
  <c r="AG48" i="15"/>
  <c r="B47" i="14"/>
  <c r="AG50" i="15"/>
  <c r="B44" i="15"/>
  <c r="B44" i="26" s="1"/>
  <c r="V44" i="26" s="1"/>
  <c r="U47" i="14"/>
  <c r="AG43" i="15"/>
  <c r="B9" i="15"/>
  <c r="B9" i="26" s="1"/>
  <c r="V9" i="26" s="1"/>
  <c r="B16" i="14"/>
  <c r="H27" i="14"/>
  <c r="AE40" i="15"/>
  <c r="B43" i="15"/>
  <c r="B43" i="26" s="1"/>
  <c r="V43" i="26" s="1"/>
  <c r="AE51" i="15"/>
  <c r="J46" i="24"/>
  <c r="B20" i="15"/>
  <c r="B20" i="26" s="1"/>
  <c r="V20" i="26" s="1"/>
  <c r="AA51" i="15"/>
  <c r="H22" i="14"/>
  <c r="AI221" i="13"/>
  <c r="B51" i="15"/>
  <c r="B51" i="26" s="1"/>
  <c r="V51" i="26" s="1"/>
  <c r="N16" i="14"/>
  <c r="AG47" i="15"/>
  <c r="H49" i="14"/>
  <c r="AG42" i="15"/>
  <c r="AH266" i="13"/>
  <c r="L43" i="24" s="1"/>
  <c r="AH305" i="13"/>
  <c r="AD305" i="13" s="1"/>
  <c r="M29" i="25" s="1"/>
  <c r="AI165" i="13"/>
  <c r="AD165" i="13" s="1"/>
  <c r="J47" i="25" s="1"/>
  <c r="J46" i="26" s="1"/>
  <c r="AD46" i="26" s="1"/>
  <c r="AI149" i="13"/>
  <c r="AD149" i="13" s="1"/>
  <c r="J31" i="25" s="1"/>
  <c r="J30" i="26" s="1"/>
  <c r="AD30" i="26" s="1"/>
  <c r="AH297" i="13"/>
  <c r="M21" i="24" s="1"/>
  <c r="AH294" i="13"/>
  <c r="AD294" i="13" s="1"/>
  <c r="M18" i="25" s="1"/>
  <c r="AI286" i="13"/>
  <c r="AD286" i="13" s="1"/>
  <c r="M10" i="25" s="1"/>
  <c r="AI237" i="13"/>
  <c r="AD237" i="13" s="1"/>
  <c r="L14" i="25" s="1"/>
  <c r="AH309" i="13"/>
  <c r="AD309" i="13" s="1"/>
  <c r="M33" i="25" s="1"/>
  <c r="AI133" i="13"/>
  <c r="AD133" i="13" s="1"/>
  <c r="J15" i="25" s="1"/>
  <c r="AI298" i="13"/>
  <c r="AD298" i="13" s="1"/>
  <c r="M22" i="25" s="1"/>
  <c r="AH144" i="13"/>
  <c r="AD144" i="13" s="1"/>
  <c r="J26" i="25" s="1"/>
  <c r="J25" i="26" s="1"/>
  <c r="AD25" i="26" s="1"/>
  <c r="AI268" i="13"/>
  <c r="AH168" i="13"/>
  <c r="AD168" i="13" s="1"/>
  <c r="J50" i="25" s="1"/>
  <c r="J49" i="26" s="1"/>
  <c r="AD49" i="26" s="1"/>
  <c r="AH96" i="13"/>
  <c r="AD96" i="13" s="1"/>
  <c r="I30" i="25" s="1"/>
  <c r="I29" i="26" s="1"/>
  <c r="AC29" i="26" s="1"/>
  <c r="AH220" i="13"/>
  <c r="K50" i="24" s="1"/>
  <c r="AI247" i="13"/>
  <c r="AD247" i="13" s="1"/>
  <c r="L24" i="25" s="1"/>
  <c r="L23" i="26" s="1"/>
  <c r="AF23" i="26" s="1"/>
  <c r="AH243" i="13"/>
  <c r="AD243" i="13" s="1"/>
  <c r="L20" i="25" s="1"/>
  <c r="AI217" i="13"/>
  <c r="AH105" i="13"/>
  <c r="AD105" i="13" s="1"/>
  <c r="I39" i="25" s="1"/>
  <c r="I38" i="26" s="1"/>
  <c r="AC38" i="26" s="1"/>
  <c r="AI261" i="13"/>
  <c r="AD261" i="13" s="1"/>
  <c r="L38" i="25" s="1"/>
  <c r="L37" i="26" s="1"/>
  <c r="AF37" i="26" s="1"/>
  <c r="AH103" i="13"/>
  <c r="AD103" i="13" s="1"/>
  <c r="I37" i="25" s="1"/>
  <c r="I36" i="26" s="1"/>
  <c r="AC36" i="26" s="1"/>
  <c r="AH155" i="13"/>
  <c r="AH154" i="13"/>
  <c r="AD154" i="13" s="1"/>
  <c r="J36" i="25" s="1"/>
  <c r="J35" i="26" s="1"/>
  <c r="AD35" i="26" s="1"/>
  <c r="AH109" i="13"/>
  <c r="AD109" i="13" s="1"/>
  <c r="I43" i="25" s="1"/>
  <c r="I42" i="26" s="1"/>
  <c r="AC42" i="26" s="1"/>
  <c r="AH161" i="13"/>
  <c r="AH101" i="13"/>
  <c r="AD101" i="13" s="1"/>
  <c r="I35" i="25" s="1"/>
  <c r="I34" i="26" s="1"/>
  <c r="AC34" i="26" s="1"/>
  <c r="AI112" i="13"/>
  <c r="AD112" i="13" s="1"/>
  <c r="I46" i="25" s="1"/>
  <c r="I45" i="26" s="1"/>
  <c r="AC45" i="26" s="1"/>
  <c r="AH166" i="13"/>
  <c r="AI135" i="13"/>
  <c r="AD135" i="13" s="1"/>
  <c r="J17" i="25" s="1"/>
  <c r="AI111" i="13"/>
  <c r="AD111" i="13" s="1"/>
  <c r="I45" i="25" s="1"/>
  <c r="I44" i="26" s="1"/>
  <c r="AC44" i="26" s="1"/>
  <c r="AH265" i="13"/>
  <c r="L42" i="24" s="1"/>
  <c r="AH110" i="13"/>
  <c r="AD110" i="13" s="1"/>
  <c r="I44" i="25" s="1"/>
  <c r="I43" i="26" s="1"/>
  <c r="AC43" i="26" s="1"/>
  <c r="AH238" i="13"/>
  <c r="AD238" i="13" s="1"/>
  <c r="L15" i="25" s="1"/>
  <c r="AH206" i="13"/>
  <c r="AH212" i="13"/>
  <c r="AH205" i="13"/>
  <c r="AI275" i="13"/>
  <c r="AI256" i="13"/>
  <c r="AD256" i="13" s="1"/>
  <c r="L33" i="25" s="1"/>
  <c r="L32" i="26" s="1"/>
  <c r="AF32" i="26" s="1"/>
  <c r="B10" i="14"/>
  <c r="H42" i="14"/>
  <c r="U50" i="14"/>
  <c r="H44" i="14"/>
  <c r="AE49" i="15"/>
  <c r="B18" i="15"/>
  <c r="B18" i="26" s="1"/>
  <c r="V18" i="26" s="1"/>
  <c r="AI148" i="13"/>
  <c r="AD148" i="13" s="1"/>
  <c r="J30" i="25" s="1"/>
  <c r="J29" i="26" s="1"/>
  <c r="AD29" i="26" s="1"/>
  <c r="B39" i="15"/>
  <c r="B39" i="26" s="1"/>
  <c r="V39" i="26" s="1"/>
  <c r="B28" i="15"/>
  <c r="B28" i="26" s="1"/>
  <c r="V28" i="26" s="1"/>
  <c r="AI296" i="13"/>
  <c r="AH296" i="13"/>
  <c r="Z45" i="15"/>
  <c r="Z35" i="15"/>
  <c r="B11" i="14"/>
  <c r="B18" i="14"/>
  <c r="H12" i="14"/>
  <c r="H16" i="14"/>
  <c r="H37" i="14"/>
  <c r="U22" i="14"/>
  <c r="AI288" i="13"/>
  <c r="AD288" i="13" s="1"/>
  <c r="M12" i="25" s="1"/>
  <c r="AH299" i="13"/>
  <c r="AD299" i="13" s="1"/>
  <c r="M23" i="25" s="1"/>
  <c r="B14" i="15"/>
  <c r="B14" i="26" s="1"/>
  <c r="V14" i="26" s="1"/>
  <c r="Y26" i="15"/>
  <c r="AI242" i="13"/>
  <c r="AD242" i="13" s="1"/>
  <c r="L19" i="25" s="1"/>
  <c r="AE50" i="15"/>
  <c r="B40" i="15"/>
  <c r="B40" i="26" s="1"/>
  <c r="V40" i="26" s="1"/>
  <c r="AE52" i="15"/>
  <c r="AI222" i="13"/>
  <c r="AH324" i="13"/>
  <c r="H45" i="14"/>
  <c r="B30" i="15"/>
  <c r="B30" i="26" s="1"/>
  <c r="V30" i="26" s="1"/>
  <c r="AH287" i="13"/>
  <c r="M11" i="24" s="1"/>
  <c r="Y30" i="15"/>
  <c r="U37" i="14"/>
  <c r="H29" i="14"/>
  <c r="B32" i="14"/>
  <c r="H20" i="14"/>
  <c r="H23" i="14"/>
  <c r="AH94" i="13"/>
  <c r="I28" i="24" s="1"/>
  <c r="B21" i="15"/>
  <c r="B21" i="26" s="1"/>
  <c r="V21" i="26" s="1"/>
  <c r="Y49" i="15"/>
  <c r="B48" i="15"/>
  <c r="B48" i="26" s="1"/>
  <c r="V48" i="26" s="1"/>
  <c r="Y46" i="15"/>
  <c r="Y28" i="15"/>
  <c r="AH252" i="13"/>
  <c r="AD252" i="13" s="1"/>
  <c r="L29" i="25" s="1"/>
  <c r="L28" i="26" s="1"/>
  <c r="AF28" i="26" s="1"/>
  <c r="AI276" i="13"/>
  <c r="AH119" i="13"/>
  <c r="I53" i="24" s="1"/>
  <c r="AI329" i="13"/>
  <c r="AD329" i="13" s="1"/>
  <c r="M53" i="25" s="1"/>
  <c r="M52" i="26" s="1"/>
  <c r="AG52" i="26" s="1"/>
  <c r="H30" i="14"/>
  <c r="H19" i="14"/>
  <c r="AH319" i="13"/>
  <c r="AD319" i="13" s="1"/>
  <c r="M43" i="25" s="1"/>
  <c r="M42" i="26" s="1"/>
  <c r="AG42" i="26" s="1"/>
  <c r="AH145" i="13"/>
  <c r="AH257" i="13"/>
  <c r="AD257" i="13" s="1"/>
  <c r="L34" i="25" s="1"/>
  <c r="L33" i="26" s="1"/>
  <c r="AF33" i="26" s="1"/>
  <c r="AH249" i="13"/>
  <c r="AD249" i="13" s="1"/>
  <c r="L26" i="25" s="1"/>
  <c r="L25" i="26" s="1"/>
  <c r="AF25" i="26" s="1"/>
  <c r="B19" i="15"/>
  <c r="B19" i="26" s="1"/>
  <c r="V19" i="26" s="1"/>
  <c r="AI327" i="13"/>
  <c r="AD327" i="13" s="1"/>
  <c r="M51" i="25" s="1"/>
  <c r="M50" i="26" s="1"/>
  <c r="AG50" i="26" s="1"/>
  <c r="AH291" i="13"/>
  <c r="AD291" i="13" s="1"/>
  <c r="M15" i="25" s="1"/>
  <c r="B24" i="15"/>
  <c r="B24" i="26" s="1"/>
  <c r="V24" i="26" s="1"/>
  <c r="AI264" i="13"/>
  <c r="AH323" i="13"/>
  <c r="AI323" i="13"/>
  <c r="H28" i="14"/>
  <c r="AH236" i="13"/>
  <c r="L13" i="24" s="1"/>
  <c r="AH172" i="13"/>
  <c r="AI116" i="13"/>
  <c r="AD116" i="13" s="1"/>
  <c r="I50" i="25" s="1"/>
  <c r="I49" i="26" s="1"/>
  <c r="AC49" i="26" s="1"/>
  <c r="AH314" i="13"/>
  <c r="AH99" i="13"/>
  <c r="AI99" i="13"/>
  <c r="AI241" i="13"/>
  <c r="AD241" i="13" s="1"/>
  <c r="L18" i="25" s="1"/>
  <c r="AI82" i="13"/>
  <c r="AD82" i="13" s="1"/>
  <c r="I16" i="25" s="1"/>
  <c r="AI114" i="13"/>
  <c r="AD114" i="13" s="1"/>
  <c r="I48" i="25" s="1"/>
  <c r="I47" i="26" s="1"/>
  <c r="AC47" i="26" s="1"/>
  <c r="AH86" i="13"/>
  <c r="AH90" i="13"/>
  <c r="AD90" i="13" s="1"/>
  <c r="I24" i="25" s="1"/>
  <c r="I23" i="26" s="1"/>
  <c r="AC23" i="26" s="1"/>
  <c r="AH246" i="13"/>
  <c r="AD246" i="13" s="1"/>
  <c r="L23" i="25" s="1"/>
  <c r="AH201" i="13"/>
  <c r="AI85" i="13"/>
  <c r="AD85" i="13" s="1"/>
  <c r="I19" i="25" s="1"/>
  <c r="AH289" i="13"/>
  <c r="AD289" i="13" s="1"/>
  <c r="M13" i="25" s="1"/>
  <c r="AH301" i="13"/>
  <c r="AD301" i="13" s="1"/>
  <c r="M25" i="25" s="1"/>
  <c r="AH204" i="13"/>
  <c r="AI240" i="13"/>
  <c r="AD240" i="13" s="1"/>
  <c r="L17" i="25" s="1"/>
  <c r="AH311" i="13"/>
  <c r="AD311" i="13" s="1"/>
  <c r="M35" i="25" s="1"/>
  <c r="AI325" i="13"/>
  <c r="AD325" i="13" s="1"/>
  <c r="M49" i="25" s="1"/>
  <c r="M48" i="26" s="1"/>
  <c r="AG48" i="26" s="1"/>
  <c r="AI89" i="13"/>
  <c r="AD89" i="13" s="1"/>
  <c r="I23" i="25" s="1"/>
  <c r="I22" i="26" s="1"/>
  <c r="AC22" i="26" s="1"/>
  <c r="AH214" i="13"/>
  <c r="K44" i="24" s="1"/>
  <c r="AH303" i="13"/>
  <c r="AD303" i="13" s="1"/>
  <c r="M27" i="25" s="1"/>
  <c r="AH255" i="13"/>
  <c r="L32" i="24" s="1"/>
  <c r="AH315" i="13"/>
  <c r="AD315" i="13" s="1"/>
  <c r="M39" i="25" s="1"/>
  <c r="M38" i="26" s="1"/>
  <c r="AG38" i="26" s="1"/>
  <c r="AH138" i="13"/>
  <c r="AD138" i="13" s="1"/>
  <c r="J20" i="25" s="1"/>
  <c r="AI159" i="13"/>
  <c r="AD159" i="13" s="1"/>
  <c r="J41" i="25" s="1"/>
  <c r="J40" i="26" s="1"/>
  <c r="AD40" i="26" s="1"/>
  <c r="AH118" i="13"/>
  <c r="AD118" i="13" s="1"/>
  <c r="I52" i="25" s="1"/>
  <c r="I51" i="26" s="1"/>
  <c r="AC51" i="26" s="1"/>
  <c r="AH157" i="13"/>
  <c r="AD157" i="13" s="1"/>
  <c r="J39" i="25" s="1"/>
  <c r="J38" i="26" s="1"/>
  <c r="AD38" i="26" s="1"/>
  <c r="AI272" i="13"/>
  <c r="AH141" i="13"/>
  <c r="J23" i="24" s="1"/>
  <c r="AI141" i="13"/>
  <c r="U10" i="14"/>
  <c r="AQ10" i="15" s="1"/>
  <c r="Y31" i="15"/>
  <c r="AI250" i="13"/>
  <c r="AH250" i="13"/>
  <c r="AH128" i="13"/>
  <c r="J10" i="24" s="1"/>
  <c r="AI128" i="13"/>
  <c r="B48" i="14"/>
  <c r="H11" i="14"/>
  <c r="U38" i="14"/>
  <c r="H25" i="14"/>
  <c r="H10" i="14"/>
  <c r="H36" i="14"/>
  <c r="H13" i="14"/>
  <c r="U48" i="14"/>
  <c r="AI88" i="13"/>
  <c r="AD88" i="13" s="1"/>
  <c r="I22" i="25" s="1"/>
  <c r="U42" i="14"/>
  <c r="Y25" i="15"/>
  <c r="J17" i="24"/>
  <c r="Y40" i="15"/>
  <c r="AI97" i="13"/>
  <c r="AH97" i="13"/>
  <c r="AI258" i="13"/>
  <c r="AH258" i="13"/>
  <c r="AI306" i="13"/>
  <c r="AH306" i="13"/>
  <c r="Z44" i="15"/>
  <c r="AH209" i="13"/>
  <c r="AI209" i="13"/>
  <c r="H31" i="14"/>
  <c r="B31" i="14"/>
  <c r="B46" i="14"/>
  <c r="U11" i="14"/>
  <c r="AQ11" i="15" s="1"/>
  <c r="H26" i="14"/>
  <c r="U36" i="14"/>
  <c r="B30" i="14"/>
  <c r="B22" i="14"/>
  <c r="B41" i="14"/>
  <c r="B49" i="14"/>
  <c r="H15" i="14"/>
  <c r="U26" i="14"/>
  <c r="H52" i="14"/>
  <c r="H39" i="14"/>
  <c r="U14" i="14"/>
  <c r="AQ14" i="15" s="1"/>
  <c r="B43" i="14"/>
  <c r="B42" i="14"/>
  <c r="AH252" i="11"/>
  <c r="F29" i="24" s="1"/>
  <c r="Y39" i="15"/>
  <c r="B31" i="15"/>
  <c r="B31" i="26" s="1"/>
  <c r="V31" i="26" s="1"/>
  <c r="AI216" i="13"/>
  <c r="AH216" i="13"/>
  <c r="B17" i="14"/>
  <c r="U24" i="14"/>
  <c r="H14" i="14"/>
  <c r="B45" i="14"/>
  <c r="AI210" i="13"/>
  <c r="N22" i="14"/>
  <c r="AI211" i="13"/>
  <c r="AH211" i="13"/>
  <c r="AH318" i="13"/>
  <c r="AI318" i="13"/>
  <c r="AI139" i="13"/>
  <c r="AH139" i="13"/>
  <c r="J21" i="24" s="1"/>
  <c r="AI171" i="13"/>
  <c r="AH171" i="13"/>
  <c r="H38" i="14"/>
  <c r="AH150" i="13"/>
  <c r="AI293" i="13"/>
  <c r="AH293" i="13"/>
  <c r="B14" i="14"/>
  <c r="B12" i="14"/>
  <c r="H46" i="14"/>
  <c r="H33" i="14"/>
  <c r="H17" i="14"/>
  <c r="H24" i="14"/>
  <c r="U23" i="14"/>
  <c r="AH137" i="13"/>
  <c r="J19" i="24" s="1"/>
  <c r="AI137" i="13"/>
  <c r="AI251" i="13"/>
  <c r="AH251" i="13"/>
  <c r="AI295" i="13"/>
  <c r="AH295" i="13"/>
  <c r="B38" i="15"/>
  <c r="B38" i="26" s="1"/>
  <c r="V38" i="26" s="1"/>
  <c r="B50" i="14"/>
  <c r="U31" i="14"/>
  <c r="Y29" i="15"/>
  <c r="AH236" i="11"/>
  <c r="AD236" i="11" s="1"/>
  <c r="F13" i="25" s="1"/>
  <c r="B29" i="15"/>
  <c r="B29" i="26" s="1"/>
  <c r="V29" i="26" s="1"/>
  <c r="B24" i="14"/>
  <c r="B20" i="14"/>
  <c r="U15" i="14"/>
  <c r="AQ15" i="15" s="1"/>
  <c r="U40" i="14"/>
  <c r="Y37" i="15"/>
  <c r="B15" i="14"/>
  <c r="B35" i="14"/>
  <c r="U35" i="14"/>
  <c r="U39" i="14"/>
  <c r="B33" i="15"/>
  <c r="B33" i="26" s="1"/>
  <c r="V33" i="26" s="1"/>
  <c r="U32" i="14"/>
  <c r="U28" i="14"/>
  <c r="AH190" i="11"/>
  <c r="AD190" i="11" s="1"/>
  <c r="E20" i="25" s="1"/>
  <c r="AH253" i="11"/>
  <c r="AD253" i="11" s="1"/>
  <c r="F30" i="25" s="1"/>
  <c r="F29" i="26" s="1"/>
  <c r="Z29" i="26" s="1"/>
  <c r="U41" i="14"/>
  <c r="B9" i="14"/>
  <c r="B36" i="14"/>
  <c r="B37" i="14"/>
  <c r="U46" i="14"/>
  <c r="U16" i="14"/>
  <c r="AQ16" i="15" s="1"/>
  <c r="U43" i="14"/>
  <c r="U18" i="14"/>
  <c r="AQ18" i="15" s="1"/>
  <c r="B51" i="14"/>
  <c r="Y33" i="15"/>
  <c r="Y34" i="15"/>
  <c r="AH128" i="11"/>
  <c r="AI128" i="11"/>
  <c r="AI170" i="11"/>
  <c r="AH170" i="11"/>
  <c r="B21" i="14"/>
  <c r="B39" i="14"/>
  <c r="B52" i="14"/>
  <c r="U21" i="14"/>
  <c r="AQ21" i="15" s="1"/>
  <c r="U25" i="14"/>
  <c r="AH216" i="11"/>
  <c r="AD216" i="11" s="1"/>
  <c r="E46" i="25" s="1"/>
  <c r="E45" i="26" s="1"/>
  <c r="Y45" i="26" s="1"/>
  <c r="J44" i="24"/>
  <c r="AI161" i="11"/>
  <c r="AH161" i="11"/>
  <c r="AH208" i="11"/>
  <c r="AI208" i="11"/>
  <c r="AH317" i="11"/>
  <c r="AI317" i="11"/>
  <c r="AB30" i="15"/>
  <c r="AI154" i="11"/>
  <c r="AH154" i="11"/>
  <c r="AI167" i="11"/>
  <c r="AH167" i="11"/>
  <c r="AH78" i="11"/>
  <c r="AI78" i="11"/>
  <c r="AI204" i="11"/>
  <c r="AH204" i="11"/>
  <c r="AI142" i="11"/>
  <c r="AH142" i="11"/>
  <c r="AI267" i="11"/>
  <c r="AH267" i="11"/>
  <c r="AH80" i="11"/>
  <c r="AI80" i="11"/>
  <c r="AI321" i="11"/>
  <c r="AH321" i="11"/>
  <c r="AI323" i="11"/>
  <c r="AH323" i="11"/>
  <c r="AH86" i="11"/>
  <c r="AI86" i="11"/>
  <c r="U30" i="14"/>
  <c r="AI327" i="11"/>
  <c r="AH327" i="11"/>
  <c r="AI195" i="11"/>
  <c r="AH195" i="11"/>
  <c r="AH156" i="11"/>
  <c r="AI156" i="11"/>
  <c r="AH90" i="11"/>
  <c r="AI90" i="11"/>
  <c r="I16" i="24"/>
  <c r="I48" i="24"/>
  <c r="L44" i="24"/>
  <c r="J11" i="24"/>
  <c r="M10" i="24"/>
  <c r="L11" i="24"/>
  <c r="AD234" i="13"/>
  <c r="L11" i="25" s="1"/>
  <c r="L25" i="24"/>
  <c r="J47" i="24"/>
  <c r="J30" i="24"/>
  <c r="K49" i="24"/>
  <c r="J25" i="24"/>
  <c r="J34" i="24"/>
  <c r="I15" i="24"/>
  <c r="L17" i="24"/>
  <c r="J49" i="24"/>
  <c r="AD169" i="13"/>
  <c r="J51" i="25" s="1"/>
  <c r="J50" i="26" s="1"/>
  <c r="AD50" i="26" s="1"/>
  <c r="AI132" i="11"/>
  <c r="AH132" i="11"/>
  <c r="AI203" i="11"/>
  <c r="AH203" i="11"/>
  <c r="AI221" i="11"/>
  <c r="AH221" i="11"/>
  <c r="AH260" i="11"/>
  <c r="AI260" i="11"/>
  <c r="AH293" i="11"/>
  <c r="AI293" i="11"/>
  <c r="AK9" i="15"/>
  <c r="N9" i="14"/>
  <c r="B11" i="15"/>
  <c r="B11" i="26" s="1"/>
  <c r="V11" i="26" s="1"/>
  <c r="AI218" i="11"/>
  <c r="AH218" i="11"/>
  <c r="AH303" i="11"/>
  <c r="AI303" i="11"/>
  <c r="AI319" i="11"/>
  <c r="AH319" i="11"/>
  <c r="AI134" i="11"/>
  <c r="AH134" i="11"/>
  <c r="AH97" i="11"/>
  <c r="AI97" i="11"/>
  <c r="AI89" i="11"/>
  <c r="AH89" i="11"/>
  <c r="AI246" i="11"/>
  <c r="AH246" i="11"/>
  <c r="AI186" i="11"/>
  <c r="AH186" i="11"/>
  <c r="AI211" i="11"/>
  <c r="AH211" i="11"/>
  <c r="AI129" i="11"/>
  <c r="AH129" i="11"/>
  <c r="U27" i="14"/>
  <c r="AH91" i="11"/>
  <c r="AI91" i="11"/>
  <c r="AI105" i="11"/>
  <c r="AH105" i="11"/>
  <c r="AI88" i="11"/>
  <c r="AH88" i="11"/>
  <c r="AH185" i="11"/>
  <c r="AI185" i="11"/>
  <c r="AI159" i="11"/>
  <c r="AH159" i="11"/>
  <c r="AI271" i="11"/>
  <c r="AH271" i="11"/>
  <c r="AH87" i="11"/>
  <c r="AI87" i="11"/>
  <c r="AH215" i="11"/>
  <c r="AI215" i="11"/>
  <c r="AI183" i="11"/>
  <c r="AH183" i="11"/>
  <c r="AH256" i="11"/>
  <c r="AI256" i="11"/>
  <c r="AI166" i="11"/>
  <c r="AH166" i="11"/>
  <c r="AI143" i="11"/>
  <c r="AH143" i="11"/>
  <c r="AI212" i="11"/>
  <c r="AH212" i="11"/>
  <c r="AI147" i="11"/>
  <c r="AH147" i="11"/>
  <c r="AK21" i="15"/>
  <c r="N21" i="14"/>
  <c r="AH95" i="11"/>
  <c r="AI95" i="11"/>
  <c r="AI109" i="11"/>
  <c r="AH109" i="11"/>
  <c r="AI119" i="11"/>
  <c r="AH119" i="11"/>
  <c r="AH153" i="11"/>
  <c r="AI153" i="11"/>
  <c r="AI149" i="11"/>
  <c r="AH149" i="11"/>
  <c r="AI130" i="11"/>
  <c r="AH130" i="11"/>
  <c r="AI322" i="11"/>
  <c r="AH322" i="11"/>
  <c r="AK20" i="15"/>
  <c r="N20" i="14"/>
  <c r="AH220" i="11"/>
  <c r="AI220" i="11"/>
  <c r="AK13" i="15"/>
  <c r="N13" i="14"/>
  <c r="AI309" i="11"/>
  <c r="AH309" i="11"/>
  <c r="AI314" i="11"/>
  <c r="AH314" i="11"/>
  <c r="U33" i="14"/>
  <c r="U13" i="14"/>
  <c r="AQ13" i="15" s="1"/>
  <c r="AH79" i="11"/>
  <c r="AI79" i="11"/>
  <c r="AI320" i="11"/>
  <c r="AH320" i="11"/>
  <c r="AI312" i="11"/>
  <c r="AH312" i="11"/>
  <c r="AH94" i="11"/>
  <c r="AI94" i="11"/>
  <c r="AI288" i="11"/>
  <c r="AH288" i="11"/>
  <c r="AH196" i="11"/>
  <c r="AI196" i="11"/>
  <c r="AI296" i="11"/>
  <c r="AH296" i="11"/>
  <c r="AI151" i="11"/>
  <c r="AH151" i="11"/>
  <c r="AH192" i="11"/>
  <c r="AI192" i="11"/>
  <c r="AH131" i="11"/>
  <c r="AI131" i="11"/>
  <c r="AI202" i="11"/>
  <c r="AH202" i="11"/>
  <c r="AI310" i="11"/>
  <c r="AH310" i="11"/>
  <c r="AI162" i="11"/>
  <c r="AH162" i="11"/>
  <c r="AI266" i="11"/>
  <c r="AH266" i="11"/>
  <c r="AK10" i="15"/>
  <c r="N10" i="14"/>
  <c r="AH307" i="11"/>
  <c r="AI307" i="11"/>
  <c r="AI209" i="11"/>
  <c r="AH209" i="11"/>
  <c r="AH193" i="11"/>
  <c r="AI193" i="11"/>
  <c r="AK14" i="15"/>
  <c r="N14" i="14"/>
  <c r="AH99" i="11"/>
  <c r="AI99" i="11"/>
  <c r="AH139" i="11"/>
  <c r="AI139" i="11"/>
  <c r="AH92" i="11"/>
  <c r="AI92" i="11"/>
  <c r="AK18" i="15"/>
  <c r="N18" i="14"/>
  <c r="AI241" i="11"/>
  <c r="AH241" i="11"/>
  <c r="AI140" i="11"/>
  <c r="AH140" i="11"/>
  <c r="AH264" i="11"/>
  <c r="AI264" i="11"/>
  <c r="AI274" i="11"/>
  <c r="AH274" i="11"/>
  <c r="AH205" i="11"/>
  <c r="AI205" i="11"/>
  <c r="AI242" i="11"/>
  <c r="AH242" i="11"/>
  <c r="B33" i="14"/>
  <c r="U19" i="14"/>
  <c r="AQ19" i="15" s="1"/>
  <c r="B19" i="14"/>
  <c r="U49" i="14"/>
  <c r="H9" i="14"/>
  <c r="B34" i="14"/>
  <c r="AH250" i="11"/>
  <c r="AI250" i="11"/>
  <c r="AH249" i="11"/>
  <c r="AI249" i="11"/>
  <c r="AI329" i="11"/>
  <c r="AH329" i="11"/>
  <c r="AH272" i="11"/>
  <c r="AI272" i="11"/>
  <c r="AI328" i="11"/>
  <c r="AH328" i="11"/>
  <c r="AI261" i="11"/>
  <c r="AH261" i="11"/>
  <c r="AH82" i="11"/>
  <c r="AI82" i="11"/>
  <c r="AH265" i="11"/>
  <c r="AI265" i="11"/>
  <c r="AI187" i="11"/>
  <c r="AH187" i="11"/>
  <c r="AH118" i="11"/>
  <c r="AI118" i="11"/>
  <c r="AI258" i="11"/>
  <c r="AH258" i="11"/>
  <c r="AH189" i="11"/>
  <c r="AI189" i="11"/>
  <c r="AI210" i="11"/>
  <c r="AH210" i="11"/>
  <c r="AI207" i="11"/>
  <c r="AH207" i="11"/>
  <c r="AH326" i="11"/>
  <c r="AI326" i="11"/>
  <c r="AI146" i="11"/>
  <c r="AH146" i="11"/>
  <c r="AH291" i="11"/>
  <c r="AI291" i="11"/>
  <c r="AI270" i="11"/>
  <c r="AH270" i="11"/>
  <c r="Y42" i="15"/>
  <c r="AI311" i="11"/>
  <c r="AH311" i="11"/>
  <c r="AH213" i="11"/>
  <c r="AI213" i="11"/>
  <c r="AI197" i="11"/>
  <c r="AH197" i="11"/>
  <c r="AI234" i="11"/>
  <c r="AH234" i="11"/>
  <c r="AH306" i="11"/>
  <c r="AI306" i="11"/>
  <c r="AI290" i="11"/>
  <c r="AH290" i="11"/>
  <c r="AI157" i="11"/>
  <c r="AH157" i="11"/>
  <c r="AH233" i="11"/>
  <c r="AI233" i="11"/>
  <c r="AH257" i="11"/>
  <c r="AI257" i="11"/>
  <c r="AH116" i="11"/>
  <c r="AI116" i="11"/>
  <c r="AI199" i="11"/>
  <c r="AH199" i="11"/>
  <c r="AH299" i="11"/>
  <c r="AI299" i="11"/>
  <c r="B26" i="14"/>
  <c r="U9" i="14"/>
  <c r="AQ9" i="15" s="1"/>
  <c r="U20" i="14"/>
  <c r="AQ20" i="15" s="1"/>
  <c r="AH254" i="11"/>
  <c r="AI254" i="11"/>
  <c r="AI325" i="11"/>
  <c r="AH325" i="11"/>
  <c r="AI219" i="11"/>
  <c r="AH219" i="11"/>
  <c r="AH133" i="11"/>
  <c r="AI133" i="11"/>
  <c r="AI245" i="11"/>
  <c r="AH245" i="11"/>
  <c r="AI184" i="11"/>
  <c r="AH184" i="11"/>
  <c r="AI194" i="11"/>
  <c r="AH194" i="11"/>
  <c r="AI181" i="11"/>
  <c r="AH181" i="11"/>
  <c r="AH112" i="11"/>
  <c r="AI112" i="11"/>
  <c r="AH243" i="11"/>
  <c r="AI243" i="11"/>
  <c r="AH262" i="11"/>
  <c r="AI262" i="11"/>
  <c r="AH117" i="11"/>
  <c r="AI117" i="11"/>
  <c r="AI313" i="11"/>
  <c r="AH313" i="11"/>
  <c r="AH77" i="11"/>
  <c r="AI77" i="11"/>
  <c r="AK11" i="15"/>
  <c r="N11" i="14"/>
  <c r="AI304" i="11"/>
  <c r="AH304" i="11"/>
  <c r="AI214" i="11"/>
  <c r="AH214" i="11"/>
  <c r="AI295" i="11"/>
  <c r="AH295" i="11"/>
  <c r="AH100" i="11"/>
  <c r="AI100" i="11"/>
  <c r="AH263" i="11"/>
  <c r="AI263" i="11"/>
  <c r="AH138" i="11"/>
  <c r="AI138" i="11"/>
  <c r="AI93" i="11"/>
  <c r="AH93" i="11"/>
  <c r="AH111" i="11"/>
  <c r="AI111" i="11"/>
  <c r="AI222" i="11"/>
  <c r="AH222" i="11"/>
  <c r="E52" i="24" s="1"/>
  <c r="AH238" i="11"/>
  <c r="AI238" i="11"/>
  <c r="AI276" i="11"/>
  <c r="AH276" i="11"/>
  <c r="AH268" i="11"/>
  <c r="AI268" i="11"/>
  <c r="AI180" i="11"/>
  <c r="AH180" i="11"/>
  <c r="AI292" i="11"/>
  <c r="AH292" i="11"/>
  <c r="AH115" i="11"/>
  <c r="AI115" i="11"/>
  <c r="AK17" i="15"/>
  <c r="N17" i="14"/>
  <c r="AI301" i="11"/>
  <c r="AH301" i="11"/>
  <c r="AI188" i="11"/>
  <c r="AH188" i="11"/>
  <c r="AH294" i="11"/>
  <c r="AI294" i="11"/>
  <c r="AI144" i="11"/>
  <c r="AH144" i="11"/>
  <c r="AH247" i="11"/>
  <c r="AI247" i="11"/>
  <c r="AH239" i="11"/>
  <c r="AI239" i="11"/>
  <c r="AI255" i="11"/>
  <c r="AH255" i="11"/>
  <c r="AH171" i="11"/>
  <c r="AI171" i="11"/>
  <c r="AI287" i="11"/>
  <c r="AH287" i="11"/>
  <c r="AI141" i="11"/>
  <c r="AH141" i="11"/>
  <c r="AI164" i="11"/>
  <c r="AH164" i="11"/>
  <c r="U17" i="14"/>
  <c r="AQ17" i="15" s="1"/>
  <c r="U51" i="14"/>
  <c r="U34" i="14"/>
  <c r="AH107" i="11"/>
  <c r="AI107" i="11"/>
  <c r="AI101" i="11"/>
  <c r="AH101" i="11"/>
  <c r="AH81" i="11"/>
  <c r="AI81" i="11"/>
  <c r="AI235" i="11"/>
  <c r="AH235" i="11"/>
  <c r="AH286" i="11"/>
  <c r="AI286" i="11"/>
  <c r="AI244" i="11"/>
  <c r="AH244" i="11"/>
  <c r="AI148" i="11"/>
  <c r="AH148" i="11"/>
  <c r="AI237" i="11"/>
  <c r="AH237" i="11"/>
  <c r="AI137" i="11"/>
  <c r="AH137" i="11"/>
  <c r="AI251" i="11"/>
  <c r="AH251" i="11"/>
  <c r="AI191" i="11"/>
  <c r="AH191" i="11"/>
  <c r="AH104" i="11"/>
  <c r="AI104" i="11"/>
  <c r="AH259" i="11"/>
  <c r="AI259" i="11"/>
  <c r="AI169" i="11"/>
  <c r="AH169" i="11"/>
  <c r="AH155" i="11"/>
  <c r="AI155" i="11"/>
  <c r="AH103" i="11"/>
  <c r="AI103" i="11"/>
  <c r="AH223" i="11"/>
  <c r="E53" i="24" s="1"/>
  <c r="AI223" i="11"/>
  <c r="AI182" i="11"/>
  <c r="AH182" i="11"/>
  <c r="AH83" i="11"/>
  <c r="AI83" i="11"/>
  <c r="AI305" i="11"/>
  <c r="AH305" i="11"/>
  <c r="AH106" i="11"/>
  <c r="AI106" i="11"/>
  <c r="AH113" i="11"/>
  <c r="AI113" i="11"/>
  <c r="AH96" i="11"/>
  <c r="AI96" i="11"/>
  <c r="AI269" i="11"/>
  <c r="AH269" i="11"/>
  <c r="AH160" i="11"/>
  <c r="AI160" i="11"/>
  <c r="AI145" i="11"/>
  <c r="AH145" i="11"/>
  <c r="AI152" i="11"/>
  <c r="AH152" i="11"/>
  <c r="AI297" i="11"/>
  <c r="AH297" i="11"/>
  <c r="AH85" i="11"/>
  <c r="AI85" i="11"/>
  <c r="AI108" i="11"/>
  <c r="AH108" i="11"/>
  <c r="AH302" i="11"/>
  <c r="AI302" i="11"/>
  <c r="AI98" i="11"/>
  <c r="AH98" i="11"/>
  <c r="AH315" i="11"/>
  <c r="AI315" i="11"/>
  <c r="AI298" i="11"/>
  <c r="AH298" i="11"/>
  <c r="AI248" i="11"/>
  <c r="AH248" i="11"/>
  <c r="AK12" i="15"/>
  <c r="N12" i="14"/>
  <c r="B27" i="14"/>
  <c r="U44" i="14"/>
  <c r="U45" i="14"/>
  <c r="U12" i="14"/>
  <c r="AQ12" i="15" s="1"/>
  <c r="U52" i="14"/>
  <c r="AH114" i="11"/>
  <c r="AI114" i="11"/>
  <c r="AH324" i="11"/>
  <c r="AI324" i="11"/>
  <c r="AI316" i="11"/>
  <c r="AH316" i="11"/>
  <c r="AH318" i="11"/>
  <c r="AI318" i="11"/>
  <c r="AH84" i="11"/>
  <c r="AI84" i="11"/>
  <c r="AH163" i="11"/>
  <c r="AI163" i="11"/>
  <c r="AI275" i="11"/>
  <c r="AH275" i="11"/>
  <c r="AI168" i="11"/>
  <c r="AH168" i="11"/>
  <c r="AI300" i="11"/>
  <c r="AH300" i="11"/>
  <c r="AH240" i="11"/>
  <c r="AI240" i="11"/>
  <c r="AH110" i="11"/>
  <c r="AI110" i="11"/>
  <c r="AI289" i="11"/>
  <c r="AH289" i="11"/>
  <c r="AI206" i="11"/>
  <c r="AH206" i="11"/>
  <c r="AI198" i="11"/>
  <c r="AH198" i="11"/>
  <c r="AH102" i="11"/>
  <c r="AI102" i="11"/>
  <c r="AI158" i="11"/>
  <c r="AH158" i="11"/>
  <c r="AH273" i="11"/>
  <c r="AI273" i="11"/>
  <c r="AK15" i="15"/>
  <c r="N15" i="14"/>
  <c r="AI165" i="11"/>
  <c r="AH165" i="11"/>
  <c r="AI217" i="11"/>
  <c r="AH217" i="11"/>
  <c r="AH201" i="11"/>
  <c r="AI201" i="11"/>
  <c r="AI200" i="11"/>
  <c r="AH200" i="11"/>
  <c r="AK19" i="15"/>
  <c r="N19" i="14"/>
  <c r="AI136" i="11"/>
  <c r="AH136" i="11"/>
  <c r="AI150" i="11"/>
  <c r="AH150" i="11"/>
  <c r="AH135" i="11"/>
  <c r="AI135" i="11"/>
  <c r="AI308" i="11"/>
  <c r="AH308" i="11"/>
  <c r="N23" i="14"/>
  <c r="H18" i="15"/>
  <c r="H18" i="26" s="1"/>
  <c r="AB18" i="26" s="1"/>
  <c r="H22" i="15"/>
  <c r="H22" i="26" s="1"/>
  <c r="AB22" i="26" s="1"/>
  <c r="H27" i="15"/>
  <c r="H27" i="26" s="1"/>
  <c r="AB27" i="26" s="1"/>
  <c r="AF31" i="15"/>
  <c r="AI50" i="15"/>
  <c r="AF27" i="15"/>
  <c r="AF43" i="15"/>
  <c r="AF30" i="15"/>
  <c r="AF39" i="15"/>
  <c r="AF35" i="15"/>
  <c r="H16" i="15"/>
  <c r="H16" i="26" s="1"/>
  <c r="AB16" i="26" s="1"/>
  <c r="AB223" i="11" a="1"/>
  <c r="AB223" i="11" s="1"/>
  <c r="AC223" i="11" a="1"/>
  <c r="AC223" i="11" s="1"/>
  <c r="H30" i="15"/>
  <c r="H30" i="26" s="1"/>
  <c r="AB30" i="26" s="1"/>
  <c r="H48" i="15"/>
  <c r="H48" i="26" s="1"/>
  <c r="AB48" i="26" s="1"/>
  <c r="H32" i="15"/>
  <c r="H32" i="26" s="1"/>
  <c r="AB32" i="26" s="1"/>
  <c r="H51" i="15"/>
  <c r="H51" i="26" s="1"/>
  <c r="AB51" i="26" s="1"/>
  <c r="H46" i="15"/>
  <c r="H46" i="26" s="1"/>
  <c r="AB46" i="26" s="1"/>
  <c r="AH43" i="15"/>
  <c r="H9" i="15"/>
  <c r="H9" i="26" s="1"/>
  <c r="AB9" i="26" s="1"/>
  <c r="H38" i="15"/>
  <c r="H38" i="26" s="1"/>
  <c r="AB38" i="26" s="1"/>
  <c r="AF32" i="15"/>
  <c r="H14" i="15"/>
  <c r="H14" i="26" s="1"/>
  <c r="AB14" i="26" s="1"/>
  <c r="H28" i="15"/>
  <c r="H28" i="26" s="1"/>
  <c r="AB28" i="26" s="1"/>
  <c r="V66" i="11"/>
  <c r="Q67" i="11"/>
  <c r="AF67" i="11" s="1"/>
  <c r="R56" i="11"/>
  <c r="AG56" i="11" s="1"/>
  <c r="H36" i="15"/>
  <c r="H36" i="26" s="1"/>
  <c r="AB36" i="26" s="1"/>
  <c r="AF46" i="15"/>
  <c r="AF51" i="15"/>
  <c r="H41" i="15"/>
  <c r="H41" i="26" s="1"/>
  <c r="AB41" i="26" s="1"/>
  <c r="H12" i="15"/>
  <c r="H12" i="26" s="1"/>
  <c r="AB12" i="26" s="1"/>
  <c r="H50" i="15"/>
  <c r="H25" i="15"/>
  <c r="H25" i="26" s="1"/>
  <c r="AB25" i="26" s="1"/>
  <c r="H17" i="15"/>
  <c r="H17" i="26" s="1"/>
  <c r="AB17" i="26" s="1"/>
  <c r="H43" i="15"/>
  <c r="H43" i="26" s="1"/>
  <c r="AB43" i="26" s="1"/>
  <c r="AH50" i="15"/>
  <c r="AF41" i="15"/>
  <c r="AF37" i="15"/>
  <c r="H49" i="15"/>
  <c r="H49" i="26" s="1"/>
  <c r="AB49" i="26" s="1"/>
  <c r="AF49" i="15"/>
  <c r="BC64" i="21"/>
  <c r="AV67" i="21"/>
  <c r="BA67" i="21" s="1"/>
  <c r="AV66" i="21"/>
  <c r="BA66" i="21" s="1"/>
  <c r="BG65" i="21"/>
  <c r="BD65" i="21"/>
  <c r="BH65" i="21"/>
  <c r="BF65" i="21"/>
  <c r="BE65" i="21"/>
  <c r="H39" i="15"/>
  <c r="H39" i="26" s="1"/>
  <c r="AB39" i="26" s="1"/>
  <c r="H24" i="15"/>
  <c r="H24" i="26" s="1"/>
  <c r="AB24" i="26" s="1"/>
  <c r="H23" i="15"/>
  <c r="H23" i="26" s="1"/>
  <c r="AB23" i="26" s="1"/>
  <c r="H11" i="15"/>
  <c r="H11" i="26" s="1"/>
  <c r="AB11" i="26" s="1"/>
  <c r="AF47" i="15"/>
  <c r="H42" i="15"/>
  <c r="H42" i="26" s="1"/>
  <c r="AB42" i="26" s="1"/>
  <c r="H20" i="15"/>
  <c r="H20" i="26" s="1"/>
  <c r="AB20" i="26" s="1"/>
  <c r="AF44" i="15"/>
  <c r="H33" i="15"/>
  <c r="H33" i="26" s="1"/>
  <c r="AB33" i="26" s="1"/>
  <c r="H37" i="15"/>
  <c r="H37" i="26" s="1"/>
  <c r="AB37" i="26" s="1"/>
  <c r="H26" i="15"/>
  <c r="H26" i="26" s="1"/>
  <c r="AB26" i="26" s="1"/>
  <c r="H45" i="15"/>
  <c r="H45" i="26" s="1"/>
  <c r="AB45" i="26" s="1"/>
  <c r="H21" i="15"/>
  <c r="H21" i="26" s="1"/>
  <c r="AB21" i="26" s="1"/>
  <c r="H10" i="15"/>
  <c r="H10" i="26" s="1"/>
  <c r="AB10" i="26" s="1"/>
  <c r="H13" i="15"/>
  <c r="H13" i="26" s="1"/>
  <c r="AB13" i="26" s="1"/>
  <c r="H52" i="15"/>
  <c r="H52" i="26" s="1"/>
  <c r="AB52" i="26" s="1"/>
  <c r="AF34" i="15"/>
  <c r="H19" i="15"/>
  <c r="H19" i="26" s="1"/>
  <c r="AB19" i="26" s="1"/>
  <c r="H34" i="15"/>
  <c r="H34" i="26" s="1"/>
  <c r="AB34" i="26" s="1"/>
  <c r="H47" i="15"/>
  <c r="H47" i="26" s="1"/>
  <c r="AB47" i="26" s="1"/>
  <c r="AF42" i="15"/>
  <c r="AF33" i="15"/>
  <c r="H29" i="15"/>
  <c r="H29" i="26" s="1"/>
  <c r="AB29" i="26" s="1"/>
  <c r="H44" i="15"/>
  <c r="H44" i="26" s="1"/>
  <c r="AB44" i="26" s="1"/>
  <c r="AH52" i="15"/>
  <c r="H15" i="15"/>
  <c r="H15" i="26" s="1"/>
  <c r="AB15" i="26" s="1"/>
  <c r="H35" i="15"/>
  <c r="H35" i="26" s="1"/>
  <c r="AB35" i="26" s="1"/>
  <c r="AH47" i="15"/>
  <c r="H31" i="15"/>
  <c r="H31" i="26" s="1"/>
  <c r="AB31" i="26" s="1"/>
  <c r="AF29" i="15"/>
  <c r="W55" i="11"/>
  <c r="W54" i="13"/>
  <c r="B54" i="11"/>
  <c r="X133" i="5"/>
  <c r="Y133" i="5" s="1"/>
  <c r="F70" i="5"/>
  <c r="H70" i="5"/>
  <c r="Z70" i="5"/>
  <c r="P70" i="5"/>
  <c r="A71" i="5"/>
  <c r="AB70" i="5"/>
  <c r="R70" i="5"/>
  <c r="U18" i="5"/>
  <c r="AD18" i="5" s="1"/>
  <c r="AB52" i="13"/>
  <c r="AA66" i="11"/>
  <c r="AB55" i="11"/>
  <c r="AU66" i="11" l="1"/>
  <c r="AV55" i="11"/>
  <c r="AR52" i="13"/>
  <c r="AP52" i="13"/>
  <c r="AO52" i="13"/>
  <c r="AN52" i="13"/>
  <c r="AQ52" i="13"/>
  <c r="AN54" i="11"/>
  <c r="AO54" i="11"/>
  <c r="AP54" i="11"/>
  <c r="AQ54" i="11"/>
  <c r="AR54" i="11"/>
  <c r="AP10" i="26" a="1"/>
  <c r="AP10" i="26" s="1"/>
  <c r="AT10" i="26" s="1"/>
  <c r="AP18" i="26" a="1"/>
  <c r="AP18" i="26" s="1"/>
  <c r="AT18" i="26" s="1"/>
  <c r="AO15" i="26" a="1"/>
  <c r="AO15" i="26" s="1"/>
  <c r="AS15" i="26" s="1"/>
  <c r="AP21" i="26" a="1"/>
  <c r="AP21" i="26" s="1"/>
  <c r="AT21" i="26" s="1"/>
  <c r="AO11" i="26" a="1"/>
  <c r="AO11" i="26" s="1"/>
  <c r="AS11" i="26" s="1"/>
  <c r="AP14" i="26" a="1"/>
  <c r="AP14" i="26" s="1"/>
  <c r="AT14" i="26" s="1"/>
  <c r="AO9" i="26" a="1"/>
  <c r="AO9" i="26" s="1"/>
  <c r="AS9" i="26" s="1"/>
  <c r="AP23" i="26" a="1"/>
  <c r="AP23" i="26" s="1"/>
  <c r="AT23" i="26" s="1"/>
  <c r="AO20" i="26" a="1"/>
  <c r="AO20" i="26" s="1"/>
  <c r="AS20" i="26" s="1"/>
  <c r="AO12" i="26" a="1"/>
  <c r="AO12" i="26" s="1"/>
  <c r="AS12" i="26" s="1"/>
  <c r="AP15" i="26" a="1"/>
  <c r="AP15" i="26" s="1"/>
  <c r="AT15" i="26" s="1"/>
  <c r="AP19" i="26" a="1"/>
  <c r="AP19" i="26" s="1"/>
  <c r="AT19" i="26" s="1"/>
  <c r="AP17" i="26" a="1"/>
  <c r="AP17" i="26" s="1"/>
  <c r="AT17" i="26" s="1"/>
  <c r="AO21" i="26" a="1"/>
  <c r="AO21" i="26" s="1"/>
  <c r="AS21" i="26" s="1"/>
  <c r="AP9" i="26" a="1"/>
  <c r="AP9" i="26" s="1"/>
  <c r="AT9" i="26" s="1"/>
  <c r="AO19" i="26" a="1"/>
  <c r="AO19" i="26" s="1"/>
  <c r="AS19" i="26" s="1"/>
  <c r="AP11" i="26" a="1"/>
  <c r="AP11" i="26" s="1"/>
  <c r="AT11" i="26" s="1"/>
  <c r="AO14" i="26" a="1"/>
  <c r="AO14" i="26" s="1"/>
  <c r="AS14" i="26" s="1"/>
  <c r="AO18" i="26" a="1"/>
  <c r="AO18" i="26" s="1"/>
  <c r="AS18" i="26" s="1"/>
  <c r="AO13" i="26" a="1"/>
  <c r="AO13" i="26" s="1"/>
  <c r="AS13" i="26" s="1"/>
  <c r="AO10" i="26" a="1"/>
  <c r="AO10" i="26" s="1"/>
  <c r="AS10" i="26" s="1"/>
  <c r="AP16" i="26" a="1"/>
  <c r="AP16" i="26" s="1"/>
  <c r="AT16" i="26" s="1"/>
  <c r="AP13" i="26" a="1"/>
  <c r="AP13" i="26" s="1"/>
  <c r="AT13" i="26" s="1"/>
  <c r="AP20" i="26" a="1"/>
  <c r="AP20" i="26" s="1"/>
  <c r="AT20" i="26" s="1"/>
  <c r="AP12" i="26" a="1"/>
  <c r="AP12" i="26" s="1"/>
  <c r="AT12" i="26" s="1"/>
  <c r="AO17" i="26" a="1"/>
  <c r="AO17" i="26" s="1"/>
  <c r="AS17" i="26" s="1"/>
  <c r="AD188" i="13"/>
  <c r="K18" i="25" s="1"/>
  <c r="AD192" i="13"/>
  <c r="K22" i="25" s="1"/>
  <c r="AD191" i="13"/>
  <c r="K21" i="25" s="1"/>
  <c r="AD181" i="13"/>
  <c r="K11" i="25" s="1"/>
  <c r="AD185" i="13"/>
  <c r="K15" i="25" s="1"/>
  <c r="AD193" i="13"/>
  <c r="K23" i="25" s="1"/>
  <c r="AD194" i="13"/>
  <c r="K24" i="25" s="1"/>
  <c r="AD189" i="13"/>
  <c r="K19" i="25" s="1"/>
  <c r="AD183" i="13"/>
  <c r="K13" i="25" s="1"/>
  <c r="AD190" i="13"/>
  <c r="K20" i="25" s="1"/>
  <c r="AD187" i="13"/>
  <c r="K17" i="25" s="1"/>
  <c r="K18" i="5"/>
  <c r="T17" i="5"/>
  <c r="A18" i="5"/>
  <c r="J17" i="5"/>
  <c r="Z32" i="14"/>
  <c r="Z47" i="14"/>
  <c r="Z20" i="14"/>
  <c r="J13" i="24"/>
  <c r="X47" i="15"/>
  <c r="M45" i="24"/>
  <c r="X41" i="15"/>
  <c r="M32" i="24"/>
  <c r="T25" i="14"/>
  <c r="J45" i="24"/>
  <c r="AD108" i="13"/>
  <c r="I42" i="25" s="1"/>
  <c r="I41" i="26" s="1"/>
  <c r="AC41" i="26" s="1"/>
  <c r="AD95" i="13"/>
  <c r="I29" i="25" s="1"/>
  <c r="I28" i="26" s="1"/>
  <c r="AC28" i="26" s="1"/>
  <c r="J24" i="24"/>
  <c r="I21" i="24"/>
  <c r="H21" i="24" s="1"/>
  <c r="X44" i="15"/>
  <c r="T35" i="14"/>
  <c r="X37" i="15"/>
  <c r="M44" i="24"/>
  <c r="J50" i="24"/>
  <c r="H50" i="24" s="1"/>
  <c r="M37" i="24"/>
  <c r="L22" i="24"/>
  <c r="K13" i="24"/>
  <c r="T37" i="14"/>
  <c r="M18" i="24"/>
  <c r="L16" i="24"/>
  <c r="I34" i="24"/>
  <c r="X26" i="15"/>
  <c r="K30" i="24"/>
  <c r="T44" i="14"/>
  <c r="K11" i="24"/>
  <c r="K36" i="24"/>
  <c r="M52" i="24"/>
  <c r="K35" i="24"/>
  <c r="X40" i="15"/>
  <c r="X23" i="15"/>
  <c r="X29" i="15"/>
  <c r="I10" i="24"/>
  <c r="L37" i="24"/>
  <c r="X25" i="15"/>
  <c r="I12" i="24"/>
  <c r="I18" i="24"/>
  <c r="M46" i="24"/>
  <c r="I11" i="24"/>
  <c r="X12" i="15"/>
  <c r="K23" i="24"/>
  <c r="T50" i="14"/>
  <c r="X17" i="15"/>
  <c r="L12" i="24"/>
  <c r="X52" i="15"/>
  <c r="I41" i="24"/>
  <c r="X20" i="15"/>
  <c r="T38" i="14"/>
  <c r="T41" i="14"/>
  <c r="I49" i="24"/>
  <c r="H49" i="24" s="1"/>
  <c r="I47" i="24"/>
  <c r="X27" i="15"/>
  <c r="I32" i="24"/>
  <c r="J40" i="24"/>
  <c r="H40" i="24" s="1"/>
  <c r="I37" i="24"/>
  <c r="X36" i="15"/>
  <c r="M16" i="24"/>
  <c r="L39" i="24"/>
  <c r="K22" i="24"/>
  <c r="M27" i="24"/>
  <c r="M25" i="24"/>
  <c r="J39" i="24"/>
  <c r="AD160" i="13"/>
  <c r="J42" i="25" s="1"/>
  <c r="J41" i="26" s="1"/>
  <c r="AD41" i="26" s="1"/>
  <c r="AD153" i="13"/>
  <c r="J35" i="25" s="1"/>
  <c r="J34" i="26" s="1"/>
  <c r="AD34" i="26" s="1"/>
  <c r="AD102" i="13"/>
  <c r="I36" i="25" s="1"/>
  <c r="I35" i="26" s="1"/>
  <c r="AC35" i="26" s="1"/>
  <c r="AD132" i="13"/>
  <c r="J14" i="25" s="1"/>
  <c r="I25" i="24"/>
  <c r="T47" i="14"/>
  <c r="AB266" i="11" a="1"/>
  <c r="AB266" i="11" s="1"/>
  <c r="AC266" i="11" a="1"/>
  <c r="AC266" i="11" s="1"/>
  <c r="X18" i="15"/>
  <c r="T43" i="14"/>
  <c r="K10" i="24"/>
  <c r="T18" i="14"/>
  <c r="L20" i="24"/>
  <c r="AD83" i="13"/>
  <c r="I17" i="25" s="1"/>
  <c r="T49" i="14"/>
  <c r="X48" i="15"/>
  <c r="M31" i="24"/>
  <c r="X34" i="15"/>
  <c r="X19" i="15"/>
  <c r="X42" i="15"/>
  <c r="AD244" i="13"/>
  <c r="L21" i="25" s="1"/>
  <c r="T24" i="14"/>
  <c r="T32" i="14"/>
  <c r="X15" i="15"/>
  <c r="AD40" i="15"/>
  <c r="T23" i="14"/>
  <c r="X38" i="15"/>
  <c r="X46" i="15"/>
  <c r="J12" i="24"/>
  <c r="M29" i="24"/>
  <c r="M15" i="24"/>
  <c r="T30" i="14"/>
  <c r="I30" i="24"/>
  <c r="T40" i="14"/>
  <c r="H51" i="24"/>
  <c r="H50" i="26"/>
  <c r="AB50" i="26" s="1"/>
  <c r="X22" i="15"/>
  <c r="T10" i="14"/>
  <c r="T28" i="14"/>
  <c r="E20" i="24"/>
  <c r="X10" i="15"/>
  <c r="X35" i="15"/>
  <c r="B35" i="26"/>
  <c r="V35" i="26" s="1"/>
  <c r="X16" i="15"/>
  <c r="B16" i="26"/>
  <c r="V16" i="26" s="1"/>
  <c r="X50" i="15"/>
  <c r="AD304" i="13"/>
  <c r="M28" i="25" s="1"/>
  <c r="J28" i="24"/>
  <c r="X32" i="15"/>
  <c r="K26" i="24"/>
  <c r="T17" i="14"/>
  <c r="T48" i="14"/>
  <c r="AD79" i="13"/>
  <c r="I13" i="25" s="1"/>
  <c r="T51" i="14"/>
  <c r="M26" i="24"/>
  <c r="T45" i="14"/>
  <c r="I14" i="24"/>
  <c r="M36" i="24"/>
  <c r="T34" i="14"/>
  <c r="AD186" i="13"/>
  <c r="K16" i="25" s="1"/>
  <c r="L10" i="24"/>
  <c r="K18" i="24"/>
  <c r="I52" i="24"/>
  <c r="X13" i="15"/>
  <c r="AD310" i="13"/>
  <c r="M34" i="25" s="1"/>
  <c r="M34" i="24"/>
  <c r="T39" i="14"/>
  <c r="AG52" i="13"/>
  <c r="AV52" i="13" s="1"/>
  <c r="M33" i="24"/>
  <c r="AD33" i="15"/>
  <c r="AD30" i="15"/>
  <c r="T29" i="14"/>
  <c r="B53" i="13"/>
  <c r="F53" i="13"/>
  <c r="AD49" i="15"/>
  <c r="X49" i="15"/>
  <c r="AD10" i="15"/>
  <c r="L29" i="24"/>
  <c r="AD25" i="15"/>
  <c r="AD22" i="15"/>
  <c r="AD45" i="15"/>
  <c r="AD11" i="15"/>
  <c r="AD18" i="15"/>
  <c r="T11" i="14"/>
  <c r="T20" i="14"/>
  <c r="T16" i="14"/>
  <c r="X28" i="15"/>
  <c r="AD34" i="15"/>
  <c r="AD43" i="15"/>
  <c r="AD28" i="15"/>
  <c r="AD32" i="15"/>
  <c r="I43" i="24"/>
  <c r="X30" i="15"/>
  <c r="T42" i="14"/>
  <c r="K25" i="24"/>
  <c r="L23" i="24"/>
  <c r="X43" i="15"/>
  <c r="AD145" i="13"/>
  <c r="J27" i="25" s="1"/>
  <c r="J26" i="26" s="1"/>
  <c r="AD26" i="26" s="1"/>
  <c r="J27" i="24"/>
  <c r="AD161" i="13"/>
  <c r="J43" i="25" s="1"/>
  <c r="J42" i="26" s="1"/>
  <c r="AD42" i="26" s="1"/>
  <c r="J43" i="24"/>
  <c r="AD39" i="15"/>
  <c r="J36" i="24"/>
  <c r="I44" i="24"/>
  <c r="L15" i="24"/>
  <c r="X24" i="15"/>
  <c r="AD12" i="15"/>
  <c r="I35" i="24"/>
  <c r="J53" i="24"/>
  <c r="H53" i="24" s="1"/>
  <c r="AD155" i="13"/>
  <c r="J37" i="25" s="1"/>
  <c r="J36" i="26" s="1"/>
  <c r="AD36" i="26" s="1"/>
  <c r="J37" i="24"/>
  <c r="J31" i="24"/>
  <c r="J32" i="24"/>
  <c r="X45" i="15"/>
  <c r="AD16" i="15"/>
  <c r="AD27" i="15"/>
  <c r="L34" i="24"/>
  <c r="M13" i="24"/>
  <c r="K29" i="24"/>
  <c r="L26" i="24"/>
  <c r="J26" i="24"/>
  <c r="I39" i="24"/>
  <c r="T22" i="14"/>
  <c r="M23" i="24"/>
  <c r="X9" i="15"/>
  <c r="T46" i="14"/>
  <c r="K42" i="24"/>
  <c r="AD166" i="13"/>
  <c r="J48" i="25" s="1"/>
  <c r="J47" i="26" s="1"/>
  <c r="AD47" i="26" s="1"/>
  <c r="J48" i="24"/>
  <c r="AD297" i="13"/>
  <c r="M21" i="25" s="1"/>
  <c r="AD94" i="13"/>
  <c r="I28" i="25" s="1"/>
  <c r="I27" i="26" s="1"/>
  <c r="AC27" i="26" s="1"/>
  <c r="AD119" i="13"/>
  <c r="I53" i="25" s="1"/>
  <c r="I52" i="26" s="1"/>
  <c r="AC52" i="26" s="1"/>
  <c r="X51" i="15"/>
  <c r="K34" i="24"/>
  <c r="K19" i="24"/>
  <c r="X21" i="15"/>
  <c r="X14" i="15"/>
  <c r="K31" i="24"/>
  <c r="M20" i="24"/>
  <c r="AD296" i="13"/>
  <c r="M20" i="25" s="1"/>
  <c r="T31" i="14"/>
  <c r="AD236" i="13"/>
  <c r="L13" i="25" s="1"/>
  <c r="T36" i="14"/>
  <c r="AD86" i="13"/>
  <c r="I20" i="25" s="1"/>
  <c r="I20" i="24"/>
  <c r="M43" i="24"/>
  <c r="X39" i="15"/>
  <c r="T33" i="14"/>
  <c r="X11" i="15"/>
  <c r="M35" i="24"/>
  <c r="AD287" i="13"/>
  <c r="M11" i="25" s="1"/>
  <c r="I33" i="24"/>
  <c r="AD99" i="13"/>
  <c r="I33" i="25" s="1"/>
  <c r="I32" i="26" s="1"/>
  <c r="AC32" i="26" s="1"/>
  <c r="AD323" i="13"/>
  <c r="M47" i="25" s="1"/>
  <c r="M46" i="26" s="1"/>
  <c r="AG46" i="26" s="1"/>
  <c r="M47" i="24"/>
  <c r="T13" i="14"/>
  <c r="J38" i="24"/>
  <c r="M39" i="24"/>
  <c r="I24" i="24"/>
  <c r="X31" i="15"/>
  <c r="AD314" i="13"/>
  <c r="M38" i="25" s="1"/>
  <c r="M38" i="24"/>
  <c r="M48" i="24"/>
  <c r="AD324" i="13"/>
  <c r="M48" i="25" s="1"/>
  <c r="M47" i="26" s="1"/>
  <c r="AG47" i="26" s="1"/>
  <c r="AD150" i="13"/>
  <c r="J32" i="25" s="1"/>
  <c r="J31" i="26" s="1"/>
  <c r="AD31" i="26" s="1"/>
  <c r="AD255" i="13"/>
  <c r="L32" i="25" s="1"/>
  <c r="L31" i="26" s="1"/>
  <c r="AF31" i="26" s="1"/>
  <c r="T15" i="14"/>
  <c r="AD251" i="13"/>
  <c r="L28" i="25" s="1"/>
  <c r="L27" i="26" s="1"/>
  <c r="AF27" i="26" s="1"/>
  <c r="L28" i="24"/>
  <c r="F13" i="24"/>
  <c r="J20" i="24"/>
  <c r="AD139" i="13"/>
  <c r="J21" i="25" s="1"/>
  <c r="AD128" i="13"/>
  <c r="J10" i="25" s="1"/>
  <c r="AD184" i="13"/>
  <c r="K14" i="25" s="1"/>
  <c r="K14" i="24"/>
  <c r="K39" i="24"/>
  <c r="AD250" i="13"/>
  <c r="L27" i="25" s="1"/>
  <c r="L26" i="26" s="1"/>
  <c r="AF26" i="26" s="1"/>
  <c r="L27" i="24"/>
  <c r="J18" i="24"/>
  <c r="AD137" i="13"/>
  <c r="J19" i="25" s="1"/>
  <c r="AD293" i="13"/>
  <c r="M17" i="25" s="1"/>
  <c r="M17" i="24"/>
  <c r="H17" i="24" s="1"/>
  <c r="T12" i="14"/>
  <c r="K41" i="24"/>
  <c r="I31" i="24"/>
  <c r="AD97" i="13"/>
  <c r="I31" i="25" s="1"/>
  <c r="I30" i="26" s="1"/>
  <c r="AC30" i="26" s="1"/>
  <c r="T9" i="14"/>
  <c r="M42" i="24"/>
  <c r="AD318" i="13"/>
  <c r="M42" i="25" s="1"/>
  <c r="M41" i="26" s="1"/>
  <c r="AG41" i="26" s="1"/>
  <c r="M30" i="24"/>
  <c r="AD306" i="13"/>
  <c r="M30" i="25" s="1"/>
  <c r="T52" i="14"/>
  <c r="T14" i="14"/>
  <c r="AD26" i="15"/>
  <c r="AD252" i="11"/>
  <c r="F29" i="25" s="1"/>
  <c r="F28" i="26" s="1"/>
  <c r="Z28" i="26" s="1"/>
  <c r="AD295" i="13"/>
  <c r="M19" i="25" s="1"/>
  <c r="M19" i="24"/>
  <c r="K46" i="24"/>
  <c r="AD13" i="15"/>
  <c r="T21" i="14"/>
  <c r="F30" i="24"/>
  <c r="X33" i="15"/>
  <c r="T26" i="14"/>
  <c r="AD36" i="15"/>
  <c r="J52" i="24"/>
  <c r="AD171" i="13"/>
  <c r="J53" i="25" s="1"/>
  <c r="J52" i="26" s="1"/>
  <c r="AD52" i="26" s="1"/>
  <c r="L35" i="24"/>
  <c r="AD258" i="13"/>
  <c r="L35" i="25" s="1"/>
  <c r="L34" i="26" s="1"/>
  <c r="AF34" i="26" s="1"/>
  <c r="AD141" i="13"/>
  <c r="J23" i="25" s="1"/>
  <c r="J22" i="26" s="1"/>
  <c r="AD22" i="26" s="1"/>
  <c r="J22" i="24"/>
  <c r="T27" i="14"/>
  <c r="E46" i="24"/>
  <c r="AD86" i="11"/>
  <c r="C20" i="25" s="1"/>
  <c r="C20" i="24"/>
  <c r="D43" i="24"/>
  <c r="AD161" i="11"/>
  <c r="D43" i="25" s="1"/>
  <c r="D42" i="26" s="1"/>
  <c r="X42" i="26" s="1"/>
  <c r="D38" i="24"/>
  <c r="AD156" i="11"/>
  <c r="D38" i="25" s="1"/>
  <c r="D37" i="26" s="1"/>
  <c r="X37" i="26" s="1"/>
  <c r="G47" i="24"/>
  <c r="AD323" i="11"/>
  <c r="G47" i="25" s="1"/>
  <c r="G46" i="26" s="1"/>
  <c r="AA46" i="26" s="1"/>
  <c r="D24" i="24"/>
  <c r="AD142" i="11"/>
  <c r="D24" i="25" s="1"/>
  <c r="D23" i="26" s="1"/>
  <c r="X23" i="26" s="1"/>
  <c r="D36" i="24"/>
  <c r="AD154" i="11"/>
  <c r="D36" i="25" s="1"/>
  <c r="D35" i="26" s="1"/>
  <c r="X35" i="26" s="1"/>
  <c r="D52" i="24"/>
  <c r="AD170" i="11"/>
  <c r="D52" i="25" s="1"/>
  <c r="D51" i="26" s="1"/>
  <c r="X51" i="26" s="1"/>
  <c r="E25" i="24"/>
  <c r="AD195" i="11"/>
  <c r="E25" i="25" s="1"/>
  <c r="E24" i="26" s="1"/>
  <c r="Y24" i="26" s="1"/>
  <c r="AD9" i="15"/>
  <c r="AD223" i="11"/>
  <c r="E53" i="25" s="1"/>
  <c r="E52" i="26" s="1"/>
  <c r="Y52" i="26" s="1"/>
  <c r="AD321" i="11"/>
  <c r="G45" i="25" s="1"/>
  <c r="G44" i="26" s="1"/>
  <c r="AA44" i="26" s="1"/>
  <c r="G45" i="24"/>
  <c r="E34" i="24"/>
  <c r="AD204" i="11"/>
  <c r="E34" i="25" s="1"/>
  <c r="E33" i="26" s="1"/>
  <c r="Y33" i="26" s="1"/>
  <c r="AD327" i="11"/>
  <c r="G51" i="25" s="1"/>
  <c r="G50" i="26" s="1"/>
  <c r="AA50" i="26" s="1"/>
  <c r="G51" i="24"/>
  <c r="D10" i="24"/>
  <c r="AD128" i="11"/>
  <c r="D10" i="25" s="1"/>
  <c r="G41" i="24"/>
  <c r="AD317" i="11"/>
  <c r="G41" i="25" s="1"/>
  <c r="G40" i="26" s="1"/>
  <c r="AA40" i="26" s="1"/>
  <c r="AD80" i="11"/>
  <c r="C14" i="25" s="1"/>
  <c r="C14" i="24"/>
  <c r="C12" i="24"/>
  <c r="AD78" i="11"/>
  <c r="C12" i="25" s="1"/>
  <c r="AD90" i="11"/>
  <c r="C24" i="25" s="1"/>
  <c r="C23" i="26" s="1"/>
  <c r="W23" i="26" s="1"/>
  <c r="C24" i="24"/>
  <c r="F44" i="24"/>
  <c r="D49" i="24"/>
  <c r="AD167" i="11"/>
  <c r="D49" i="25" s="1"/>
  <c r="D48" i="26" s="1"/>
  <c r="X48" i="26" s="1"/>
  <c r="E38" i="24"/>
  <c r="AD208" i="11"/>
  <c r="E38" i="25" s="1"/>
  <c r="E37" i="26" s="1"/>
  <c r="Y37" i="26" s="1"/>
  <c r="D50" i="24"/>
  <c r="AD168" i="11"/>
  <c r="D50" i="25" s="1"/>
  <c r="D49" i="26" s="1"/>
  <c r="X49" i="26" s="1"/>
  <c r="E21" i="24"/>
  <c r="AD191" i="11"/>
  <c r="E21" i="25" s="1"/>
  <c r="G32" i="24"/>
  <c r="AD308" i="11"/>
  <c r="G32" i="25" s="1"/>
  <c r="G31" i="26" s="1"/>
  <c r="AA31" i="26" s="1"/>
  <c r="D47" i="24"/>
  <c r="AD165" i="11"/>
  <c r="D47" i="25" s="1"/>
  <c r="D46" i="26" s="1"/>
  <c r="X46" i="26" s="1"/>
  <c r="F52" i="24"/>
  <c r="G40" i="24"/>
  <c r="AD316" i="11"/>
  <c r="G40" i="25" s="1"/>
  <c r="G39" i="26" s="1"/>
  <c r="AA39" i="26" s="1"/>
  <c r="G22" i="24"/>
  <c r="AD298" i="11"/>
  <c r="G22" i="25" s="1"/>
  <c r="C42" i="24"/>
  <c r="AD108" i="11"/>
  <c r="C42" i="25" s="1"/>
  <c r="C41" i="26" s="1"/>
  <c r="W41" i="26" s="1"/>
  <c r="D27" i="24"/>
  <c r="AD145" i="11"/>
  <c r="D27" i="25" s="1"/>
  <c r="D26" i="26" s="1"/>
  <c r="X26" i="26" s="1"/>
  <c r="E12" i="24"/>
  <c r="AD182" i="11"/>
  <c r="E12" i="25" s="1"/>
  <c r="D51" i="24"/>
  <c r="AD169" i="11"/>
  <c r="D51" i="25" s="1"/>
  <c r="D50" i="26" s="1"/>
  <c r="X50" i="26" s="1"/>
  <c r="F28" i="24"/>
  <c r="AD251" i="11"/>
  <c r="F28" i="25" s="1"/>
  <c r="F27" i="26" s="1"/>
  <c r="Z27" i="26" s="1"/>
  <c r="F21" i="24"/>
  <c r="AD244" i="11"/>
  <c r="F21" i="25" s="1"/>
  <c r="C35" i="24"/>
  <c r="AD101" i="11"/>
  <c r="C35" i="25" s="1"/>
  <c r="C34" i="26" s="1"/>
  <c r="W34" i="26" s="1"/>
  <c r="G18" i="24"/>
  <c r="AD294" i="11"/>
  <c r="G18" i="25" s="1"/>
  <c r="C49" i="24"/>
  <c r="AD115" i="11"/>
  <c r="C49" i="25" s="1"/>
  <c r="C48" i="26" s="1"/>
  <c r="W48" i="26" s="1"/>
  <c r="C11" i="24"/>
  <c r="AD77" i="11"/>
  <c r="C11" i="25" s="1"/>
  <c r="F20" i="24"/>
  <c r="AD243" i="11"/>
  <c r="F20" i="25" s="1"/>
  <c r="E29" i="24"/>
  <c r="AD199" i="11"/>
  <c r="E29" i="25" s="1"/>
  <c r="E28" i="26" s="1"/>
  <c r="Y28" i="26" s="1"/>
  <c r="D39" i="24"/>
  <c r="AD157" i="11"/>
  <c r="D39" i="25" s="1"/>
  <c r="D38" i="26" s="1"/>
  <c r="X38" i="26" s="1"/>
  <c r="E27" i="24"/>
  <c r="AD197" i="11"/>
  <c r="E27" i="25" s="1"/>
  <c r="E26" i="26" s="1"/>
  <c r="Y26" i="26" s="1"/>
  <c r="C52" i="24"/>
  <c r="AD118" i="11"/>
  <c r="C52" i="25" s="1"/>
  <c r="C51" i="26" s="1"/>
  <c r="W51" i="26" s="1"/>
  <c r="F26" i="24"/>
  <c r="AD249" i="11"/>
  <c r="F26" i="25" s="1"/>
  <c r="F41" i="24"/>
  <c r="AD264" i="11"/>
  <c r="F41" i="25" s="1"/>
  <c r="F40" i="26" s="1"/>
  <c r="Z40" i="26" s="1"/>
  <c r="C26" i="24"/>
  <c r="AD92" i="11"/>
  <c r="C26" i="25" s="1"/>
  <c r="C25" i="26" s="1"/>
  <c r="W25" i="26" s="1"/>
  <c r="E23" i="24"/>
  <c r="AD193" i="11"/>
  <c r="E23" i="25" s="1"/>
  <c r="E22" i="26" s="1"/>
  <c r="Y22" i="26" s="1"/>
  <c r="D13" i="24"/>
  <c r="AD131" i="11"/>
  <c r="D13" i="25" s="1"/>
  <c r="E26" i="24"/>
  <c r="AD196" i="11"/>
  <c r="E26" i="25" s="1"/>
  <c r="E25" i="26" s="1"/>
  <c r="Y25" i="26" s="1"/>
  <c r="F33" i="24"/>
  <c r="AD256" i="11"/>
  <c r="F33" i="25" s="1"/>
  <c r="F32" i="26" s="1"/>
  <c r="Z32" i="26" s="1"/>
  <c r="E16" i="24"/>
  <c r="AD186" i="11"/>
  <c r="E16" i="25" s="1"/>
  <c r="D16" i="24"/>
  <c r="AD134" i="11"/>
  <c r="D16" i="25" s="1"/>
  <c r="E30" i="24"/>
  <c r="AD200" i="11"/>
  <c r="E30" i="25" s="1"/>
  <c r="E29" i="26" s="1"/>
  <c r="Y29" i="26" s="1"/>
  <c r="E28" i="24"/>
  <c r="AD198" i="11"/>
  <c r="E28" i="25" s="1"/>
  <c r="E27" i="26" s="1"/>
  <c r="Y27" i="26" s="1"/>
  <c r="D19" i="24"/>
  <c r="AD137" i="11"/>
  <c r="D19" i="25" s="1"/>
  <c r="F16" i="24"/>
  <c r="AD239" i="11"/>
  <c r="F16" i="25" s="1"/>
  <c r="F15" i="24"/>
  <c r="AD238" i="11"/>
  <c r="F15" i="25" s="1"/>
  <c r="D20" i="24"/>
  <c r="AD138" i="11"/>
  <c r="D20" i="25" s="1"/>
  <c r="C46" i="24"/>
  <c r="AD112" i="11"/>
  <c r="C46" i="25" s="1"/>
  <c r="C45" i="26" s="1"/>
  <c r="W45" i="26" s="1"/>
  <c r="F31" i="24"/>
  <c r="AD254" i="11"/>
  <c r="F31" i="25" s="1"/>
  <c r="F30" i="26" s="1"/>
  <c r="Z30" i="26" s="1"/>
  <c r="G14" i="24"/>
  <c r="AD290" i="11"/>
  <c r="G14" i="25" s="1"/>
  <c r="G15" i="24"/>
  <c r="AD291" i="11"/>
  <c r="G15" i="25" s="1"/>
  <c r="F27" i="24"/>
  <c r="AD250" i="11"/>
  <c r="F27" i="25" s="1"/>
  <c r="F26" i="26" s="1"/>
  <c r="Z26" i="26" s="1"/>
  <c r="D21" i="24"/>
  <c r="AD139" i="11"/>
  <c r="D21" i="25" s="1"/>
  <c r="E22" i="24"/>
  <c r="AD192" i="11"/>
  <c r="E22" i="25" s="1"/>
  <c r="C13" i="24"/>
  <c r="AD79" i="11"/>
  <c r="C13" i="25" s="1"/>
  <c r="C25" i="24"/>
  <c r="AD91" i="11"/>
  <c r="C25" i="25" s="1"/>
  <c r="C24" i="26" s="1"/>
  <c r="W24" i="26" s="1"/>
  <c r="F23" i="24"/>
  <c r="AD246" i="11"/>
  <c r="F23" i="25" s="1"/>
  <c r="G43" i="24"/>
  <c r="AD319" i="11"/>
  <c r="G43" i="25" s="1"/>
  <c r="G42" i="26" s="1"/>
  <c r="AA42" i="26" s="1"/>
  <c r="D40" i="24"/>
  <c r="AD158" i="11"/>
  <c r="D40" i="25" s="1"/>
  <c r="D39" i="26" s="1"/>
  <c r="X39" i="26" s="1"/>
  <c r="F25" i="24"/>
  <c r="AD248" i="11"/>
  <c r="F25" i="25" s="1"/>
  <c r="D30" i="24"/>
  <c r="AD148" i="11"/>
  <c r="D30" i="25" s="1"/>
  <c r="D29" i="26" s="1"/>
  <c r="X29" i="26" s="1"/>
  <c r="C36" i="24"/>
  <c r="AD102" i="11"/>
  <c r="C36" i="25" s="1"/>
  <c r="C35" i="26" s="1"/>
  <c r="W35" i="26" s="1"/>
  <c r="D23" i="24"/>
  <c r="AD141" i="11"/>
  <c r="D23" i="25" s="1"/>
  <c r="D22" i="26" s="1"/>
  <c r="X22" i="26" s="1"/>
  <c r="G16" i="24"/>
  <c r="AD292" i="11"/>
  <c r="G16" i="25" s="1"/>
  <c r="G37" i="24"/>
  <c r="AD313" i="11"/>
  <c r="G37" i="25" s="1"/>
  <c r="G36" i="26" s="1"/>
  <c r="AA36" i="26" s="1"/>
  <c r="E40" i="24"/>
  <c r="AD210" i="11"/>
  <c r="E40" i="25" s="1"/>
  <c r="E39" i="26" s="1"/>
  <c r="Y39" i="26" s="1"/>
  <c r="E39" i="24"/>
  <c r="AD209" i="11"/>
  <c r="E39" i="25" s="1"/>
  <c r="E38" i="26" s="1"/>
  <c r="Y38" i="26" s="1"/>
  <c r="G12" i="24"/>
  <c r="AD288" i="11"/>
  <c r="G12" i="25" s="1"/>
  <c r="E42" i="24"/>
  <c r="AD212" i="11"/>
  <c r="E42" i="25" s="1"/>
  <c r="E41" i="26" s="1"/>
  <c r="Y41" i="26" s="1"/>
  <c r="D41" i="24"/>
  <c r="AD159" i="11"/>
  <c r="D41" i="25" s="1"/>
  <c r="D40" i="26" s="1"/>
  <c r="X40" i="26" s="1"/>
  <c r="D17" i="24"/>
  <c r="AD135" i="11"/>
  <c r="D17" i="25" s="1"/>
  <c r="F17" i="24"/>
  <c r="AD240" i="11"/>
  <c r="F17" i="25" s="1"/>
  <c r="D45" i="24"/>
  <c r="AD163" i="11"/>
  <c r="D45" i="25" s="1"/>
  <c r="D44" i="26" s="1"/>
  <c r="X44" i="26" s="1"/>
  <c r="G48" i="24"/>
  <c r="AD324" i="11"/>
  <c r="G48" i="25" s="1"/>
  <c r="G47" i="26" s="1"/>
  <c r="AA47" i="26" s="1"/>
  <c r="G39" i="24"/>
  <c r="AD315" i="11"/>
  <c r="G39" i="25" s="1"/>
  <c r="G38" i="26" s="1"/>
  <c r="AA38" i="26" s="1"/>
  <c r="C19" i="24"/>
  <c r="AD85" i="11"/>
  <c r="C19" i="25" s="1"/>
  <c r="D42" i="24"/>
  <c r="AD160" i="11"/>
  <c r="D42" i="25" s="1"/>
  <c r="D41" i="26" s="1"/>
  <c r="X41" i="26" s="1"/>
  <c r="C40" i="24"/>
  <c r="AD106" i="11"/>
  <c r="C40" i="25" s="1"/>
  <c r="C39" i="26" s="1"/>
  <c r="W39" i="26" s="1"/>
  <c r="F36" i="24"/>
  <c r="AD259" i="11"/>
  <c r="F36" i="25" s="1"/>
  <c r="F35" i="26" s="1"/>
  <c r="Z35" i="26" s="1"/>
  <c r="G10" i="24"/>
  <c r="AD286" i="11"/>
  <c r="G10" i="25" s="1"/>
  <c r="C41" i="24"/>
  <c r="AD107" i="11"/>
  <c r="C41" i="25" s="1"/>
  <c r="C40" i="26" s="1"/>
  <c r="W40" i="26" s="1"/>
  <c r="G11" i="24"/>
  <c r="AD287" i="11"/>
  <c r="G11" i="25" s="1"/>
  <c r="G25" i="24"/>
  <c r="AD301" i="11"/>
  <c r="G25" i="25" s="1"/>
  <c r="G24" i="26" s="1"/>
  <c r="AA24" i="26" s="1"/>
  <c r="E10" i="24"/>
  <c r="AD180" i="11"/>
  <c r="E10" i="25" s="1"/>
  <c r="G28" i="24"/>
  <c r="AD304" i="11"/>
  <c r="G28" i="25" s="1"/>
  <c r="G27" i="26" s="1"/>
  <c r="AA27" i="26" s="1"/>
  <c r="E11" i="24"/>
  <c r="AD181" i="11"/>
  <c r="E11" i="25" s="1"/>
  <c r="C50" i="24"/>
  <c r="AD116" i="11"/>
  <c r="C50" i="25" s="1"/>
  <c r="C49" i="26" s="1"/>
  <c r="W49" i="26" s="1"/>
  <c r="E43" i="24"/>
  <c r="AD213" i="11"/>
  <c r="E43" i="25" s="1"/>
  <c r="E42" i="26" s="1"/>
  <c r="Y42" i="26" s="1"/>
  <c r="D28" i="24"/>
  <c r="AD146" i="11"/>
  <c r="D28" i="25" s="1"/>
  <c r="D27" i="26" s="1"/>
  <c r="X27" i="26" s="1"/>
  <c r="F18" i="24"/>
  <c r="AD241" i="11"/>
  <c r="F18" i="25" s="1"/>
  <c r="G34" i="24"/>
  <c r="AD310" i="11"/>
  <c r="G34" i="25" s="1"/>
  <c r="G33" i="26" s="1"/>
  <c r="AA33" i="26" s="1"/>
  <c r="D33" i="24"/>
  <c r="AD151" i="11"/>
  <c r="D33" i="25" s="1"/>
  <c r="D32" i="26" s="1"/>
  <c r="X32" i="26" s="1"/>
  <c r="D31" i="24"/>
  <c r="AD149" i="11"/>
  <c r="D31" i="25" s="1"/>
  <c r="D30" i="26" s="1"/>
  <c r="X30" i="26" s="1"/>
  <c r="D25" i="24"/>
  <c r="AD143" i="11"/>
  <c r="D25" i="25" s="1"/>
  <c r="D24" i="26" s="1"/>
  <c r="X24" i="26" s="1"/>
  <c r="D14" i="24"/>
  <c r="AD132" i="11"/>
  <c r="D14" i="25" s="1"/>
  <c r="AD222" i="11"/>
  <c r="E52" i="25" s="1"/>
  <c r="E51" i="26" s="1"/>
  <c r="Y51" i="26" s="1"/>
  <c r="G13" i="24"/>
  <c r="AD289" i="11"/>
  <c r="G13" i="25" s="1"/>
  <c r="C47" i="24"/>
  <c r="AD113" i="11"/>
  <c r="C47" i="25" s="1"/>
  <c r="C46" i="26" s="1"/>
  <c r="W46" i="26" s="1"/>
  <c r="E44" i="24"/>
  <c r="AD214" i="11"/>
  <c r="E44" i="25" s="1"/>
  <c r="E43" i="26" s="1"/>
  <c r="Y43" i="26" s="1"/>
  <c r="F22" i="24"/>
  <c r="AD245" i="11"/>
  <c r="F22" i="25" s="1"/>
  <c r="G52" i="24"/>
  <c r="AD328" i="11"/>
  <c r="G52" i="25" s="1"/>
  <c r="G51" i="26" s="1"/>
  <c r="AA51" i="26" s="1"/>
  <c r="F19" i="24"/>
  <c r="AD242" i="11"/>
  <c r="F19" i="25" s="1"/>
  <c r="C43" i="24"/>
  <c r="AD109" i="11"/>
  <c r="C43" i="25" s="1"/>
  <c r="C42" i="26" s="1"/>
  <c r="W42" i="26" s="1"/>
  <c r="D32" i="24"/>
  <c r="AD150" i="11"/>
  <c r="D32" i="25" s="1"/>
  <c r="D31" i="26" s="1"/>
  <c r="X31" i="26" s="1"/>
  <c r="E36" i="24"/>
  <c r="AD206" i="11"/>
  <c r="E36" i="25" s="1"/>
  <c r="E35" i="26" s="1"/>
  <c r="Y35" i="26" s="1"/>
  <c r="G24" i="24"/>
  <c r="AD300" i="11"/>
  <c r="G24" i="25" s="1"/>
  <c r="G23" i="26" s="1"/>
  <c r="AA23" i="26" s="1"/>
  <c r="C32" i="24"/>
  <c r="AD98" i="11"/>
  <c r="C32" i="25" s="1"/>
  <c r="C31" i="26" s="1"/>
  <c r="W31" i="26" s="1"/>
  <c r="G21" i="24"/>
  <c r="AD297" i="11"/>
  <c r="G21" i="25" s="1"/>
  <c r="F46" i="24"/>
  <c r="G29" i="24"/>
  <c r="AD305" i="11"/>
  <c r="G29" i="25" s="1"/>
  <c r="G28" i="26" s="1"/>
  <c r="AA28" i="26" s="1"/>
  <c r="F14" i="24"/>
  <c r="AD237" i="11"/>
  <c r="F14" i="25" s="1"/>
  <c r="F12" i="24"/>
  <c r="AD235" i="11"/>
  <c r="F12" i="25" s="1"/>
  <c r="F24" i="24"/>
  <c r="AD247" i="11"/>
  <c r="F24" i="25" s="1"/>
  <c r="F40" i="24"/>
  <c r="AD263" i="11"/>
  <c r="F40" i="25" s="1"/>
  <c r="F39" i="26" s="1"/>
  <c r="Z39" i="26" s="1"/>
  <c r="C51" i="24"/>
  <c r="AD117" i="11"/>
  <c r="C51" i="25" s="1"/>
  <c r="C50" i="26" s="1"/>
  <c r="W50" i="26" s="1"/>
  <c r="D15" i="24"/>
  <c r="AD133" i="11"/>
  <c r="D15" i="25" s="1"/>
  <c r="G35" i="24"/>
  <c r="AD311" i="11"/>
  <c r="G35" i="25" s="1"/>
  <c r="G34" i="26" s="1"/>
  <c r="AA34" i="26" s="1"/>
  <c r="E19" i="24"/>
  <c r="AD189" i="11"/>
  <c r="E19" i="25" s="1"/>
  <c r="F42" i="24"/>
  <c r="AD265" i="11"/>
  <c r="F42" i="25" s="1"/>
  <c r="F41" i="26" s="1"/>
  <c r="Z41" i="26" s="1"/>
  <c r="F49" i="24"/>
  <c r="E35" i="24"/>
  <c r="AD205" i="11"/>
  <c r="E35" i="25" s="1"/>
  <c r="E34" i="26" s="1"/>
  <c r="Y34" i="26" s="1"/>
  <c r="C33" i="24"/>
  <c r="AD99" i="11"/>
  <c r="C33" i="25" s="1"/>
  <c r="C32" i="26" s="1"/>
  <c r="W32" i="26" s="1"/>
  <c r="G31" i="24"/>
  <c r="AD307" i="11"/>
  <c r="G31" i="25" s="1"/>
  <c r="G30" i="26" s="1"/>
  <c r="AA30" i="26" s="1"/>
  <c r="C28" i="24"/>
  <c r="AD94" i="11"/>
  <c r="C28" i="25" s="1"/>
  <c r="C27" i="26" s="1"/>
  <c r="W27" i="26" s="1"/>
  <c r="E50" i="24"/>
  <c r="AD220" i="11"/>
  <c r="E50" i="25" s="1"/>
  <c r="E49" i="26" s="1"/>
  <c r="Y49" i="26" s="1"/>
  <c r="C29" i="24"/>
  <c r="AD95" i="11"/>
  <c r="C29" i="25" s="1"/>
  <c r="C28" i="26" s="1"/>
  <c r="W28" i="26" s="1"/>
  <c r="E45" i="24"/>
  <c r="AD215" i="11"/>
  <c r="E45" i="25" s="1"/>
  <c r="E44" i="26" s="1"/>
  <c r="Y44" i="26" s="1"/>
  <c r="E15" i="24"/>
  <c r="AD185" i="11"/>
  <c r="E15" i="25" s="1"/>
  <c r="D11" i="24"/>
  <c r="AD129" i="11"/>
  <c r="D11" i="25" s="1"/>
  <c r="C23" i="24"/>
  <c r="AD89" i="11"/>
  <c r="C23" i="25" s="1"/>
  <c r="C22" i="26" s="1"/>
  <c r="W22" i="26" s="1"/>
  <c r="G17" i="24"/>
  <c r="AD293" i="11"/>
  <c r="G17" i="25" s="1"/>
  <c r="C44" i="24"/>
  <c r="AD110" i="11"/>
  <c r="C44" i="25" s="1"/>
  <c r="C43" i="26" s="1"/>
  <c r="W43" i="26" s="1"/>
  <c r="E18" i="24"/>
  <c r="AD188" i="11"/>
  <c r="E18" i="25" s="1"/>
  <c r="E17" i="24"/>
  <c r="AD187" i="11"/>
  <c r="E17" i="25" s="1"/>
  <c r="D22" i="24"/>
  <c r="AD140" i="11"/>
  <c r="D22" i="25" s="1"/>
  <c r="D44" i="24"/>
  <c r="AD162" i="11"/>
  <c r="D44" i="25" s="1"/>
  <c r="D43" i="26" s="1"/>
  <c r="X43" i="26" s="1"/>
  <c r="D12" i="24"/>
  <c r="AD130" i="11"/>
  <c r="D12" i="25" s="1"/>
  <c r="E13" i="24"/>
  <c r="AD183" i="11"/>
  <c r="E13" i="25" s="1"/>
  <c r="E33" i="24"/>
  <c r="AD203" i="11"/>
  <c r="E33" i="25" s="1"/>
  <c r="E32" i="26" s="1"/>
  <c r="Y32" i="26" s="1"/>
  <c r="E31" i="24"/>
  <c r="AD201" i="11"/>
  <c r="E31" i="25" s="1"/>
  <c r="E30" i="26" s="1"/>
  <c r="Y30" i="26" s="1"/>
  <c r="F50" i="24"/>
  <c r="C18" i="24"/>
  <c r="AD84" i="11"/>
  <c r="C18" i="25" s="1"/>
  <c r="C48" i="24"/>
  <c r="AD114" i="11"/>
  <c r="C48" i="25" s="1"/>
  <c r="C47" i="26" s="1"/>
  <c r="W47" i="26" s="1"/>
  <c r="C37" i="24"/>
  <c r="AD103" i="11"/>
  <c r="C37" i="25" s="1"/>
  <c r="C36" i="26" s="1"/>
  <c r="W36" i="26" s="1"/>
  <c r="C38" i="24"/>
  <c r="AD104" i="11"/>
  <c r="C38" i="25" s="1"/>
  <c r="C37" i="26" s="1"/>
  <c r="W37" i="26" s="1"/>
  <c r="D26" i="24"/>
  <c r="AD144" i="11"/>
  <c r="D26" i="25" s="1"/>
  <c r="D25" i="26" s="1"/>
  <c r="X25" i="26" s="1"/>
  <c r="E24" i="24"/>
  <c r="AD194" i="11"/>
  <c r="E24" i="25" s="1"/>
  <c r="E23" i="26" s="1"/>
  <c r="Y23" i="26" s="1"/>
  <c r="E49" i="24"/>
  <c r="AD219" i="11"/>
  <c r="E49" i="25" s="1"/>
  <c r="E48" i="26" s="1"/>
  <c r="Y48" i="26" s="1"/>
  <c r="F34" i="24"/>
  <c r="AD257" i="11"/>
  <c r="F34" i="25" s="1"/>
  <c r="F33" i="26" s="1"/>
  <c r="Z33" i="26" s="1"/>
  <c r="G30" i="24"/>
  <c r="AD306" i="11"/>
  <c r="G30" i="25" s="1"/>
  <c r="G29" i="26" s="1"/>
  <c r="AA29" i="26" s="1"/>
  <c r="F35" i="24"/>
  <c r="AD258" i="11"/>
  <c r="F35" i="25" s="1"/>
  <c r="F34" i="26" s="1"/>
  <c r="Z34" i="26" s="1"/>
  <c r="G53" i="24"/>
  <c r="AD329" i="11"/>
  <c r="G53" i="25" s="1"/>
  <c r="G52" i="26" s="1"/>
  <c r="AA52" i="26" s="1"/>
  <c r="F51" i="24"/>
  <c r="E32" i="24"/>
  <c r="AD202" i="11"/>
  <c r="E32" i="25" s="1"/>
  <c r="E31" i="26" s="1"/>
  <c r="Y31" i="26" s="1"/>
  <c r="G20" i="24"/>
  <c r="AD296" i="11"/>
  <c r="G20" i="25" s="1"/>
  <c r="G36" i="24"/>
  <c r="AD312" i="11"/>
  <c r="G36" i="25" s="1"/>
  <c r="G35" i="26" s="1"/>
  <c r="AA35" i="26" s="1"/>
  <c r="G38" i="24"/>
  <c r="AD314" i="11"/>
  <c r="G38" i="25" s="1"/>
  <c r="G37" i="26" s="1"/>
  <c r="AA37" i="26" s="1"/>
  <c r="D48" i="24"/>
  <c r="AD166" i="11"/>
  <c r="D48" i="25" s="1"/>
  <c r="D47" i="26" s="1"/>
  <c r="X47" i="26" s="1"/>
  <c r="C22" i="24"/>
  <c r="AD88" i="11"/>
  <c r="C22" i="25" s="1"/>
  <c r="G27" i="24"/>
  <c r="AD303" i="11"/>
  <c r="G27" i="25" s="1"/>
  <c r="G26" i="26" s="1"/>
  <c r="AA26" i="26" s="1"/>
  <c r="E47" i="24"/>
  <c r="AD217" i="11"/>
  <c r="E47" i="25" s="1"/>
  <c r="E46" i="26" s="1"/>
  <c r="Y46" i="26" s="1"/>
  <c r="D18" i="24"/>
  <c r="AD136" i="11"/>
  <c r="D18" i="25" s="1"/>
  <c r="D34" i="24"/>
  <c r="AD152" i="11"/>
  <c r="D34" i="25" s="1"/>
  <c r="D33" i="26" s="1"/>
  <c r="X33" i="26" s="1"/>
  <c r="D53" i="24"/>
  <c r="AD171" i="11"/>
  <c r="D53" i="25" s="1"/>
  <c r="D52" i="26" s="1"/>
  <c r="X52" i="26" s="1"/>
  <c r="F45" i="24"/>
  <c r="C45" i="24"/>
  <c r="AD111" i="11"/>
  <c r="C45" i="25" s="1"/>
  <c r="C44" i="26" s="1"/>
  <c r="W44" i="26" s="1"/>
  <c r="C34" i="24"/>
  <c r="AD100" i="11"/>
  <c r="C34" i="25" s="1"/>
  <c r="C33" i="26" s="1"/>
  <c r="W33" i="26" s="1"/>
  <c r="F39" i="24"/>
  <c r="AD262" i="11"/>
  <c r="F39" i="25" s="1"/>
  <c r="F38" i="26" s="1"/>
  <c r="Z38" i="26" s="1"/>
  <c r="F11" i="24"/>
  <c r="AD234" i="11"/>
  <c r="F11" i="25" s="1"/>
  <c r="G50" i="24"/>
  <c r="AD326" i="11"/>
  <c r="G50" i="25" s="1"/>
  <c r="G49" i="26" s="1"/>
  <c r="AA49" i="26" s="1"/>
  <c r="C16" i="24"/>
  <c r="AD82" i="11"/>
  <c r="C16" i="25" s="1"/>
  <c r="D35" i="24"/>
  <c r="AD153" i="11"/>
  <c r="D35" i="25" s="1"/>
  <c r="D34" i="26" s="1"/>
  <c r="X34" i="26" s="1"/>
  <c r="C21" i="24"/>
  <c r="AD87" i="11"/>
  <c r="C21" i="25" s="1"/>
  <c r="E41" i="24"/>
  <c r="AD211" i="11"/>
  <c r="E41" i="25" s="1"/>
  <c r="E40" i="26" s="1"/>
  <c r="Y40" i="26" s="1"/>
  <c r="E48" i="24"/>
  <c r="AD218" i="11"/>
  <c r="E48" i="25" s="1"/>
  <c r="E47" i="26" s="1"/>
  <c r="Y47" i="26" s="1"/>
  <c r="F37" i="24"/>
  <c r="AD260" i="11"/>
  <c r="F37" i="25" s="1"/>
  <c r="F36" i="26" s="1"/>
  <c r="Z36" i="26" s="1"/>
  <c r="G42" i="24"/>
  <c r="AD318" i="11"/>
  <c r="G42" i="25" s="1"/>
  <c r="G41" i="26" s="1"/>
  <c r="AA41" i="26" s="1"/>
  <c r="G26" i="24"/>
  <c r="AD302" i="11"/>
  <c r="G26" i="25" s="1"/>
  <c r="G25" i="26" s="1"/>
  <c r="AA25" i="26" s="1"/>
  <c r="C30" i="24"/>
  <c r="AD96" i="11"/>
  <c r="C30" i="25" s="1"/>
  <c r="C29" i="26" s="1"/>
  <c r="W29" i="26" s="1"/>
  <c r="C17" i="24"/>
  <c r="AD83" i="11"/>
  <c r="C17" i="25" s="1"/>
  <c r="D37" i="24"/>
  <c r="AD155" i="11"/>
  <c r="D37" i="25" s="1"/>
  <c r="D36" i="26" s="1"/>
  <c r="X36" i="26" s="1"/>
  <c r="C15" i="24"/>
  <c r="AD81" i="11"/>
  <c r="C15" i="25" s="1"/>
  <c r="D46" i="24"/>
  <c r="AD164" i="11"/>
  <c r="D46" i="25" s="1"/>
  <c r="D45" i="26" s="1"/>
  <c r="X45" i="26" s="1"/>
  <c r="F32" i="24"/>
  <c r="AD255" i="11"/>
  <c r="F32" i="25" s="1"/>
  <c r="F31" i="26" s="1"/>
  <c r="Z31" i="26" s="1"/>
  <c r="F53" i="24"/>
  <c r="C27" i="24"/>
  <c r="AD93" i="11"/>
  <c r="C27" i="25" s="1"/>
  <c r="C26" i="26" s="1"/>
  <c r="W26" i="26" s="1"/>
  <c r="G19" i="24"/>
  <c r="AD295" i="11"/>
  <c r="G19" i="25" s="1"/>
  <c r="E14" i="24"/>
  <c r="AD184" i="11"/>
  <c r="E14" i="25" s="1"/>
  <c r="G49" i="24"/>
  <c r="AD325" i="11"/>
  <c r="G49" i="25" s="1"/>
  <c r="G48" i="26" s="1"/>
  <c r="AA48" i="26" s="1"/>
  <c r="G23" i="24"/>
  <c r="AD299" i="11"/>
  <c r="G23" i="25" s="1"/>
  <c r="G22" i="26" s="1"/>
  <c r="AA22" i="26" s="1"/>
  <c r="F10" i="24"/>
  <c r="AD233" i="11"/>
  <c r="F10" i="25" s="1"/>
  <c r="F47" i="24"/>
  <c r="E37" i="24"/>
  <c r="AD207" i="11"/>
  <c r="E37" i="25" s="1"/>
  <c r="E36" i="26" s="1"/>
  <c r="Y36" i="26" s="1"/>
  <c r="F38" i="24"/>
  <c r="AD261" i="11"/>
  <c r="F38" i="25" s="1"/>
  <c r="F37" i="26" s="1"/>
  <c r="Z37" i="26" s="1"/>
  <c r="F43" i="24"/>
  <c r="G44" i="24"/>
  <c r="AD320" i="11"/>
  <c r="G44" i="25" s="1"/>
  <c r="G43" i="26" s="1"/>
  <c r="AA43" i="26" s="1"/>
  <c r="G33" i="24"/>
  <c r="AD309" i="11"/>
  <c r="G33" i="25" s="1"/>
  <c r="G32" i="26" s="1"/>
  <c r="AA32" i="26" s="1"/>
  <c r="G46" i="24"/>
  <c r="AD322" i="11"/>
  <c r="G46" i="25" s="1"/>
  <c r="G45" i="26" s="1"/>
  <c r="AA45" i="26" s="1"/>
  <c r="C53" i="24"/>
  <c r="AD119" i="11"/>
  <c r="C53" i="25" s="1"/>
  <c r="C52" i="26" s="1"/>
  <c r="W52" i="26" s="1"/>
  <c r="D29" i="24"/>
  <c r="AD147" i="11"/>
  <c r="D29" i="25" s="1"/>
  <c r="D28" i="26" s="1"/>
  <c r="X28" i="26" s="1"/>
  <c r="F48" i="24"/>
  <c r="C39" i="24"/>
  <c r="AD105" i="11"/>
  <c r="C39" i="25" s="1"/>
  <c r="C38" i="26" s="1"/>
  <c r="W38" i="26" s="1"/>
  <c r="C31" i="24"/>
  <c r="AD97" i="11"/>
  <c r="C31" i="25" s="1"/>
  <c r="C30" i="26" s="1"/>
  <c r="W30" i="26" s="1"/>
  <c r="E51" i="24"/>
  <c r="AD221" i="11"/>
  <c r="E51" i="25" s="1"/>
  <c r="E50" i="26" s="1"/>
  <c r="Y50" i="26" s="1"/>
  <c r="T19" i="14"/>
  <c r="AD51" i="15"/>
  <c r="AD14" i="15"/>
  <c r="AD48" i="15"/>
  <c r="AD46" i="15"/>
  <c r="AD41" i="15"/>
  <c r="AD38" i="15"/>
  <c r="AD50" i="15"/>
  <c r="R57" i="11"/>
  <c r="AG57" i="11" s="1"/>
  <c r="V67" i="11"/>
  <c r="AD17" i="15"/>
  <c r="AD19" i="15"/>
  <c r="AD20" i="15"/>
  <c r="BC65" i="21"/>
  <c r="BG66" i="21"/>
  <c r="BE66" i="21"/>
  <c r="BF66" i="21"/>
  <c r="BD66" i="21"/>
  <c r="BH66" i="21"/>
  <c r="BE67" i="21"/>
  <c r="BG67" i="21"/>
  <c r="BD67" i="21"/>
  <c r="BH67" i="21"/>
  <c r="BF67" i="21"/>
  <c r="AD15" i="15"/>
  <c r="AD42" i="15"/>
  <c r="AD37" i="15"/>
  <c r="AD21" i="15"/>
  <c r="AD24" i="15"/>
  <c r="AD31" i="15"/>
  <c r="AD44" i="15"/>
  <c r="AD47" i="15"/>
  <c r="AD29" i="15"/>
  <c r="AD35" i="15"/>
  <c r="AD23" i="15"/>
  <c r="AD52" i="15"/>
  <c r="W56" i="11"/>
  <c r="W55" i="13"/>
  <c r="B55" i="11"/>
  <c r="N135" i="5"/>
  <c r="V135" i="5"/>
  <c r="L134" i="5"/>
  <c r="X134" i="5"/>
  <c r="Y134" i="5" s="1"/>
  <c r="U19" i="5"/>
  <c r="AD19" i="5" s="1"/>
  <c r="R71" i="5"/>
  <c r="R72" i="5" s="1"/>
  <c r="AB71" i="5"/>
  <c r="AB72" i="5" s="1"/>
  <c r="A74" i="5"/>
  <c r="P71" i="5"/>
  <c r="P72" i="5" s="1"/>
  <c r="H71" i="5"/>
  <c r="H72" i="5" s="1"/>
  <c r="Z71" i="5"/>
  <c r="Z72" i="5" s="1"/>
  <c r="F71" i="5"/>
  <c r="F72" i="5" s="1"/>
  <c r="AB53" i="13"/>
  <c r="AA67" i="11"/>
  <c r="AB56" i="11"/>
  <c r="AU67" i="11" l="1"/>
  <c r="AV56" i="11"/>
  <c r="AQ53" i="13"/>
  <c r="AR53" i="13"/>
  <c r="AO53" i="13"/>
  <c r="AN53" i="13"/>
  <c r="AP53" i="13"/>
  <c r="AO38" i="26" a="1"/>
  <c r="AO38" i="26" s="1"/>
  <c r="AS38" i="26" s="1"/>
  <c r="AN55" i="11"/>
  <c r="AP55" i="11"/>
  <c r="AO55" i="11"/>
  <c r="AR55" i="11"/>
  <c r="AQ55" i="11"/>
  <c r="AO29" i="26" a="1"/>
  <c r="AO29" i="26" s="1"/>
  <c r="AS29" i="26" s="1"/>
  <c r="AO27" i="26" a="1"/>
  <c r="AO27" i="26" s="1"/>
  <c r="AS27" i="26" s="1"/>
  <c r="AO26" i="26" a="1"/>
  <c r="AO26" i="26" s="1"/>
  <c r="AS26" i="26" s="1"/>
  <c r="AO30" i="26" a="1"/>
  <c r="AO30" i="26" s="1"/>
  <c r="AS30" i="26" s="1"/>
  <c r="AO22" i="26" a="1"/>
  <c r="AO22" i="26" s="1"/>
  <c r="AS22" i="26" s="1"/>
  <c r="AO28" i="26" a="1"/>
  <c r="AO28" i="26" s="1"/>
  <c r="AS28" i="26" s="1"/>
  <c r="AO32" i="26" a="1"/>
  <c r="AO32" i="26" s="1"/>
  <c r="AS32" i="26" s="1"/>
  <c r="AO33" i="26" a="1"/>
  <c r="AO33" i="26" s="1"/>
  <c r="AS33" i="26" s="1"/>
  <c r="AO24" i="26" a="1"/>
  <c r="AO24" i="26" s="1"/>
  <c r="AS24" i="26" s="1"/>
  <c r="AO34" i="26" a="1"/>
  <c r="AO34" i="26" s="1"/>
  <c r="AS34" i="26" s="1"/>
  <c r="AO23" i="26" a="1"/>
  <c r="AO23" i="26" s="1"/>
  <c r="AS23" i="26" s="1"/>
  <c r="AO37" i="26" a="1"/>
  <c r="AO37" i="26" s="1"/>
  <c r="AS37" i="26" s="1"/>
  <c r="AO25" i="26" a="1"/>
  <c r="AO25" i="26" s="1"/>
  <c r="AS25" i="26" s="1"/>
  <c r="AO31" i="26" a="1"/>
  <c r="AO31" i="26" s="1"/>
  <c r="AS31" i="26" s="1"/>
  <c r="AO36" i="26" a="1"/>
  <c r="AO36" i="26" s="1"/>
  <c r="AS36" i="26" s="1"/>
  <c r="AO39" i="26" a="1"/>
  <c r="AO39" i="26" s="1"/>
  <c r="AS39" i="26" s="1"/>
  <c r="AO41" i="26" a="1"/>
  <c r="AO41" i="26" s="1"/>
  <c r="AS41" i="26" s="1"/>
  <c r="AO40" i="26" a="1"/>
  <c r="AO40" i="26" s="1"/>
  <c r="AS40" i="26" s="1"/>
  <c r="AO16" i="26" a="1"/>
  <c r="AO16" i="26" s="1"/>
  <c r="AS16" i="26" s="1"/>
  <c r="AO35" i="26" a="1"/>
  <c r="AO35" i="26" s="1"/>
  <c r="AS35" i="26" s="1"/>
  <c r="AP22" i="26" a="1"/>
  <c r="AP22" i="26" s="1"/>
  <c r="AT22" i="26" s="1"/>
  <c r="K19" i="5"/>
  <c r="T18" i="5"/>
  <c r="A19" i="5"/>
  <c r="J18" i="5"/>
  <c r="H45" i="24"/>
  <c r="H44" i="24"/>
  <c r="H24" i="24"/>
  <c r="H41" i="24"/>
  <c r="H16" i="24"/>
  <c r="H11" i="24"/>
  <c r="H37" i="24"/>
  <c r="H13" i="24"/>
  <c r="H32" i="24"/>
  <c r="H52" i="24"/>
  <c r="H12" i="24"/>
  <c r="H46" i="24"/>
  <c r="H22" i="24"/>
  <c r="H47" i="24"/>
  <c r="H28" i="24"/>
  <c r="AD266" i="11"/>
  <c r="F43" i="25" s="1"/>
  <c r="F42" i="26" s="1"/>
  <c r="Z42" i="26" s="1"/>
  <c r="H25" i="24"/>
  <c r="H10" i="24"/>
  <c r="H15" i="24"/>
  <c r="H36" i="24"/>
  <c r="AC267" i="11" a="1"/>
  <c r="AC267" i="11" s="1"/>
  <c r="AB267" i="11" a="1"/>
  <c r="AB267" i="11" s="1"/>
  <c r="B17" i="24"/>
  <c r="H30" i="24"/>
  <c r="H14" i="24"/>
  <c r="H29" i="24"/>
  <c r="H34" i="24"/>
  <c r="H18" i="24"/>
  <c r="H20" i="24"/>
  <c r="H39" i="24"/>
  <c r="B27" i="24"/>
  <c r="B12" i="24"/>
  <c r="B24" i="24"/>
  <c r="B20" i="24"/>
  <c r="H26" i="24"/>
  <c r="H23" i="24"/>
  <c r="H35" i="24"/>
  <c r="B41" i="24"/>
  <c r="H27" i="24"/>
  <c r="H43" i="24"/>
  <c r="B19" i="24"/>
  <c r="H33" i="24"/>
  <c r="B30" i="24"/>
  <c r="B16" i="24"/>
  <c r="B28" i="24"/>
  <c r="B45" i="24"/>
  <c r="B21" i="24"/>
  <c r="B25" i="24"/>
  <c r="B46" i="24"/>
  <c r="B52" i="24"/>
  <c r="B35" i="24"/>
  <c r="H48" i="24"/>
  <c r="B50" i="24"/>
  <c r="B13" i="24"/>
  <c r="B11" i="24"/>
  <c r="H19" i="24"/>
  <c r="H42" i="24"/>
  <c r="B31" i="24"/>
  <c r="B22" i="24"/>
  <c r="B48" i="24"/>
  <c r="B32" i="24"/>
  <c r="H38" i="24"/>
  <c r="B37" i="24"/>
  <c r="B34" i="24"/>
  <c r="B40" i="24"/>
  <c r="B36" i="24"/>
  <c r="B49" i="24"/>
  <c r="B42" i="24"/>
  <c r="B39" i="24"/>
  <c r="B15" i="24"/>
  <c r="B18" i="24"/>
  <c r="B29" i="24"/>
  <c r="B47" i="24"/>
  <c r="B14" i="24"/>
  <c r="H31" i="24"/>
  <c r="B44" i="24"/>
  <c r="B26" i="24"/>
  <c r="B53" i="24"/>
  <c r="B51" i="24"/>
  <c r="B43" i="24"/>
  <c r="AG53" i="13"/>
  <c r="AV53" i="13" s="1"/>
  <c r="B23" i="24"/>
  <c r="B33" i="24"/>
  <c r="B54" i="13"/>
  <c r="F54" i="13"/>
  <c r="B38" i="24"/>
  <c r="O285" i="13" a="1"/>
  <c r="O232" i="13" a="1"/>
  <c r="O75" i="13" a="1"/>
  <c r="O179" i="13" a="1"/>
  <c r="O127" i="13" a="1"/>
  <c r="W135" i="5"/>
  <c r="M134" i="5"/>
  <c r="N137" i="5"/>
  <c r="O135" i="5"/>
  <c r="R58" i="11"/>
  <c r="AG58" i="11" s="1"/>
  <c r="BC66" i="21"/>
  <c r="BC67" i="21"/>
  <c r="W57" i="11"/>
  <c r="W56" i="13"/>
  <c r="B56" i="11"/>
  <c r="U20" i="5"/>
  <c r="AD20" i="5" s="1"/>
  <c r="AB74" i="5"/>
  <c r="P74" i="5"/>
  <c r="H74" i="5"/>
  <c r="A75" i="5"/>
  <c r="Z74" i="5"/>
  <c r="F74" i="5"/>
  <c r="R74" i="5"/>
  <c r="AB54" i="13"/>
  <c r="AB57" i="11"/>
  <c r="AV57" i="11" l="1"/>
  <c r="AQ54" i="13"/>
  <c r="AN54" i="13"/>
  <c r="AP54" i="13"/>
  <c r="AO54" i="13"/>
  <c r="AR54" i="13"/>
  <c r="AQ56" i="11"/>
  <c r="AN56" i="11"/>
  <c r="AR56" i="11"/>
  <c r="AO56" i="11"/>
  <c r="AP56" i="11"/>
  <c r="AO42" i="26" a="1"/>
  <c r="AO42" i="26" s="1"/>
  <c r="AS42" i="26" s="1"/>
  <c r="AC198" i="13" a="1"/>
  <c r="AC198" i="13" s="1"/>
  <c r="AC196" i="13" a="1"/>
  <c r="AC196" i="13" s="1"/>
  <c r="AC197" i="13" a="1"/>
  <c r="AC197" i="13" s="1"/>
  <c r="AC195" i="13" a="1"/>
  <c r="AC195" i="13" s="1"/>
  <c r="K20" i="5"/>
  <c r="T19" i="5"/>
  <c r="AC202" i="13" a="1"/>
  <c r="AC202" i="13" s="1"/>
  <c r="AC201" i="13" a="1"/>
  <c r="AC201" i="13" s="1"/>
  <c r="AC200" i="13" a="1"/>
  <c r="AC200" i="13" s="1"/>
  <c r="AC199" i="13" a="1"/>
  <c r="AC199" i="13" s="1"/>
  <c r="J19" i="5"/>
  <c r="A20" i="5"/>
  <c r="AC203" i="13" a="1"/>
  <c r="AC203" i="13" s="1"/>
  <c r="AC206" i="13" a="1"/>
  <c r="AC206" i="13" s="1"/>
  <c r="AC207" i="13" a="1"/>
  <c r="AC207" i="13" s="1"/>
  <c r="AC205" i="13" a="1"/>
  <c r="AC205" i="13" s="1"/>
  <c r="AC209" i="13" a="1"/>
  <c r="AC209" i="13" s="1"/>
  <c r="AC204" i="13" a="1"/>
  <c r="AC204" i="13" s="1"/>
  <c r="AC208" i="13" a="1"/>
  <c r="AC208" i="13" s="1"/>
  <c r="AD267" i="11"/>
  <c r="F44" i="25" s="1"/>
  <c r="F43" i="26" s="1"/>
  <c r="Z43" i="26" s="1"/>
  <c r="AC268" i="11" a="1"/>
  <c r="AC268" i="11" s="1"/>
  <c r="AB268" i="11" a="1"/>
  <c r="AB268" i="11" s="1"/>
  <c r="AG54" i="13"/>
  <c r="AV54" i="13" s="1"/>
  <c r="B55" i="13"/>
  <c r="F55" i="13"/>
  <c r="AC217" i="13" a="1"/>
  <c r="AC217" i="13" s="1"/>
  <c r="AC212" i="13" a="1"/>
  <c r="AC212" i="13" s="1"/>
  <c r="AC222" i="13" a="1"/>
  <c r="AC222" i="13" s="1"/>
  <c r="AC219" i="13" a="1"/>
  <c r="AC219" i="13" s="1"/>
  <c r="AC215" i="13" a="1"/>
  <c r="AC215" i="13" s="1"/>
  <c r="AC216" i="13" a="1"/>
  <c r="AC216" i="13" s="1"/>
  <c r="AC223" i="13" a="1"/>
  <c r="AC223" i="13" s="1"/>
  <c r="AC221" i="13" a="1"/>
  <c r="AC221" i="13" s="1"/>
  <c r="AC211" i="13" a="1"/>
  <c r="AC211" i="13" s="1"/>
  <c r="AC220" i="13" a="1"/>
  <c r="AC220" i="13" s="1"/>
  <c r="AC214" i="13" a="1"/>
  <c r="AC214" i="13" s="1"/>
  <c r="AC210" i="13" a="1"/>
  <c r="AC210" i="13" s="1"/>
  <c r="AC218" i="13" a="1"/>
  <c r="AC218" i="13" s="1"/>
  <c r="AC213" i="13" a="1"/>
  <c r="AC213" i="13" s="1"/>
  <c r="AC269" i="13" a="1"/>
  <c r="AC269" i="13" s="1"/>
  <c r="AC264" i="13" a="1"/>
  <c r="AC264" i="13" s="1"/>
  <c r="AC267" i="13" a="1"/>
  <c r="AC267" i="13" s="1"/>
  <c r="AC266" i="13" a="1"/>
  <c r="AC266" i="13" s="1"/>
  <c r="AC263" i="13" a="1"/>
  <c r="AC263" i="13" s="1"/>
  <c r="AC272" i="13" a="1"/>
  <c r="AC272" i="13" s="1"/>
  <c r="AC274" i="13" a="1"/>
  <c r="AC274" i="13" s="1"/>
  <c r="AC276" i="13" a="1"/>
  <c r="AC276" i="13" s="1"/>
  <c r="AC271" i="13" a="1"/>
  <c r="AC271" i="13" s="1"/>
  <c r="AC268" i="13" a="1"/>
  <c r="AC268" i="13" s="1"/>
  <c r="AC265" i="13" a="1"/>
  <c r="AC265" i="13" s="1"/>
  <c r="AC270" i="13" a="1"/>
  <c r="AC270" i="13" s="1"/>
  <c r="AC273" i="13" a="1"/>
  <c r="AC273" i="13" s="1"/>
  <c r="AC275" i="13" a="1"/>
  <c r="AC275" i="13" s="1"/>
  <c r="AB270" i="13" a="1"/>
  <c r="AB270" i="13" s="1"/>
  <c r="AB276" i="13" a="1"/>
  <c r="AB276" i="13" s="1"/>
  <c r="AB265" i="13" a="1"/>
  <c r="AB265" i="13" s="1"/>
  <c r="AB271" i="13" a="1"/>
  <c r="AB271" i="13" s="1"/>
  <c r="AB269" i="13" a="1"/>
  <c r="AB269" i="13" s="1"/>
  <c r="AB275" i="13" a="1"/>
  <c r="AB275" i="13" s="1"/>
  <c r="AB263" i="13" a="1"/>
  <c r="AB263" i="13" s="1"/>
  <c r="AB272" i="13" a="1"/>
  <c r="AB272" i="13" s="1"/>
  <c r="AB267" i="13" a="1"/>
  <c r="AB267" i="13" s="1"/>
  <c r="AB266" i="13" a="1"/>
  <c r="AB266" i="13" s="1"/>
  <c r="AB274" i="13" a="1"/>
  <c r="AB274" i="13" s="1"/>
  <c r="AB264" i="13" a="1"/>
  <c r="AB264" i="13" s="1"/>
  <c r="AB273" i="13" a="1"/>
  <c r="AB273" i="13" s="1"/>
  <c r="AB268" i="13" a="1"/>
  <c r="AB268" i="13" s="1"/>
  <c r="Y75" i="13"/>
  <c r="R75" i="13"/>
  <c r="W75" i="13"/>
  <c r="S75" i="13"/>
  <c r="T75" i="13"/>
  <c r="U75" i="13"/>
  <c r="P75" i="13"/>
  <c r="V75" i="13"/>
  <c r="X75" i="13"/>
  <c r="Q75" i="13"/>
  <c r="O75" i="13"/>
  <c r="Y232" i="13"/>
  <c r="T232" i="13"/>
  <c r="S232" i="13"/>
  <c r="R232" i="13"/>
  <c r="O232" i="13"/>
  <c r="U232" i="13"/>
  <c r="W232" i="13"/>
  <c r="P232" i="13"/>
  <c r="X232" i="13"/>
  <c r="V232" i="13"/>
  <c r="Q232" i="13"/>
  <c r="X285" i="13"/>
  <c r="Q285" i="13"/>
  <c r="Y285" i="13"/>
  <c r="P285" i="13"/>
  <c r="S285" i="13"/>
  <c r="T285" i="13"/>
  <c r="V285" i="13"/>
  <c r="U285" i="13"/>
  <c r="R285" i="13"/>
  <c r="O285" i="13"/>
  <c r="W285" i="13"/>
  <c r="Y179" i="13"/>
  <c r="R179" i="13"/>
  <c r="V179" i="13"/>
  <c r="Q179" i="13"/>
  <c r="S179" i="13"/>
  <c r="O179" i="13"/>
  <c r="W179" i="13"/>
  <c r="P179" i="13"/>
  <c r="X179" i="13"/>
  <c r="T179" i="13"/>
  <c r="U179" i="13"/>
  <c r="Y127" i="13"/>
  <c r="S127" i="13"/>
  <c r="P127" i="13"/>
  <c r="T127" i="13"/>
  <c r="U127" i="13"/>
  <c r="X127" i="13"/>
  <c r="R127" i="13"/>
  <c r="V127" i="13"/>
  <c r="Q127" i="13"/>
  <c r="O127" i="13"/>
  <c r="W127" i="13"/>
  <c r="R59" i="11"/>
  <c r="AG59" i="11" s="1"/>
  <c r="W58" i="11"/>
  <c r="W57" i="13"/>
  <c r="B57" i="11"/>
  <c r="F75" i="5"/>
  <c r="AB75" i="5"/>
  <c r="Z75" i="5"/>
  <c r="H75" i="5"/>
  <c r="A76" i="5"/>
  <c r="R75" i="5"/>
  <c r="P75" i="5"/>
  <c r="U21" i="5"/>
  <c r="AD21" i="5" s="1"/>
  <c r="AB55" i="13"/>
  <c r="AB58" i="11"/>
  <c r="AV58" i="11" l="1"/>
  <c r="AQ55" i="13"/>
  <c r="AO55" i="13"/>
  <c r="AP55" i="13"/>
  <c r="AR55" i="13"/>
  <c r="AN55" i="13"/>
  <c r="AP57" i="11"/>
  <c r="AN57" i="11"/>
  <c r="AQ57" i="11"/>
  <c r="AR57" i="11"/>
  <c r="AO57" i="11"/>
  <c r="AO43" i="26" a="1"/>
  <c r="AO43" i="26" s="1"/>
  <c r="AS43" i="26" s="1"/>
  <c r="K21" i="5"/>
  <c r="T20" i="5"/>
  <c r="A21" i="5"/>
  <c r="J20" i="5"/>
  <c r="AD272" i="13"/>
  <c r="L49" i="25" s="1"/>
  <c r="L48" i="26" s="1"/>
  <c r="AF48" i="26" s="1"/>
  <c r="AD264" i="13"/>
  <c r="L41" i="25" s="1"/>
  <c r="L40" i="26" s="1"/>
  <c r="AF40" i="26" s="1"/>
  <c r="AD268" i="11"/>
  <c r="F45" i="25" s="1"/>
  <c r="F44" i="26" s="1"/>
  <c r="Z44" i="26" s="1"/>
  <c r="AB269" i="11" a="1"/>
  <c r="AB269" i="11" s="1"/>
  <c r="AC269" i="11" a="1"/>
  <c r="AC269" i="11" s="1"/>
  <c r="AD276" i="13"/>
  <c r="L53" i="25" s="1"/>
  <c r="L52" i="26" s="1"/>
  <c r="AF52" i="26" s="1"/>
  <c r="B56" i="13"/>
  <c r="F56" i="13"/>
  <c r="AD267" i="13"/>
  <c r="L44" i="25" s="1"/>
  <c r="L43" i="26" s="1"/>
  <c r="AF43" i="26" s="1"/>
  <c r="AD268" i="13"/>
  <c r="L45" i="25" s="1"/>
  <c r="L44" i="26" s="1"/>
  <c r="AF44" i="26" s="1"/>
  <c r="AG55" i="13"/>
  <c r="AV55" i="13" s="1"/>
  <c r="AD263" i="13"/>
  <c r="L40" i="25" s="1"/>
  <c r="L39" i="26" s="1"/>
  <c r="AF39" i="26" s="1"/>
  <c r="AD269" i="13"/>
  <c r="L46" i="25" s="1"/>
  <c r="L45" i="26" s="1"/>
  <c r="AF45" i="26" s="1"/>
  <c r="AD266" i="13"/>
  <c r="L43" i="25" s="1"/>
  <c r="L42" i="26" s="1"/>
  <c r="AF42" i="26" s="1"/>
  <c r="AD270" i="13"/>
  <c r="L47" i="25" s="1"/>
  <c r="L46" i="26" s="1"/>
  <c r="AF46" i="26" s="1"/>
  <c r="AD273" i="13"/>
  <c r="L50" i="25" s="1"/>
  <c r="L49" i="26" s="1"/>
  <c r="AF49" i="26" s="1"/>
  <c r="AD271" i="13"/>
  <c r="L48" i="25" s="1"/>
  <c r="L47" i="26" s="1"/>
  <c r="AF47" i="26" s="1"/>
  <c r="AD275" i="13"/>
  <c r="L52" i="25" s="1"/>
  <c r="L51" i="26" s="1"/>
  <c r="AF51" i="26" s="1"/>
  <c r="AD274" i="13"/>
  <c r="L51" i="25" s="1"/>
  <c r="L50" i="26" s="1"/>
  <c r="AF50" i="26" s="1"/>
  <c r="AD265" i="13"/>
  <c r="L42" i="25" s="1"/>
  <c r="L41" i="26" s="1"/>
  <c r="AF41" i="26" s="1"/>
  <c r="R60" i="11"/>
  <c r="AG60" i="11" s="1"/>
  <c r="W59" i="11"/>
  <c r="W58" i="13"/>
  <c r="B58" i="11"/>
  <c r="U22" i="5"/>
  <c r="AD22" i="5" s="1"/>
  <c r="H76" i="5"/>
  <c r="Z76" i="5"/>
  <c r="R76" i="5"/>
  <c r="P76" i="5"/>
  <c r="A77" i="5"/>
  <c r="F76" i="5"/>
  <c r="AB76" i="5"/>
  <c r="AB56" i="13"/>
  <c r="AB59" i="11"/>
  <c r="AV59" i="11" l="1"/>
  <c r="AQ56" i="13"/>
  <c r="AR56" i="13"/>
  <c r="AO56" i="13"/>
  <c r="AP56" i="13"/>
  <c r="AN56" i="13"/>
  <c r="AN58" i="11"/>
  <c r="AO58" i="11"/>
  <c r="AQ58" i="11"/>
  <c r="AR58" i="11"/>
  <c r="AP58" i="11"/>
  <c r="AO44" i="26" a="1"/>
  <c r="AO44" i="26" s="1"/>
  <c r="AS44" i="26" s="1"/>
  <c r="K22" i="5"/>
  <c r="T21" i="5"/>
  <c r="A22" i="5"/>
  <c r="J21" i="5"/>
  <c r="AC270" i="11" a="1"/>
  <c r="AC270" i="11" s="1"/>
  <c r="AB270" i="11" a="1"/>
  <c r="AB270" i="11" s="1"/>
  <c r="AD269" i="11"/>
  <c r="F46" i="25" s="1"/>
  <c r="F45" i="26" s="1"/>
  <c r="Z45" i="26" s="1"/>
  <c r="AG56" i="13"/>
  <c r="AV56" i="13" s="1"/>
  <c r="B57" i="13"/>
  <c r="F57" i="13"/>
  <c r="R61" i="11"/>
  <c r="AG61" i="11" s="1"/>
  <c r="W60" i="11"/>
  <c r="W59" i="13"/>
  <c r="B59" i="11"/>
  <c r="U23" i="5"/>
  <c r="AD23" i="5" s="1"/>
  <c r="Z77" i="5"/>
  <c r="Z78" i="5" s="1"/>
  <c r="A80" i="5"/>
  <c r="H77" i="5"/>
  <c r="H78" i="5" s="1"/>
  <c r="F77" i="5"/>
  <c r="F78" i="5" s="1"/>
  <c r="R77" i="5"/>
  <c r="R78" i="5" s="1"/>
  <c r="P77" i="5"/>
  <c r="P78" i="5" s="1"/>
  <c r="AB77" i="5"/>
  <c r="AB78" i="5" s="1"/>
  <c r="AB57" i="13"/>
  <c r="AB60" i="11"/>
  <c r="AV60" i="11" l="1"/>
  <c r="AQ57" i="13"/>
  <c r="AO57" i="13"/>
  <c r="AN57" i="13"/>
  <c r="AP57" i="13"/>
  <c r="AR57" i="13"/>
  <c r="AN59" i="11"/>
  <c r="AQ59" i="11"/>
  <c r="AR59" i="11"/>
  <c r="AO59" i="11"/>
  <c r="AP59" i="11"/>
  <c r="AO45" i="26" a="1"/>
  <c r="AO45" i="26" s="1"/>
  <c r="AS45" i="26" s="1"/>
  <c r="K23" i="5"/>
  <c r="T22" i="5"/>
  <c r="A23" i="5"/>
  <c r="J22" i="5"/>
  <c r="AD270" i="11"/>
  <c r="F47" i="25" s="1"/>
  <c r="F46" i="26" s="1"/>
  <c r="Z46" i="26" s="1"/>
  <c r="AB271" i="11" a="1"/>
  <c r="AB271" i="11" s="1"/>
  <c r="AC271" i="11" a="1"/>
  <c r="AC271" i="11" s="1"/>
  <c r="B58" i="13"/>
  <c r="F58" i="13"/>
  <c r="AG57" i="13"/>
  <c r="AV57" i="13" s="1"/>
  <c r="R62" i="11"/>
  <c r="AG62" i="11" s="1"/>
  <c r="W61" i="11"/>
  <c r="W60" i="13"/>
  <c r="B60" i="11"/>
  <c r="R80" i="5"/>
  <c r="Z80" i="5"/>
  <c r="H80" i="5"/>
  <c r="AB80" i="5"/>
  <c r="F80" i="5"/>
  <c r="P80" i="5"/>
  <c r="A81" i="5"/>
  <c r="U24" i="5"/>
  <c r="AD24" i="5" s="1"/>
  <c r="AB58" i="13"/>
  <c r="AB61" i="11"/>
  <c r="AV61" i="11" l="1"/>
  <c r="AQ58" i="13"/>
  <c r="AP58" i="13"/>
  <c r="AN58" i="13"/>
  <c r="AO58" i="13"/>
  <c r="AR58" i="13"/>
  <c r="AN60" i="11"/>
  <c r="AO60" i="11"/>
  <c r="AR60" i="11"/>
  <c r="AQ60" i="11"/>
  <c r="AP60" i="11"/>
  <c r="AO46" i="26" a="1"/>
  <c r="AO46" i="26" s="1"/>
  <c r="AS46" i="26" s="1"/>
  <c r="K24" i="5"/>
  <c r="T23" i="5"/>
  <c r="J23" i="5"/>
  <c r="A24" i="5"/>
  <c r="AB272" i="11" a="1"/>
  <c r="AB272" i="11" s="1"/>
  <c r="AC272" i="11" a="1"/>
  <c r="AC272" i="11" s="1"/>
  <c r="AD271" i="11"/>
  <c r="F48" i="25" s="1"/>
  <c r="F47" i="26" s="1"/>
  <c r="Z47" i="26" s="1"/>
  <c r="AG58" i="13"/>
  <c r="AV58" i="13" s="1"/>
  <c r="B59" i="13"/>
  <c r="F59" i="13"/>
  <c r="R63" i="11"/>
  <c r="AG63" i="11" s="1"/>
  <c r="W62" i="11"/>
  <c r="W61" i="13"/>
  <c r="B61" i="11"/>
  <c r="Z81" i="5"/>
  <c r="P81" i="5"/>
  <c r="A82" i="5"/>
  <c r="H81" i="5"/>
  <c r="AB81" i="5"/>
  <c r="F81" i="5"/>
  <c r="R81" i="5"/>
  <c r="U25" i="5"/>
  <c r="AD25" i="5" s="1"/>
  <c r="AB59" i="13"/>
  <c r="AB62" i="11"/>
  <c r="AV62" i="11" l="1"/>
  <c r="AQ59" i="13"/>
  <c r="AO59" i="13"/>
  <c r="AR59" i="13"/>
  <c r="AP59" i="13"/>
  <c r="AN59" i="13"/>
  <c r="AR61" i="11"/>
  <c r="AO61" i="11"/>
  <c r="AQ61" i="11"/>
  <c r="AP61" i="11"/>
  <c r="AN61" i="11"/>
  <c r="AO47" i="26" a="1"/>
  <c r="AO47" i="26" s="1"/>
  <c r="AS47" i="26" s="1"/>
  <c r="K25" i="5"/>
  <c r="T24" i="5"/>
  <c r="A25" i="5"/>
  <c r="J24" i="5"/>
  <c r="AB273" i="11" a="1"/>
  <c r="AB273" i="11" s="1"/>
  <c r="AC273" i="11" a="1"/>
  <c r="AC273" i="11" s="1"/>
  <c r="AD272" i="11"/>
  <c r="F49" i="25" s="1"/>
  <c r="F48" i="26" s="1"/>
  <c r="Z48" i="26" s="1"/>
  <c r="B60" i="13"/>
  <c r="F60" i="13"/>
  <c r="AG59" i="13"/>
  <c r="AV59" i="13" s="1"/>
  <c r="R64" i="11"/>
  <c r="AG64" i="11" s="1"/>
  <c r="W63" i="11"/>
  <c r="W62" i="13"/>
  <c r="B62" i="11"/>
  <c r="P82" i="5"/>
  <c r="A83" i="5"/>
  <c r="AB82" i="5"/>
  <c r="H82" i="5"/>
  <c r="Z82" i="5"/>
  <c r="F82" i="5"/>
  <c r="R82" i="5"/>
  <c r="U26" i="5"/>
  <c r="AD26" i="5" s="1"/>
  <c r="AB60" i="13"/>
  <c r="AB63" i="11"/>
  <c r="AV63" i="11" l="1"/>
  <c r="AQ60" i="13"/>
  <c r="AR60" i="13"/>
  <c r="AO60" i="13"/>
  <c r="AN60" i="13"/>
  <c r="AP60" i="13"/>
  <c r="AO62" i="11"/>
  <c r="AR62" i="11"/>
  <c r="AP62" i="11"/>
  <c r="AN62" i="11"/>
  <c r="AQ62" i="11"/>
  <c r="AO48" i="26" a="1"/>
  <c r="AO48" i="26" s="1"/>
  <c r="AS48" i="26" s="1"/>
  <c r="K26" i="5"/>
  <c r="T25" i="5"/>
  <c r="A26" i="5"/>
  <c r="J25" i="5"/>
  <c r="AB274" i="11" a="1"/>
  <c r="AB274" i="11" s="1"/>
  <c r="AC274" i="11" a="1"/>
  <c r="AC274" i="11" s="1"/>
  <c r="AD273" i="11"/>
  <c r="F50" i="25" s="1"/>
  <c r="F49" i="26" s="1"/>
  <c r="Z49" i="26" s="1"/>
  <c r="AG60" i="13"/>
  <c r="AV60" i="13" s="1"/>
  <c r="B61" i="13"/>
  <c r="F61" i="13"/>
  <c r="R65" i="11"/>
  <c r="AG65" i="11" s="1"/>
  <c r="W64" i="11"/>
  <c r="W63" i="13"/>
  <c r="B63" i="11"/>
  <c r="R83" i="5"/>
  <c r="R84" i="5" s="1"/>
  <c r="A86" i="5"/>
  <c r="AB83" i="5"/>
  <c r="AB84" i="5" s="1"/>
  <c r="H83" i="5"/>
  <c r="H84" i="5" s="1"/>
  <c r="Z83" i="5"/>
  <c r="Z84" i="5" s="1"/>
  <c r="F83" i="5"/>
  <c r="F84" i="5" s="1"/>
  <c r="P83" i="5"/>
  <c r="P84" i="5" s="1"/>
  <c r="U27" i="5"/>
  <c r="AD27" i="5" s="1"/>
  <c r="AB61" i="13"/>
  <c r="AB64" i="11"/>
  <c r="AV64" i="11" l="1"/>
  <c r="AQ61" i="13"/>
  <c r="AR61" i="13"/>
  <c r="AP61" i="13"/>
  <c r="AN61" i="13"/>
  <c r="AO61" i="13"/>
  <c r="AO63" i="11"/>
  <c r="AP63" i="11"/>
  <c r="AN63" i="11"/>
  <c r="AR63" i="11"/>
  <c r="AQ63" i="11"/>
  <c r="AO49" i="26" a="1"/>
  <c r="AO49" i="26" s="1"/>
  <c r="AS49" i="26" s="1"/>
  <c r="K27" i="5"/>
  <c r="T26" i="5"/>
  <c r="A27" i="5"/>
  <c r="J26" i="5"/>
  <c r="AB275" i="11" a="1"/>
  <c r="AB275" i="11" s="1"/>
  <c r="AC275" i="11" a="1"/>
  <c r="AC275" i="11" s="1"/>
  <c r="AD274" i="11"/>
  <c r="F51" i="25" s="1"/>
  <c r="F50" i="26" s="1"/>
  <c r="Z50" i="26" s="1"/>
  <c r="B62" i="13"/>
  <c r="F62" i="13"/>
  <c r="AG61" i="13"/>
  <c r="AV61" i="13" s="1"/>
  <c r="R66" i="11"/>
  <c r="AG66" i="11" s="1"/>
  <c r="W65" i="11"/>
  <c r="W64" i="13"/>
  <c r="B64" i="11"/>
  <c r="AB86" i="5"/>
  <c r="F86" i="5"/>
  <c r="H86" i="5"/>
  <c r="P86" i="5"/>
  <c r="Z86" i="5"/>
  <c r="R86" i="5"/>
  <c r="A87" i="5"/>
  <c r="U28" i="5"/>
  <c r="AD28" i="5" s="1"/>
  <c r="AB62" i="13"/>
  <c r="AB65" i="11"/>
  <c r="AV65" i="11" l="1"/>
  <c r="AQ62" i="13"/>
  <c r="AR62" i="13"/>
  <c r="AO62" i="13"/>
  <c r="AN62" i="13"/>
  <c r="AP62" i="13"/>
  <c r="AO64" i="11"/>
  <c r="AQ64" i="11"/>
  <c r="AR64" i="11"/>
  <c r="AP64" i="11"/>
  <c r="AN64" i="11"/>
  <c r="AO50" i="26" a="1"/>
  <c r="AO50" i="26" s="1"/>
  <c r="AS50" i="26" s="1"/>
  <c r="K28" i="5"/>
  <c r="T27" i="5"/>
  <c r="X130" i="5"/>
  <c r="J27" i="5"/>
  <c r="A28" i="5"/>
  <c r="AB276" i="11" a="1"/>
  <c r="AB276" i="11" s="1"/>
  <c r="AC276" i="11" a="1"/>
  <c r="AC276" i="11" s="1"/>
  <c r="AD275" i="11"/>
  <c r="F52" i="25" s="1"/>
  <c r="F51" i="26" s="1"/>
  <c r="Z51" i="26" s="1"/>
  <c r="AG62" i="13"/>
  <c r="AV62" i="13" s="1"/>
  <c r="B63" i="13"/>
  <c r="F63" i="13"/>
  <c r="W66" i="11"/>
  <c r="W65" i="13"/>
  <c r="B65" i="11"/>
  <c r="U29" i="5"/>
  <c r="AD29" i="5" s="1"/>
  <c r="A88" i="5"/>
  <c r="H87" i="5"/>
  <c r="R87" i="5"/>
  <c r="F87" i="5"/>
  <c r="P87" i="5"/>
  <c r="Z87" i="5"/>
  <c r="AB87" i="5"/>
  <c r="AB63" i="13"/>
  <c r="AB66" i="11"/>
  <c r="AV66" i="11" l="1"/>
  <c r="AQ63" i="13"/>
  <c r="AP63" i="13"/>
  <c r="AR63" i="13"/>
  <c r="AO63" i="13"/>
  <c r="AN63" i="13"/>
  <c r="AO65" i="11"/>
  <c r="AQ65" i="11"/>
  <c r="AP65" i="11"/>
  <c r="AN65" i="11"/>
  <c r="AR65" i="11"/>
  <c r="AO51" i="26" a="1"/>
  <c r="AO51" i="26" s="1"/>
  <c r="AS51" i="26" s="1"/>
  <c r="K29" i="5"/>
  <c r="T28" i="5"/>
  <c r="A29" i="5"/>
  <c r="J28" i="5"/>
  <c r="Y130" i="5"/>
  <c r="AD276" i="11"/>
  <c r="F53" i="25" s="1"/>
  <c r="F52" i="26" s="1"/>
  <c r="Z52" i="26" s="1"/>
  <c r="B64" i="13"/>
  <c r="F64" i="13"/>
  <c r="AG63" i="13"/>
  <c r="AV63" i="13" s="1"/>
  <c r="R67" i="11"/>
  <c r="AG67" i="11" s="1"/>
  <c r="W67" i="13"/>
  <c r="W66" i="13"/>
  <c r="B66" i="11"/>
  <c r="AQ66" i="11" s="1"/>
  <c r="U30" i="5"/>
  <c r="AD30" i="5" s="1"/>
  <c r="H88" i="5"/>
  <c r="F88" i="5"/>
  <c r="R88" i="5"/>
  <c r="AB88" i="5"/>
  <c r="A89" i="5"/>
  <c r="Z88" i="5"/>
  <c r="P88" i="5"/>
  <c r="AB64" i="13"/>
  <c r="AQ64" i="13" l="1"/>
  <c r="AP64" i="13"/>
  <c r="AO64" i="13"/>
  <c r="AR64" i="13"/>
  <c r="AN64" i="13"/>
  <c r="AR66" i="11"/>
  <c r="AN66" i="11"/>
  <c r="AP66" i="11"/>
  <c r="AO66" i="11"/>
  <c r="AO52" i="26" a="1"/>
  <c r="AO52" i="26" s="1"/>
  <c r="AS52" i="26" s="1"/>
  <c r="K30" i="5"/>
  <c r="T29" i="5"/>
  <c r="A30" i="5"/>
  <c r="J29" i="5"/>
  <c r="AG64" i="13"/>
  <c r="AV64" i="13" s="1"/>
  <c r="B65" i="13"/>
  <c r="F65" i="13"/>
  <c r="W67" i="11"/>
  <c r="B67" i="11"/>
  <c r="AQ67" i="11" s="1"/>
  <c r="U31" i="5"/>
  <c r="AD31" i="5" s="1"/>
  <c r="R89" i="5"/>
  <c r="R90" i="5" s="1"/>
  <c r="H89" i="5"/>
  <c r="H90" i="5" s="1"/>
  <c r="Z89" i="5"/>
  <c r="Z90" i="5" s="1"/>
  <c r="AB89" i="5"/>
  <c r="AB90" i="5" s="1"/>
  <c r="F89" i="5"/>
  <c r="F90" i="5" s="1"/>
  <c r="P89" i="5"/>
  <c r="P90" i="5" s="1"/>
  <c r="A92" i="5"/>
  <c r="AB65" i="13"/>
  <c r="AB67" i="11"/>
  <c r="AV67" i="11" l="1"/>
  <c r="AQ65" i="13"/>
  <c r="AO65" i="13"/>
  <c r="AR65" i="13"/>
  <c r="AP65" i="13"/>
  <c r="AN65" i="13"/>
  <c r="AO67" i="11"/>
  <c r="AP67" i="11"/>
  <c r="AN67" i="11"/>
  <c r="AR67" i="11"/>
  <c r="K31" i="5"/>
  <c r="T30" i="5"/>
  <c r="A31" i="5"/>
  <c r="J30" i="5"/>
  <c r="B66" i="13"/>
  <c r="F66" i="13"/>
  <c r="AG65" i="13"/>
  <c r="AV65" i="13" s="1"/>
  <c r="A93" i="5"/>
  <c r="F92" i="5"/>
  <c r="R92" i="5"/>
  <c r="AB92" i="5"/>
  <c r="H92" i="5"/>
  <c r="P92" i="5"/>
  <c r="Z92" i="5"/>
  <c r="U32" i="5"/>
  <c r="AD32" i="5" s="1"/>
  <c r="AB66" i="13"/>
  <c r="AQ66" i="13" l="1"/>
  <c r="AN66" i="13"/>
  <c r="AO66" i="13"/>
  <c r="AP66" i="13"/>
  <c r="AR66" i="13"/>
  <c r="K32" i="5"/>
  <c r="T31" i="5"/>
  <c r="X131" i="5"/>
  <c r="J31" i="5"/>
  <c r="A32" i="5"/>
  <c r="AG66" i="13"/>
  <c r="AV66" i="13" s="1"/>
  <c r="B67" i="13"/>
  <c r="F67" i="13"/>
  <c r="U33" i="5"/>
  <c r="AD33" i="5" s="1"/>
  <c r="Z93" i="5"/>
  <c r="H93" i="5"/>
  <c r="F93" i="5"/>
  <c r="AB93" i="5"/>
  <c r="A94" i="5"/>
  <c r="P93" i="5"/>
  <c r="R93" i="5"/>
  <c r="AB67" i="13"/>
  <c r="AQ67" i="13" l="1"/>
  <c r="AR67" i="13"/>
  <c r="AN67" i="13"/>
  <c r="AO67" i="13"/>
  <c r="AP67" i="13"/>
  <c r="K33" i="5"/>
  <c r="T32" i="5"/>
  <c r="A33" i="5"/>
  <c r="J32" i="5"/>
  <c r="Y131" i="5"/>
  <c r="AG67" i="13"/>
  <c r="AV67" i="13" s="1"/>
  <c r="P94" i="5"/>
  <c r="A95" i="5"/>
  <c r="AB94" i="5"/>
  <c r="Z94" i="5"/>
  <c r="F94" i="5"/>
  <c r="R94" i="5"/>
  <c r="H94" i="5"/>
  <c r="U34" i="5"/>
  <c r="AD34" i="5" s="1"/>
  <c r="K34" i="5" l="1"/>
  <c r="T33" i="5"/>
  <c r="A34" i="5"/>
  <c r="J33" i="5"/>
  <c r="U35" i="5"/>
  <c r="AD35" i="5" s="1"/>
  <c r="Z95" i="5"/>
  <c r="Z96" i="5" s="1"/>
  <c r="P95" i="5"/>
  <c r="P96" i="5" s="1"/>
  <c r="R95" i="5"/>
  <c r="R96" i="5" s="1"/>
  <c r="A98" i="5"/>
  <c r="H95" i="5"/>
  <c r="H96" i="5" s="1"/>
  <c r="AB95" i="5"/>
  <c r="AB96" i="5" s="1"/>
  <c r="F95" i="5"/>
  <c r="F96" i="5" s="1"/>
  <c r="K35" i="5" l="1"/>
  <c r="T34" i="5"/>
  <c r="A35" i="5"/>
  <c r="J34" i="5"/>
  <c r="R98" i="5"/>
  <c r="P98" i="5"/>
  <c r="AB98" i="5"/>
  <c r="F98" i="5"/>
  <c r="A99" i="5"/>
  <c r="Z98" i="5"/>
  <c r="H98" i="5"/>
  <c r="U36" i="5"/>
  <c r="AD36" i="5" s="1"/>
  <c r="K36" i="5" l="1"/>
  <c r="T35" i="5"/>
  <c r="X132" i="5"/>
  <c r="J35" i="5"/>
  <c r="A36" i="5"/>
  <c r="U37" i="5"/>
  <c r="AD37" i="5" s="1"/>
  <c r="AB99" i="5"/>
  <c r="F99" i="5"/>
  <c r="A100" i="5"/>
  <c r="R99" i="5"/>
  <c r="Z99" i="5"/>
  <c r="P99" i="5"/>
  <c r="H99" i="5"/>
  <c r="K37" i="5" l="1"/>
  <c r="T36" i="5"/>
  <c r="A37" i="5"/>
  <c r="J36" i="5"/>
  <c r="Y132" i="5"/>
  <c r="P100" i="5"/>
  <c r="F100" i="5"/>
  <c r="Z100" i="5"/>
  <c r="R100" i="5"/>
  <c r="A101" i="5"/>
  <c r="H100" i="5"/>
  <c r="AB100" i="5"/>
  <c r="U38" i="5"/>
  <c r="AD38" i="5" s="1"/>
  <c r="K38" i="5" l="1"/>
  <c r="T37" i="5"/>
  <c r="A38" i="5"/>
  <c r="J37" i="5"/>
  <c r="A104" i="5"/>
  <c r="H101" i="5"/>
  <c r="H102" i="5" s="1"/>
  <c r="R101" i="5"/>
  <c r="R102" i="5" s="1"/>
  <c r="P101" i="5"/>
  <c r="P102" i="5" s="1"/>
  <c r="AB101" i="5"/>
  <c r="AB102" i="5" s="1"/>
  <c r="Z101" i="5"/>
  <c r="Z102" i="5" s="1"/>
  <c r="F101" i="5"/>
  <c r="F102" i="5" s="1"/>
  <c r="U39" i="5"/>
  <c r="AD39" i="5" s="1"/>
  <c r="K39" i="5" l="1"/>
  <c r="T38" i="5"/>
  <c r="A39" i="5"/>
  <c r="J38" i="5"/>
  <c r="U40" i="5"/>
  <c r="AD40" i="5" s="1"/>
  <c r="P104" i="5"/>
  <c r="R104" i="5"/>
  <c r="Z104" i="5"/>
  <c r="F104" i="5"/>
  <c r="A105" i="5"/>
  <c r="H104" i="5"/>
  <c r="AB104" i="5"/>
  <c r="K40" i="5" l="1"/>
  <c r="T39" i="5"/>
  <c r="L133" i="5"/>
  <c r="J39" i="5"/>
  <c r="A40" i="5"/>
  <c r="V133" i="5"/>
  <c r="H105" i="5"/>
  <c r="A106" i="5"/>
  <c r="R105" i="5"/>
  <c r="AB105" i="5"/>
  <c r="Z105" i="5"/>
  <c r="P105" i="5"/>
  <c r="F105" i="5"/>
  <c r="U41" i="5"/>
  <c r="AD41" i="5" s="1"/>
  <c r="K41" i="5" l="1"/>
  <c r="T40" i="5"/>
  <c r="W133" i="5"/>
  <c r="A41" i="5"/>
  <c r="J40" i="5"/>
  <c r="M133" i="5"/>
  <c r="B127" i="13" a="1"/>
  <c r="B232" i="13" a="1"/>
  <c r="B179" i="13" a="1"/>
  <c r="L137" i="5"/>
  <c r="B75" i="13" a="1"/>
  <c r="B285" i="13" a="1"/>
  <c r="U42" i="5"/>
  <c r="AD42" i="5" s="1"/>
  <c r="Z106" i="5"/>
  <c r="P106" i="5"/>
  <c r="R106" i="5"/>
  <c r="AB106" i="5"/>
  <c r="H106" i="5"/>
  <c r="A107" i="5"/>
  <c r="F106" i="5"/>
  <c r="AB198" i="13" l="1" a="1"/>
  <c r="AB198" i="13" s="1"/>
  <c r="AD198" i="13" s="1"/>
  <c r="K28" i="25" s="1"/>
  <c r="K27" i="26" s="1"/>
  <c r="AE27" i="26" s="1"/>
  <c r="AB196" i="13" a="1"/>
  <c r="AB196" i="13" s="1"/>
  <c r="AD196" i="13" s="1"/>
  <c r="K26" i="25" s="1"/>
  <c r="K25" i="26" s="1"/>
  <c r="AE25" i="26" s="1"/>
  <c r="AB195" i="13" a="1"/>
  <c r="AB195" i="13" s="1"/>
  <c r="AD195" i="13" s="1"/>
  <c r="K25" i="25" s="1"/>
  <c r="K24" i="26" s="1"/>
  <c r="AE24" i="26" s="1"/>
  <c r="AB199" i="13" a="1"/>
  <c r="AB199" i="13" s="1"/>
  <c r="AD199" i="13" s="1"/>
  <c r="K29" i="25" s="1"/>
  <c r="K28" i="26" s="1"/>
  <c r="AE28" i="26" s="1"/>
  <c r="AB197" i="13" a="1"/>
  <c r="AB197" i="13" s="1"/>
  <c r="AD197" i="13" s="1"/>
  <c r="K27" i="25" s="1"/>
  <c r="K26" i="26" s="1"/>
  <c r="AE26" i="26" s="1"/>
  <c r="K42" i="5"/>
  <c r="T41" i="5"/>
  <c r="AB202" i="13" a="1"/>
  <c r="AB202" i="13" s="1"/>
  <c r="AD202" i="13" s="1"/>
  <c r="K32" i="25" s="1"/>
  <c r="K31" i="26" s="1"/>
  <c r="AE31" i="26" s="1"/>
  <c r="AB200" i="13" a="1"/>
  <c r="AB200" i="13" s="1"/>
  <c r="AD200" i="13" s="1"/>
  <c r="K30" i="25" s="1"/>
  <c r="K29" i="26" s="1"/>
  <c r="AE29" i="26" s="1"/>
  <c r="AB201" i="13" a="1"/>
  <c r="AB201" i="13" s="1"/>
  <c r="AD201" i="13" s="1"/>
  <c r="K31" i="25" s="1"/>
  <c r="K30" i="26" s="1"/>
  <c r="AE30" i="26" s="1"/>
  <c r="D285" i="13"/>
  <c r="C285" i="13"/>
  <c r="E285" i="13"/>
  <c r="L285" i="13"/>
  <c r="I285" i="13"/>
  <c r="F285" i="13"/>
  <c r="J285" i="13"/>
  <c r="G285" i="13"/>
  <c r="K285" i="13"/>
  <c r="H285" i="13"/>
  <c r="B285" i="13"/>
  <c r="A42" i="5"/>
  <c r="J41" i="5"/>
  <c r="J75" i="13"/>
  <c r="E75" i="13"/>
  <c r="G75" i="13"/>
  <c r="B75" i="13"/>
  <c r="I75" i="13"/>
  <c r="D75" i="13"/>
  <c r="C75" i="13"/>
  <c r="K75" i="13"/>
  <c r="L75" i="13"/>
  <c r="H75" i="13"/>
  <c r="F75" i="13"/>
  <c r="B232" i="13"/>
  <c r="H232" i="13"/>
  <c r="G232" i="13"/>
  <c r="J232" i="13"/>
  <c r="K232" i="13"/>
  <c r="L232" i="13"/>
  <c r="D232" i="13"/>
  <c r="F232" i="13"/>
  <c r="C232" i="13"/>
  <c r="E232" i="13"/>
  <c r="I232" i="13"/>
  <c r="E179" i="13"/>
  <c r="J179" i="13"/>
  <c r="L179" i="13"/>
  <c r="G179" i="13"/>
  <c r="C179" i="13"/>
  <c r="I179" i="13"/>
  <c r="H179" i="13"/>
  <c r="F179" i="13"/>
  <c r="B179" i="13"/>
  <c r="K179" i="13"/>
  <c r="D179" i="13"/>
  <c r="F127" i="13"/>
  <c r="L127" i="13"/>
  <c r="E127" i="13"/>
  <c r="B127" i="13"/>
  <c r="K127" i="13"/>
  <c r="G127" i="13"/>
  <c r="H127" i="13"/>
  <c r="J127" i="13"/>
  <c r="C127" i="13"/>
  <c r="I127" i="13"/>
  <c r="D127" i="13"/>
  <c r="AB215" i="13" a="1"/>
  <c r="AB215" i="13" s="1"/>
  <c r="AD215" i="13" s="1"/>
  <c r="K45" i="25" s="1"/>
  <c r="K44" i="26" s="1"/>
  <c r="AE44" i="26" s="1"/>
  <c r="AB210" i="13" a="1"/>
  <c r="AB210" i="13" s="1"/>
  <c r="AD210" i="13" s="1"/>
  <c r="K40" i="25" s="1"/>
  <c r="K39" i="26" s="1"/>
  <c r="AE39" i="26" s="1"/>
  <c r="AB209" i="13" a="1"/>
  <c r="AB209" i="13" s="1"/>
  <c r="AD209" i="13" s="1"/>
  <c r="K39" i="25" s="1"/>
  <c r="K38" i="26" s="1"/>
  <c r="AE38" i="26" s="1"/>
  <c r="AB217" i="13" a="1"/>
  <c r="AB217" i="13" s="1"/>
  <c r="AD217" i="13" s="1"/>
  <c r="K47" i="25" s="1"/>
  <c r="K46" i="26" s="1"/>
  <c r="AE46" i="26" s="1"/>
  <c r="AB218" i="13" a="1"/>
  <c r="AB218" i="13" s="1"/>
  <c r="AD218" i="13" s="1"/>
  <c r="K48" i="25" s="1"/>
  <c r="K47" i="26" s="1"/>
  <c r="AE47" i="26" s="1"/>
  <c r="AB221" i="13" a="1"/>
  <c r="AB221" i="13" s="1"/>
  <c r="AD221" i="13" s="1"/>
  <c r="K51" i="25" s="1"/>
  <c r="K50" i="26" s="1"/>
  <c r="AE50" i="26" s="1"/>
  <c r="AB204" i="13" a="1"/>
  <c r="AB204" i="13" s="1"/>
  <c r="AD204" i="13" s="1"/>
  <c r="K34" i="25" s="1"/>
  <c r="K33" i="26" s="1"/>
  <c r="AE33" i="26" s="1"/>
  <c r="AB207" i="13" a="1"/>
  <c r="AB207" i="13" s="1"/>
  <c r="AD207" i="13" s="1"/>
  <c r="K37" i="25" s="1"/>
  <c r="K36" i="26" s="1"/>
  <c r="AE36" i="26" s="1"/>
  <c r="AB220" i="13" a="1"/>
  <c r="AB220" i="13" s="1"/>
  <c r="AD220" i="13" s="1"/>
  <c r="K50" i="25" s="1"/>
  <c r="K49" i="26" s="1"/>
  <c r="AE49" i="26" s="1"/>
  <c r="AB219" i="13" a="1"/>
  <c r="AB219" i="13" s="1"/>
  <c r="AD219" i="13" s="1"/>
  <c r="K49" i="25" s="1"/>
  <c r="K48" i="26" s="1"/>
  <c r="AE48" i="26" s="1"/>
  <c r="AB222" i="13" a="1"/>
  <c r="AB222" i="13" s="1"/>
  <c r="AD222" i="13" s="1"/>
  <c r="K52" i="25" s="1"/>
  <c r="K51" i="26" s="1"/>
  <c r="AE51" i="26" s="1"/>
  <c r="AB213" i="13" a="1"/>
  <c r="AB213" i="13" s="1"/>
  <c r="AD213" i="13" s="1"/>
  <c r="K43" i="25" s="1"/>
  <c r="K42" i="26" s="1"/>
  <c r="AE42" i="26" s="1"/>
  <c r="AB206" i="13" a="1"/>
  <c r="AB206" i="13" s="1"/>
  <c r="AD206" i="13" s="1"/>
  <c r="K36" i="25" s="1"/>
  <c r="K35" i="26" s="1"/>
  <c r="AE35" i="26" s="1"/>
  <c r="AB214" i="13" a="1"/>
  <c r="AB214" i="13" s="1"/>
  <c r="AD214" i="13" s="1"/>
  <c r="K44" i="25" s="1"/>
  <c r="K43" i="26" s="1"/>
  <c r="AE43" i="26" s="1"/>
  <c r="AB216" i="13" a="1"/>
  <c r="AB216" i="13" s="1"/>
  <c r="AD216" i="13" s="1"/>
  <c r="K46" i="25" s="1"/>
  <c r="K45" i="26" s="1"/>
  <c r="AE45" i="26" s="1"/>
  <c r="AB203" i="13" a="1"/>
  <c r="AB203" i="13" s="1"/>
  <c r="AD203" i="13" s="1"/>
  <c r="K33" i="25" s="1"/>
  <c r="K32" i="26" s="1"/>
  <c r="AE32" i="26" s="1"/>
  <c r="AB212" i="13" a="1"/>
  <c r="AB212" i="13" s="1"/>
  <c r="AD212" i="13" s="1"/>
  <c r="K42" i="25" s="1"/>
  <c r="K41" i="26" s="1"/>
  <c r="AE41" i="26" s="1"/>
  <c r="AB211" i="13" a="1"/>
  <c r="AB211" i="13" s="1"/>
  <c r="AD211" i="13" s="1"/>
  <c r="K41" i="25" s="1"/>
  <c r="K40" i="26" s="1"/>
  <c r="AE40" i="26" s="1"/>
  <c r="AB205" i="13" a="1"/>
  <c r="AB205" i="13" s="1"/>
  <c r="AD205" i="13" s="1"/>
  <c r="K35" i="25" s="1"/>
  <c r="K34" i="26" s="1"/>
  <c r="AE34" i="26" s="1"/>
  <c r="AB223" i="13" a="1"/>
  <c r="AB223" i="13" s="1"/>
  <c r="AD223" i="13" s="1"/>
  <c r="K53" i="25" s="1"/>
  <c r="K52" i="26" s="1"/>
  <c r="AE52" i="26" s="1"/>
  <c r="AB208" i="13" a="1"/>
  <c r="AB208" i="13" s="1"/>
  <c r="AD208" i="13" s="1"/>
  <c r="K38" i="25" s="1"/>
  <c r="K37" i="26" s="1"/>
  <c r="AE37" i="26" s="1"/>
  <c r="U43" i="5"/>
  <c r="AD43" i="5" s="1"/>
  <c r="R107" i="5"/>
  <c r="R108" i="5" s="1"/>
  <c r="H107" i="5"/>
  <c r="H108" i="5" s="1"/>
  <c r="F107" i="5"/>
  <c r="F108" i="5" s="1"/>
  <c r="A110" i="5"/>
  <c r="Z107" i="5"/>
  <c r="Z108" i="5" s="1"/>
  <c r="AB107" i="5"/>
  <c r="AB108" i="5" s="1"/>
  <c r="P107" i="5"/>
  <c r="P108" i="5" s="1"/>
  <c r="AP35" i="26" l="1" a="1"/>
  <c r="AP35" i="26" s="1"/>
  <c r="AT35" i="26" s="1"/>
  <c r="AP47" i="26" a="1"/>
  <c r="AP47" i="26" s="1"/>
  <c r="AT47" i="26" s="1"/>
  <c r="AP31" i="26" a="1"/>
  <c r="AP31" i="26" s="1"/>
  <c r="AT31" i="26" s="1"/>
  <c r="AP42" i="26" a="1"/>
  <c r="AP42" i="26" s="1"/>
  <c r="AT42" i="26" s="1"/>
  <c r="AP34" i="26" a="1"/>
  <c r="AP34" i="26" s="1"/>
  <c r="AT34" i="26" s="1"/>
  <c r="AP51" i="26" a="1"/>
  <c r="AP51" i="26" s="1"/>
  <c r="AT51" i="26" s="1"/>
  <c r="AP38" i="26" a="1"/>
  <c r="AP38" i="26" s="1"/>
  <c r="AT38" i="26" s="1"/>
  <c r="AP40" i="26" a="1"/>
  <c r="AP40" i="26" s="1"/>
  <c r="AT40" i="26" s="1"/>
  <c r="AP48" i="26" a="1"/>
  <c r="AP48" i="26" s="1"/>
  <c r="AT48" i="26" s="1"/>
  <c r="AP39" i="26" a="1"/>
  <c r="AP39" i="26" s="1"/>
  <c r="AT39" i="26" s="1"/>
  <c r="AP26" i="26" a="1"/>
  <c r="AP26" i="26" s="1"/>
  <c r="AT26" i="26" s="1"/>
  <c r="AP46" i="26" a="1"/>
  <c r="AP46" i="26" s="1"/>
  <c r="AT46" i="26" s="1"/>
  <c r="AP49" i="26" a="1"/>
  <c r="AP49" i="26" s="1"/>
  <c r="AT49" i="26" s="1"/>
  <c r="AP44" i="26" a="1"/>
  <c r="AP44" i="26" s="1"/>
  <c r="AT44" i="26" s="1"/>
  <c r="AP28" i="26" a="1"/>
  <c r="AP28" i="26" s="1"/>
  <c r="AT28" i="26" s="1"/>
  <c r="AP37" i="26" a="1"/>
  <c r="AP37" i="26" s="1"/>
  <c r="AT37" i="26" s="1"/>
  <c r="AP41" i="26" a="1"/>
  <c r="AP41" i="26" s="1"/>
  <c r="AT41" i="26" s="1"/>
  <c r="AP32" i="26" a="1"/>
  <c r="AP32" i="26" s="1"/>
  <c r="AT32" i="26" s="1"/>
  <c r="AP36" i="26" a="1"/>
  <c r="AP36" i="26" s="1"/>
  <c r="AT36" i="26" s="1"/>
  <c r="AP24" i="26" a="1"/>
  <c r="AP24" i="26" s="1"/>
  <c r="AT24" i="26" s="1"/>
  <c r="AP52" i="26" a="1"/>
  <c r="AP52" i="26" s="1"/>
  <c r="AT52" i="26" s="1"/>
  <c r="AP45" i="26" a="1"/>
  <c r="AP45" i="26" s="1"/>
  <c r="AT45" i="26" s="1"/>
  <c r="AP33" i="26" a="1"/>
  <c r="AP33" i="26" s="1"/>
  <c r="AT33" i="26" s="1"/>
  <c r="AP30" i="26" a="1"/>
  <c r="AP30" i="26" s="1"/>
  <c r="AT30" i="26" s="1"/>
  <c r="AP25" i="26" a="1"/>
  <c r="AP25" i="26" s="1"/>
  <c r="AT25" i="26" s="1"/>
  <c r="AP43" i="26" a="1"/>
  <c r="AP43" i="26" s="1"/>
  <c r="AT43" i="26" s="1"/>
  <c r="AP50" i="26" a="1"/>
  <c r="AP50" i="26" s="1"/>
  <c r="AT50" i="26" s="1"/>
  <c r="AP29" i="26" a="1"/>
  <c r="AP29" i="26" s="1"/>
  <c r="AT29" i="26" s="1"/>
  <c r="AP27" i="26" a="1"/>
  <c r="AP27" i="26" s="1"/>
  <c r="AT27" i="26" s="1"/>
  <c r="K43" i="5"/>
  <c r="T42" i="5"/>
  <c r="A43" i="5"/>
  <c r="J42" i="5"/>
  <c r="AB110" i="5"/>
  <c r="F110" i="5"/>
  <c r="A111" i="5"/>
  <c r="R110" i="5"/>
  <c r="H110" i="5"/>
  <c r="Z110" i="5"/>
  <c r="P110" i="5"/>
  <c r="U44" i="5"/>
  <c r="AD44" i="5" s="1"/>
  <c r="K44" i="5" l="1"/>
  <c r="T44" i="5" s="1"/>
  <c r="T43" i="5"/>
  <c r="V134" i="5"/>
  <c r="J43" i="5"/>
  <c r="A44" i="5"/>
  <c r="J44" i="5" s="1"/>
  <c r="X135" i="5"/>
  <c r="W49" i="5"/>
  <c r="Y49" i="5"/>
  <c r="F150" i="5" s="1"/>
  <c r="G150" i="5" s="1"/>
  <c r="Z111" i="5"/>
  <c r="Z114" i="5" s="1"/>
  <c r="P111" i="5"/>
  <c r="P114" i="5" s="1"/>
  <c r="AB111" i="5"/>
  <c r="AB114" i="5" s="1"/>
  <c r="H111" i="5"/>
  <c r="H114" i="5" s="1"/>
  <c r="R111" i="5"/>
  <c r="R114" i="5" s="1"/>
  <c r="F111" i="5"/>
  <c r="F114" i="5" s="1"/>
  <c r="Y135" i="5" l="1"/>
  <c r="O127" i="21" a="1"/>
  <c r="X137" i="5"/>
  <c r="O232" i="21" a="1"/>
  <c r="O179" i="21" a="1"/>
  <c r="O75" i="21" a="1"/>
  <c r="O285" i="21" a="1"/>
  <c r="W134" i="5"/>
  <c r="B232" i="21" a="1"/>
  <c r="B179" i="21" a="1"/>
  <c r="B127" i="21" a="1"/>
  <c r="V137" i="5"/>
  <c r="B75" i="21" a="1"/>
  <c r="B285" i="21" a="1"/>
  <c r="N5" i="24"/>
  <c r="Y51" i="5"/>
  <c r="AB50" i="5" s="1"/>
  <c r="F149" i="5"/>
  <c r="AB51" i="5" l="1"/>
  <c r="T50" i="5"/>
  <c r="H285" i="21"/>
  <c r="C285" i="21"/>
  <c r="D285" i="21"/>
  <c r="K285" i="21"/>
  <c r="I285" i="21"/>
  <c r="E285" i="21"/>
  <c r="L285" i="21"/>
  <c r="B285" i="21"/>
  <c r="J285" i="21"/>
  <c r="G285" i="21"/>
  <c r="F285" i="21"/>
  <c r="Y285" i="21"/>
  <c r="S285" i="21"/>
  <c r="W285" i="21"/>
  <c r="T285" i="21"/>
  <c r="O285" i="21"/>
  <c r="U285" i="21"/>
  <c r="V285" i="21"/>
  <c r="X285" i="21"/>
  <c r="R285" i="21"/>
  <c r="Q285" i="21"/>
  <c r="P285" i="21"/>
  <c r="U75" i="21"/>
  <c r="X75" i="21"/>
  <c r="Q75" i="21"/>
  <c r="Y75" i="21"/>
  <c r="W75" i="21"/>
  <c r="V75" i="21"/>
  <c r="T75" i="21"/>
  <c r="S75" i="21"/>
  <c r="O75" i="21"/>
  <c r="R75" i="21"/>
  <c r="P75" i="21"/>
  <c r="S179" i="21"/>
  <c r="Q179" i="21"/>
  <c r="P179" i="21"/>
  <c r="X179" i="21"/>
  <c r="Y179" i="21"/>
  <c r="R179" i="21"/>
  <c r="T179" i="21"/>
  <c r="V179" i="21"/>
  <c r="O179" i="21"/>
  <c r="W179" i="21"/>
  <c r="U179" i="21"/>
  <c r="H75" i="21"/>
  <c r="E75" i="21"/>
  <c r="D75" i="21"/>
  <c r="I75" i="21"/>
  <c r="L75" i="21"/>
  <c r="G75" i="21"/>
  <c r="J75" i="21"/>
  <c r="B75" i="21"/>
  <c r="C75" i="21"/>
  <c r="F75" i="21"/>
  <c r="K75" i="21"/>
  <c r="O232" i="21"/>
  <c r="T232" i="21"/>
  <c r="S232" i="21"/>
  <c r="Y232" i="21"/>
  <c r="X232" i="21"/>
  <c r="W232" i="21"/>
  <c r="P232" i="21"/>
  <c r="U232" i="21"/>
  <c r="V232" i="21"/>
  <c r="R232" i="21"/>
  <c r="Q232" i="21"/>
  <c r="H127" i="21"/>
  <c r="G127" i="21"/>
  <c r="L127" i="21"/>
  <c r="K127" i="21"/>
  <c r="J127" i="21"/>
  <c r="B127" i="21"/>
  <c r="C127" i="21"/>
  <c r="I127" i="21"/>
  <c r="E127" i="21"/>
  <c r="F127" i="21"/>
  <c r="D127" i="21"/>
  <c r="V127" i="21"/>
  <c r="X127" i="21"/>
  <c r="P127" i="21"/>
  <c r="Q127" i="21"/>
  <c r="Y127" i="21"/>
  <c r="W127" i="21"/>
  <c r="T127" i="21"/>
  <c r="O127" i="21"/>
  <c r="U127" i="21"/>
  <c r="R127" i="21"/>
  <c r="S127" i="21"/>
  <c r="B179" i="21"/>
  <c r="C179" i="21"/>
  <c r="H179" i="21"/>
  <c r="G179" i="21"/>
  <c r="E179" i="21"/>
  <c r="F179" i="21"/>
  <c r="D179" i="21"/>
  <c r="K179" i="21"/>
  <c r="I179" i="21"/>
  <c r="J179" i="21"/>
  <c r="L179" i="21"/>
  <c r="E232" i="21"/>
  <c r="I232" i="21"/>
  <c r="H232" i="21"/>
  <c r="C232" i="21"/>
  <c r="B232" i="21"/>
  <c r="J232" i="21"/>
  <c r="D232" i="21"/>
  <c r="L232" i="21"/>
  <c r="K232" i="21"/>
  <c r="F232" i="21"/>
  <c r="G232" i="21"/>
  <c r="G149" i="5"/>
  <c r="F151" i="5"/>
  <c r="AA23" i="5"/>
  <c r="AA10" i="5"/>
  <c r="AA8" i="5"/>
  <c r="Y52" i="5"/>
  <c r="AA47" i="5"/>
  <c r="AC16" i="5"/>
  <c r="AC20" i="5"/>
  <c r="AC47" i="5"/>
  <c r="AC30" i="5"/>
  <c r="AC26" i="5"/>
  <c r="AC24" i="5"/>
  <c r="AA29" i="5"/>
  <c r="AC23" i="5"/>
  <c r="AC29" i="5"/>
  <c r="AC39" i="5"/>
  <c r="AA19" i="5"/>
  <c r="AC48" i="5"/>
  <c r="AC13" i="5"/>
  <c r="AC11" i="5"/>
  <c r="AA16" i="5"/>
  <c r="AA28" i="5"/>
  <c r="AA32" i="5"/>
  <c r="AA30" i="5"/>
  <c r="AC32" i="5"/>
  <c r="AA38" i="5"/>
  <c r="AC14" i="5"/>
  <c r="AA24" i="5"/>
  <c r="AA35" i="5"/>
  <c r="AA13" i="5"/>
  <c r="AA44" i="5"/>
  <c r="AC25" i="5"/>
  <c r="AC44" i="5"/>
  <c r="AA48" i="5"/>
  <c r="AA14" i="5"/>
  <c r="AA18" i="5"/>
  <c r="AA7" i="5"/>
  <c r="AC33" i="5"/>
  <c r="AC43" i="5"/>
  <c r="AA9" i="5"/>
  <c r="AC31" i="5"/>
  <c r="E52" i="5"/>
  <c r="AA36" i="5"/>
  <c r="AC18" i="5"/>
  <c r="AA26" i="5"/>
  <c r="AC8" i="5"/>
  <c r="AA46" i="5"/>
  <c r="AC22" i="5"/>
  <c r="AA11" i="5"/>
  <c r="AA41" i="5"/>
  <c r="AA27" i="5"/>
  <c r="AC12" i="5"/>
  <c r="AC10" i="5"/>
  <c r="AA34" i="5"/>
  <c r="AA33" i="5"/>
  <c r="AC9" i="5"/>
  <c r="AC21" i="5"/>
  <c r="AA15" i="5"/>
  <c r="AC19" i="5"/>
  <c r="AA39" i="5"/>
  <c r="AA40" i="5"/>
  <c r="AA25" i="5"/>
  <c r="AC38" i="5"/>
  <c r="AC17" i="5"/>
  <c r="AC42" i="5"/>
  <c r="AC41" i="5"/>
  <c r="AA21" i="5"/>
  <c r="AA45" i="5"/>
  <c r="AC45" i="5"/>
  <c r="AC46" i="5"/>
  <c r="AC36" i="5"/>
  <c r="AA22" i="5"/>
  <c r="AA12" i="5"/>
  <c r="AC34" i="5"/>
  <c r="AC7" i="5"/>
  <c r="AC37" i="5"/>
  <c r="AC40" i="5"/>
  <c r="AC35" i="5"/>
  <c r="AC15" i="5"/>
  <c r="AA42" i="5"/>
  <c r="AA37" i="5"/>
  <c r="AA17" i="5"/>
  <c r="AC27" i="5"/>
  <c r="AA20" i="5"/>
  <c r="AA43" i="5"/>
  <c r="AC28" i="5"/>
  <c r="O52" i="5"/>
  <c r="AA31" i="5"/>
  <c r="M42" i="20" l="1"/>
  <c r="L51" i="20"/>
  <c r="M36" i="20"/>
  <c r="I22" i="20"/>
  <c r="M43" i="20"/>
  <c r="J15" i="20"/>
  <c r="L27" i="20"/>
  <c r="K30" i="20"/>
  <c r="K34" i="20"/>
  <c r="I18" i="20"/>
  <c r="M39" i="20"/>
  <c r="M20" i="20"/>
  <c r="I16" i="20"/>
  <c r="J52" i="20"/>
  <c r="I17" i="20"/>
  <c r="M47" i="20"/>
  <c r="K52" i="20"/>
  <c r="M51" i="20"/>
  <c r="I39" i="20"/>
  <c r="I25" i="20"/>
  <c r="I32" i="20"/>
  <c r="I52" i="20"/>
  <c r="I48" i="20"/>
  <c r="I29" i="20"/>
  <c r="I45" i="20"/>
  <c r="I23" i="20"/>
  <c r="J36" i="20"/>
  <c r="M28" i="20"/>
  <c r="K24" i="20"/>
  <c r="I19" i="20"/>
  <c r="L40" i="20"/>
  <c r="J40" i="20"/>
  <c r="M18" i="20"/>
  <c r="J22" i="20"/>
  <c r="I21" i="20"/>
  <c r="J25" i="20"/>
  <c r="M41" i="20"/>
  <c r="K18" i="20"/>
  <c r="K38" i="20"/>
  <c r="K26" i="20"/>
  <c r="J13" i="20"/>
  <c r="L13" i="20"/>
  <c r="I9" i="20"/>
  <c r="I28" i="20"/>
  <c r="I42" i="20"/>
  <c r="I26" i="20"/>
  <c r="I43" i="20"/>
  <c r="I36" i="20"/>
  <c r="I46" i="20"/>
  <c r="I49" i="20"/>
  <c r="M32" i="20"/>
  <c r="J38" i="20"/>
  <c r="J11" i="20"/>
  <c r="L18" i="20"/>
  <c r="L16" i="20"/>
  <c r="M10" i="20"/>
  <c r="I13" i="20"/>
  <c r="M33" i="20"/>
  <c r="I11" i="20"/>
  <c r="I35" i="20"/>
  <c r="L26" i="20"/>
  <c r="J45" i="20"/>
  <c r="J18" i="20"/>
  <c r="K36" i="20"/>
  <c r="K40" i="20"/>
  <c r="M46" i="20"/>
  <c r="I14" i="20"/>
  <c r="M49" i="20"/>
  <c r="I15" i="20"/>
  <c r="I30" i="20"/>
  <c r="I47" i="20"/>
  <c r="I38" i="20"/>
  <c r="I50" i="20"/>
  <c r="I51" i="20"/>
  <c r="I34" i="20"/>
  <c r="L34" i="20"/>
  <c r="I10" i="20"/>
  <c r="J48" i="20"/>
  <c r="K51" i="20"/>
  <c r="K29" i="20"/>
  <c r="L46" i="20"/>
  <c r="I31" i="20"/>
  <c r="J16" i="20"/>
  <c r="M12" i="20"/>
  <c r="I20" i="20"/>
  <c r="I12" i="20"/>
  <c r="M27" i="20"/>
  <c r="M45" i="20"/>
  <c r="K31" i="20"/>
  <c r="M14" i="20"/>
  <c r="J20" i="20"/>
  <c r="I27" i="20"/>
  <c r="I44" i="20"/>
  <c r="I37" i="20"/>
  <c r="I33" i="20"/>
  <c r="I41" i="20"/>
  <c r="I40" i="20"/>
  <c r="I24" i="20"/>
  <c r="M44" i="20"/>
  <c r="K42" i="20"/>
  <c r="L9" i="20"/>
  <c r="L25" i="20"/>
  <c r="J46" i="20"/>
  <c r="L47" i="20"/>
  <c r="L15" i="20"/>
  <c r="L31" i="20"/>
  <c r="L48" i="20"/>
  <c r="J41" i="20"/>
  <c r="L10" i="20"/>
  <c r="K20" i="20"/>
  <c r="J37" i="20"/>
  <c r="L23" i="20"/>
  <c r="H22" i="20"/>
  <c r="L35" i="20"/>
  <c r="J43" i="20"/>
  <c r="K28" i="20"/>
  <c r="K14" i="20"/>
  <c r="J35" i="20"/>
  <c r="K47" i="20"/>
  <c r="L49" i="20"/>
  <c r="K15" i="20"/>
  <c r="L33" i="20"/>
  <c r="K37" i="20"/>
  <c r="M52" i="20"/>
  <c r="L17" i="20"/>
  <c r="L37" i="20"/>
  <c r="J50" i="20"/>
  <c r="H18" i="20"/>
  <c r="L11" i="20"/>
  <c r="J44" i="20"/>
  <c r="K45" i="20"/>
  <c r="L52" i="20"/>
  <c r="L21" i="20"/>
  <c r="K22" i="20"/>
  <c r="M17" i="20"/>
  <c r="J29" i="20"/>
  <c r="K32" i="20"/>
  <c r="K39" i="20"/>
  <c r="K48" i="20"/>
  <c r="K16" i="20"/>
  <c r="K43" i="20"/>
  <c r="K35" i="20"/>
  <c r="J14" i="20"/>
  <c r="L50" i="20"/>
  <c r="M13" i="20"/>
  <c r="J42" i="20"/>
  <c r="K50" i="20"/>
  <c r="K46" i="20"/>
  <c r="J9" i="20"/>
  <c r="M19" i="20"/>
  <c r="L45" i="20"/>
  <c r="J49" i="20"/>
  <c r="M48" i="20"/>
  <c r="J21" i="20"/>
  <c r="M30" i="20"/>
  <c r="L30" i="20"/>
  <c r="M9" i="20"/>
  <c r="J24" i="20"/>
  <c r="L24" i="20"/>
  <c r="J28" i="20"/>
  <c r="J47" i="20"/>
  <c r="J33" i="20"/>
  <c r="K21" i="20"/>
  <c r="J34" i="20"/>
  <c r="L12" i="20"/>
  <c r="M35" i="20"/>
  <c r="J32" i="20"/>
  <c r="L43" i="20"/>
  <c r="K49" i="20"/>
  <c r="K25" i="20"/>
  <c r="K33" i="20"/>
  <c r="K9" i="20"/>
  <c r="M23" i="20"/>
  <c r="K27" i="20"/>
  <c r="L14" i="20"/>
  <c r="M21" i="20"/>
  <c r="L41" i="20"/>
  <c r="J10" i="20"/>
  <c r="H40" i="20"/>
  <c r="M16" i="20"/>
  <c r="M15" i="20"/>
  <c r="L44" i="20"/>
  <c r="K44" i="20"/>
  <c r="L38" i="20"/>
  <c r="K12" i="20"/>
  <c r="K17" i="20"/>
  <c r="L28" i="20"/>
  <c r="M26" i="20"/>
  <c r="J30" i="20"/>
  <c r="M34" i="20"/>
  <c r="J27" i="20"/>
  <c r="M38" i="20"/>
  <c r="M37" i="20"/>
  <c r="J19" i="20"/>
  <c r="L19" i="20"/>
  <c r="K10" i="20"/>
  <c r="L32" i="20"/>
  <c r="M29" i="20"/>
  <c r="J17" i="20"/>
  <c r="J12" i="20"/>
  <c r="L36" i="20"/>
  <c r="M40" i="20"/>
  <c r="J31" i="20"/>
  <c r="K11" i="20"/>
  <c r="M50" i="20"/>
  <c r="J23" i="20"/>
  <c r="L22" i="20"/>
  <c r="M24" i="20"/>
  <c r="L29" i="20"/>
  <c r="J51" i="20"/>
  <c r="K41" i="20"/>
  <c r="M11" i="20"/>
  <c r="M31" i="20"/>
  <c r="L39" i="20"/>
  <c r="M25" i="20"/>
  <c r="J39" i="20"/>
  <c r="L42" i="20"/>
  <c r="K19" i="20"/>
  <c r="M22" i="20"/>
  <c r="K23" i="20"/>
  <c r="L20" i="20"/>
  <c r="J26" i="20"/>
  <c r="K13" i="20"/>
  <c r="H50" i="20"/>
  <c r="H46" i="20"/>
  <c r="H48" i="20"/>
  <c r="H28" i="20"/>
  <c r="H20" i="20"/>
  <c r="H13" i="20"/>
  <c r="H51" i="20"/>
  <c r="H49" i="20"/>
  <c r="H33" i="20"/>
  <c r="H23" i="20"/>
  <c r="H31" i="20"/>
  <c r="H47" i="20"/>
  <c r="H30" i="20"/>
  <c r="H10" i="20"/>
  <c r="H39" i="20"/>
  <c r="H38" i="20"/>
  <c r="H32" i="20"/>
  <c r="H25" i="20"/>
  <c r="H37" i="20"/>
  <c r="H34" i="20"/>
  <c r="H29" i="20"/>
  <c r="H41" i="20"/>
  <c r="H16" i="20"/>
  <c r="H24" i="20"/>
  <c r="H52" i="20"/>
  <c r="H27" i="20"/>
  <c r="H17" i="20"/>
  <c r="H9" i="20"/>
  <c r="H43" i="20"/>
  <c r="H42" i="20"/>
  <c r="H45" i="20"/>
  <c r="H35" i="20"/>
  <c r="H36" i="20"/>
  <c r="H19" i="20"/>
  <c r="H15" i="20"/>
  <c r="H11" i="20"/>
  <c r="H14" i="20"/>
  <c r="H12" i="20"/>
  <c r="H21" i="20"/>
  <c r="H26" i="20"/>
  <c r="H44" i="20"/>
  <c r="AC130" i="5"/>
  <c r="G10" i="20"/>
  <c r="G28" i="20"/>
  <c r="G51" i="20"/>
  <c r="F30" i="20"/>
  <c r="F20" i="20"/>
  <c r="G52" i="20"/>
  <c r="G44" i="20"/>
  <c r="G14" i="20"/>
  <c r="F26" i="20"/>
  <c r="F46" i="20"/>
  <c r="F52" i="20"/>
  <c r="G39" i="20"/>
  <c r="G30" i="20"/>
  <c r="G11" i="20"/>
  <c r="G17" i="20"/>
  <c r="G47" i="20"/>
  <c r="G12" i="20"/>
  <c r="F27" i="20"/>
  <c r="F24" i="20"/>
  <c r="F11" i="20"/>
  <c r="G22" i="20"/>
  <c r="G15" i="20"/>
  <c r="G33" i="20"/>
  <c r="F21" i="20"/>
  <c r="F23" i="20"/>
  <c r="G24" i="20"/>
  <c r="G31" i="20"/>
  <c r="G49" i="20"/>
  <c r="G19" i="20"/>
  <c r="F19" i="20"/>
  <c r="F37" i="20"/>
  <c r="F29" i="20"/>
  <c r="F31" i="20"/>
  <c r="G40" i="20"/>
  <c r="G35" i="20"/>
  <c r="F51" i="20"/>
  <c r="F14" i="20"/>
  <c r="F38" i="20"/>
  <c r="F25" i="20"/>
  <c r="F18" i="20"/>
  <c r="F28" i="20"/>
  <c r="F50" i="20"/>
  <c r="F16" i="20"/>
  <c r="G41" i="20"/>
  <c r="G29" i="20"/>
  <c r="G9" i="20"/>
  <c r="F34" i="20"/>
  <c r="F12" i="20"/>
  <c r="G43" i="20"/>
  <c r="F32" i="20"/>
  <c r="F47" i="20"/>
  <c r="F45" i="20"/>
  <c r="F49" i="20"/>
  <c r="F40" i="20"/>
  <c r="F33" i="20"/>
  <c r="F17" i="20"/>
  <c r="F48" i="20"/>
  <c r="G25" i="20"/>
  <c r="F13" i="20"/>
  <c r="F42" i="20"/>
  <c r="G27" i="20"/>
  <c r="F9" i="20"/>
  <c r="F35" i="20"/>
  <c r="F15" i="20"/>
  <c r="G36" i="20"/>
  <c r="G46" i="20"/>
  <c r="G26" i="20"/>
  <c r="F41" i="20"/>
  <c r="F10" i="20"/>
  <c r="G45" i="20"/>
  <c r="G34" i="20"/>
  <c r="G42" i="20"/>
  <c r="G48" i="20"/>
  <c r="G38" i="20"/>
  <c r="F43" i="20"/>
  <c r="G37" i="20"/>
  <c r="G50" i="20"/>
  <c r="G32" i="20"/>
  <c r="G23" i="20"/>
  <c r="F44" i="20"/>
  <c r="G21" i="20"/>
  <c r="G20" i="20"/>
  <c r="F36" i="20"/>
  <c r="F39" i="20"/>
  <c r="G18" i="20"/>
  <c r="G16" i="20"/>
  <c r="F22" i="20"/>
  <c r="G13" i="20"/>
  <c r="AA135" i="5"/>
  <c r="AC132" i="5"/>
  <c r="AA132" i="5"/>
  <c r="AA127" i="5"/>
  <c r="AA126" i="5"/>
  <c r="AA49" i="5"/>
  <c r="AA130" i="5"/>
  <c r="AA133" i="5"/>
  <c r="AC133" i="5"/>
  <c r="AA128" i="5"/>
  <c r="E29" i="20"/>
  <c r="E34" i="20"/>
  <c r="D12" i="20"/>
  <c r="E50" i="20"/>
  <c r="D41" i="20"/>
  <c r="B29" i="20"/>
  <c r="B34" i="20"/>
  <c r="B32" i="20"/>
  <c r="B48" i="20"/>
  <c r="B18" i="20"/>
  <c r="B33" i="20"/>
  <c r="B25" i="20"/>
  <c r="B23" i="20"/>
  <c r="C22" i="20"/>
  <c r="C34" i="20"/>
  <c r="C25" i="20"/>
  <c r="C37" i="20"/>
  <c r="C16" i="20"/>
  <c r="C10" i="20"/>
  <c r="C35" i="20"/>
  <c r="C11" i="20"/>
  <c r="C23" i="20"/>
  <c r="C12" i="20"/>
  <c r="D18" i="20"/>
  <c r="E40" i="20"/>
  <c r="D38" i="20"/>
  <c r="D42" i="20"/>
  <c r="E15" i="20"/>
  <c r="E25" i="20"/>
  <c r="B16" i="20"/>
  <c r="B14" i="20"/>
  <c r="E46" i="20"/>
  <c r="E12" i="20"/>
  <c r="D29" i="20"/>
  <c r="D28" i="20"/>
  <c r="E47" i="20"/>
  <c r="D49" i="20"/>
  <c r="D52" i="20"/>
  <c r="E19" i="20"/>
  <c r="D14" i="20"/>
  <c r="D15" i="20"/>
  <c r="E23" i="20"/>
  <c r="D16" i="20"/>
  <c r="D30" i="20"/>
  <c r="B27" i="20"/>
  <c r="B28" i="20"/>
  <c r="B13" i="20"/>
  <c r="B47" i="20"/>
  <c r="B15" i="20"/>
  <c r="B40" i="20"/>
  <c r="B26" i="20"/>
  <c r="B24" i="20"/>
  <c r="B42" i="20"/>
  <c r="C31" i="20"/>
  <c r="C39" i="20"/>
  <c r="C29" i="20"/>
  <c r="C48" i="20"/>
  <c r="C46" i="20"/>
  <c r="E13" i="20"/>
  <c r="D25" i="20"/>
  <c r="E48" i="20"/>
  <c r="E31" i="20"/>
  <c r="E33" i="20"/>
  <c r="D51" i="20"/>
  <c r="D22" i="20"/>
  <c r="D46" i="20"/>
  <c r="D43" i="20"/>
  <c r="D47" i="20"/>
  <c r="E17" i="20"/>
  <c r="D31" i="20"/>
  <c r="E9" i="20"/>
  <c r="E27" i="20"/>
  <c r="E35" i="20"/>
  <c r="B22" i="20"/>
  <c r="E32" i="20"/>
  <c r="B49" i="20"/>
  <c r="B35" i="20"/>
  <c r="B50" i="20"/>
  <c r="C32" i="20"/>
  <c r="C49" i="20"/>
  <c r="C17" i="20"/>
  <c r="C44" i="20"/>
  <c r="C20" i="20"/>
  <c r="E20" i="20"/>
  <c r="D10" i="20"/>
  <c r="D40" i="20"/>
  <c r="E30" i="20"/>
  <c r="D23" i="20"/>
  <c r="E22" i="20"/>
  <c r="E51" i="20"/>
  <c r="B39" i="20"/>
  <c r="D24" i="20"/>
  <c r="D11" i="20"/>
  <c r="E16" i="20"/>
  <c r="B17" i="20"/>
  <c r="D36" i="20"/>
  <c r="B21" i="20"/>
  <c r="B11" i="20"/>
  <c r="B46" i="20"/>
  <c r="B12" i="20"/>
  <c r="B44" i="20"/>
  <c r="B41" i="20"/>
  <c r="B38" i="20"/>
  <c r="B10" i="20"/>
  <c r="B30" i="20"/>
  <c r="C38" i="20"/>
  <c r="C24" i="20"/>
  <c r="C50" i="20"/>
  <c r="C26" i="20"/>
  <c r="C42" i="20"/>
  <c r="C15" i="20"/>
  <c r="C19" i="20"/>
  <c r="C18" i="20"/>
  <c r="C47" i="20"/>
  <c r="C43" i="20"/>
  <c r="C40" i="20"/>
  <c r="D45" i="20"/>
  <c r="E18" i="20"/>
  <c r="D20" i="20"/>
  <c r="E45" i="20"/>
  <c r="E52" i="20"/>
  <c r="D19" i="20"/>
  <c r="D39" i="20"/>
  <c r="E44" i="20"/>
  <c r="D21" i="20"/>
  <c r="E43" i="20"/>
  <c r="D13" i="20"/>
  <c r="E24" i="20"/>
  <c r="E36" i="20"/>
  <c r="D35" i="20"/>
  <c r="D26" i="20"/>
  <c r="E11" i="20"/>
  <c r="E28" i="20"/>
  <c r="D50" i="20"/>
  <c r="E41" i="20"/>
  <c r="E37" i="20"/>
  <c r="B51" i="20"/>
  <c r="D48" i="20"/>
  <c r="E21" i="20"/>
  <c r="E26" i="20"/>
  <c r="B43" i="20"/>
  <c r="B9" i="20"/>
  <c r="B36" i="20"/>
  <c r="C13" i="20"/>
  <c r="C14" i="20"/>
  <c r="C41" i="20"/>
  <c r="C45" i="20"/>
  <c r="C33" i="20"/>
  <c r="C27" i="20"/>
  <c r="D27" i="20"/>
  <c r="D17" i="20"/>
  <c r="D9" i="20"/>
  <c r="D33" i="20"/>
  <c r="E49" i="20"/>
  <c r="D44" i="20"/>
  <c r="C28" i="20"/>
  <c r="B37" i="20"/>
  <c r="B45" i="20"/>
  <c r="B31" i="20"/>
  <c r="B20" i="20"/>
  <c r="B52" i="20"/>
  <c r="C21" i="20"/>
  <c r="C9" i="20"/>
  <c r="C36" i="20"/>
  <c r="C51" i="20"/>
  <c r="C30" i="20"/>
  <c r="C52" i="20"/>
  <c r="E38" i="20"/>
  <c r="D37" i="20"/>
  <c r="E42" i="20"/>
  <c r="D32" i="20"/>
  <c r="D34" i="20"/>
  <c r="E14" i="20"/>
  <c r="E39" i="20"/>
  <c r="E10" i="20"/>
  <c r="B19" i="20"/>
  <c r="AA136" i="5"/>
  <c r="AA134" i="5"/>
  <c r="AA129" i="5"/>
  <c r="AC136" i="5"/>
  <c r="G151" i="5"/>
  <c r="F153" i="5"/>
  <c r="AC131" i="5"/>
  <c r="AC128" i="5"/>
  <c r="AC49" i="5"/>
  <c r="AC126" i="5"/>
  <c r="AC129" i="5"/>
  <c r="AA131" i="5"/>
  <c r="AC135" i="5"/>
  <c r="AC127" i="5"/>
  <c r="AC134" i="5"/>
  <c r="AB247" i="21" l="1" a="1"/>
  <c r="AB247" i="21" s="1"/>
  <c r="AB248" i="21" a="1"/>
  <c r="AB248" i="21" s="1"/>
  <c r="AC247" i="21" a="1"/>
  <c r="AC247" i="21" s="1"/>
  <c r="AC248" i="21" a="1"/>
  <c r="AC248" i="21" s="1"/>
  <c r="AB249" i="21" a="1"/>
  <c r="AB249" i="21" s="1"/>
  <c r="AB260" i="21" a="1"/>
  <c r="AB260" i="21" s="1"/>
  <c r="AB251" i="21" a="1"/>
  <c r="AB251" i="21" s="1"/>
  <c r="AB267" i="21" a="1"/>
  <c r="AB267" i="21" s="1"/>
  <c r="AB266" i="21" a="1"/>
  <c r="AB266" i="21" s="1"/>
  <c r="AB263" i="21" a="1"/>
  <c r="AB263" i="21" s="1"/>
  <c r="AB253" i="21" a="1"/>
  <c r="AB253" i="21" s="1"/>
  <c r="AB252" i="21" a="1"/>
  <c r="AB252" i="21" s="1"/>
  <c r="AB250" i="21" a="1"/>
  <c r="AB250" i="21" s="1"/>
  <c r="AB258" i="21" a="1"/>
  <c r="AB258" i="21" s="1"/>
  <c r="AB265" i="21" a="1"/>
  <c r="AB265" i="21" s="1"/>
  <c r="AB254" i="21" a="1"/>
  <c r="AB254" i="21" s="1"/>
  <c r="AB259" i="21" a="1"/>
  <c r="AB259" i="21" s="1"/>
  <c r="AB269" i="21" a="1"/>
  <c r="AB269" i="21" s="1"/>
  <c r="AB261" i="21" a="1"/>
  <c r="AB261" i="21" s="1"/>
  <c r="AB262" i="21" a="1"/>
  <c r="AB262" i="21" s="1"/>
  <c r="AB256" i="21" a="1"/>
  <c r="AB256" i="21" s="1"/>
  <c r="AB257" i="21" a="1"/>
  <c r="AB257" i="21" s="1"/>
  <c r="AB255" i="21" a="1"/>
  <c r="AB255" i="21" s="1"/>
  <c r="AB268" i="21" a="1"/>
  <c r="AB268" i="21" s="1"/>
  <c r="AB264" i="21" a="1"/>
  <c r="AB264" i="21" s="1"/>
  <c r="AC250" i="21" a="1"/>
  <c r="AC250" i="21" s="1"/>
  <c r="AC255" i="21" a="1"/>
  <c r="AC255" i="21" s="1"/>
  <c r="AC258" i="21" a="1"/>
  <c r="AC258" i="21" s="1"/>
  <c r="AC251" i="21" a="1"/>
  <c r="AC251" i="21" s="1"/>
  <c r="AC261" i="21" a="1"/>
  <c r="AC261" i="21" s="1"/>
  <c r="AC259" i="21" a="1"/>
  <c r="AC259" i="21" s="1"/>
  <c r="AC252" i="21" a="1"/>
  <c r="AC252" i="21" s="1"/>
  <c r="AC264" i="21" a="1"/>
  <c r="AC264" i="21" s="1"/>
  <c r="AC263" i="21" a="1"/>
  <c r="AC263" i="21" s="1"/>
  <c r="AC254" i="21" a="1"/>
  <c r="AC254" i="21" s="1"/>
  <c r="AC260" i="21" a="1"/>
  <c r="AC260" i="21" s="1"/>
  <c r="AC266" i="21" a="1"/>
  <c r="AC266" i="21" s="1"/>
  <c r="AC249" i="21" a="1"/>
  <c r="AC249" i="21" s="1"/>
  <c r="AC256" i="21" a="1"/>
  <c r="AC256" i="21" s="1"/>
  <c r="AC253" i="21" a="1"/>
  <c r="AC253" i="21" s="1"/>
  <c r="AC257" i="21" a="1"/>
  <c r="AC257" i="21" s="1"/>
  <c r="AC265" i="21" a="1"/>
  <c r="AC265" i="21" s="1"/>
  <c r="AC262" i="21" a="1"/>
  <c r="AC262" i="21" s="1"/>
  <c r="AB270" i="21" a="1"/>
  <c r="AB270" i="21" s="1"/>
  <c r="AB273" i="21" a="1"/>
  <c r="AB273" i="21" s="1"/>
  <c r="AB275" i="21" a="1"/>
  <c r="AB275" i="21" s="1"/>
  <c r="AB272" i="21" a="1"/>
  <c r="AB272" i="21" s="1"/>
  <c r="AB271" i="21" a="1"/>
  <c r="AB271" i="21" s="1"/>
  <c r="AB276" i="21" a="1"/>
  <c r="AB276" i="21" s="1"/>
  <c r="AB274" i="21" a="1"/>
  <c r="AB274" i="21" s="1"/>
  <c r="AC268" i="21" a="1"/>
  <c r="AC268" i="21" s="1"/>
  <c r="AC267" i="21" a="1"/>
  <c r="AC267" i="21" s="1"/>
  <c r="AC275" i="21" a="1"/>
  <c r="AC275" i="21" s="1"/>
  <c r="AC271" i="21" a="1"/>
  <c r="AC271" i="21" s="1"/>
  <c r="AC270" i="21" a="1"/>
  <c r="AC270" i="21" s="1"/>
  <c r="AC273" i="21" a="1"/>
  <c r="AC273" i="21" s="1"/>
  <c r="AC272" i="21" a="1"/>
  <c r="AC272" i="21" s="1"/>
  <c r="AC274" i="21" a="1"/>
  <c r="AC274" i="21" s="1"/>
  <c r="AC276" i="21" a="1"/>
  <c r="AC276" i="21" s="1"/>
  <c r="AC269" i="21" a="1"/>
  <c r="AC269" i="21" s="1"/>
  <c r="B178" i="21" a="1"/>
  <c r="B231" i="21" a="1"/>
  <c r="B284" i="21" a="1"/>
  <c r="B126" i="21" a="1"/>
  <c r="O178" i="21" a="1"/>
  <c r="O231" i="21" a="1"/>
  <c r="O284" i="21" a="1"/>
  <c r="O126" i="21" a="1"/>
  <c r="AB207" i="21" a="1"/>
  <c r="AB207" i="21" s="1"/>
  <c r="AB202" i="21" a="1"/>
  <c r="AB202" i="21" s="1"/>
  <c r="AB200" i="21" a="1"/>
  <c r="AB200" i="21" s="1"/>
  <c r="AB198" i="21" a="1"/>
  <c r="AB198" i="21" s="1"/>
  <c r="AB203" i="21" a="1"/>
  <c r="AB203" i="21" s="1"/>
  <c r="AB199" i="21" a="1"/>
  <c r="AB199" i="21" s="1"/>
  <c r="AB208" i="21" a="1"/>
  <c r="AB208" i="21" s="1"/>
  <c r="AB201" i="21" a="1"/>
  <c r="AB201" i="21" s="1"/>
  <c r="AB204" i="21" a="1"/>
  <c r="AB204" i="21" s="1"/>
  <c r="AB205" i="21" a="1"/>
  <c r="AB205" i="21" s="1"/>
  <c r="AB209" i="21" a="1"/>
  <c r="AB209" i="21" s="1"/>
  <c r="AB206" i="21" a="1"/>
  <c r="AB206" i="21" s="1"/>
  <c r="AC202" i="21" a="1"/>
  <c r="AC202" i="21" s="1"/>
  <c r="AC205" i="21" a="1"/>
  <c r="AC205" i="21" s="1"/>
  <c r="AC209" i="21" a="1"/>
  <c r="AC209" i="21" s="1"/>
  <c r="AC200" i="21" a="1"/>
  <c r="AC200" i="21" s="1"/>
  <c r="AC198" i="21" a="1"/>
  <c r="AC198" i="21" s="1"/>
  <c r="AC206" i="21" a="1"/>
  <c r="AC206" i="21" s="1"/>
  <c r="AC204" i="21" a="1"/>
  <c r="AC204" i="21" s="1"/>
  <c r="AC208" i="21" a="1"/>
  <c r="AC208" i="21" s="1"/>
  <c r="AC203" i="21" a="1"/>
  <c r="AC203" i="21" s="1"/>
  <c r="AC201" i="21" a="1"/>
  <c r="AC201" i="21" s="1"/>
  <c r="AC207" i="21" a="1"/>
  <c r="AC207" i="21" s="1"/>
  <c r="AC199" i="21" a="1"/>
  <c r="AC199" i="21" s="1"/>
  <c r="B74" i="21" a="1"/>
  <c r="O74" i="21" a="1"/>
  <c r="AB210" i="21" a="1"/>
  <c r="AB210" i="21" s="1"/>
  <c r="AB217" i="21" a="1"/>
  <c r="AB217" i="21" s="1"/>
  <c r="AB218" i="21" a="1"/>
  <c r="AB218" i="21" s="1"/>
  <c r="AB211" i="21" a="1"/>
  <c r="AB211" i="21" s="1"/>
  <c r="AB223" i="21" a="1"/>
  <c r="AB223" i="21" s="1"/>
  <c r="AB222" i="21" a="1"/>
  <c r="AB222" i="21" s="1"/>
  <c r="AB216" i="21" a="1"/>
  <c r="AB216" i="21" s="1"/>
  <c r="AB215" i="21" a="1"/>
  <c r="AB215" i="21" s="1"/>
  <c r="AB221" i="21" a="1"/>
  <c r="AB221" i="21" s="1"/>
  <c r="AB220" i="21" a="1"/>
  <c r="AB220" i="21" s="1"/>
  <c r="AB212" i="21" a="1"/>
  <c r="AB212" i="21" s="1"/>
  <c r="AB213" i="21" a="1"/>
  <c r="AB213" i="21" s="1"/>
  <c r="AB214" i="21" a="1"/>
  <c r="AB214" i="21" s="1"/>
  <c r="AB219" i="21" a="1"/>
  <c r="AB219" i="21" s="1"/>
  <c r="AC215" i="21" a="1"/>
  <c r="AC215" i="21" s="1"/>
  <c r="AC222" i="21" a="1"/>
  <c r="AC222" i="21" s="1"/>
  <c r="AC212" i="21" a="1"/>
  <c r="AC212" i="21" s="1"/>
  <c r="AC219" i="21" a="1"/>
  <c r="AC219" i="21" s="1"/>
  <c r="AC214" i="21" a="1"/>
  <c r="AC214" i="21" s="1"/>
  <c r="AC213" i="21" a="1"/>
  <c r="AC213" i="21" s="1"/>
  <c r="AC220" i="21" a="1"/>
  <c r="AC220" i="21" s="1"/>
  <c r="AC211" i="21" a="1"/>
  <c r="AC211" i="21" s="1"/>
  <c r="AC223" i="21" a="1"/>
  <c r="AC223" i="21" s="1"/>
  <c r="AC216" i="21" a="1"/>
  <c r="AC216" i="21" s="1"/>
  <c r="AC218" i="21" a="1"/>
  <c r="AC218" i="21" s="1"/>
  <c r="AC210" i="21" a="1"/>
  <c r="AC210" i="21" s="1"/>
  <c r="AC221" i="21" a="1"/>
  <c r="AC221" i="21" s="1"/>
  <c r="AC217" i="21" a="1"/>
  <c r="AC217" i="21" s="1"/>
  <c r="AA137" i="5"/>
  <c r="AC137" i="5"/>
  <c r="G153" i="5"/>
  <c r="H143" i="5"/>
  <c r="H147" i="5"/>
  <c r="H151" i="5"/>
  <c r="Y126" i="21" l="1"/>
  <c r="T126" i="21"/>
  <c r="S126" i="21"/>
  <c r="R126" i="21"/>
  <c r="U126" i="21"/>
  <c r="V126" i="21"/>
  <c r="W126" i="21"/>
  <c r="Q126" i="21"/>
  <c r="P126" i="21"/>
  <c r="X126" i="21"/>
  <c r="O126" i="21"/>
  <c r="X284" i="21"/>
  <c r="Y284" i="21"/>
  <c r="Q284" i="21"/>
  <c r="W284" i="21"/>
  <c r="S284" i="21"/>
  <c r="R284" i="21"/>
  <c r="U284" i="21"/>
  <c r="O284" i="21"/>
  <c r="V284" i="21"/>
  <c r="P284" i="21"/>
  <c r="T284" i="21"/>
  <c r="Y231" i="21"/>
  <c r="V231" i="21"/>
  <c r="T231" i="21"/>
  <c r="Q231" i="21"/>
  <c r="P231" i="21"/>
  <c r="S231" i="21"/>
  <c r="X231" i="21"/>
  <c r="U231" i="21"/>
  <c r="W231" i="21"/>
  <c r="R231" i="21"/>
  <c r="O231" i="21"/>
  <c r="X178" i="21"/>
  <c r="Y178" i="21"/>
  <c r="Q178" i="21"/>
  <c r="O178" i="21"/>
  <c r="R178" i="21"/>
  <c r="P178" i="21"/>
  <c r="U178" i="21"/>
  <c r="S178" i="21"/>
  <c r="W178" i="21"/>
  <c r="V178" i="21"/>
  <c r="T178" i="21"/>
  <c r="H126" i="21"/>
  <c r="C126" i="21"/>
  <c r="K126" i="21"/>
  <c r="B126" i="21"/>
  <c r="J126" i="21"/>
  <c r="G126" i="21"/>
  <c r="D126" i="21"/>
  <c r="L126" i="21"/>
  <c r="E126" i="21"/>
  <c r="F126" i="21"/>
  <c r="I126" i="21"/>
  <c r="G284" i="21"/>
  <c r="H284" i="21"/>
  <c r="J284" i="21"/>
  <c r="C284" i="21"/>
  <c r="E284" i="21"/>
  <c r="D284" i="21"/>
  <c r="B284" i="21"/>
  <c r="I284" i="21"/>
  <c r="L284" i="21"/>
  <c r="K284" i="21"/>
  <c r="F284" i="21"/>
  <c r="H231" i="21"/>
  <c r="K231" i="21"/>
  <c r="G231" i="21"/>
  <c r="J231" i="21"/>
  <c r="E231" i="21"/>
  <c r="I231" i="21"/>
  <c r="B231" i="21"/>
  <c r="D231" i="21"/>
  <c r="L231" i="21"/>
  <c r="F231" i="21"/>
  <c r="C231" i="21"/>
  <c r="G178" i="21"/>
  <c r="J178" i="21"/>
  <c r="I178" i="21"/>
  <c r="E178" i="21"/>
  <c r="D178" i="21"/>
  <c r="B178" i="21"/>
  <c r="F178" i="21"/>
  <c r="L178" i="21"/>
  <c r="C178" i="21"/>
  <c r="K178" i="21"/>
  <c r="H178" i="21"/>
  <c r="Y74" i="21"/>
  <c r="S74" i="21"/>
  <c r="Q74" i="21"/>
  <c r="T74" i="21"/>
  <c r="O74" i="21"/>
  <c r="W74" i="21"/>
  <c r="P74" i="21"/>
  <c r="V74" i="21"/>
  <c r="X74" i="21"/>
  <c r="U74" i="21"/>
  <c r="R74" i="21"/>
  <c r="H74" i="21"/>
  <c r="E74" i="21"/>
  <c r="J74" i="21"/>
  <c r="C74" i="21"/>
  <c r="K74" i="21"/>
  <c r="F74" i="21"/>
  <c r="G74" i="21"/>
  <c r="D74" i="21"/>
  <c r="L74" i="21"/>
  <c r="I74" i="21"/>
  <c r="B74" i="21"/>
  <c r="H153" i="5"/>
  <c r="M129" i="21" l="1"/>
  <c r="M133" i="21"/>
  <c r="M137" i="21"/>
  <c r="M141" i="21"/>
  <c r="M145" i="21"/>
  <c r="M149" i="21"/>
  <c r="M153" i="21"/>
  <c r="M157" i="21"/>
  <c r="M161" i="21"/>
  <c r="M165" i="21"/>
  <c r="M169" i="21"/>
  <c r="M130" i="21"/>
  <c r="M134" i="21"/>
  <c r="M138" i="21"/>
  <c r="M142" i="21"/>
  <c r="M146" i="21"/>
  <c r="M150" i="21"/>
  <c r="M154" i="21"/>
  <c r="M158" i="21"/>
  <c r="M162" i="21"/>
  <c r="M166" i="21"/>
  <c r="M170" i="21"/>
  <c r="M131" i="21"/>
  <c r="M135" i="21"/>
  <c r="M139" i="21"/>
  <c r="M143" i="21"/>
  <c r="M147" i="21"/>
  <c r="M151" i="21"/>
  <c r="M155" i="21"/>
  <c r="M159" i="21"/>
  <c r="M163" i="21"/>
  <c r="M167" i="21"/>
  <c r="M171" i="21"/>
  <c r="M136" i="21"/>
  <c r="M152" i="21"/>
  <c r="M168" i="21"/>
  <c r="M140" i="21"/>
  <c r="M156" i="21"/>
  <c r="M128" i="21"/>
  <c r="M144" i="21"/>
  <c r="M160" i="21"/>
  <c r="M132" i="21"/>
  <c r="M148" i="21"/>
  <c r="M164" i="21"/>
  <c r="M287" i="21"/>
  <c r="M291" i="21"/>
  <c r="M295" i="21"/>
  <c r="M299" i="21"/>
  <c r="M303" i="21"/>
  <c r="M307" i="21"/>
  <c r="M311" i="21"/>
  <c r="M315" i="21"/>
  <c r="M319" i="21"/>
  <c r="M323" i="21"/>
  <c r="M327" i="21"/>
  <c r="M288" i="21"/>
  <c r="M292" i="21"/>
  <c r="M296" i="21"/>
  <c r="M300" i="21"/>
  <c r="M304" i="21"/>
  <c r="M308" i="21"/>
  <c r="M312" i="21"/>
  <c r="M316" i="21"/>
  <c r="M320" i="21"/>
  <c r="M324" i="21"/>
  <c r="M328" i="21"/>
  <c r="M289" i="21"/>
  <c r="M293" i="21"/>
  <c r="M297" i="21"/>
  <c r="M301" i="21"/>
  <c r="M305" i="21"/>
  <c r="M309" i="21"/>
  <c r="M313" i="21"/>
  <c r="M317" i="21"/>
  <c r="M321" i="21"/>
  <c r="M325" i="21"/>
  <c r="M329" i="21"/>
  <c r="M318" i="21"/>
  <c r="M298" i="21"/>
  <c r="M310" i="21"/>
  <c r="M286" i="21"/>
  <c r="M290" i="21"/>
  <c r="M322" i="21"/>
  <c r="M302" i="21"/>
  <c r="M314" i="21"/>
  <c r="M294" i="21"/>
  <c r="M326" i="21"/>
  <c r="M306" i="21"/>
  <c r="Z181" i="21"/>
  <c r="Z185" i="21"/>
  <c r="Z189" i="21"/>
  <c r="Z193" i="21"/>
  <c r="Z197" i="21"/>
  <c r="Z201" i="21"/>
  <c r="Z205" i="21"/>
  <c r="Z209" i="21"/>
  <c r="Z213" i="21"/>
  <c r="Z217" i="21"/>
  <c r="Z221" i="21"/>
  <c r="Z182" i="21"/>
  <c r="Z186" i="21"/>
  <c r="Z190" i="21"/>
  <c r="Z194" i="21"/>
  <c r="Z198" i="21"/>
  <c r="Z202" i="21"/>
  <c r="Z206" i="21"/>
  <c r="Z210" i="21"/>
  <c r="Z214" i="21"/>
  <c r="Z218" i="21"/>
  <c r="Z222" i="21"/>
  <c r="Z183" i="21"/>
  <c r="Z187" i="21"/>
  <c r="Z195" i="21"/>
  <c r="Z203" i="21"/>
  <c r="Z211" i="21"/>
  <c r="Z219" i="21"/>
  <c r="Z188" i="21"/>
  <c r="Z196" i="21"/>
  <c r="Z204" i="21"/>
  <c r="Z212" i="21"/>
  <c r="Z220" i="21"/>
  <c r="Z191" i="21"/>
  <c r="Z199" i="21"/>
  <c r="Z207" i="21"/>
  <c r="Z215" i="21"/>
  <c r="Z223" i="21"/>
  <c r="Z192" i="21"/>
  <c r="Z200" i="21"/>
  <c r="Z208" i="21"/>
  <c r="Z216" i="21"/>
  <c r="Z184" i="21"/>
  <c r="Z180" i="21"/>
  <c r="M181" i="21"/>
  <c r="M185" i="21"/>
  <c r="M189" i="21"/>
  <c r="M193" i="21"/>
  <c r="M197" i="21"/>
  <c r="M201" i="21"/>
  <c r="M205" i="21"/>
  <c r="M209" i="21"/>
  <c r="M182" i="21"/>
  <c r="M186" i="21"/>
  <c r="M190" i="21"/>
  <c r="M194" i="21"/>
  <c r="M198" i="21"/>
  <c r="M202" i="21"/>
  <c r="M206" i="21"/>
  <c r="M210" i="21"/>
  <c r="M183" i="21"/>
  <c r="M191" i="21"/>
  <c r="M199" i="21"/>
  <c r="M207" i="21"/>
  <c r="M213" i="21"/>
  <c r="Q42" i="15" s="1"/>
  <c r="M217" i="21"/>
  <c r="Q46" i="15" s="1"/>
  <c r="M221" i="21"/>
  <c r="Q50" i="15" s="1"/>
  <c r="M184" i="21"/>
  <c r="M192" i="21"/>
  <c r="M200" i="21"/>
  <c r="M208" i="21"/>
  <c r="M214" i="21"/>
  <c r="M218" i="21"/>
  <c r="M222" i="21"/>
  <c r="M187" i="21"/>
  <c r="M195" i="21"/>
  <c r="M203" i="21"/>
  <c r="M215" i="21"/>
  <c r="M219" i="21"/>
  <c r="M223" i="21"/>
  <c r="M188" i="21"/>
  <c r="M196" i="21"/>
  <c r="M204" i="21"/>
  <c r="M211" i="21"/>
  <c r="M212" i="21"/>
  <c r="M216" i="21"/>
  <c r="M220" i="21"/>
  <c r="M180" i="21"/>
  <c r="Z287" i="21"/>
  <c r="Z291" i="21"/>
  <c r="Z295" i="21"/>
  <c r="Z299" i="21"/>
  <c r="Z303" i="21"/>
  <c r="Z307" i="21"/>
  <c r="Z311" i="21"/>
  <c r="Z315" i="21"/>
  <c r="Z319" i="21"/>
  <c r="Z323" i="21"/>
  <c r="Z327" i="21"/>
  <c r="Z288" i="21"/>
  <c r="Z292" i="21"/>
  <c r="Z296" i="21"/>
  <c r="Z300" i="21"/>
  <c r="Z304" i="21"/>
  <c r="Z308" i="21"/>
  <c r="Z312" i="21"/>
  <c r="Z316" i="21"/>
  <c r="Z320" i="21"/>
  <c r="Z324" i="21"/>
  <c r="Z328" i="21"/>
  <c r="Z289" i="21"/>
  <c r="Z293" i="21"/>
  <c r="Z297" i="21"/>
  <c r="Z301" i="21"/>
  <c r="Z305" i="21"/>
  <c r="Z309" i="21"/>
  <c r="Z313" i="21"/>
  <c r="Z317" i="21"/>
  <c r="Z321" i="21"/>
  <c r="Z325" i="21"/>
  <c r="Z329" i="21"/>
  <c r="Z302" i="21"/>
  <c r="Z318" i="21"/>
  <c r="Z286" i="21"/>
  <c r="Z290" i="21"/>
  <c r="Z306" i="21"/>
  <c r="Z322" i="21"/>
  <c r="Z294" i="21"/>
  <c r="Z310" i="21"/>
  <c r="Z326" i="21"/>
  <c r="Z298" i="21"/>
  <c r="Z314" i="21"/>
  <c r="Z129" i="21"/>
  <c r="Z133" i="21"/>
  <c r="Z137" i="21"/>
  <c r="Z141" i="21"/>
  <c r="Z145" i="21"/>
  <c r="Z149" i="21"/>
  <c r="Z153" i="21"/>
  <c r="Z157" i="21"/>
  <c r="Z161" i="21"/>
  <c r="Z165" i="21"/>
  <c r="Z169" i="21"/>
  <c r="Z130" i="21"/>
  <c r="Z134" i="21"/>
  <c r="Z138" i="21"/>
  <c r="Z142" i="21"/>
  <c r="Z146" i="21"/>
  <c r="Z150" i="21"/>
  <c r="Z154" i="21"/>
  <c r="Z158" i="21"/>
  <c r="Z162" i="21"/>
  <c r="Z166" i="21"/>
  <c r="Z170" i="21"/>
  <c r="Z131" i="21"/>
  <c r="Z135" i="21"/>
  <c r="Z139" i="21"/>
  <c r="Z143" i="21"/>
  <c r="Z147" i="21"/>
  <c r="Z151" i="21"/>
  <c r="Z155" i="21"/>
  <c r="Z159" i="21"/>
  <c r="Z163" i="21"/>
  <c r="Z167" i="21"/>
  <c r="Z171" i="21"/>
  <c r="Z140" i="21"/>
  <c r="Z156" i="21"/>
  <c r="Z128" i="21"/>
  <c r="Z144" i="21"/>
  <c r="Z160" i="21"/>
  <c r="Z132" i="21"/>
  <c r="Z148" i="21"/>
  <c r="Z164" i="21"/>
  <c r="Z136" i="21"/>
  <c r="Z152" i="21"/>
  <c r="Z168" i="21"/>
  <c r="M234" i="21"/>
  <c r="M238" i="21"/>
  <c r="M242" i="21"/>
  <c r="M246" i="21"/>
  <c r="M250" i="21"/>
  <c r="M254" i="21"/>
  <c r="M258" i="21"/>
  <c r="M262" i="21"/>
  <c r="M266" i="21"/>
  <c r="M270" i="21"/>
  <c r="M274" i="21"/>
  <c r="M235" i="21"/>
  <c r="M239" i="21"/>
  <c r="M243" i="21"/>
  <c r="M247" i="21"/>
  <c r="M251" i="21"/>
  <c r="M255" i="21"/>
  <c r="M259" i="21"/>
  <c r="M263" i="21"/>
  <c r="M267" i="21"/>
  <c r="M271" i="21"/>
  <c r="M275" i="21"/>
  <c r="M236" i="21"/>
  <c r="M240" i="21"/>
  <c r="M244" i="21"/>
  <c r="M248" i="21"/>
  <c r="M252" i="21"/>
  <c r="M256" i="21"/>
  <c r="M260" i="21"/>
  <c r="M264" i="21"/>
  <c r="M268" i="21"/>
  <c r="M272" i="21"/>
  <c r="M276" i="21"/>
  <c r="M253" i="21"/>
  <c r="M265" i="21"/>
  <c r="M245" i="21"/>
  <c r="M257" i="21"/>
  <c r="M233" i="21"/>
  <c r="M237" i="21"/>
  <c r="M269" i="21"/>
  <c r="M249" i="21"/>
  <c r="M261" i="21"/>
  <c r="M241" i="21"/>
  <c r="M273" i="21"/>
  <c r="Z234" i="21"/>
  <c r="Z238" i="21"/>
  <c r="Z242" i="21"/>
  <c r="Z246" i="21"/>
  <c r="Z250" i="21"/>
  <c r="Z254" i="21"/>
  <c r="Z258" i="21"/>
  <c r="Z262" i="21"/>
  <c r="Z266" i="21"/>
  <c r="Z270" i="21"/>
  <c r="Z274" i="21"/>
  <c r="Z235" i="21"/>
  <c r="Z239" i="21"/>
  <c r="Z243" i="21"/>
  <c r="Z247" i="21"/>
  <c r="Z251" i="21"/>
  <c r="Z255" i="21"/>
  <c r="Z259" i="21"/>
  <c r="Z263" i="21"/>
  <c r="Z267" i="21"/>
  <c r="Z271" i="21"/>
  <c r="Z275" i="21"/>
  <c r="Z236" i="21"/>
  <c r="Z240" i="21"/>
  <c r="Z244" i="21"/>
  <c r="Z248" i="21"/>
  <c r="Z252" i="21"/>
  <c r="Z256" i="21"/>
  <c r="Z260" i="21"/>
  <c r="Z264" i="21"/>
  <c r="Z268" i="21"/>
  <c r="Z272" i="21"/>
  <c r="Z276" i="21"/>
  <c r="Z241" i="21"/>
  <c r="Z273" i="21"/>
  <c r="Z253" i="21"/>
  <c r="Z265" i="21"/>
  <c r="Z245" i="21"/>
  <c r="Z257" i="21"/>
  <c r="Z233" i="21"/>
  <c r="Z237" i="21"/>
  <c r="Z269" i="21"/>
  <c r="Z249" i="21"/>
  <c r="Z261" i="21"/>
  <c r="AE136" i="21"/>
  <c r="AF314" i="21"/>
  <c r="AF136" i="21"/>
  <c r="AF132" i="21"/>
  <c r="AF318" i="21"/>
  <c r="AF112" i="21"/>
  <c r="AF286" i="21"/>
  <c r="AF108" i="21"/>
  <c r="AF245" i="21"/>
  <c r="AF96" i="21"/>
  <c r="AF204" i="21"/>
  <c r="AF86" i="21"/>
  <c r="AF237" i="21"/>
  <c r="AF164" i="21"/>
  <c r="AF94" i="21"/>
  <c r="AF180" i="21"/>
  <c r="AF249" i="21"/>
  <c r="AF257" i="21"/>
  <c r="AF104" i="21"/>
  <c r="AF208" i="21"/>
  <c r="AF265" i="21"/>
  <c r="AF160" i="21"/>
  <c r="AF97" i="21"/>
  <c r="AF137" i="21"/>
  <c r="AF169" i="21"/>
  <c r="AF209" i="21"/>
  <c r="AF250" i="21"/>
  <c r="AF291" i="21"/>
  <c r="AF323" i="21"/>
  <c r="AF182" i="21"/>
  <c r="AF214" i="21"/>
  <c r="AF255" i="21"/>
  <c r="AF296" i="21"/>
  <c r="AF328" i="21"/>
  <c r="AF166" i="21"/>
  <c r="AF107" i="21"/>
  <c r="AF147" i="21"/>
  <c r="AF187" i="21"/>
  <c r="AF219" i="21"/>
  <c r="AF264" i="21"/>
  <c r="AF305" i="21"/>
  <c r="AF212" i="21"/>
  <c r="AF298" i="21"/>
  <c r="AF128" i="21"/>
  <c r="AF82" i="21"/>
  <c r="AF306" i="21"/>
  <c r="AF200" i="21"/>
  <c r="AF101" i="21"/>
  <c r="AF141" i="21"/>
  <c r="AF181" i="21"/>
  <c r="AF213" i="21"/>
  <c r="AF254" i="21"/>
  <c r="AF295" i="21"/>
  <c r="AF327" i="21"/>
  <c r="AF102" i="21"/>
  <c r="AF186" i="21"/>
  <c r="AF218" i="21"/>
  <c r="AF259" i="21"/>
  <c r="AF300" i="21"/>
  <c r="AF106" i="21"/>
  <c r="AF79" i="21"/>
  <c r="AF111" i="21"/>
  <c r="AF151" i="21"/>
  <c r="AF191" i="21"/>
  <c r="AF223" i="21"/>
  <c r="AF268" i="21"/>
  <c r="AF309" i="21"/>
  <c r="AF322" i="21"/>
  <c r="AF253" i="21"/>
  <c r="AF90" i="21"/>
  <c r="AF252" i="21"/>
  <c r="AF148" i="21"/>
  <c r="AF92" i="21"/>
  <c r="AF196" i="21"/>
  <c r="AF241" i="21"/>
  <c r="AF105" i="21"/>
  <c r="AF145" i="21"/>
  <c r="AF185" i="21"/>
  <c r="AF217" i="21"/>
  <c r="AF258" i="21"/>
  <c r="AF299" i="21"/>
  <c r="AF114" i="21"/>
  <c r="AF190" i="21"/>
  <c r="AF222" i="21"/>
  <c r="AF263" i="21"/>
  <c r="AF304" i="21"/>
  <c r="AF130" i="21"/>
  <c r="AF83" i="21"/>
  <c r="AF115" i="21"/>
  <c r="AF155" i="21"/>
  <c r="AF195" i="21"/>
  <c r="AF236" i="21"/>
  <c r="AF272" i="21"/>
  <c r="AF313" i="21"/>
  <c r="AF260" i="21"/>
  <c r="AF78" i="21"/>
  <c r="AF294" i="21"/>
  <c r="AF76" i="21"/>
  <c r="AF188" i="21"/>
  <c r="AF269" i="21"/>
  <c r="AF273" i="21"/>
  <c r="AF77" i="21"/>
  <c r="AF109" i="21"/>
  <c r="AF149" i="21"/>
  <c r="AF189" i="21"/>
  <c r="AF221" i="21"/>
  <c r="AF262" i="21"/>
  <c r="AF303" i="21"/>
  <c r="AF134" i="21"/>
  <c r="AF194" i="21"/>
  <c r="AF235" i="21"/>
  <c r="AF267" i="21"/>
  <c r="AF308" i="21"/>
  <c r="AF142" i="21"/>
  <c r="AF98" i="21"/>
  <c r="AF87" i="21"/>
  <c r="AF119" i="21"/>
  <c r="AF159" i="21"/>
  <c r="AF199" i="21"/>
  <c r="AF240" i="21"/>
  <c r="AF276" i="21"/>
  <c r="AF317" i="21"/>
  <c r="AF301" i="21"/>
  <c r="AF88" i="21"/>
  <c r="AF326" i="21"/>
  <c r="AF220" i="21"/>
  <c r="AF81" i="21"/>
  <c r="AF113" i="21"/>
  <c r="AF153" i="21"/>
  <c r="AF193" i="21"/>
  <c r="AF234" i="21"/>
  <c r="AF266" i="21"/>
  <c r="AF307" i="21"/>
  <c r="AF146" i="21"/>
  <c r="AF198" i="21"/>
  <c r="AF239" i="21"/>
  <c r="AF271" i="21"/>
  <c r="AF312" i="21"/>
  <c r="AF158" i="21"/>
  <c r="AF110" i="21"/>
  <c r="AF91" i="21"/>
  <c r="AF131" i="21"/>
  <c r="AF163" i="21"/>
  <c r="AF203" i="21"/>
  <c r="AF244" i="21"/>
  <c r="AF289" i="21"/>
  <c r="AF321" i="21"/>
  <c r="AF100" i="21"/>
  <c r="AF144" i="21"/>
  <c r="AF290" i="21"/>
  <c r="AF261" i="21"/>
  <c r="AF152" i="21"/>
  <c r="AF84" i="21"/>
  <c r="AF85" i="21"/>
  <c r="AF117" i="21"/>
  <c r="AF157" i="21"/>
  <c r="AF197" i="21"/>
  <c r="AF238" i="21"/>
  <c r="AF270" i="21"/>
  <c r="AF311" i="21"/>
  <c r="AF154" i="21"/>
  <c r="AF202" i="21"/>
  <c r="AF243" i="21"/>
  <c r="AF275" i="21"/>
  <c r="AF316" i="21"/>
  <c r="AF118" i="21"/>
  <c r="AF95" i="21"/>
  <c r="AF135" i="21"/>
  <c r="AF167" i="21"/>
  <c r="AF207" i="21"/>
  <c r="AF248" i="21"/>
  <c r="AF293" i="21"/>
  <c r="AF325" i="21"/>
  <c r="AF116" i="21"/>
  <c r="AF184" i="21"/>
  <c r="AF80" i="21"/>
  <c r="AF302" i="21"/>
  <c r="AF192" i="21"/>
  <c r="AF89" i="21"/>
  <c r="AF129" i="21"/>
  <c r="AF161" i="21"/>
  <c r="AF201" i="21"/>
  <c r="AF242" i="21"/>
  <c r="AF274" i="21"/>
  <c r="AF315" i="21"/>
  <c r="AF162" i="21"/>
  <c r="AF206" i="21"/>
  <c r="AF247" i="21"/>
  <c r="AF288" i="21"/>
  <c r="AF320" i="21"/>
  <c r="AF138" i="21"/>
  <c r="AF99" i="21"/>
  <c r="AF139" i="21"/>
  <c r="AF171" i="21"/>
  <c r="AF211" i="21"/>
  <c r="AF256" i="21"/>
  <c r="AF297" i="21"/>
  <c r="AF140" i="21"/>
  <c r="AF168" i="21"/>
  <c r="AF216" i="21"/>
  <c r="AF329" i="21"/>
  <c r="AF233" i="21"/>
  <c r="AF93" i="21"/>
  <c r="AF133" i="21"/>
  <c r="AF165" i="21"/>
  <c r="AF205" i="21"/>
  <c r="AF246" i="21"/>
  <c r="AF287" i="21"/>
  <c r="AF319" i="21"/>
  <c r="AF170" i="21"/>
  <c r="AF210" i="21"/>
  <c r="AF251" i="21"/>
  <c r="AF292" i="21"/>
  <c r="AF324" i="21"/>
  <c r="AF150" i="21"/>
  <c r="AF103" i="21"/>
  <c r="AF143" i="21"/>
  <c r="AF183" i="21"/>
  <c r="AF215" i="21"/>
  <c r="Z78" i="21"/>
  <c r="Z82" i="21"/>
  <c r="Z86" i="21"/>
  <c r="Z90" i="21"/>
  <c r="Z94" i="21"/>
  <c r="Z98" i="21"/>
  <c r="Z102" i="21"/>
  <c r="Z106" i="21"/>
  <c r="Z110" i="21"/>
  <c r="Z114" i="21"/>
  <c r="Z118" i="21"/>
  <c r="Z79" i="21"/>
  <c r="Z83" i="21"/>
  <c r="Z87" i="21"/>
  <c r="Z91" i="21"/>
  <c r="Z95" i="21"/>
  <c r="Z99" i="21"/>
  <c r="Z103" i="21"/>
  <c r="Z107" i="21"/>
  <c r="Z111" i="21"/>
  <c r="Z115" i="21"/>
  <c r="Z119" i="21"/>
  <c r="Z80" i="21"/>
  <c r="Z84" i="21"/>
  <c r="Z88" i="21"/>
  <c r="Z92" i="21"/>
  <c r="Z96" i="21"/>
  <c r="Z100" i="21"/>
  <c r="Z104" i="21"/>
  <c r="Z108" i="21"/>
  <c r="Z112" i="21"/>
  <c r="Z116" i="21"/>
  <c r="Z76" i="21"/>
  <c r="Z77" i="21"/>
  <c r="Z81" i="21"/>
  <c r="Z85" i="21"/>
  <c r="Z89" i="21"/>
  <c r="Z93" i="21"/>
  <c r="Z97" i="21"/>
  <c r="Z101" i="21"/>
  <c r="Z105" i="21"/>
  <c r="Z109" i="21"/>
  <c r="Z113" i="21"/>
  <c r="Z117" i="21"/>
  <c r="AE326" i="21"/>
  <c r="AE76" i="21"/>
  <c r="AE84" i="21"/>
  <c r="AE93" i="21"/>
  <c r="AG93" i="21" s="1"/>
  <c r="AE133" i="21"/>
  <c r="AE165" i="21"/>
  <c r="AE205" i="21"/>
  <c r="AG205" i="21" s="1"/>
  <c r="AE246" i="21"/>
  <c r="AE287" i="21"/>
  <c r="AE319" i="21"/>
  <c r="AE102" i="21"/>
  <c r="AE142" i="21"/>
  <c r="AE182" i="21"/>
  <c r="AE214" i="21"/>
  <c r="AE255" i="21"/>
  <c r="AE296" i="21"/>
  <c r="AE328" i="21"/>
  <c r="AE91" i="21"/>
  <c r="AE131" i="21"/>
  <c r="AE163" i="21"/>
  <c r="AE203" i="21"/>
  <c r="AE244" i="21"/>
  <c r="AE276" i="21"/>
  <c r="AE317" i="21"/>
  <c r="AE148" i="21"/>
  <c r="AE188" i="21"/>
  <c r="AE220" i="21"/>
  <c r="AE261" i="21"/>
  <c r="AE302" i="21"/>
  <c r="AE116" i="21"/>
  <c r="AE80" i="21"/>
  <c r="AE97" i="21"/>
  <c r="AG97" i="21" s="1"/>
  <c r="AE137" i="21"/>
  <c r="AE169" i="21"/>
  <c r="AG169" i="21" s="1"/>
  <c r="AE209" i="21"/>
  <c r="AG209" i="21" s="1"/>
  <c r="AE250" i="21"/>
  <c r="AG250" i="21" s="1"/>
  <c r="AE291" i="21"/>
  <c r="AG291" i="21" s="1"/>
  <c r="AE323" i="21"/>
  <c r="AE106" i="21"/>
  <c r="AE146" i="21"/>
  <c r="AE186" i="21"/>
  <c r="AE218" i="21"/>
  <c r="AG218" i="21" s="1"/>
  <c r="AE259" i="21"/>
  <c r="AE300" i="21"/>
  <c r="AG300" i="21" s="1"/>
  <c r="AE95" i="21"/>
  <c r="AE135" i="21"/>
  <c r="AE167" i="21"/>
  <c r="AE207" i="21"/>
  <c r="AE248" i="21"/>
  <c r="AE289" i="21"/>
  <c r="AE321" i="21"/>
  <c r="AE152" i="21"/>
  <c r="AE192" i="21"/>
  <c r="AE233" i="21"/>
  <c r="AE265" i="21"/>
  <c r="AE306" i="21"/>
  <c r="AE184" i="21"/>
  <c r="AE101" i="21"/>
  <c r="AE141" i="21"/>
  <c r="AE181" i="21"/>
  <c r="AE213" i="21"/>
  <c r="AE254" i="21"/>
  <c r="AE295" i="21"/>
  <c r="AE327" i="21"/>
  <c r="AE78" i="21"/>
  <c r="AE110" i="21"/>
  <c r="AE150" i="21"/>
  <c r="AE190" i="21"/>
  <c r="AG190" i="21" s="1"/>
  <c r="AE222" i="21"/>
  <c r="AG222" i="21" s="1"/>
  <c r="AE263" i="21"/>
  <c r="AE304" i="21"/>
  <c r="AG304" i="21" s="1"/>
  <c r="AE99" i="21"/>
  <c r="AE139" i="21"/>
  <c r="AE171" i="21"/>
  <c r="AE211" i="21"/>
  <c r="AE252" i="21"/>
  <c r="AE293" i="21"/>
  <c r="AE325" i="21"/>
  <c r="AE156" i="21"/>
  <c r="AE196" i="21"/>
  <c r="AE237" i="21"/>
  <c r="AE269" i="21"/>
  <c r="AE310" i="21"/>
  <c r="AE104" i="21"/>
  <c r="AG104" i="21" s="1"/>
  <c r="AE108" i="21"/>
  <c r="AE105" i="21"/>
  <c r="AE145" i="21"/>
  <c r="AE185" i="21"/>
  <c r="AE217" i="21"/>
  <c r="AE258" i="21"/>
  <c r="AE299" i="21"/>
  <c r="AE82" i="21"/>
  <c r="AE114" i="21"/>
  <c r="AE154" i="21"/>
  <c r="AE194" i="21"/>
  <c r="AG194" i="21" s="1"/>
  <c r="AE235" i="21"/>
  <c r="AG235" i="21" s="1"/>
  <c r="AE267" i="21"/>
  <c r="AE308" i="21"/>
  <c r="AG308" i="21" s="1"/>
  <c r="AE103" i="21"/>
  <c r="AE143" i="21"/>
  <c r="AE183" i="21"/>
  <c r="AE215" i="21"/>
  <c r="AE256" i="21"/>
  <c r="AE297" i="21"/>
  <c r="AE160" i="21"/>
  <c r="AE200" i="21"/>
  <c r="AE241" i="21"/>
  <c r="AE273" i="21"/>
  <c r="AE314" i="21"/>
  <c r="AE128" i="21"/>
  <c r="AE140" i="21"/>
  <c r="AG140" i="21" s="1"/>
  <c r="AE132" i="21"/>
  <c r="AE329" i="21"/>
  <c r="AE77" i="21"/>
  <c r="AE109" i="21"/>
  <c r="AE149" i="21"/>
  <c r="AE189" i="21"/>
  <c r="AE221" i="21"/>
  <c r="AE262" i="21"/>
  <c r="AE303" i="21"/>
  <c r="AE86" i="21"/>
  <c r="AE118" i="21"/>
  <c r="AE158" i="21"/>
  <c r="AE198" i="21"/>
  <c r="AE239" i="21"/>
  <c r="AE271" i="21"/>
  <c r="AE312" i="21"/>
  <c r="AE107" i="21"/>
  <c r="AE147" i="21"/>
  <c r="AE187" i="21"/>
  <c r="AE219" i="21"/>
  <c r="AE260" i="21"/>
  <c r="AE301" i="21"/>
  <c r="AE164" i="21"/>
  <c r="AE204" i="21"/>
  <c r="AE245" i="21"/>
  <c r="AE286" i="21"/>
  <c r="AE318" i="21"/>
  <c r="AE216" i="21"/>
  <c r="AE81" i="21"/>
  <c r="AE113" i="21"/>
  <c r="AE153" i="21"/>
  <c r="AE193" i="21"/>
  <c r="AE234" i="21"/>
  <c r="AE266" i="21"/>
  <c r="AE307" i="21"/>
  <c r="AE90" i="21"/>
  <c r="AE130" i="21"/>
  <c r="AE162" i="21"/>
  <c r="AE202" i="21"/>
  <c r="AE243" i="21"/>
  <c r="AE275" i="21"/>
  <c r="AE316" i="21"/>
  <c r="AE79" i="21"/>
  <c r="AE111" i="21"/>
  <c r="AE151" i="21"/>
  <c r="AE191" i="21"/>
  <c r="AE223" i="21"/>
  <c r="AE264" i="21"/>
  <c r="AE305" i="21"/>
  <c r="AE168" i="21"/>
  <c r="AE208" i="21"/>
  <c r="AE249" i="21"/>
  <c r="AE290" i="21"/>
  <c r="AE322" i="21"/>
  <c r="AG322" i="21" s="1"/>
  <c r="AE144" i="21"/>
  <c r="AE88" i="21"/>
  <c r="AE96" i="21"/>
  <c r="AE85" i="21"/>
  <c r="AE117" i="21"/>
  <c r="AE157" i="21"/>
  <c r="AE197" i="21"/>
  <c r="AE238" i="21"/>
  <c r="AE270" i="21"/>
  <c r="AE311" i="21"/>
  <c r="AE94" i="21"/>
  <c r="AG94" i="21" s="1"/>
  <c r="AE134" i="21"/>
  <c r="AE166" i="21"/>
  <c r="AE206" i="21"/>
  <c r="AE247" i="21"/>
  <c r="AE288" i="21"/>
  <c r="AE320" i="21"/>
  <c r="AE83" i="21"/>
  <c r="AE115" i="21"/>
  <c r="AE155" i="21"/>
  <c r="AE195" i="21"/>
  <c r="AE236" i="21"/>
  <c r="AE268" i="21"/>
  <c r="AE309" i="21"/>
  <c r="AE180" i="21"/>
  <c r="AE212" i="21"/>
  <c r="AE253" i="21"/>
  <c r="AE294" i="21"/>
  <c r="AE92" i="21"/>
  <c r="AG92" i="21" s="1"/>
  <c r="AE112" i="21"/>
  <c r="AE89" i="21"/>
  <c r="AG89" i="21" s="1"/>
  <c r="AE129" i="21"/>
  <c r="AG129" i="21" s="1"/>
  <c r="AE161" i="21"/>
  <c r="AE201" i="21"/>
  <c r="AG201" i="21" s="1"/>
  <c r="AE242" i="21"/>
  <c r="AG242" i="21" s="1"/>
  <c r="AE274" i="21"/>
  <c r="AE315" i="21"/>
  <c r="AG315" i="21" s="1"/>
  <c r="AE98" i="21"/>
  <c r="AE138" i="21"/>
  <c r="AE170" i="21"/>
  <c r="AE210" i="21"/>
  <c r="AE251" i="21"/>
  <c r="AE292" i="21"/>
  <c r="AE324" i="21"/>
  <c r="AE87" i="21"/>
  <c r="AE119" i="21"/>
  <c r="AE159" i="21"/>
  <c r="AE199" i="21"/>
  <c r="AE240" i="21"/>
  <c r="AE272" i="21"/>
  <c r="AE313" i="21"/>
  <c r="AE257" i="21"/>
  <c r="AE298" i="21"/>
  <c r="M78" i="21"/>
  <c r="M82" i="21"/>
  <c r="M86" i="21"/>
  <c r="M90" i="21"/>
  <c r="M94" i="21"/>
  <c r="M98" i="21"/>
  <c r="M102" i="21"/>
  <c r="M106" i="21"/>
  <c r="M110" i="21"/>
  <c r="M114" i="21"/>
  <c r="M118" i="21"/>
  <c r="M79" i="21"/>
  <c r="M83" i="21"/>
  <c r="M87" i="21"/>
  <c r="M91" i="21"/>
  <c r="M95" i="21"/>
  <c r="M99" i="21"/>
  <c r="M103" i="21"/>
  <c r="M107" i="21"/>
  <c r="M111" i="21"/>
  <c r="M115" i="21"/>
  <c r="M119" i="21"/>
  <c r="M80" i="21"/>
  <c r="M84" i="21"/>
  <c r="M88" i="21"/>
  <c r="M92" i="21"/>
  <c r="M96" i="21"/>
  <c r="M100" i="21"/>
  <c r="M104" i="21"/>
  <c r="M108" i="21"/>
  <c r="M112" i="21"/>
  <c r="M116" i="21"/>
  <c r="M76" i="21"/>
  <c r="M77" i="21"/>
  <c r="M81" i="21"/>
  <c r="M85" i="21"/>
  <c r="M89" i="21"/>
  <c r="M93" i="21"/>
  <c r="M97" i="21"/>
  <c r="M101" i="21"/>
  <c r="M105" i="21"/>
  <c r="M109" i="21"/>
  <c r="M113" i="21"/>
  <c r="M117" i="21"/>
  <c r="AF156" i="21"/>
  <c r="AF310" i="21"/>
  <c r="AE100" i="21"/>
  <c r="BA39" i="11"/>
  <c r="BA34" i="11"/>
  <c r="BA29" i="11"/>
  <c r="BA31" i="11"/>
  <c r="BA32" i="11"/>
  <c r="BA38" i="11"/>
  <c r="BA33" i="11"/>
  <c r="BA40" i="11"/>
  <c r="BA37" i="11"/>
  <c r="BA36" i="11"/>
  <c r="BA30" i="11"/>
  <c r="BA41" i="11"/>
  <c r="BA28" i="11"/>
  <c r="AZ40" i="11"/>
  <c r="AZ29" i="11"/>
  <c r="AZ34" i="11"/>
  <c r="AZ38" i="11"/>
  <c r="AZ32" i="11"/>
  <c r="AZ28" i="11"/>
  <c r="AZ37" i="11"/>
  <c r="AZ33" i="11"/>
  <c r="AZ41" i="11"/>
  <c r="AZ39" i="11"/>
  <c r="AZ30" i="11"/>
  <c r="AZ31" i="11"/>
  <c r="AZ36" i="11"/>
  <c r="AG259" i="21" l="1"/>
  <c r="AH259" i="21" s="1"/>
  <c r="Q49" i="15"/>
  <c r="AM49" i="15" s="1"/>
  <c r="AG295" i="21"/>
  <c r="AH295" i="21" s="1"/>
  <c r="AG265" i="21"/>
  <c r="AH265" i="21" s="1"/>
  <c r="AG257" i="21"/>
  <c r="AH257" i="21" s="1"/>
  <c r="AG324" i="21"/>
  <c r="AI324" i="21" s="1"/>
  <c r="AG160" i="21"/>
  <c r="AH160" i="21" s="1"/>
  <c r="AG328" i="21"/>
  <c r="AH328" i="21" s="1"/>
  <c r="AG253" i="21"/>
  <c r="AH253" i="21" s="1"/>
  <c r="AG272" i="21"/>
  <c r="AH272" i="21" s="1"/>
  <c r="AG145" i="21"/>
  <c r="AI145" i="21" s="1"/>
  <c r="AG96" i="21"/>
  <c r="AI96" i="21" s="1"/>
  <c r="AG196" i="21"/>
  <c r="AH196" i="21" s="1"/>
  <c r="AG212" i="21"/>
  <c r="AI212" i="21" s="1"/>
  <c r="Q45" i="15"/>
  <c r="Q45" i="20" s="1"/>
  <c r="AG221" i="21"/>
  <c r="AI221" i="21" s="1"/>
  <c r="Q32" i="15"/>
  <c r="AM32" i="15" s="1"/>
  <c r="AG314" i="21"/>
  <c r="AI314" i="21" s="1"/>
  <c r="AG114" i="21"/>
  <c r="AH114" i="21" s="1"/>
  <c r="AG268" i="21"/>
  <c r="AI268" i="21" s="1"/>
  <c r="AG181" i="21"/>
  <c r="AH181" i="21" s="1"/>
  <c r="AG289" i="21"/>
  <c r="AI289" i="21" s="1"/>
  <c r="AG305" i="21"/>
  <c r="AH305" i="21" s="1"/>
  <c r="AG245" i="21"/>
  <c r="AH245" i="21" s="1"/>
  <c r="AG223" i="21"/>
  <c r="AH223" i="21" s="1"/>
  <c r="AG115" i="21"/>
  <c r="AH115" i="21" s="1"/>
  <c r="AG249" i="21"/>
  <c r="AH249" i="21" s="1"/>
  <c r="Q20" i="15"/>
  <c r="Q20" i="20" s="1"/>
  <c r="Q14" i="15"/>
  <c r="Q14" i="20" s="1"/>
  <c r="Q35" i="15"/>
  <c r="AM35" i="15" s="1"/>
  <c r="AG171" i="21"/>
  <c r="AI171" i="21" s="1"/>
  <c r="AG76" i="21"/>
  <c r="AI76" i="21" s="1"/>
  <c r="AG313" i="21"/>
  <c r="AH313" i="21" s="1"/>
  <c r="AG185" i="21"/>
  <c r="AH185" i="21" s="1"/>
  <c r="AG327" i="21"/>
  <c r="AH327" i="21" s="1"/>
  <c r="AG306" i="21"/>
  <c r="AH306" i="21" s="1"/>
  <c r="AG296" i="21"/>
  <c r="AI296" i="21" s="1"/>
  <c r="Q37" i="15"/>
  <c r="AM37" i="15" s="1"/>
  <c r="Q28" i="15"/>
  <c r="Q28" i="20" s="1"/>
  <c r="Q19" i="15"/>
  <c r="Q19" i="20" s="1"/>
  <c r="Q18" i="15"/>
  <c r="Q18" i="20" s="1"/>
  <c r="AG153" i="21"/>
  <c r="AH153" i="21" s="1"/>
  <c r="Q40" i="15"/>
  <c r="AM40" i="15" s="1"/>
  <c r="Q13" i="15"/>
  <c r="Q13" i="20" s="1"/>
  <c r="Q39" i="15"/>
  <c r="AM39" i="15" s="1"/>
  <c r="AG146" i="21"/>
  <c r="AI146" i="21" s="1"/>
  <c r="AG292" i="21"/>
  <c r="AI292" i="21" s="1"/>
  <c r="AG234" i="21"/>
  <c r="AI234" i="21" s="1"/>
  <c r="AG297" i="21"/>
  <c r="AH297" i="21" s="1"/>
  <c r="AG204" i="21"/>
  <c r="AI204" i="21" s="1"/>
  <c r="Q44" i="15"/>
  <c r="Q44" i="20" s="1"/>
  <c r="Q15" i="15"/>
  <c r="Q15" i="26" s="1"/>
  <c r="AK15" i="26" s="1"/>
  <c r="AG309" i="21"/>
  <c r="AH309" i="21" s="1"/>
  <c r="AG213" i="21"/>
  <c r="AI213" i="21" s="1"/>
  <c r="AG241" i="21"/>
  <c r="AH241" i="21" s="1"/>
  <c r="AG298" i="21"/>
  <c r="AH298" i="21" s="1"/>
  <c r="AG166" i="21"/>
  <c r="AH166" i="21" s="1"/>
  <c r="Q52" i="15"/>
  <c r="AM52" i="15" s="1"/>
  <c r="Q10" i="15"/>
  <c r="Q10" i="20" s="1"/>
  <c r="Q24" i="15"/>
  <c r="AM24" i="15" s="1"/>
  <c r="Q31" i="15"/>
  <c r="AM31" i="15" s="1"/>
  <c r="AG294" i="21"/>
  <c r="AH294" i="21" s="1"/>
  <c r="AG329" i="21"/>
  <c r="AI329" i="21" s="1"/>
  <c r="AG139" i="21"/>
  <c r="AH139" i="21" s="1"/>
  <c r="Q9" i="15"/>
  <c r="Q9" i="20" s="1"/>
  <c r="Q43" i="15"/>
  <c r="AM43" i="15" s="1"/>
  <c r="Q36" i="15"/>
  <c r="Q36" i="20" s="1"/>
  <c r="Q22" i="15"/>
  <c r="AM22" i="15" s="1"/>
  <c r="AG276" i="21"/>
  <c r="AH276" i="21" s="1"/>
  <c r="AG271" i="21"/>
  <c r="AI271" i="21" s="1"/>
  <c r="AG189" i="21"/>
  <c r="AH189" i="21" s="1"/>
  <c r="AG143" i="21"/>
  <c r="AH143" i="21" s="1"/>
  <c r="AG299" i="21"/>
  <c r="AH299" i="21" s="1"/>
  <c r="AG141" i="21"/>
  <c r="AH141" i="21" s="1"/>
  <c r="AG248" i="21"/>
  <c r="AH248" i="21" s="1"/>
  <c r="AG98" i="21"/>
  <c r="AI98" i="21" s="1"/>
  <c r="AG206" i="21"/>
  <c r="AH206" i="21" s="1"/>
  <c r="AG243" i="21"/>
  <c r="AI243" i="21" s="1"/>
  <c r="AG158" i="21"/>
  <c r="AI158" i="21" s="1"/>
  <c r="AG262" i="21"/>
  <c r="AH262" i="21" s="1"/>
  <c r="AG210" i="21"/>
  <c r="AH210" i="21" s="1"/>
  <c r="AG195" i="21"/>
  <c r="AI195" i="21" s="1"/>
  <c r="AG117" i="21"/>
  <c r="AI117" i="21" s="1"/>
  <c r="AG188" i="21"/>
  <c r="AI188" i="21" s="1"/>
  <c r="AG275" i="21"/>
  <c r="AI275" i="21" s="1"/>
  <c r="AG107" i="21"/>
  <c r="AH107" i="21" s="1"/>
  <c r="AG303" i="21"/>
  <c r="AH303" i="21" s="1"/>
  <c r="AG132" i="21"/>
  <c r="AH132" i="21" s="1"/>
  <c r="Q48" i="15"/>
  <c r="Q48" i="20" s="1"/>
  <c r="AG251" i="21"/>
  <c r="AI251" i="21" s="1"/>
  <c r="AG88" i="21"/>
  <c r="AH88" i="21" s="1"/>
  <c r="AG256" i="21"/>
  <c r="AI256" i="21" s="1"/>
  <c r="AG106" i="21"/>
  <c r="AI106" i="21" s="1"/>
  <c r="AG215" i="21"/>
  <c r="AH215" i="21" s="1"/>
  <c r="Q11" i="15"/>
  <c r="Q11" i="20" s="1"/>
  <c r="AG247" i="21"/>
  <c r="AI247" i="21" s="1"/>
  <c r="AG211" i="21"/>
  <c r="AH211" i="21" s="1"/>
  <c r="R45" i="15"/>
  <c r="AN45" i="15" s="1"/>
  <c r="R48" i="15"/>
  <c r="AN48" i="15" s="1"/>
  <c r="R16" i="15"/>
  <c r="R27" i="15"/>
  <c r="AN27" i="15" s="1"/>
  <c r="R38" i="15"/>
  <c r="AN38" i="15" s="1"/>
  <c r="AG164" i="21"/>
  <c r="AH164" i="21" s="1"/>
  <c r="AG288" i="21"/>
  <c r="AI288" i="21" s="1"/>
  <c r="AG238" i="21"/>
  <c r="AI238" i="21" s="1"/>
  <c r="AG182" i="21"/>
  <c r="AH182" i="21" s="1"/>
  <c r="AG159" i="21"/>
  <c r="AI159" i="21" s="1"/>
  <c r="AG290" i="21"/>
  <c r="AH290" i="21" s="1"/>
  <c r="AG99" i="21"/>
  <c r="AI99" i="21" s="1"/>
  <c r="AG320" i="21"/>
  <c r="AH320" i="21" s="1"/>
  <c r="AG112" i="21"/>
  <c r="AH112" i="21" s="1"/>
  <c r="AG111" i="21"/>
  <c r="AI111" i="21" s="1"/>
  <c r="AG90" i="21"/>
  <c r="AH90" i="21" s="1"/>
  <c r="AG220" i="21"/>
  <c r="AI220" i="21" s="1"/>
  <c r="AG131" i="21"/>
  <c r="AI131" i="21" s="1"/>
  <c r="Q25" i="15"/>
  <c r="AM25" i="15" s="1"/>
  <c r="Q51" i="15"/>
  <c r="Q51" i="20" s="1"/>
  <c r="Q30" i="15"/>
  <c r="AG187" i="21"/>
  <c r="AI187" i="21" s="1"/>
  <c r="AG118" i="21"/>
  <c r="AH118" i="21" s="1"/>
  <c r="AG77" i="21"/>
  <c r="AI77" i="21" s="1"/>
  <c r="AG136" i="21"/>
  <c r="AH136" i="21" s="1"/>
  <c r="Q17" i="15"/>
  <c r="Q47" i="15"/>
  <c r="Q47" i="20" s="1"/>
  <c r="Q26" i="15"/>
  <c r="AM26" i="15" s="1"/>
  <c r="Q23" i="15"/>
  <c r="AM23" i="15" s="1"/>
  <c r="S29" i="15"/>
  <c r="AO29" i="15" s="1"/>
  <c r="S33" i="15"/>
  <c r="AO33" i="15" s="1"/>
  <c r="S32" i="15"/>
  <c r="AO32" i="15" s="1"/>
  <c r="S43" i="15"/>
  <c r="AO43" i="15" s="1"/>
  <c r="S11" i="15"/>
  <c r="Q21" i="15"/>
  <c r="Q12" i="15"/>
  <c r="AG199" i="21"/>
  <c r="AI199" i="21" s="1"/>
  <c r="R49" i="15"/>
  <c r="AN49" i="15" s="1"/>
  <c r="R21" i="15"/>
  <c r="Q33" i="15"/>
  <c r="AM33" i="15" s="1"/>
  <c r="Q34" i="15"/>
  <c r="Q34" i="20" s="1"/>
  <c r="R25" i="15"/>
  <c r="AN25" i="15" s="1"/>
  <c r="R52" i="15"/>
  <c r="R20" i="15"/>
  <c r="R31" i="15"/>
  <c r="AN31" i="15" s="1"/>
  <c r="R42" i="15"/>
  <c r="AN42" i="15" s="1"/>
  <c r="R10" i="15"/>
  <c r="S22" i="15"/>
  <c r="P25" i="15"/>
  <c r="AL25" i="15" s="1"/>
  <c r="P48" i="15"/>
  <c r="P16" i="15"/>
  <c r="P27" i="15"/>
  <c r="P38" i="15"/>
  <c r="R13" i="15"/>
  <c r="R44" i="15"/>
  <c r="R12" i="15"/>
  <c r="R23" i="15"/>
  <c r="AN23" i="15" s="1"/>
  <c r="R34" i="15"/>
  <c r="AN34" i="15" s="1"/>
  <c r="S49" i="15"/>
  <c r="AO49" i="15" s="1"/>
  <c r="S21" i="15"/>
  <c r="S28" i="15"/>
  <c r="AO28" i="15" s="1"/>
  <c r="S39" i="15"/>
  <c r="AO39" i="15" s="1"/>
  <c r="S50" i="15"/>
  <c r="AO50" i="15" s="1"/>
  <c r="S18" i="15"/>
  <c r="P9" i="15"/>
  <c r="P44" i="15"/>
  <c r="P12" i="15"/>
  <c r="P23" i="15"/>
  <c r="AL23" i="15" s="1"/>
  <c r="P34" i="15"/>
  <c r="AG154" i="21"/>
  <c r="AI154" i="21" s="1"/>
  <c r="AG244" i="21"/>
  <c r="AH244" i="21" s="1"/>
  <c r="R9" i="15"/>
  <c r="R40" i="15"/>
  <c r="AN40" i="15" s="1"/>
  <c r="R51" i="15"/>
  <c r="R19" i="15"/>
  <c r="R30" i="15"/>
  <c r="AN30" i="15" s="1"/>
  <c r="Q29" i="15"/>
  <c r="S17" i="15"/>
  <c r="S41" i="15"/>
  <c r="AO41" i="15" s="1"/>
  <c r="S24" i="15"/>
  <c r="S35" i="15"/>
  <c r="AO35" i="15" s="1"/>
  <c r="S46" i="15"/>
  <c r="AO46" i="15" s="1"/>
  <c r="S14" i="15"/>
  <c r="P37" i="15"/>
  <c r="P40" i="15"/>
  <c r="P51" i="15"/>
  <c r="P19" i="15"/>
  <c r="P30" i="15"/>
  <c r="AG293" i="21"/>
  <c r="AI293" i="21" s="1"/>
  <c r="AG302" i="21"/>
  <c r="AH302" i="21" s="1"/>
  <c r="R33" i="15"/>
  <c r="AN33" i="15" s="1"/>
  <c r="R36" i="15"/>
  <c r="AN36" i="15" s="1"/>
  <c r="R47" i="15"/>
  <c r="R15" i="15"/>
  <c r="R26" i="15"/>
  <c r="AN26" i="15" s="1"/>
  <c r="Q41" i="15"/>
  <c r="S37" i="15"/>
  <c r="AO37" i="15" s="1"/>
  <c r="S52" i="15"/>
  <c r="AO52" i="15" s="1"/>
  <c r="S20" i="15"/>
  <c r="S31" i="15"/>
  <c r="AO31" i="15" s="1"/>
  <c r="S42" i="15"/>
  <c r="AO42" i="15" s="1"/>
  <c r="S10" i="15"/>
  <c r="P21" i="15"/>
  <c r="P36" i="15"/>
  <c r="P47" i="15"/>
  <c r="P15" i="15"/>
  <c r="P26" i="15"/>
  <c r="AL26" i="15" s="1"/>
  <c r="R32" i="15"/>
  <c r="AN32" i="15" s="1"/>
  <c r="R43" i="15"/>
  <c r="R11" i="15"/>
  <c r="R22" i="15"/>
  <c r="Q38" i="15"/>
  <c r="S25" i="15"/>
  <c r="S48" i="15"/>
  <c r="AO48" i="15" s="1"/>
  <c r="S16" i="15"/>
  <c r="S27" i="15"/>
  <c r="S38" i="15"/>
  <c r="AO38" i="15" s="1"/>
  <c r="P45" i="15"/>
  <c r="P49" i="15"/>
  <c r="P32" i="15"/>
  <c r="P43" i="15"/>
  <c r="P11" i="15"/>
  <c r="P22" i="15"/>
  <c r="AL22" i="15" s="1"/>
  <c r="R17" i="15"/>
  <c r="R41" i="15"/>
  <c r="AN41" i="15" s="1"/>
  <c r="R28" i="15"/>
  <c r="AN28" i="15" s="1"/>
  <c r="R39" i="15"/>
  <c r="AN39" i="15" s="1"/>
  <c r="R50" i="15"/>
  <c r="R18" i="15"/>
  <c r="Q16" i="15"/>
  <c r="AM50" i="15"/>
  <c r="Q50" i="20"/>
  <c r="S45" i="15"/>
  <c r="AO45" i="15" s="1"/>
  <c r="S44" i="15"/>
  <c r="AO44" i="15" s="1"/>
  <c r="S12" i="15"/>
  <c r="S23" i="15"/>
  <c r="S34" i="15"/>
  <c r="AO34" i="15" s="1"/>
  <c r="P29" i="15"/>
  <c r="P33" i="15"/>
  <c r="P28" i="15"/>
  <c r="P39" i="15"/>
  <c r="P50" i="15"/>
  <c r="P18" i="15"/>
  <c r="AG319" i="21"/>
  <c r="AI319" i="21" s="1"/>
  <c r="R37" i="15"/>
  <c r="AN37" i="15" s="1"/>
  <c r="R29" i="15"/>
  <c r="AN29" i="15" s="1"/>
  <c r="R24" i="15"/>
  <c r="AN24" i="15" s="1"/>
  <c r="R35" i="15"/>
  <c r="AN35" i="15" s="1"/>
  <c r="R46" i="15"/>
  <c r="R14" i="15"/>
  <c r="AM46" i="15"/>
  <c r="Q46" i="20"/>
  <c r="S13" i="15"/>
  <c r="S40" i="15"/>
  <c r="AO40" i="15" s="1"/>
  <c r="S51" i="15"/>
  <c r="AO51" i="15" s="1"/>
  <c r="S19" i="15"/>
  <c r="S30" i="15"/>
  <c r="AO30" i="15" s="1"/>
  <c r="P13" i="15"/>
  <c r="P17" i="15"/>
  <c r="P24" i="15"/>
  <c r="AL24" i="15" s="1"/>
  <c r="P35" i="15"/>
  <c r="P46" i="15"/>
  <c r="P14" i="15"/>
  <c r="AM42" i="15"/>
  <c r="Q42" i="20"/>
  <c r="Q27" i="15"/>
  <c r="S9" i="15"/>
  <c r="S36" i="15"/>
  <c r="AO36" i="15" s="1"/>
  <c r="S47" i="15"/>
  <c r="AO47" i="15" s="1"/>
  <c r="S15" i="15"/>
  <c r="S26" i="15"/>
  <c r="P41" i="15"/>
  <c r="P52" i="15"/>
  <c r="P20" i="15"/>
  <c r="P31" i="15"/>
  <c r="P42" i="15"/>
  <c r="P10" i="15"/>
  <c r="AG264" i="21"/>
  <c r="AH264" i="21" s="1"/>
  <c r="AG240" i="21"/>
  <c r="AH240" i="21" s="1"/>
  <c r="AG161" i="21"/>
  <c r="AH161" i="21" s="1"/>
  <c r="AG180" i="21"/>
  <c r="AI180" i="21" s="1"/>
  <c r="AG144" i="21"/>
  <c r="AI144" i="21" s="1"/>
  <c r="AG128" i="21"/>
  <c r="AI128" i="21" s="1"/>
  <c r="AG105" i="21"/>
  <c r="AI105" i="21" s="1"/>
  <c r="AG263" i="21"/>
  <c r="AI263" i="21" s="1"/>
  <c r="AG254" i="21"/>
  <c r="AI254" i="21" s="1"/>
  <c r="AG323" i="21"/>
  <c r="AI323" i="21" s="1"/>
  <c r="AG214" i="21"/>
  <c r="AH214" i="21" s="1"/>
  <c r="AG165" i="21"/>
  <c r="AH165" i="21" s="1"/>
  <c r="AG83" i="21"/>
  <c r="AI83" i="21" s="1"/>
  <c r="AG80" i="21"/>
  <c r="AH80" i="21" s="1"/>
  <c r="AG113" i="21"/>
  <c r="AI113" i="21" s="1"/>
  <c r="AG197" i="21"/>
  <c r="AH197" i="21" s="1"/>
  <c r="AG81" i="21"/>
  <c r="AH81" i="21" s="1"/>
  <c r="AG149" i="21"/>
  <c r="AH149" i="21" s="1"/>
  <c r="AG82" i="21"/>
  <c r="AI82" i="21" s="1"/>
  <c r="AG163" i="21"/>
  <c r="AI163" i="21" s="1"/>
  <c r="AG119" i="21"/>
  <c r="AI119" i="21" s="1"/>
  <c r="AG236" i="21"/>
  <c r="AH236" i="21" s="1"/>
  <c r="AG157" i="21"/>
  <c r="AH157" i="21" s="1"/>
  <c r="AG216" i="21"/>
  <c r="AI216" i="21" s="1"/>
  <c r="AG219" i="21"/>
  <c r="AH219" i="21" s="1"/>
  <c r="AG109" i="21"/>
  <c r="AH109" i="21" s="1"/>
  <c r="AG103" i="21"/>
  <c r="AH103" i="21" s="1"/>
  <c r="AG150" i="21"/>
  <c r="AI150" i="21" s="1"/>
  <c r="AG102" i="21"/>
  <c r="AI102" i="21" s="1"/>
  <c r="AG191" i="21"/>
  <c r="AI191" i="21" s="1"/>
  <c r="AG108" i="21"/>
  <c r="AH108" i="21" s="1"/>
  <c r="AG151" i="21"/>
  <c r="AI151" i="21" s="1"/>
  <c r="AG198" i="21"/>
  <c r="AI198" i="21" s="1"/>
  <c r="AG87" i="21"/>
  <c r="AH87" i="21" s="1"/>
  <c r="AG208" i="21"/>
  <c r="AH208" i="21" s="1"/>
  <c r="AG79" i="21"/>
  <c r="AH79" i="21" s="1"/>
  <c r="AG307" i="21"/>
  <c r="AI307" i="21" s="1"/>
  <c r="AG318" i="21"/>
  <c r="AH318" i="21" s="1"/>
  <c r="AG200" i="21"/>
  <c r="AI200" i="21" s="1"/>
  <c r="AG258" i="21"/>
  <c r="AI258" i="21" s="1"/>
  <c r="AG269" i="21"/>
  <c r="AI269" i="21" s="1"/>
  <c r="AG110" i="21"/>
  <c r="AI110" i="21" s="1"/>
  <c r="AG101" i="21"/>
  <c r="AH101" i="21" s="1"/>
  <c r="AG255" i="21"/>
  <c r="AH255" i="21" s="1"/>
  <c r="AG239" i="21"/>
  <c r="AH239" i="21" s="1"/>
  <c r="AG95" i="21"/>
  <c r="AI95" i="21" s="1"/>
  <c r="AG138" i="21"/>
  <c r="AH138" i="21" s="1"/>
  <c r="AG130" i="21"/>
  <c r="AI130" i="21" s="1"/>
  <c r="AG273" i="21"/>
  <c r="AI273" i="21" s="1"/>
  <c r="AG252" i="21"/>
  <c r="AI252" i="21" s="1"/>
  <c r="AG152" i="21"/>
  <c r="AH152" i="21" s="1"/>
  <c r="AG261" i="21"/>
  <c r="AI261" i="21" s="1"/>
  <c r="AG100" i="21"/>
  <c r="AI100" i="21" s="1"/>
  <c r="AG274" i="21"/>
  <c r="AH274" i="21" s="1"/>
  <c r="AG134" i="21"/>
  <c r="AH134" i="21" s="1"/>
  <c r="AG168" i="21"/>
  <c r="AH168" i="21" s="1"/>
  <c r="AG316" i="21"/>
  <c r="AI316" i="21" s="1"/>
  <c r="AG266" i="21"/>
  <c r="AI266" i="21" s="1"/>
  <c r="AG286" i="21"/>
  <c r="AI286" i="21" s="1"/>
  <c r="AG147" i="21"/>
  <c r="AH147" i="21" s="1"/>
  <c r="AG86" i="21"/>
  <c r="AH86" i="21" s="1"/>
  <c r="AG267" i="21"/>
  <c r="AI267" i="21" s="1"/>
  <c r="AG217" i="21"/>
  <c r="AI217" i="21" s="1"/>
  <c r="AG237" i="21"/>
  <c r="AI237" i="21" s="1"/>
  <c r="AG78" i="21"/>
  <c r="AI78" i="21" s="1"/>
  <c r="AG186" i="21"/>
  <c r="AI186" i="21" s="1"/>
  <c r="AG137" i="21"/>
  <c r="AH137" i="21" s="1"/>
  <c r="AG148" i="21"/>
  <c r="AI148" i="21" s="1"/>
  <c r="AG287" i="21"/>
  <c r="AI287" i="21" s="1"/>
  <c r="AG326" i="21"/>
  <c r="AI326" i="21" s="1"/>
  <c r="AG192" i="21"/>
  <c r="AH192" i="21" s="1"/>
  <c r="AG207" i="21"/>
  <c r="AH207" i="21" s="1"/>
  <c r="AG317" i="21"/>
  <c r="AH317" i="21" s="1"/>
  <c r="AG155" i="21"/>
  <c r="O49" i="15"/>
  <c r="AH315" i="21"/>
  <c r="AI315" i="21"/>
  <c r="O45" i="15"/>
  <c r="O13" i="15"/>
  <c r="O13" i="26" s="1"/>
  <c r="AI13" i="26" s="1"/>
  <c r="O35" i="15"/>
  <c r="AG85" i="21"/>
  <c r="AG167" i="21"/>
  <c r="AG84" i="21"/>
  <c r="O17" i="15"/>
  <c r="O17" i="26" s="1"/>
  <c r="AI17" i="26" s="1"/>
  <c r="AH92" i="21"/>
  <c r="AI92" i="21"/>
  <c r="AI308" i="21"/>
  <c r="AH308" i="21"/>
  <c r="O30" i="15"/>
  <c r="O24" i="15"/>
  <c r="O26" i="15"/>
  <c r="O41" i="15"/>
  <c r="O52" i="15"/>
  <c r="O20" i="15"/>
  <c r="O20" i="26" s="1"/>
  <c r="AI20" i="26" s="1"/>
  <c r="O31" i="15"/>
  <c r="AI242" i="21"/>
  <c r="AH242" i="21"/>
  <c r="AI94" i="21"/>
  <c r="AH94" i="21"/>
  <c r="AI235" i="21"/>
  <c r="AH235" i="21"/>
  <c r="AI97" i="21"/>
  <c r="AH97" i="21"/>
  <c r="AG246" i="21"/>
  <c r="AG135" i="21"/>
  <c r="AG311" i="21"/>
  <c r="AG203" i="21"/>
  <c r="O39" i="15"/>
  <c r="AH169" i="21"/>
  <c r="AI169" i="21"/>
  <c r="O48" i="15"/>
  <c r="O16" i="15"/>
  <c r="O16" i="26" s="1"/>
  <c r="AI16" i="26" s="1"/>
  <c r="O27" i="15"/>
  <c r="AI201" i="21"/>
  <c r="AH201" i="21"/>
  <c r="AG193" i="21"/>
  <c r="AG312" i="21"/>
  <c r="AI140" i="21"/>
  <c r="AH140" i="21"/>
  <c r="AI194" i="21"/>
  <c r="AH194" i="21"/>
  <c r="AG156" i="21"/>
  <c r="AI304" i="21"/>
  <c r="AH304" i="21"/>
  <c r="AI205" i="21"/>
  <c r="AH205" i="21"/>
  <c r="AG184" i="21"/>
  <c r="AG270" i="21"/>
  <c r="AG260" i="21"/>
  <c r="O37" i="15"/>
  <c r="O18" i="15"/>
  <c r="O18" i="26" s="1"/>
  <c r="AI18" i="26" s="1"/>
  <c r="O44" i="15"/>
  <c r="O12" i="15"/>
  <c r="O12" i="26" s="1"/>
  <c r="AI12" i="26" s="1"/>
  <c r="O23" i="15"/>
  <c r="AG202" i="21"/>
  <c r="AG233" i="21"/>
  <c r="AG116" i="21"/>
  <c r="O28" i="15"/>
  <c r="AH218" i="21"/>
  <c r="AI218" i="21"/>
  <c r="O22" i="15"/>
  <c r="O50" i="15"/>
  <c r="O33" i="15"/>
  <c r="O46" i="15"/>
  <c r="O14" i="15"/>
  <c r="O14" i="26" s="1"/>
  <c r="AI14" i="26" s="1"/>
  <c r="O29" i="15"/>
  <c r="O40" i="15"/>
  <c r="O51" i="15"/>
  <c r="O19" i="15"/>
  <c r="O19" i="26" s="1"/>
  <c r="AI19" i="26" s="1"/>
  <c r="AG170" i="21"/>
  <c r="AI129" i="21"/>
  <c r="AH129" i="21"/>
  <c r="AI322" i="21"/>
  <c r="AH322" i="21"/>
  <c r="AG162" i="21"/>
  <c r="AG183" i="21"/>
  <c r="AI222" i="21"/>
  <c r="AH222" i="21"/>
  <c r="AH291" i="21"/>
  <c r="AI291" i="21"/>
  <c r="AG133" i="21"/>
  <c r="AG325" i="21"/>
  <c r="AG91" i="21"/>
  <c r="O34" i="15"/>
  <c r="O42" i="15"/>
  <c r="O25" i="15"/>
  <c r="O36" i="15"/>
  <c r="O47" i="15"/>
  <c r="O15" i="15"/>
  <c r="O15" i="26" s="1"/>
  <c r="AI15" i="26" s="1"/>
  <c r="AI89" i="21"/>
  <c r="AH89" i="21"/>
  <c r="AI104" i="21"/>
  <c r="AH104" i="21"/>
  <c r="AH190" i="21"/>
  <c r="AI190" i="21"/>
  <c r="AH300" i="21"/>
  <c r="AI300" i="21"/>
  <c r="AI250" i="21"/>
  <c r="AH250" i="21"/>
  <c r="AG142" i="21"/>
  <c r="AI93" i="21"/>
  <c r="AH93" i="21"/>
  <c r="O10" i="15"/>
  <c r="O10" i="26" s="1"/>
  <c r="AI10" i="26" s="1"/>
  <c r="O38" i="15"/>
  <c r="O9" i="15"/>
  <c r="O9" i="26" s="1"/>
  <c r="AI9" i="26" s="1"/>
  <c r="O21" i="15"/>
  <c r="O21" i="26" s="1"/>
  <c r="AI21" i="26" s="1"/>
  <c r="O32" i="15"/>
  <c r="O43" i="15"/>
  <c r="O11" i="15"/>
  <c r="O11" i="26" s="1"/>
  <c r="AI11" i="26" s="1"/>
  <c r="AG310" i="21"/>
  <c r="AI259" i="21"/>
  <c r="AI209" i="21"/>
  <c r="AH209" i="21"/>
  <c r="AG321" i="21"/>
  <c r="AG301" i="21"/>
  <c r="BA53" i="11"/>
  <c r="BA66" i="11"/>
  <c r="BA67" i="11"/>
  <c r="BA59" i="11"/>
  <c r="BA35" i="11"/>
  <c r="BA27" i="11"/>
  <c r="BA42" i="11"/>
  <c r="BA61" i="11"/>
  <c r="BA62" i="11"/>
  <c r="BA54" i="11"/>
  <c r="BA56" i="11"/>
  <c r="BA57" i="11"/>
  <c r="BA43" i="11"/>
  <c r="BA46" i="11"/>
  <c r="BA51" i="11"/>
  <c r="BA64" i="11"/>
  <c r="BA52" i="11"/>
  <c r="BA50" i="11"/>
  <c r="BA65" i="11"/>
  <c r="BA44" i="11"/>
  <c r="BA60" i="11"/>
  <c r="BA47" i="11"/>
  <c r="BA55" i="11"/>
  <c r="BA45" i="11"/>
  <c r="BA63" i="11"/>
  <c r="BA48" i="11"/>
  <c r="BA58" i="11"/>
  <c r="BA49" i="11"/>
  <c r="AZ60" i="11"/>
  <c r="AZ62" i="11"/>
  <c r="AZ56" i="11"/>
  <c r="AZ57" i="11"/>
  <c r="AZ65" i="11"/>
  <c r="AZ58" i="11"/>
  <c r="AZ27" i="11"/>
  <c r="AZ43" i="11"/>
  <c r="AZ50" i="11"/>
  <c r="AZ47" i="11"/>
  <c r="AZ55" i="11"/>
  <c r="AZ35" i="11"/>
  <c r="AZ42" i="11"/>
  <c r="AZ44" i="11"/>
  <c r="AZ54" i="11"/>
  <c r="AZ63" i="11"/>
  <c r="AZ64" i="11"/>
  <c r="AZ61" i="11"/>
  <c r="AZ59" i="11"/>
  <c r="AZ52" i="11"/>
  <c r="AZ51" i="11"/>
  <c r="AZ48" i="11"/>
  <c r="AZ67" i="11"/>
  <c r="AZ53" i="11"/>
  <c r="AZ49" i="11"/>
  <c r="AZ66" i="11"/>
  <c r="AZ45" i="11"/>
  <c r="AZ46" i="11"/>
  <c r="AI295" i="21" l="1"/>
  <c r="AD295" i="21" s="1"/>
  <c r="S19" i="25" s="1"/>
  <c r="AM45" i="15"/>
  <c r="AH324" i="21"/>
  <c r="AD324" i="21" s="1"/>
  <c r="S48" i="25" s="1"/>
  <c r="S47" i="26" s="1"/>
  <c r="AM47" i="26" s="1"/>
  <c r="Q49" i="20"/>
  <c r="AH289" i="21"/>
  <c r="AD289" i="21" s="1"/>
  <c r="S13" i="25" s="1"/>
  <c r="AH212" i="21"/>
  <c r="AD212" i="21" s="1"/>
  <c r="Q42" i="25" s="1"/>
  <c r="Q41" i="26" s="1"/>
  <c r="AK41" i="26" s="1"/>
  <c r="AI196" i="21"/>
  <c r="AD196" i="21" s="1"/>
  <c r="Q26" i="25" s="1"/>
  <c r="Q25" i="26" s="1"/>
  <c r="AK25" i="26" s="1"/>
  <c r="AI181" i="21"/>
  <c r="AD181" i="21" s="1"/>
  <c r="Q11" i="25" s="1"/>
  <c r="AI265" i="21"/>
  <c r="AD265" i="21" s="1"/>
  <c r="R42" i="25" s="1"/>
  <c r="R41" i="26" s="1"/>
  <c r="AL41" i="26" s="1"/>
  <c r="AH171" i="21"/>
  <c r="AD171" i="21" s="1"/>
  <c r="P53" i="25" s="1"/>
  <c r="P52" i="26" s="1"/>
  <c r="AJ52" i="26" s="1"/>
  <c r="AM28" i="15"/>
  <c r="AI160" i="21"/>
  <c r="AD160" i="21" s="1"/>
  <c r="P42" i="25" s="1"/>
  <c r="P41" i="26" s="1"/>
  <c r="AJ41" i="26" s="1"/>
  <c r="Q32" i="20"/>
  <c r="AI223" i="21"/>
  <c r="AD223" i="21" s="1"/>
  <c r="Q53" i="25" s="1"/>
  <c r="Q52" i="26" s="1"/>
  <c r="AK52" i="26" s="1"/>
  <c r="AH314" i="21"/>
  <c r="S38" i="24" s="1"/>
  <c r="AI115" i="21"/>
  <c r="AD115" i="21" s="1"/>
  <c r="O49" i="25" s="1"/>
  <c r="O48" i="26" s="1"/>
  <c r="AI48" i="26" s="1"/>
  <c r="AI272" i="21"/>
  <c r="AD272" i="21" s="1"/>
  <c r="R49" i="25" s="1"/>
  <c r="R48" i="26" s="1"/>
  <c r="AL48" i="26" s="1"/>
  <c r="AI153" i="21"/>
  <c r="AD153" i="21" s="1"/>
  <c r="P35" i="25" s="1"/>
  <c r="P34" i="26" s="1"/>
  <c r="AJ34" i="26" s="1"/>
  <c r="AI245" i="21"/>
  <c r="AD245" i="21" s="1"/>
  <c r="R22" i="25" s="1"/>
  <c r="AI328" i="21"/>
  <c r="AD328" i="21" s="1"/>
  <c r="S52" i="25" s="1"/>
  <c r="S51" i="26" s="1"/>
  <c r="AM51" i="26" s="1"/>
  <c r="Q43" i="20"/>
  <c r="AI253" i="21"/>
  <c r="AD253" i="21" s="1"/>
  <c r="R30" i="25" s="1"/>
  <c r="R29" i="26" s="1"/>
  <c r="AL29" i="26" s="1"/>
  <c r="AI257" i="21"/>
  <c r="AD257" i="21" s="1"/>
  <c r="R34" i="25" s="1"/>
  <c r="R33" i="26" s="1"/>
  <c r="AL33" i="26" s="1"/>
  <c r="AI305" i="21"/>
  <c r="AD305" i="21" s="1"/>
  <c r="S29" i="25" s="1"/>
  <c r="S28" i="26" s="1"/>
  <c r="AM28" i="26" s="1"/>
  <c r="AH145" i="21"/>
  <c r="P27" i="24" s="1"/>
  <c r="AH96" i="21"/>
  <c r="O30" i="24" s="1"/>
  <c r="AH268" i="21"/>
  <c r="AD268" i="21" s="1"/>
  <c r="R45" i="25" s="1"/>
  <c r="R44" i="26" s="1"/>
  <c r="AL44" i="26" s="1"/>
  <c r="AH221" i="21"/>
  <c r="Q51" i="24" s="1"/>
  <c r="AI114" i="21"/>
  <c r="AD114" i="21" s="1"/>
  <c r="O48" i="25" s="1"/>
  <c r="O47" i="26" s="1"/>
  <c r="AI47" i="26" s="1"/>
  <c r="AH154" i="21"/>
  <c r="AD154" i="21" s="1"/>
  <c r="P36" i="25" s="1"/>
  <c r="P35" i="26" s="1"/>
  <c r="AJ35" i="26" s="1"/>
  <c r="Q39" i="20"/>
  <c r="Q35" i="20"/>
  <c r="Q14" i="26"/>
  <c r="AK14" i="26" s="1"/>
  <c r="Q40" i="20"/>
  <c r="AI306" i="21"/>
  <c r="AD306" i="21" s="1"/>
  <c r="S30" i="25" s="1"/>
  <c r="S29" i="26" s="1"/>
  <c r="AM29" i="26" s="1"/>
  <c r="AI249" i="21"/>
  <c r="AD249" i="21" s="1"/>
  <c r="R26" i="25" s="1"/>
  <c r="R25" i="26" s="1"/>
  <c r="AL25" i="26" s="1"/>
  <c r="AH76" i="21"/>
  <c r="O10" i="24" s="1"/>
  <c r="AI327" i="21"/>
  <c r="AD327" i="21" s="1"/>
  <c r="S51" i="25" s="1"/>
  <c r="S50" i="26" s="1"/>
  <c r="AM50" i="26" s="1"/>
  <c r="Q15" i="20"/>
  <c r="Q20" i="26"/>
  <c r="AK20" i="26" s="1"/>
  <c r="Q13" i="26"/>
  <c r="AK13" i="26" s="1"/>
  <c r="AI299" i="21"/>
  <c r="AD299" i="21" s="1"/>
  <c r="S23" i="25" s="1"/>
  <c r="Q19" i="26"/>
  <c r="AK19" i="26" s="1"/>
  <c r="Q18" i="26"/>
  <c r="AK18" i="26" s="1"/>
  <c r="AI313" i="21"/>
  <c r="AD313" i="21" s="1"/>
  <c r="S37" i="25" s="1"/>
  <c r="S36" i="26" s="1"/>
  <c r="AM36" i="26" s="1"/>
  <c r="AI166" i="21"/>
  <c r="AD166" i="21" s="1"/>
  <c r="P48" i="25" s="1"/>
  <c r="P47" i="26" s="1"/>
  <c r="AJ47" i="26" s="1"/>
  <c r="AI297" i="21"/>
  <c r="AD297" i="21" s="1"/>
  <c r="S21" i="25" s="1"/>
  <c r="AI309" i="21"/>
  <c r="AD309" i="21" s="1"/>
  <c r="S33" i="25" s="1"/>
  <c r="S32" i="26" s="1"/>
  <c r="AM32" i="26" s="1"/>
  <c r="AH296" i="21"/>
  <c r="S20" i="24" s="1"/>
  <c r="Q37" i="20"/>
  <c r="AH146" i="21"/>
  <c r="P28" i="24" s="1"/>
  <c r="AI185" i="21"/>
  <c r="AD185" i="21" s="1"/>
  <c r="Q15" i="25" s="1"/>
  <c r="AH204" i="21"/>
  <c r="Q34" i="24" s="1"/>
  <c r="AH213" i="21"/>
  <c r="Q43" i="24" s="1"/>
  <c r="Q31" i="20"/>
  <c r="R45" i="20"/>
  <c r="Q24" i="20"/>
  <c r="AH292" i="21"/>
  <c r="S16" i="24" s="1"/>
  <c r="AI241" i="21"/>
  <c r="AD241" i="21" s="1"/>
  <c r="R18" i="25" s="1"/>
  <c r="AI298" i="21"/>
  <c r="AD298" i="21" s="1"/>
  <c r="S22" i="25" s="1"/>
  <c r="AH234" i="21"/>
  <c r="R11" i="24" s="1"/>
  <c r="AM36" i="15"/>
  <c r="AM44" i="15"/>
  <c r="Q10" i="26"/>
  <c r="AK10" i="26" s="1"/>
  <c r="AI294" i="21"/>
  <c r="AD294" i="21" s="1"/>
  <c r="S18" i="25" s="1"/>
  <c r="AH271" i="21"/>
  <c r="R48" i="24" s="1"/>
  <c r="AI143" i="21"/>
  <c r="AD143" i="21" s="1"/>
  <c r="P25" i="25" s="1"/>
  <c r="P24" i="26" s="1"/>
  <c r="AJ24" i="26" s="1"/>
  <c r="AI189" i="21"/>
  <c r="AD189" i="21" s="1"/>
  <c r="Q19" i="25" s="1"/>
  <c r="AI303" i="21"/>
  <c r="AD303" i="21" s="1"/>
  <c r="S27" i="25" s="1"/>
  <c r="Q52" i="20"/>
  <c r="AH288" i="21"/>
  <c r="S12" i="24" s="1"/>
  <c r="AI262" i="21"/>
  <c r="AD262" i="21" s="1"/>
  <c r="R39" i="25" s="1"/>
  <c r="R38" i="26" s="1"/>
  <c r="AL38" i="26" s="1"/>
  <c r="AH329" i="21"/>
  <c r="AD329" i="21" s="1"/>
  <c r="S53" i="25" s="1"/>
  <c r="S52" i="26" s="1"/>
  <c r="AM52" i="26" s="1"/>
  <c r="AH158" i="21"/>
  <c r="P40" i="24" s="1"/>
  <c r="AM48" i="15"/>
  <c r="AI210" i="21"/>
  <c r="AD210" i="21" s="1"/>
  <c r="Q40" i="25" s="1"/>
  <c r="Q39" i="26" s="1"/>
  <c r="AK39" i="26" s="1"/>
  <c r="AH238" i="21"/>
  <c r="R15" i="24" s="1"/>
  <c r="AI90" i="21"/>
  <c r="AD90" i="21" s="1"/>
  <c r="O24" i="25" s="1"/>
  <c r="O23" i="26" s="1"/>
  <c r="AI23" i="26" s="1"/>
  <c r="AI139" i="21"/>
  <c r="AD139" i="21" s="1"/>
  <c r="P21" i="25" s="1"/>
  <c r="AI248" i="21"/>
  <c r="AD248" i="21" s="1"/>
  <c r="R25" i="25" s="1"/>
  <c r="R24" i="26" s="1"/>
  <c r="AL24" i="26" s="1"/>
  <c r="AI141" i="21"/>
  <c r="AD141" i="21" s="1"/>
  <c r="P23" i="25" s="1"/>
  <c r="P22" i="26" s="1"/>
  <c r="AJ22" i="26" s="1"/>
  <c r="AH251" i="21"/>
  <c r="R28" i="24" s="1"/>
  <c r="AH117" i="21"/>
  <c r="AD117" i="21" s="1"/>
  <c r="O51" i="25" s="1"/>
  <c r="O50" i="26" s="1"/>
  <c r="AI50" i="26" s="1"/>
  <c r="AI88" i="21"/>
  <c r="AD88" i="21" s="1"/>
  <c r="O22" i="25" s="1"/>
  <c r="Q9" i="26"/>
  <c r="AK9" i="26" s="1"/>
  <c r="AH275" i="21"/>
  <c r="R52" i="24" s="1"/>
  <c r="AI206" i="21"/>
  <c r="AD206" i="21" s="1"/>
  <c r="Q36" i="25" s="1"/>
  <c r="Q35" i="26" s="1"/>
  <c r="AK35" i="26" s="1"/>
  <c r="AI276" i="21"/>
  <c r="AD276" i="21" s="1"/>
  <c r="R53" i="25" s="1"/>
  <c r="R52" i="26" s="1"/>
  <c r="AL52" i="26" s="1"/>
  <c r="AH106" i="21"/>
  <c r="O40" i="24" s="1"/>
  <c r="AH98" i="21"/>
  <c r="O32" i="24" s="1"/>
  <c r="AH187" i="21"/>
  <c r="AD187" i="21" s="1"/>
  <c r="Q17" i="25" s="1"/>
  <c r="AH188" i="21"/>
  <c r="AD188" i="21" s="1"/>
  <c r="Q18" i="25" s="1"/>
  <c r="Q22" i="20"/>
  <c r="AK22" i="15"/>
  <c r="AK23" i="15"/>
  <c r="AI215" i="21"/>
  <c r="AD215" i="21" s="1"/>
  <c r="Q45" i="25" s="1"/>
  <c r="Q44" i="26" s="1"/>
  <c r="AK44" i="26" s="1"/>
  <c r="AH243" i="21"/>
  <c r="AD243" i="21" s="1"/>
  <c r="R20" i="25" s="1"/>
  <c r="AH195" i="21"/>
  <c r="Q25" i="24" s="1"/>
  <c r="AI244" i="21"/>
  <c r="AD244" i="21" s="1"/>
  <c r="R21" i="25" s="1"/>
  <c r="AI107" i="21"/>
  <c r="AD107" i="21" s="1"/>
  <c r="O41" i="25" s="1"/>
  <c r="O40" i="26" s="1"/>
  <c r="AI40" i="26" s="1"/>
  <c r="AI182" i="21"/>
  <c r="AD182" i="21" s="1"/>
  <c r="Q12" i="25" s="1"/>
  <c r="AI136" i="21"/>
  <c r="AD136" i="21" s="1"/>
  <c r="P18" i="25" s="1"/>
  <c r="AM34" i="15"/>
  <c r="AH198" i="21"/>
  <c r="AD198" i="21" s="1"/>
  <c r="Q28" i="25" s="1"/>
  <c r="Q27" i="26" s="1"/>
  <c r="AK27" i="26" s="1"/>
  <c r="AI118" i="21"/>
  <c r="AD118" i="21" s="1"/>
  <c r="O52" i="25" s="1"/>
  <c r="O51" i="26" s="1"/>
  <c r="AI51" i="26" s="1"/>
  <c r="AH220" i="21"/>
  <c r="AD220" i="21" s="1"/>
  <c r="Q50" i="25" s="1"/>
  <c r="Q49" i="26" s="1"/>
  <c r="AK49" i="26" s="1"/>
  <c r="AI109" i="21"/>
  <c r="AD109" i="21" s="1"/>
  <c r="O43" i="25" s="1"/>
  <c r="O42" i="26" s="1"/>
  <c r="AI42" i="26" s="1"/>
  <c r="AH111" i="21"/>
  <c r="AD111" i="21" s="1"/>
  <c r="O45" i="25" s="1"/>
  <c r="O44" i="26" s="1"/>
  <c r="AI44" i="26" s="1"/>
  <c r="AI290" i="21"/>
  <c r="AD290" i="21" s="1"/>
  <c r="S14" i="25" s="1"/>
  <c r="AI87" i="21"/>
  <c r="AD87" i="21" s="1"/>
  <c r="O21" i="25" s="1"/>
  <c r="AH247" i="21"/>
  <c r="AD247" i="21" s="1"/>
  <c r="R24" i="25" s="1"/>
  <c r="AI132" i="21"/>
  <c r="AD132" i="21" s="1"/>
  <c r="P14" i="25" s="1"/>
  <c r="AH256" i="21"/>
  <c r="AD256" i="21" s="1"/>
  <c r="R33" i="25" s="1"/>
  <c r="R32" i="26" s="1"/>
  <c r="AL32" i="26" s="1"/>
  <c r="Q11" i="26"/>
  <c r="AK11" i="26" s="1"/>
  <c r="AH131" i="21"/>
  <c r="AD131" i="21" s="1"/>
  <c r="P13" i="25" s="1"/>
  <c r="AI211" i="21"/>
  <c r="AD211" i="21" s="1"/>
  <c r="Q41" i="25" s="1"/>
  <c r="Q40" i="26" s="1"/>
  <c r="AK40" i="26" s="1"/>
  <c r="AI112" i="21"/>
  <c r="AD112" i="21" s="1"/>
  <c r="O46" i="25" s="1"/>
  <c r="O45" i="26" s="1"/>
  <c r="AI45" i="26" s="1"/>
  <c r="AH319" i="21"/>
  <c r="AD319" i="21" s="1"/>
  <c r="S43" i="25" s="1"/>
  <c r="S42" i="26" s="1"/>
  <c r="AM42" i="26" s="1"/>
  <c r="AI219" i="21"/>
  <c r="AD219" i="21" s="1"/>
  <c r="Q49" i="25" s="1"/>
  <c r="Q48" i="26" s="1"/>
  <c r="AK48" i="26" s="1"/>
  <c r="AH273" i="21"/>
  <c r="R50" i="24" s="1"/>
  <c r="AI81" i="21"/>
  <c r="AD81" i="21" s="1"/>
  <c r="O15" i="25" s="1"/>
  <c r="AH254" i="21"/>
  <c r="AD254" i="21" s="1"/>
  <c r="R31" i="25" s="1"/>
  <c r="R30" i="26" s="1"/>
  <c r="AL30" i="26" s="1"/>
  <c r="AI264" i="21"/>
  <c r="AD264" i="21" s="1"/>
  <c r="R41" i="25" s="1"/>
  <c r="R40" i="26" s="1"/>
  <c r="AL40" i="26" s="1"/>
  <c r="AH77" i="21"/>
  <c r="AD77" i="21" s="1"/>
  <c r="O11" i="25" s="1"/>
  <c r="AI320" i="21"/>
  <c r="AD320" i="21" s="1"/>
  <c r="S44" i="25" s="1"/>
  <c r="S43" i="26" s="1"/>
  <c r="AM43" i="26" s="1"/>
  <c r="R42" i="20"/>
  <c r="R49" i="20"/>
  <c r="AI164" i="21"/>
  <c r="AD164" i="21" s="1"/>
  <c r="P46" i="25" s="1"/>
  <c r="P45" i="26" s="1"/>
  <c r="AJ45" i="26" s="1"/>
  <c r="R48" i="20"/>
  <c r="AH159" i="21"/>
  <c r="AD159" i="21" s="1"/>
  <c r="P41" i="25" s="1"/>
  <c r="P40" i="26" s="1"/>
  <c r="AJ40" i="26" s="1"/>
  <c r="AH110" i="21"/>
  <c r="O44" i="24" s="1"/>
  <c r="AH269" i="21"/>
  <c r="R46" i="24" s="1"/>
  <c r="AH199" i="21"/>
  <c r="AD199" i="21" s="1"/>
  <c r="Q29" i="25" s="1"/>
  <c r="Q28" i="26" s="1"/>
  <c r="AK28" i="26" s="1"/>
  <c r="S36" i="20"/>
  <c r="P14" i="20"/>
  <c r="P14" i="26"/>
  <c r="AJ14" i="26" s="1"/>
  <c r="S51" i="20"/>
  <c r="R14" i="20"/>
  <c r="R14" i="26"/>
  <c r="AL14" i="26" s="1"/>
  <c r="S44" i="20"/>
  <c r="Q16" i="20"/>
  <c r="Q16" i="26"/>
  <c r="AK16" i="26" s="1"/>
  <c r="S38" i="20"/>
  <c r="P26" i="20"/>
  <c r="S20" i="20"/>
  <c r="S20" i="26"/>
  <c r="AM20" i="26" s="1"/>
  <c r="S35" i="20"/>
  <c r="S50" i="20"/>
  <c r="P25" i="20"/>
  <c r="S43" i="20"/>
  <c r="S9" i="20"/>
  <c r="S9" i="26"/>
  <c r="AM9" i="26" s="1"/>
  <c r="S40" i="20"/>
  <c r="S45" i="20"/>
  <c r="S27" i="20"/>
  <c r="S27" i="26"/>
  <c r="AM27" i="26" s="1"/>
  <c r="P15" i="20"/>
  <c r="P15" i="26"/>
  <c r="AJ15" i="26" s="1"/>
  <c r="S52" i="20"/>
  <c r="R36" i="20"/>
  <c r="S24" i="20"/>
  <c r="S24" i="26"/>
  <c r="AM24" i="26" s="1"/>
  <c r="R30" i="20"/>
  <c r="S39" i="20"/>
  <c r="R13" i="20"/>
  <c r="R13" i="26"/>
  <c r="AL13" i="26" s="1"/>
  <c r="S22" i="20"/>
  <c r="S22" i="26"/>
  <c r="AM22" i="26" s="1"/>
  <c r="Q33" i="20"/>
  <c r="S32" i="20"/>
  <c r="P20" i="20"/>
  <c r="P20" i="26"/>
  <c r="AJ20" i="26" s="1"/>
  <c r="S13" i="20"/>
  <c r="S13" i="26"/>
  <c r="AM13" i="26" s="1"/>
  <c r="R35" i="20"/>
  <c r="R18" i="20"/>
  <c r="R18" i="26"/>
  <c r="AL18" i="26" s="1"/>
  <c r="P22" i="20"/>
  <c r="S16" i="20"/>
  <c r="S16" i="26"/>
  <c r="AM16" i="26" s="1"/>
  <c r="R22" i="20"/>
  <c r="R22" i="26"/>
  <c r="AL22" i="26" s="1"/>
  <c r="S37" i="20"/>
  <c r="R33" i="20"/>
  <c r="P19" i="20"/>
  <c r="P19" i="26"/>
  <c r="AJ19" i="26" s="1"/>
  <c r="S41" i="20"/>
  <c r="R19" i="20"/>
  <c r="R19" i="26"/>
  <c r="AL19" i="26" s="1"/>
  <c r="S28" i="20"/>
  <c r="R10" i="20"/>
  <c r="R10" i="26"/>
  <c r="AL10" i="26" s="1"/>
  <c r="R21" i="20"/>
  <c r="R21" i="26"/>
  <c r="AL21" i="26" s="1"/>
  <c r="S33" i="20"/>
  <c r="P24" i="20"/>
  <c r="R24" i="20"/>
  <c r="P11" i="20"/>
  <c r="P11" i="26"/>
  <c r="AJ11" i="26" s="1"/>
  <c r="S48" i="20"/>
  <c r="R11" i="20"/>
  <c r="R11" i="26"/>
  <c r="AL11" i="26" s="1"/>
  <c r="S17" i="20"/>
  <c r="S17" i="26"/>
  <c r="AM17" i="26" s="1"/>
  <c r="P23" i="20"/>
  <c r="S21" i="20"/>
  <c r="S21" i="26"/>
  <c r="AM21" i="26" s="1"/>
  <c r="S29" i="20"/>
  <c r="R38" i="20"/>
  <c r="P17" i="20"/>
  <c r="P17" i="26"/>
  <c r="AJ17" i="26" s="1"/>
  <c r="R29" i="20"/>
  <c r="R39" i="20"/>
  <c r="S25" i="20"/>
  <c r="S25" i="26"/>
  <c r="AM25" i="26" s="1"/>
  <c r="P21" i="20"/>
  <c r="P21" i="26"/>
  <c r="AJ21" i="26" s="1"/>
  <c r="R40" i="20"/>
  <c r="P12" i="20"/>
  <c r="P12" i="26"/>
  <c r="AJ12" i="26" s="1"/>
  <c r="S49" i="20"/>
  <c r="R31" i="20"/>
  <c r="Q23" i="20"/>
  <c r="AM30" i="15"/>
  <c r="R27" i="20"/>
  <c r="S26" i="20"/>
  <c r="S26" i="26"/>
  <c r="AM26" i="26" s="1"/>
  <c r="P13" i="20"/>
  <c r="P13" i="26"/>
  <c r="AJ13" i="26" s="1"/>
  <c r="R37" i="20"/>
  <c r="S34" i="20"/>
  <c r="R28" i="20"/>
  <c r="R32" i="20"/>
  <c r="S10" i="20"/>
  <c r="S10" i="26"/>
  <c r="AM10" i="26" s="1"/>
  <c r="R9" i="20"/>
  <c r="R9" i="26"/>
  <c r="AL9" i="26" s="1"/>
  <c r="R34" i="20"/>
  <c r="R20" i="20"/>
  <c r="R20" i="26"/>
  <c r="AL20" i="26" s="1"/>
  <c r="Q12" i="20"/>
  <c r="Q12" i="26"/>
  <c r="AK12" i="26" s="1"/>
  <c r="Q26" i="20"/>
  <c r="AM51" i="15"/>
  <c r="R16" i="20"/>
  <c r="R16" i="26"/>
  <c r="AL16" i="26" s="1"/>
  <c r="S15" i="20"/>
  <c r="S15" i="26"/>
  <c r="AM15" i="26" s="1"/>
  <c r="S30" i="20"/>
  <c r="S23" i="20"/>
  <c r="S23" i="26"/>
  <c r="AM23" i="26" s="1"/>
  <c r="R41" i="20"/>
  <c r="S42" i="20"/>
  <c r="R26" i="20"/>
  <c r="S14" i="20"/>
  <c r="S14" i="26"/>
  <c r="AM14" i="26" s="1"/>
  <c r="P9" i="20"/>
  <c r="P9" i="26"/>
  <c r="AJ9" i="26" s="1"/>
  <c r="R23" i="20"/>
  <c r="R23" i="26"/>
  <c r="AL23" i="26" s="1"/>
  <c r="P16" i="20"/>
  <c r="P16" i="26"/>
  <c r="AJ16" i="26" s="1"/>
  <c r="AN52" i="15"/>
  <c r="Q21" i="20"/>
  <c r="Q21" i="26"/>
  <c r="AK21" i="26" s="1"/>
  <c r="AM47" i="15"/>
  <c r="Q25" i="20"/>
  <c r="P10" i="20"/>
  <c r="P10" i="26"/>
  <c r="AJ10" i="26" s="1"/>
  <c r="S47" i="20"/>
  <c r="S19" i="20"/>
  <c r="S19" i="26"/>
  <c r="AM19" i="26" s="1"/>
  <c r="P18" i="20"/>
  <c r="P18" i="26"/>
  <c r="AJ18" i="26" s="1"/>
  <c r="S12" i="20"/>
  <c r="S12" i="26"/>
  <c r="AM12" i="26" s="1"/>
  <c r="R17" i="20"/>
  <c r="R17" i="26"/>
  <c r="AL17" i="26" s="1"/>
  <c r="S31" i="20"/>
  <c r="R15" i="20"/>
  <c r="R15" i="26"/>
  <c r="AL15" i="26" s="1"/>
  <c r="S46" i="20"/>
  <c r="S18" i="20"/>
  <c r="S18" i="26"/>
  <c r="AM18" i="26" s="1"/>
  <c r="R12" i="20"/>
  <c r="R12" i="26"/>
  <c r="AL12" i="26" s="1"/>
  <c r="R25" i="20"/>
  <c r="S11" i="20"/>
  <c r="S11" i="26"/>
  <c r="AM11" i="26" s="1"/>
  <c r="Q17" i="20"/>
  <c r="Q17" i="26"/>
  <c r="AK17" i="26" s="1"/>
  <c r="AH323" i="21"/>
  <c r="S47" i="24" s="1"/>
  <c r="AI240" i="21"/>
  <c r="AD240" i="21" s="1"/>
  <c r="R17" i="25" s="1"/>
  <c r="AH99" i="21"/>
  <c r="AD99" i="21" s="1"/>
  <c r="O33" i="25" s="1"/>
  <c r="O32" i="26" s="1"/>
  <c r="AI32" i="26" s="1"/>
  <c r="Q30" i="20"/>
  <c r="AI149" i="21"/>
  <c r="AD149" i="21" s="1"/>
  <c r="P31" i="25" s="1"/>
  <c r="P30" i="26" s="1"/>
  <c r="AJ30" i="26" s="1"/>
  <c r="AI208" i="21"/>
  <c r="AD208" i="21" s="1"/>
  <c r="Q38" i="25" s="1"/>
  <c r="Q37" i="26" s="1"/>
  <c r="AK37" i="26" s="1"/>
  <c r="R52" i="20"/>
  <c r="AH252" i="21"/>
  <c r="R29" i="24" s="1"/>
  <c r="AI214" i="21"/>
  <c r="AD214" i="21" s="1"/>
  <c r="Q44" i="25" s="1"/>
  <c r="Q43" i="26" s="1"/>
  <c r="AK43" i="26" s="1"/>
  <c r="AI79" i="21"/>
  <c r="AD79" i="21" s="1"/>
  <c r="O13" i="25" s="1"/>
  <c r="AH293" i="21"/>
  <c r="S17" i="24" s="1"/>
  <c r="AH316" i="21"/>
  <c r="AD316" i="21" s="1"/>
  <c r="S40" i="25" s="1"/>
  <c r="S39" i="26" s="1"/>
  <c r="AM39" i="26" s="1"/>
  <c r="AH186" i="21"/>
  <c r="AD186" i="21" s="1"/>
  <c r="Q16" i="25" s="1"/>
  <c r="AH266" i="21"/>
  <c r="R43" i="24" s="1"/>
  <c r="AI302" i="21"/>
  <c r="AD302" i="21" s="1"/>
  <c r="S26" i="25" s="1"/>
  <c r="AL31" i="15"/>
  <c r="P31" i="20"/>
  <c r="AL33" i="15"/>
  <c r="P33" i="20"/>
  <c r="AL47" i="15"/>
  <c r="P47" i="20"/>
  <c r="AL34" i="15"/>
  <c r="P34" i="20"/>
  <c r="AL52" i="15"/>
  <c r="P52" i="20"/>
  <c r="AL43" i="15"/>
  <c r="P43" i="20"/>
  <c r="AN43" i="15"/>
  <c r="R43" i="20"/>
  <c r="AL40" i="15"/>
  <c r="P40" i="20"/>
  <c r="AM29" i="15"/>
  <c r="Q29" i="20"/>
  <c r="AL38" i="15"/>
  <c r="P38" i="20"/>
  <c r="AL29" i="15"/>
  <c r="P29" i="20"/>
  <c r="AN50" i="15"/>
  <c r="R50" i="20"/>
  <c r="AL36" i="15"/>
  <c r="P36" i="20"/>
  <c r="AL51" i="15"/>
  <c r="P51" i="20"/>
  <c r="AH119" i="21"/>
  <c r="AD119" i="21" s="1"/>
  <c r="O53" i="25" s="1"/>
  <c r="O52" i="26" s="1"/>
  <c r="AI52" i="26" s="1"/>
  <c r="AH78" i="21"/>
  <c r="O12" i="24" s="1"/>
  <c r="AL41" i="15"/>
  <c r="P41" i="20"/>
  <c r="AL46" i="15"/>
  <c r="P46" i="20"/>
  <c r="AL32" i="15"/>
  <c r="P32" i="20"/>
  <c r="AM38" i="15"/>
  <c r="Q38" i="20"/>
  <c r="AM41" i="15"/>
  <c r="Q41" i="20"/>
  <c r="AL37" i="15"/>
  <c r="P37" i="20"/>
  <c r="AL44" i="15"/>
  <c r="P44" i="20"/>
  <c r="AL27" i="15"/>
  <c r="P27" i="20"/>
  <c r="AH326" i="21"/>
  <c r="AD326" i="21" s="1"/>
  <c r="S50" i="25" s="1"/>
  <c r="S49" i="26" s="1"/>
  <c r="AM49" i="26" s="1"/>
  <c r="AL35" i="15"/>
  <c r="P35" i="20"/>
  <c r="AL49" i="15"/>
  <c r="P49" i="20"/>
  <c r="AM27" i="15"/>
  <c r="Q27" i="20"/>
  <c r="AN51" i="15"/>
  <c r="R51" i="20"/>
  <c r="AL50" i="15"/>
  <c r="P50" i="20"/>
  <c r="AL45" i="15"/>
  <c r="P45" i="20"/>
  <c r="AL48" i="15"/>
  <c r="P48" i="20"/>
  <c r="AN46" i="15"/>
  <c r="R46" i="20"/>
  <c r="AL39" i="15"/>
  <c r="P39" i="20"/>
  <c r="AN47" i="15"/>
  <c r="R47" i="20"/>
  <c r="AN44" i="15"/>
  <c r="R44" i="20"/>
  <c r="AL42" i="15"/>
  <c r="P42" i="20"/>
  <c r="AL28" i="15"/>
  <c r="P28" i="20"/>
  <c r="AL30" i="15"/>
  <c r="P30" i="20"/>
  <c r="AH82" i="21"/>
  <c r="O16" i="24" s="1"/>
  <c r="AI161" i="21"/>
  <c r="AD161" i="21" s="1"/>
  <c r="P43" i="25" s="1"/>
  <c r="P42" i="26" s="1"/>
  <c r="AJ42" i="26" s="1"/>
  <c r="AI103" i="21"/>
  <c r="AD103" i="21" s="1"/>
  <c r="O37" i="25" s="1"/>
  <c r="O36" i="26" s="1"/>
  <c r="AI36" i="26" s="1"/>
  <c r="AH191" i="21"/>
  <c r="AD191" i="21" s="1"/>
  <c r="Q21" i="25" s="1"/>
  <c r="AI236" i="21"/>
  <c r="AD236" i="21" s="1"/>
  <c r="R13" i="25" s="1"/>
  <c r="AH95" i="21"/>
  <c r="O29" i="24" s="1"/>
  <c r="AH128" i="21"/>
  <c r="AD128" i="21" s="1"/>
  <c r="P10" i="25" s="1"/>
  <c r="AH307" i="21"/>
  <c r="S31" i="24" s="1"/>
  <c r="AH287" i="21"/>
  <c r="AD287" i="21" s="1"/>
  <c r="S11" i="25" s="1"/>
  <c r="AH263" i="21"/>
  <c r="AD263" i="21" s="1"/>
  <c r="R40" i="25" s="1"/>
  <c r="R39" i="26" s="1"/>
  <c r="AL39" i="26" s="1"/>
  <c r="AH261" i="21"/>
  <c r="AD261" i="21" s="1"/>
  <c r="R38" i="25" s="1"/>
  <c r="R37" i="26" s="1"/>
  <c r="AL37" i="26" s="1"/>
  <c r="AH217" i="21"/>
  <c r="AD217" i="21" s="1"/>
  <c r="Q47" i="25" s="1"/>
  <c r="Q46" i="26" s="1"/>
  <c r="AK46" i="26" s="1"/>
  <c r="AI147" i="21"/>
  <c r="AD147" i="21" s="1"/>
  <c r="P29" i="25" s="1"/>
  <c r="P28" i="26" s="1"/>
  <c r="AJ28" i="26" s="1"/>
  <c r="AI86" i="21"/>
  <c r="AD86" i="21" s="1"/>
  <c r="O20" i="25" s="1"/>
  <c r="AH144" i="21"/>
  <c r="AD144" i="21" s="1"/>
  <c r="P26" i="25" s="1"/>
  <c r="P25" i="26" s="1"/>
  <c r="AJ25" i="26" s="1"/>
  <c r="AH267" i="21"/>
  <c r="AD267" i="21" s="1"/>
  <c r="R44" i="25" s="1"/>
  <c r="R43" i="26" s="1"/>
  <c r="AL43" i="26" s="1"/>
  <c r="AH286" i="21"/>
  <c r="AD286" i="21" s="1"/>
  <c r="S10" i="25" s="1"/>
  <c r="AI274" i="21"/>
  <c r="AD274" i="21" s="1"/>
  <c r="R51" i="25" s="1"/>
  <c r="R50" i="26" s="1"/>
  <c r="AL50" i="26" s="1"/>
  <c r="AH150" i="21"/>
  <c r="AD150" i="21" s="1"/>
  <c r="P32" i="25" s="1"/>
  <c r="P31" i="26" s="1"/>
  <c r="AJ31" i="26" s="1"/>
  <c r="AH83" i="21"/>
  <c r="AD83" i="21" s="1"/>
  <c r="O17" i="25" s="1"/>
  <c r="AI138" i="21"/>
  <c r="AD138" i="21" s="1"/>
  <c r="P20" i="25" s="1"/>
  <c r="AI239" i="21"/>
  <c r="AD239" i="21" s="1"/>
  <c r="R16" i="25" s="1"/>
  <c r="AH100" i="21"/>
  <c r="AD100" i="21" s="1"/>
  <c r="O34" i="25" s="1"/>
  <c r="O33" i="26" s="1"/>
  <c r="AI33" i="26" s="1"/>
  <c r="AH180" i="21"/>
  <c r="Q10" i="24" s="1"/>
  <c r="AH148" i="21"/>
  <c r="AD148" i="21" s="1"/>
  <c r="P30" i="25" s="1"/>
  <c r="P29" i="26" s="1"/>
  <c r="AJ29" i="26" s="1"/>
  <c r="AI101" i="21"/>
  <c r="AD101" i="21" s="1"/>
  <c r="O35" i="25" s="1"/>
  <c r="O34" i="26" s="1"/>
  <c r="AI34" i="26" s="1"/>
  <c r="AH102" i="21"/>
  <c r="AD102" i="21" s="1"/>
  <c r="O36" i="25" s="1"/>
  <c r="O35" i="26" s="1"/>
  <c r="AI35" i="26" s="1"/>
  <c r="AI137" i="21"/>
  <c r="AD137" i="21" s="1"/>
  <c r="P19" i="25" s="1"/>
  <c r="AI168" i="21"/>
  <c r="AD168" i="21" s="1"/>
  <c r="P50" i="25" s="1"/>
  <c r="P49" i="26" s="1"/>
  <c r="AJ49" i="26" s="1"/>
  <c r="AI207" i="21"/>
  <c r="AD207" i="21" s="1"/>
  <c r="Q37" i="25" s="1"/>
  <c r="Q36" i="26" s="1"/>
  <c r="AK36" i="26" s="1"/>
  <c r="AI197" i="21"/>
  <c r="AD197" i="21" s="1"/>
  <c r="Q27" i="25" s="1"/>
  <c r="Q26" i="26" s="1"/>
  <c r="AK26" i="26" s="1"/>
  <c r="AH105" i="21"/>
  <c r="O39" i="24" s="1"/>
  <c r="AI255" i="21"/>
  <c r="AD255" i="21" s="1"/>
  <c r="R32" i="25" s="1"/>
  <c r="R31" i="26" s="1"/>
  <c r="AL31" i="26" s="1"/>
  <c r="AI108" i="21"/>
  <c r="AD108" i="21" s="1"/>
  <c r="O42" i="25" s="1"/>
  <c r="O41" i="26" s="1"/>
  <c r="AI41" i="26" s="1"/>
  <c r="AH258" i="21"/>
  <c r="AD258" i="21" s="1"/>
  <c r="R35" i="25" s="1"/>
  <c r="R34" i="26" s="1"/>
  <c r="AL34" i="26" s="1"/>
  <c r="AI134" i="21"/>
  <c r="AD134" i="21" s="1"/>
  <c r="P16" i="25" s="1"/>
  <c r="AH216" i="21"/>
  <c r="AD216" i="21" s="1"/>
  <c r="Q46" i="25" s="1"/>
  <c r="Q45" i="26" s="1"/>
  <c r="AK45" i="26" s="1"/>
  <c r="AI157" i="21"/>
  <c r="AD157" i="21" s="1"/>
  <c r="P39" i="25" s="1"/>
  <c r="P38" i="26" s="1"/>
  <c r="AJ38" i="26" s="1"/>
  <c r="AI165" i="21"/>
  <c r="AD165" i="21" s="1"/>
  <c r="P47" i="25" s="1"/>
  <c r="P46" i="26" s="1"/>
  <c r="AJ46" i="26" s="1"/>
  <c r="AH237" i="21"/>
  <c r="R14" i="24" s="1"/>
  <c r="AH163" i="21"/>
  <c r="AD163" i="21" s="1"/>
  <c r="P45" i="25" s="1"/>
  <c r="P44" i="26" s="1"/>
  <c r="AJ44" i="26" s="1"/>
  <c r="AI152" i="21"/>
  <c r="AD152" i="21" s="1"/>
  <c r="P34" i="25" s="1"/>
  <c r="P33" i="26" s="1"/>
  <c r="AJ33" i="26" s="1"/>
  <c r="AH151" i="21"/>
  <c r="AD151" i="21" s="1"/>
  <c r="P33" i="25" s="1"/>
  <c r="P32" i="26" s="1"/>
  <c r="AJ32" i="26" s="1"/>
  <c r="AH113" i="21"/>
  <c r="O47" i="24" s="1"/>
  <c r="AI318" i="21"/>
  <c r="AD318" i="21" s="1"/>
  <c r="S42" i="25" s="1"/>
  <c r="S41" i="26" s="1"/>
  <c r="AM41" i="26" s="1"/>
  <c r="AI80" i="21"/>
  <c r="AD80" i="21" s="1"/>
  <c r="O14" i="25" s="1"/>
  <c r="AH200" i="21"/>
  <c r="AD200" i="21" s="1"/>
  <c r="Q30" i="25" s="1"/>
  <c r="Q29" i="26" s="1"/>
  <c r="AK29" i="26" s="1"/>
  <c r="AH130" i="21"/>
  <c r="AD130" i="21" s="1"/>
  <c r="P12" i="25" s="1"/>
  <c r="AI317" i="21"/>
  <c r="AD317" i="21" s="1"/>
  <c r="S41" i="25" s="1"/>
  <c r="S40" i="26" s="1"/>
  <c r="AM40" i="26" s="1"/>
  <c r="AI192" i="21"/>
  <c r="AD192" i="21" s="1"/>
  <c r="Q22" i="25" s="1"/>
  <c r="Q39" i="24"/>
  <c r="AD209" i="21"/>
  <c r="Q39" i="25" s="1"/>
  <c r="Q38" i="26" s="1"/>
  <c r="AK38" i="26" s="1"/>
  <c r="Q41" i="24"/>
  <c r="P39" i="24"/>
  <c r="O38" i="24"/>
  <c r="AD104" i="21"/>
  <c r="O38" i="25" s="1"/>
  <c r="O37" i="26" s="1"/>
  <c r="AI37" i="26" s="1"/>
  <c r="O23" i="24"/>
  <c r="AD89" i="21"/>
  <c r="O23" i="25" s="1"/>
  <c r="O22" i="26" s="1"/>
  <c r="AI22" i="26" s="1"/>
  <c r="O21" i="24"/>
  <c r="Q12" i="24"/>
  <c r="S22" i="24"/>
  <c r="S19" i="24"/>
  <c r="O22" i="24"/>
  <c r="P48" i="24"/>
  <c r="S30" i="24"/>
  <c r="Q15" i="24"/>
  <c r="O49" i="24"/>
  <c r="S37" i="24"/>
  <c r="P21" i="24"/>
  <c r="P42" i="24"/>
  <c r="Q22" i="24"/>
  <c r="P34" i="24"/>
  <c r="P31" i="24"/>
  <c r="Q52" i="24"/>
  <c r="AD222" i="21"/>
  <c r="Q52" i="25" s="1"/>
  <c r="Q51" i="26" s="1"/>
  <c r="AK51" i="26" s="1"/>
  <c r="R53" i="24"/>
  <c r="S51" i="24"/>
  <c r="R12" i="24"/>
  <c r="AD235" i="21"/>
  <c r="R12" i="25" s="1"/>
  <c r="O41" i="24"/>
  <c r="P16" i="24"/>
  <c r="S39" i="24"/>
  <c r="AD315" i="21"/>
  <c r="S39" i="25" s="1"/>
  <c r="S38" i="26" s="1"/>
  <c r="AM38" i="26" s="1"/>
  <c r="O24" i="24"/>
  <c r="O43" i="24"/>
  <c r="Q36" i="24"/>
  <c r="S14" i="24"/>
  <c r="P20" i="24"/>
  <c r="S26" i="24"/>
  <c r="P47" i="24"/>
  <c r="Q45" i="24"/>
  <c r="Q40" i="24"/>
  <c r="S28" i="24"/>
  <c r="AD304" i="21"/>
  <c r="S28" i="25" s="1"/>
  <c r="R49" i="24"/>
  <c r="P51" i="24"/>
  <c r="AD169" i="21"/>
  <c r="P51" i="25" s="1"/>
  <c r="P50" i="26" s="1"/>
  <c r="AJ50" i="26" s="1"/>
  <c r="S29" i="24"/>
  <c r="R30" i="24"/>
  <c r="O26" i="24"/>
  <c r="AD92" i="21"/>
  <c r="O26" i="25" s="1"/>
  <c r="O25" i="26" s="1"/>
  <c r="AI25" i="26" s="1"/>
  <c r="R36" i="24"/>
  <c r="AD259" i="21"/>
  <c r="R36" i="25" s="1"/>
  <c r="R35" i="26" s="1"/>
  <c r="AL35" i="26" s="1"/>
  <c r="Q37" i="24"/>
  <c r="Q11" i="24"/>
  <c r="S33" i="24"/>
  <c r="S42" i="24"/>
  <c r="Q44" i="24"/>
  <c r="P46" i="24"/>
  <c r="S44" i="24"/>
  <c r="O14" i="24"/>
  <c r="P22" i="24"/>
  <c r="AD140" i="21"/>
  <c r="P22" i="25" s="1"/>
  <c r="O31" i="24"/>
  <c r="AD97" i="21"/>
  <c r="O31" i="25" s="1"/>
  <c r="O30" i="26" s="1"/>
  <c r="AI30" i="26" s="1"/>
  <c r="S21" i="24"/>
  <c r="R19" i="24"/>
  <c r="AD242" i="21"/>
  <c r="R19" i="25" s="1"/>
  <c r="S13" i="24"/>
  <c r="S52" i="24"/>
  <c r="O20" i="24"/>
  <c r="S18" i="24"/>
  <c r="O35" i="24"/>
  <c r="R13" i="24"/>
  <c r="R27" i="24"/>
  <c r="AD250" i="21"/>
  <c r="R27" i="25" s="1"/>
  <c r="R26" i="26" s="1"/>
  <c r="AL26" i="26" s="1"/>
  <c r="P25" i="24"/>
  <c r="O15" i="24"/>
  <c r="S15" i="24"/>
  <c r="AD291" i="21"/>
  <c r="S15" i="25" s="1"/>
  <c r="Q19" i="24"/>
  <c r="P35" i="24"/>
  <c r="R17" i="24"/>
  <c r="O52" i="24"/>
  <c r="Q35" i="24"/>
  <c r="AD205" i="21"/>
  <c r="Q35" i="25" s="1"/>
  <c r="Q34" i="26" s="1"/>
  <c r="AK34" i="26" s="1"/>
  <c r="R22" i="24"/>
  <c r="R34" i="24"/>
  <c r="R25" i="24"/>
  <c r="P23" i="24"/>
  <c r="O37" i="24"/>
  <c r="Q49" i="24"/>
  <c r="R26" i="24"/>
  <c r="O46" i="24"/>
  <c r="O27" i="24"/>
  <c r="AD93" i="21"/>
  <c r="O27" i="25" s="1"/>
  <c r="O26" i="26" s="1"/>
  <c r="AI26" i="26" s="1"/>
  <c r="Q20" i="24"/>
  <c r="AD190" i="21"/>
  <c r="Q20" i="25" s="1"/>
  <c r="Q27" i="24"/>
  <c r="S46" i="24"/>
  <c r="AD322" i="21"/>
  <c r="S46" i="25" s="1"/>
  <c r="S45" i="26" s="1"/>
  <c r="AM45" i="26" s="1"/>
  <c r="P11" i="24"/>
  <c r="AD129" i="21"/>
  <c r="P11" i="25" s="1"/>
  <c r="S41" i="24"/>
  <c r="R21" i="24"/>
  <c r="R41" i="24"/>
  <c r="Q31" i="24"/>
  <c r="AD201" i="21"/>
  <c r="Q31" i="25" s="1"/>
  <c r="Q30" i="26" s="1"/>
  <c r="AK30" i="26" s="1"/>
  <c r="O28" i="24"/>
  <c r="AD94" i="21"/>
  <c r="O28" i="25" s="1"/>
  <c r="O27" i="26" s="1"/>
  <c r="AI27" i="26" s="1"/>
  <c r="S32" i="24"/>
  <c r="AD308" i="21"/>
  <c r="S32" i="25" s="1"/>
  <c r="S31" i="26" s="1"/>
  <c r="AM31" i="26" s="1"/>
  <c r="R51" i="24"/>
  <c r="Q38" i="24"/>
  <c r="O42" i="24"/>
  <c r="R39" i="24"/>
  <c r="Q26" i="24"/>
  <c r="P14" i="24"/>
  <c r="P29" i="24"/>
  <c r="P50" i="24"/>
  <c r="O13" i="24"/>
  <c r="S23" i="24"/>
  <c r="R18" i="24"/>
  <c r="S24" i="24"/>
  <c r="AD300" i="21"/>
  <c r="S24" i="25" s="1"/>
  <c r="O48" i="24"/>
  <c r="R16" i="24"/>
  <c r="Q48" i="24"/>
  <c r="AD218" i="21"/>
  <c r="Q48" i="25" s="1"/>
  <c r="Q47" i="26" s="1"/>
  <c r="AK47" i="26" s="1"/>
  <c r="Q53" i="24"/>
  <c r="P43" i="24"/>
  <c r="R32" i="24"/>
  <c r="R42" i="24"/>
  <c r="Q24" i="24"/>
  <c r="AD194" i="21"/>
  <c r="Q24" i="25" s="1"/>
  <c r="Q23" i="26" s="1"/>
  <c r="AK23" i="26" s="1"/>
  <c r="P18" i="24"/>
  <c r="S27" i="24"/>
  <c r="P19" i="24"/>
  <c r="S48" i="24"/>
  <c r="AI325" i="21"/>
  <c r="AH325" i="21"/>
  <c r="N51" i="15"/>
  <c r="U51" i="15" s="1"/>
  <c r="AK51" i="15"/>
  <c r="O51" i="20"/>
  <c r="N46" i="15"/>
  <c r="U46" i="15" s="1"/>
  <c r="AK46" i="15"/>
  <c r="O46" i="20"/>
  <c r="N23" i="15"/>
  <c r="O23" i="20"/>
  <c r="N16" i="15"/>
  <c r="O16" i="20"/>
  <c r="U16" i="15"/>
  <c r="AI135" i="21"/>
  <c r="AH135" i="21"/>
  <c r="N24" i="15"/>
  <c r="AK24" i="15"/>
  <c r="O24" i="20"/>
  <c r="AH84" i="21"/>
  <c r="AI84" i="21"/>
  <c r="N45" i="15"/>
  <c r="U45" i="15" s="1"/>
  <c r="AK45" i="15"/>
  <c r="O45" i="20"/>
  <c r="N43" i="15"/>
  <c r="U43" i="15" s="1"/>
  <c r="AK43" i="15"/>
  <c r="O43" i="20"/>
  <c r="N38" i="15"/>
  <c r="U38" i="15" s="1"/>
  <c r="AK38" i="15"/>
  <c r="O38" i="20"/>
  <c r="N15" i="15"/>
  <c r="O15" i="20"/>
  <c r="U15" i="15"/>
  <c r="AH133" i="21"/>
  <c r="AI133" i="21"/>
  <c r="AH202" i="21"/>
  <c r="AI202" i="21"/>
  <c r="N37" i="15"/>
  <c r="AK37" i="15"/>
  <c r="O37" i="20"/>
  <c r="N52" i="15"/>
  <c r="U52" i="15" s="1"/>
  <c r="AK52" i="15"/>
  <c r="O52" i="20"/>
  <c r="AH167" i="21"/>
  <c r="AI167" i="21"/>
  <c r="AH142" i="21"/>
  <c r="AI142" i="21"/>
  <c r="N42" i="15"/>
  <c r="U42" i="15" s="1"/>
  <c r="AK42" i="15"/>
  <c r="O42" i="20"/>
  <c r="AH170" i="21"/>
  <c r="AI170" i="21"/>
  <c r="N40" i="15"/>
  <c r="U40" i="15" s="1"/>
  <c r="AK40" i="15"/>
  <c r="O40" i="20"/>
  <c r="N33" i="15"/>
  <c r="AK33" i="15"/>
  <c r="O33" i="20"/>
  <c r="N28" i="15"/>
  <c r="AK28" i="15"/>
  <c r="O28" i="20"/>
  <c r="N12" i="15"/>
  <c r="U12" i="15"/>
  <c r="O12" i="20"/>
  <c r="AI312" i="21"/>
  <c r="AH312" i="21"/>
  <c r="AI85" i="21"/>
  <c r="AH85" i="21"/>
  <c r="N32" i="15"/>
  <c r="AK32" i="15"/>
  <c r="O32" i="20"/>
  <c r="AH116" i="21"/>
  <c r="AI116" i="21"/>
  <c r="N48" i="15"/>
  <c r="U48" i="15" s="1"/>
  <c r="AK48" i="15"/>
  <c r="O48" i="20"/>
  <c r="AI246" i="21"/>
  <c r="AH246" i="21"/>
  <c r="N41" i="15"/>
  <c r="U41" i="15" s="1"/>
  <c r="AK41" i="15"/>
  <c r="O41" i="20"/>
  <c r="N30" i="15"/>
  <c r="AK30" i="15"/>
  <c r="O30" i="20"/>
  <c r="AI301" i="21"/>
  <c r="AH301" i="21"/>
  <c r="AH321" i="21"/>
  <c r="AI321" i="21"/>
  <c r="N21" i="15"/>
  <c r="O21" i="20"/>
  <c r="N10" i="15"/>
  <c r="U10" i="15"/>
  <c r="O10" i="20"/>
  <c r="N47" i="15"/>
  <c r="U47" i="15" s="1"/>
  <c r="AK47" i="15"/>
  <c r="O47" i="20"/>
  <c r="AH183" i="21"/>
  <c r="AI183" i="21"/>
  <c r="N29" i="15"/>
  <c r="AK29" i="15"/>
  <c r="O29" i="20"/>
  <c r="N50" i="15"/>
  <c r="U50" i="15" s="1"/>
  <c r="AK50" i="15"/>
  <c r="O50" i="20"/>
  <c r="AI233" i="21"/>
  <c r="AH233" i="21"/>
  <c r="AI260" i="21"/>
  <c r="AH260" i="21"/>
  <c r="N35" i="15"/>
  <c r="AK35" i="15"/>
  <c r="O35" i="20"/>
  <c r="AH310" i="21"/>
  <c r="AI310" i="21"/>
  <c r="AI162" i="21"/>
  <c r="AH162" i="21"/>
  <c r="N19" i="15"/>
  <c r="O19" i="20"/>
  <c r="N14" i="15"/>
  <c r="O14" i="20"/>
  <c r="U14" i="15"/>
  <c r="N22" i="15"/>
  <c r="O22" i="20"/>
  <c r="N44" i="15"/>
  <c r="U44" i="15" s="1"/>
  <c r="AK44" i="15"/>
  <c r="O44" i="20"/>
  <c r="AI270" i="21"/>
  <c r="AH270" i="21"/>
  <c r="AI193" i="21"/>
  <c r="AH193" i="21"/>
  <c r="N39" i="15"/>
  <c r="U39" i="15" s="1"/>
  <c r="AK39" i="15"/>
  <c r="O39" i="20"/>
  <c r="N31" i="15"/>
  <c r="AK31" i="15"/>
  <c r="O31" i="20"/>
  <c r="N26" i="15"/>
  <c r="AK26" i="15"/>
  <c r="O26" i="20"/>
  <c r="N13" i="15"/>
  <c r="O13" i="20"/>
  <c r="U13" i="15"/>
  <c r="N11" i="15"/>
  <c r="O11" i="20"/>
  <c r="U11" i="15"/>
  <c r="N9" i="15"/>
  <c r="O9" i="20"/>
  <c r="U9" i="15"/>
  <c r="N36" i="15"/>
  <c r="AK36" i="15"/>
  <c r="O36" i="20"/>
  <c r="N34" i="15"/>
  <c r="AK34" i="15"/>
  <c r="O34" i="20"/>
  <c r="N18" i="15"/>
  <c r="O18" i="20"/>
  <c r="AI184" i="21"/>
  <c r="AH184" i="21"/>
  <c r="AI203" i="21"/>
  <c r="AH203" i="21"/>
  <c r="N20" i="15"/>
  <c r="O20" i="20"/>
  <c r="N17" i="15"/>
  <c r="O17" i="20"/>
  <c r="N49" i="15"/>
  <c r="U49" i="15" s="1"/>
  <c r="AK49" i="15"/>
  <c r="O49" i="20"/>
  <c r="N25" i="15"/>
  <c r="AK25" i="15"/>
  <c r="O25" i="20"/>
  <c r="AH91" i="21"/>
  <c r="AI91" i="21"/>
  <c r="AI156" i="21"/>
  <c r="AH156" i="21"/>
  <c r="N27" i="15"/>
  <c r="AK27" i="15"/>
  <c r="O27" i="20"/>
  <c r="AI311" i="21"/>
  <c r="AH311" i="21"/>
  <c r="AH155" i="21"/>
  <c r="AI155" i="21"/>
  <c r="BA26" i="11"/>
  <c r="AY26" i="13"/>
  <c r="AZ26" i="11"/>
  <c r="AY26" i="11"/>
  <c r="Q42" i="24" l="1"/>
  <c r="N42" i="24" s="1"/>
  <c r="N40" i="26"/>
  <c r="AH40" i="26" s="1"/>
  <c r="N49" i="26"/>
  <c r="AH49" i="26" s="1"/>
  <c r="N36" i="26"/>
  <c r="AH36" i="26" s="1"/>
  <c r="N19" i="26"/>
  <c r="AH19" i="26" s="1"/>
  <c r="N38" i="26"/>
  <c r="AH38" i="26" s="1"/>
  <c r="N16" i="26"/>
  <c r="AH16" i="26" s="1"/>
  <c r="N51" i="26"/>
  <c r="AH51" i="26" s="1"/>
  <c r="N32" i="26"/>
  <c r="AH32" i="26" s="1"/>
  <c r="N44" i="26"/>
  <c r="AH44" i="26" s="1"/>
  <c r="N29" i="26"/>
  <c r="AH29" i="26" s="1"/>
  <c r="N10" i="26"/>
  <c r="AH10" i="26" s="1"/>
  <c r="N28" i="26"/>
  <c r="AH28" i="26" s="1"/>
  <c r="N18" i="26"/>
  <c r="AH18" i="26" s="1"/>
  <c r="N31" i="26"/>
  <c r="AH31" i="26" s="1"/>
  <c r="N17" i="26"/>
  <c r="AH17" i="26" s="1"/>
  <c r="N48" i="26"/>
  <c r="AH48" i="26" s="1"/>
  <c r="N9" i="26"/>
  <c r="AH9" i="26" s="1"/>
  <c r="N22" i="26"/>
  <c r="AH22" i="26" s="1"/>
  <c r="N21" i="26"/>
  <c r="AH21" i="26" s="1"/>
  <c r="N52" i="26"/>
  <c r="AH52" i="26" s="1"/>
  <c r="N43" i="26"/>
  <c r="AH43" i="26" s="1"/>
  <c r="N24" i="26"/>
  <c r="AH24" i="26" s="1"/>
  <c r="N30" i="26"/>
  <c r="AH30" i="26" s="1"/>
  <c r="N20" i="26"/>
  <c r="AH20" i="26" s="1"/>
  <c r="N26" i="26"/>
  <c r="AH26" i="26" s="1"/>
  <c r="N33" i="26"/>
  <c r="AH33" i="26" s="1"/>
  <c r="N42" i="26"/>
  <c r="AH42" i="26" s="1"/>
  <c r="N35" i="26"/>
  <c r="AH35" i="26" s="1"/>
  <c r="N23" i="26"/>
  <c r="AH23" i="26" s="1"/>
  <c r="N34" i="26"/>
  <c r="AH34" i="26" s="1"/>
  <c r="N41" i="26"/>
  <c r="AH41" i="26" s="1"/>
  <c r="N15" i="26"/>
  <c r="AH15" i="26" s="1"/>
  <c r="N46" i="26"/>
  <c r="AH46" i="26" s="1"/>
  <c r="N13" i="26"/>
  <c r="AH13" i="26" s="1"/>
  <c r="N39" i="26"/>
  <c r="AH39" i="26" s="1"/>
  <c r="N25" i="26"/>
  <c r="AH25" i="26" s="1"/>
  <c r="N27" i="26"/>
  <c r="AH27" i="26" s="1"/>
  <c r="N11" i="26"/>
  <c r="AH11" i="26" s="1"/>
  <c r="N14" i="26"/>
  <c r="AH14" i="26" s="1"/>
  <c r="N50" i="26"/>
  <c r="AH50" i="26" s="1"/>
  <c r="N47" i="26"/>
  <c r="AH47" i="26" s="1"/>
  <c r="N12" i="26"/>
  <c r="AH12" i="26" s="1"/>
  <c r="N37" i="26"/>
  <c r="AH37" i="26" s="1"/>
  <c r="N45" i="26"/>
  <c r="AH45" i="26" s="1"/>
  <c r="P53" i="24"/>
  <c r="R45" i="24"/>
  <c r="AD145" i="21"/>
  <c r="P27" i="25" s="1"/>
  <c r="P26" i="26" s="1"/>
  <c r="AJ26" i="26" s="1"/>
  <c r="AD314" i="21"/>
  <c r="S38" i="25" s="1"/>
  <c r="S37" i="26" s="1"/>
  <c r="AM37" i="26" s="1"/>
  <c r="AD146" i="21"/>
  <c r="P28" i="25" s="1"/>
  <c r="P27" i="26" s="1"/>
  <c r="AJ27" i="26" s="1"/>
  <c r="AD221" i="21"/>
  <c r="Q51" i="25" s="1"/>
  <c r="Q50" i="26" s="1"/>
  <c r="AK50" i="26" s="1"/>
  <c r="P36" i="24"/>
  <c r="AD158" i="21"/>
  <c r="P40" i="25" s="1"/>
  <c r="P39" i="26" s="1"/>
  <c r="AJ39" i="26" s="1"/>
  <c r="AD96" i="21"/>
  <c r="O30" i="25" s="1"/>
  <c r="O29" i="26" s="1"/>
  <c r="AI29" i="26" s="1"/>
  <c r="AD213" i="21"/>
  <c r="Q43" i="25" s="1"/>
  <c r="Q42" i="26" s="1"/>
  <c r="AK42" i="26" s="1"/>
  <c r="AD292" i="21"/>
  <c r="S16" i="25" s="1"/>
  <c r="AD271" i="21"/>
  <c r="R48" i="25" s="1"/>
  <c r="R47" i="26" s="1"/>
  <c r="AL47" i="26" s="1"/>
  <c r="AD204" i="21"/>
  <c r="Q34" i="25" s="1"/>
  <c r="Q33" i="26" s="1"/>
  <c r="AK33" i="26" s="1"/>
  <c r="Q29" i="24"/>
  <c r="N29" i="24" s="1"/>
  <c r="AD238" i="21"/>
  <c r="R15" i="25" s="1"/>
  <c r="R40" i="24"/>
  <c r="AD76" i="21"/>
  <c r="O10" i="25" s="1"/>
  <c r="AD234" i="21"/>
  <c r="R11" i="25" s="1"/>
  <c r="AD296" i="21"/>
  <c r="S20" i="25" s="1"/>
  <c r="R24" i="24"/>
  <c r="AD288" i="21"/>
  <c r="S12" i="25" s="1"/>
  <c r="AD275" i="21"/>
  <c r="R52" i="25" s="1"/>
  <c r="R51" i="26" s="1"/>
  <c r="AL51" i="26" s="1"/>
  <c r="S43" i="24"/>
  <c r="N43" i="24" s="1"/>
  <c r="Q17" i="24"/>
  <c r="AD110" i="21"/>
  <c r="O44" i="25" s="1"/>
  <c r="O43" i="26" s="1"/>
  <c r="AI43" i="26" s="1"/>
  <c r="O51" i="24"/>
  <c r="N51" i="24" s="1"/>
  <c r="P13" i="24"/>
  <c r="Q18" i="24"/>
  <c r="O45" i="24"/>
  <c r="AD273" i="21"/>
  <c r="R50" i="25" s="1"/>
  <c r="R49" i="26" s="1"/>
  <c r="AL49" i="26" s="1"/>
  <c r="U37" i="20"/>
  <c r="S53" i="24"/>
  <c r="R33" i="24"/>
  <c r="R20" i="24"/>
  <c r="N20" i="24" s="1"/>
  <c r="AD106" i="21"/>
  <c r="O40" i="25" s="1"/>
  <c r="O39" i="26" s="1"/>
  <c r="AI39" i="26" s="1"/>
  <c r="Q28" i="24"/>
  <c r="N28" i="24" s="1"/>
  <c r="U49" i="20"/>
  <c r="AD98" i="21"/>
  <c r="O32" i="25" s="1"/>
  <c r="O31" i="26" s="1"/>
  <c r="AI31" i="26" s="1"/>
  <c r="P41" i="24"/>
  <c r="N41" i="24" s="1"/>
  <c r="AD251" i="21"/>
  <c r="R28" i="25" s="1"/>
  <c r="R27" i="26" s="1"/>
  <c r="AL27" i="26" s="1"/>
  <c r="Q50" i="24"/>
  <c r="U18" i="20"/>
  <c r="U9" i="20"/>
  <c r="AD78" i="21"/>
  <c r="O12" i="25" s="1"/>
  <c r="O33" i="24"/>
  <c r="AD293" i="21"/>
  <c r="S17" i="25" s="1"/>
  <c r="U15" i="20"/>
  <c r="U31" i="20"/>
  <c r="U19" i="20"/>
  <c r="AD323" i="21"/>
  <c r="S47" i="25" s="1"/>
  <c r="S46" i="26" s="1"/>
  <c r="AM46" i="26" s="1"/>
  <c r="AD195" i="21"/>
  <c r="Q25" i="25" s="1"/>
  <c r="Q24" i="26" s="1"/>
  <c r="AK24" i="26" s="1"/>
  <c r="R31" i="24"/>
  <c r="N31" i="24" s="1"/>
  <c r="U17" i="20"/>
  <c r="U23" i="20"/>
  <c r="U26" i="20"/>
  <c r="U22" i="20"/>
  <c r="U21" i="20"/>
  <c r="U33" i="20"/>
  <c r="U20" i="20"/>
  <c r="O11" i="24"/>
  <c r="U25" i="20"/>
  <c r="AD269" i="21"/>
  <c r="R46" i="25" s="1"/>
  <c r="R45" i="26" s="1"/>
  <c r="AL45" i="26" s="1"/>
  <c r="U11" i="20"/>
  <c r="U14" i="20"/>
  <c r="O36" i="24"/>
  <c r="U27" i="20"/>
  <c r="U47" i="20"/>
  <c r="U45" i="20"/>
  <c r="U16" i="20"/>
  <c r="R38" i="24"/>
  <c r="Q16" i="24"/>
  <c r="N16" i="24" s="1"/>
  <c r="AD266" i="21"/>
  <c r="R43" i="25" s="1"/>
  <c r="R42" i="26" s="1"/>
  <c r="AL42" i="26" s="1"/>
  <c r="U12" i="20"/>
  <c r="U10" i="20"/>
  <c r="S40" i="24"/>
  <c r="U13" i="20"/>
  <c r="U30" i="20"/>
  <c r="U48" i="20"/>
  <c r="O53" i="24"/>
  <c r="S50" i="24"/>
  <c r="P32" i="24"/>
  <c r="U36" i="20"/>
  <c r="U44" i="20"/>
  <c r="U29" i="20"/>
  <c r="U28" i="20"/>
  <c r="U43" i="20"/>
  <c r="U24" i="20"/>
  <c r="U42" i="20"/>
  <c r="N22" i="24"/>
  <c r="U46" i="20"/>
  <c r="U39" i="20"/>
  <c r="U52" i="20"/>
  <c r="AD252" i="21"/>
  <c r="R29" i="25" s="1"/>
  <c r="R28" i="26" s="1"/>
  <c r="AL28" i="26" s="1"/>
  <c r="U32" i="20"/>
  <c r="AD82" i="21"/>
  <c r="O16" i="25" s="1"/>
  <c r="N27" i="24"/>
  <c r="U35" i="20"/>
  <c r="U38" i="20"/>
  <c r="U51" i="20"/>
  <c r="U50" i="20"/>
  <c r="U40" i="20"/>
  <c r="N39" i="24"/>
  <c r="O17" i="24"/>
  <c r="N48" i="24"/>
  <c r="U34" i="20"/>
  <c r="U41" i="20"/>
  <c r="Q46" i="24"/>
  <c r="N46" i="24" s="1"/>
  <c r="Q21" i="24"/>
  <c r="N21" i="24" s="1"/>
  <c r="P26" i="24"/>
  <c r="N26" i="24" s="1"/>
  <c r="P12" i="24"/>
  <c r="N12" i="24" s="1"/>
  <c r="AD307" i="21"/>
  <c r="S31" i="25" s="1"/>
  <c r="S30" i="26" s="1"/>
  <c r="AM30" i="26" s="1"/>
  <c r="AD180" i="21"/>
  <c r="Q10" i="25" s="1"/>
  <c r="AD95" i="21"/>
  <c r="O29" i="25" s="1"/>
  <c r="O28" i="26" s="1"/>
  <c r="AI28" i="26" s="1"/>
  <c r="O34" i="24"/>
  <c r="S11" i="24"/>
  <c r="P10" i="24"/>
  <c r="S10" i="24"/>
  <c r="R44" i="24"/>
  <c r="P30" i="24"/>
  <c r="Q30" i="24"/>
  <c r="Q47" i="24"/>
  <c r="P45" i="24"/>
  <c r="AD113" i="21"/>
  <c r="O47" i="25" s="1"/>
  <c r="O46" i="26" s="1"/>
  <c r="AI46" i="26" s="1"/>
  <c r="R35" i="24"/>
  <c r="P33" i="24"/>
  <c r="AD105" i="21"/>
  <c r="O39" i="25" s="1"/>
  <c r="O38" i="26" s="1"/>
  <c r="AI38" i="26" s="1"/>
  <c r="AD237" i="21"/>
  <c r="R14" i="25" s="1"/>
  <c r="O50" i="24"/>
  <c r="AD116" i="21"/>
  <c r="O50" i="25" s="1"/>
  <c r="O49" i="26" s="1"/>
  <c r="AI49" i="26" s="1"/>
  <c r="Q33" i="24"/>
  <c r="AD203" i="21"/>
  <c r="Q33" i="25" s="1"/>
  <c r="Q32" i="26" s="1"/>
  <c r="AK32" i="26" s="1"/>
  <c r="R47" i="24"/>
  <c r="AD270" i="21"/>
  <c r="R47" i="25" s="1"/>
  <c r="R46" i="26" s="1"/>
  <c r="AL46" i="26" s="1"/>
  <c r="S45" i="24"/>
  <c r="AD321" i="21"/>
  <c r="S45" i="25" s="1"/>
  <c r="S44" i="26" s="1"/>
  <c r="AM44" i="26" s="1"/>
  <c r="S25" i="24"/>
  <c r="AD301" i="21"/>
  <c r="S25" i="25" s="1"/>
  <c r="R23" i="24"/>
  <c r="AD246" i="21"/>
  <c r="R23" i="25" s="1"/>
  <c r="P24" i="24"/>
  <c r="AD142" i="21"/>
  <c r="P24" i="25" s="1"/>
  <c r="P23" i="26" s="1"/>
  <c r="AJ23" i="26" s="1"/>
  <c r="P38" i="24"/>
  <c r="AD156" i="21"/>
  <c r="P38" i="25" s="1"/>
  <c r="P37" i="26" s="1"/>
  <c r="AJ37" i="26" s="1"/>
  <c r="Q14" i="24"/>
  <c r="N14" i="24" s="1"/>
  <c r="AD184" i="21"/>
  <c r="Q14" i="25" s="1"/>
  <c r="O19" i="24"/>
  <c r="N19" i="24" s="1"/>
  <c r="AD85" i="21"/>
  <c r="O19" i="25" s="1"/>
  <c r="Q32" i="24"/>
  <c r="AD202" i="21"/>
  <c r="Q32" i="25" s="1"/>
  <c r="Q31" i="26" s="1"/>
  <c r="AK31" i="26" s="1"/>
  <c r="P37" i="24"/>
  <c r="AD155" i="21"/>
  <c r="P37" i="25" s="1"/>
  <c r="P36" i="26" s="1"/>
  <c r="AJ36" i="26" s="1"/>
  <c r="S49" i="24"/>
  <c r="AD325" i="21"/>
  <c r="S49" i="25" s="1"/>
  <c r="S48" i="26" s="1"/>
  <c r="AM48" i="26" s="1"/>
  <c r="S34" i="24"/>
  <c r="AD310" i="21"/>
  <c r="S34" i="25" s="1"/>
  <c r="S33" i="26" s="1"/>
  <c r="AM33" i="26" s="1"/>
  <c r="R37" i="24"/>
  <c r="AD260" i="21"/>
  <c r="R37" i="25" s="1"/>
  <c r="R36" i="26" s="1"/>
  <c r="AL36" i="26" s="1"/>
  <c r="P49" i="24"/>
  <c r="AD167" i="21"/>
  <c r="P49" i="25" s="1"/>
  <c r="P48" i="26" s="1"/>
  <c r="AJ48" i="26" s="1"/>
  <c r="O18" i="24"/>
  <c r="AD84" i="21"/>
  <c r="O18" i="25" s="1"/>
  <c r="P44" i="24"/>
  <c r="AD162" i="21"/>
  <c r="P44" i="25" s="1"/>
  <c r="P43" i="26" s="1"/>
  <c r="AJ43" i="26" s="1"/>
  <c r="P52" i="24"/>
  <c r="N52" i="24" s="1"/>
  <c r="AD170" i="21"/>
  <c r="P52" i="25" s="1"/>
  <c r="P51" i="26" s="1"/>
  <c r="AJ51" i="26" s="1"/>
  <c r="S35" i="24"/>
  <c r="AD311" i="21"/>
  <c r="S35" i="25" s="1"/>
  <c r="S34" i="26" s="1"/>
  <c r="AM34" i="26" s="1"/>
  <c r="O25" i="24"/>
  <c r="N25" i="24" s="1"/>
  <c r="AD91" i="21"/>
  <c r="O25" i="25" s="1"/>
  <c r="O24" i="26" s="1"/>
  <c r="AI24" i="26" s="1"/>
  <c r="R10" i="24"/>
  <c r="AD233" i="21"/>
  <c r="R10" i="25" s="1"/>
  <c r="S36" i="24"/>
  <c r="AD312" i="21"/>
  <c r="S36" i="25" s="1"/>
  <c r="S35" i="26" s="1"/>
  <c r="AM35" i="26" s="1"/>
  <c r="P15" i="24"/>
  <c r="N15" i="24" s="1"/>
  <c r="AD133" i="21"/>
  <c r="P15" i="25" s="1"/>
  <c r="P17" i="24"/>
  <c r="AD135" i="21"/>
  <c r="P17" i="25" s="1"/>
  <c r="Q23" i="24"/>
  <c r="N23" i="24" s="1"/>
  <c r="AD193" i="21"/>
  <c r="Q23" i="25" s="1"/>
  <c r="Q22" i="26" s="1"/>
  <c r="AK22" i="26" s="1"/>
  <c r="Q13" i="24"/>
  <c r="AD183" i="21"/>
  <c r="Q13" i="25" s="1"/>
  <c r="AJ20" i="15"/>
  <c r="N20" i="20"/>
  <c r="T20" i="20" s="1"/>
  <c r="T20" i="15"/>
  <c r="AP20" i="15" s="1"/>
  <c r="U20" i="15"/>
  <c r="AJ26" i="15"/>
  <c r="U26" i="15"/>
  <c r="AQ26" i="15" s="1"/>
  <c r="N26" i="20"/>
  <c r="T26" i="20" s="1"/>
  <c r="T26" i="15"/>
  <c r="AP26" i="15" s="1"/>
  <c r="AJ33" i="15"/>
  <c r="U33" i="15"/>
  <c r="AQ33" i="15" s="1"/>
  <c r="T33" i="15"/>
  <c r="AP33" i="15" s="1"/>
  <c r="N33" i="20"/>
  <c r="T33" i="20" s="1"/>
  <c r="AJ42" i="15"/>
  <c r="AQ42" i="15"/>
  <c r="N42" i="20"/>
  <c r="T42" i="20" s="1"/>
  <c r="T42" i="15"/>
  <c r="AP42" i="15" s="1"/>
  <c r="AJ21" i="15"/>
  <c r="T21" i="15"/>
  <c r="AP21" i="15" s="1"/>
  <c r="U21" i="15"/>
  <c r="N21" i="20"/>
  <c r="T21" i="20" s="1"/>
  <c r="AJ34" i="15"/>
  <c r="T34" i="15"/>
  <c r="AP34" i="15" s="1"/>
  <c r="U34" i="15"/>
  <c r="AQ34" i="15" s="1"/>
  <c r="N34" i="20"/>
  <c r="T34" i="20" s="1"/>
  <c r="AJ41" i="15"/>
  <c r="N41" i="20"/>
  <c r="T41" i="20" s="1"/>
  <c r="AQ41" i="15"/>
  <c r="T41" i="15"/>
  <c r="AP41" i="15" s="1"/>
  <c r="AJ15" i="15"/>
  <c r="N15" i="20"/>
  <c r="T15" i="20" s="1"/>
  <c r="T15" i="15"/>
  <c r="AP15" i="15" s="1"/>
  <c r="AJ46" i="15"/>
  <c r="AQ46" i="15"/>
  <c r="T46" i="15"/>
  <c r="AP46" i="15" s="1"/>
  <c r="N46" i="20"/>
  <c r="T46" i="20" s="1"/>
  <c r="AJ24" i="15"/>
  <c r="T24" i="15"/>
  <c r="AP24" i="15" s="1"/>
  <c r="U24" i="15"/>
  <c r="AQ24" i="15" s="1"/>
  <c r="N24" i="20"/>
  <c r="T24" i="20" s="1"/>
  <c r="AJ27" i="15"/>
  <c r="T27" i="15"/>
  <c r="AP27" i="15" s="1"/>
  <c r="U27" i="15"/>
  <c r="AQ27" i="15" s="1"/>
  <c r="N27" i="20"/>
  <c r="T27" i="20" s="1"/>
  <c r="AJ11" i="15"/>
  <c r="N11" i="20"/>
  <c r="T11" i="20" s="1"/>
  <c r="T11" i="15"/>
  <c r="AP11" i="15" s="1"/>
  <c r="AJ14" i="15"/>
  <c r="N14" i="20"/>
  <c r="T14" i="20" s="1"/>
  <c r="T14" i="15"/>
  <c r="AP14" i="15" s="1"/>
  <c r="AJ50" i="15"/>
  <c r="T50" i="15"/>
  <c r="AP50" i="15" s="1"/>
  <c r="AQ50" i="15"/>
  <c r="N50" i="20"/>
  <c r="T50" i="20" s="1"/>
  <c r="AJ47" i="15"/>
  <c r="T47" i="15"/>
  <c r="AP47" i="15" s="1"/>
  <c r="N47" i="20"/>
  <c r="T47" i="20" s="1"/>
  <c r="AQ47" i="15"/>
  <c r="AJ12" i="15"/>
  <c r="N12" i="20"/>
  <c r="T12" i="20" s="1"/>
  <c r="T12" i="15"/>
  <c r="AP12" i="15" s="1"/>
  <c r="AJ37" i="15"/>
  <c r="T37" i="15"/>
  <c r="AP37" i="15" s="1"/>
  <c r="U37" i="15"/>
  <c r="AQ37" i="15" s="1"/>
  <c r="N37" i="20"/>
  <c r="T37" i="20" s="1"/>
  <c r="AJ45" i="15"/>
  <c r="AQ45" i="15"/>
  <c r="T45" i="15"/>
  <c r="AP45" i="15" s="1"/>
  <c r="N45" i="20"/>
  <c r="T45" i="20" s="1"/>
  <c r="AJ22" i="15"/>
  <c r="T22" i="15"/>
  <c r="AP22" i="15" s="1"/>
  <c r="U22" i="15"/>
  <c r="AQ22" i="15" s="1"/>
  <c r="N22" i="20"/>
  <c r="T22" i="20" s="1"/>
  <c r="AJ43" i="15"/>
  <c r="N43" i="20"/>
  <c r="T43" i="20" s="1"/>
  <c r="T43" i="15"/>
  <c r="AP43" i="15" s="1"/>
  <c r="AQ43" i="15"/>
  <c r="AJ31" i="15"/>
  <c r="N31" i="20"/>
  <c r="T31" i="20" s="1"/>
  <c r="T31" i="15"/>
  <c r="AP31" i="15" s="1"/>
  <c r="U31" i="15"/>
  <c r="AQ31" i="15" s="1"/>
  <c r="AJ35" i="15"/>
  <c r="U35" i="15"/>
  <c r="AQ35" i="15" s="1"/>
  <c r="T35" i="15"/>
  <c r="AP35" i="15" s="1"/>
  <c r="N35" i="20"/>
  <c r="T35" i="20" s="1"/>
  <c r="AJ32" i="15"/>
  <c r="T32" i="15"/>
  <c r="AP32" i="15" s="1"/>
  <c r="U32" i="15"/>
  <c r="AQ32" i="15" s="1"/>
  <c r="N32" i="20"/>
  <c r="T32" i="20" s="1"/>
  <c r="AJ40" i="15"/>
  <c r="AQ40" i="15"/>
  <c r="N40" i="20"/>
  <c r="T40" i="20" s="1"/>
  <c r="T40" i="15"/>
  <c r="AP40" i="15" s="1"/>
  <c r="AJ52" i="15"/>
  <c r="N52" i="20"/>
  <c r="T52" i="20" s="1"/>
  <c r="T52" i="15"/>
  <c r="AP52" i="15" s="1"/>
  <c r="AQ52" i="15"/>
  <c r="AJ49" i="15"/>
  <c r="T49" i="15"/>
  <c r="AP49" i="15" s="1"/>
  <c r="AQ49" i="15"/>
  <c r="N49" i="20"/>
  <c r="T49" i="20" s="1"/>
  <c r="AJ36" i="15"/>
  <c r="U36" i="15"/>
  <c r="AQ36" i="15" s="1"/>
  <c r="N36" i="20"/>
  <c r="T36" i="20" s="1"/>
  <c r="T36" i="15"/>
  <c r="AP36" i="15" s="1"/>
  <c r="AJ19" i="15"/>
  <c r="T19" i="15"/>
  <c r="AP19" i="15" s="1"/>
  <c r="U19" i="15"/>
  <c r="N19" i="20"/>
  <c r="T19" i="20" s="1"/>
  <c r="AJ38" i="15"/>
  <c r="T38" i="15"/>
  <c r="AP38" i="15" s="1"/>
  <c r="N38" i="20"/>
  <c r="T38" i="20" s="1"/>
  <c r="AQ38" i="15"/>
  <c r="AJ16" i="15"/>
  <c r="N16" i="20"/>
  <c r="T16" i="20" s="1"/>
  <c r="T16" i="15"/>
  <c r="AP16" i="15" s="1"/>
  <c r="AJ51" i="15"/>
  <c r="T51" i="15"/>
  <c r="AP51" i="15" s="1"/>
  <c r="N51" i="20"/>
  <c r="T51" i="20" s="1"/>
  <c r="AQ51" i="15"/>
  <c r="AJ9" i="15"/>
  <c r="N9" i="20"/>
  <c r="T9" i="20" s="1"/>
  <c r="T9" i="15"/>
  <c r="AP9" i="15" s="1"/>
  <c r="AJ25" i="15"/>
  <c r="T25" i="15"/>
  <c r="AP25" i="15" s="1"/>
  <c r="U25" i="15"/>
  <c r="AQ25" i="15" s="1"/>
  <c r="N25" i="20"/>
  <c r="T25" i="20" s="1"/>
  <c r="AJ13" i="15"/>
  <c r="T13" i="15"/>
  <c r="AP13" i="15" s="1"/>
  <c r="N13" i="20"/>
  <c r="T13" i="20" s="1"/>
  <c r="AJ44" i="15"/>
  <c r="T44" i="15"/>
  <c r="AP44" i="15" s="1"/>
  <c r="N44" i="20"/>
  <c r="T44" i="20" s="1"/>
  <c r="AQ44" i="15"/>
  <c r="AJ29" i="15"/>
  <c r="T29" i="15"/>
  <c r="AP29" i="15" s="1"/>
  <c r="N29" i="20"/>
  <c r="T29" i="20" s="1"/>
  <c r="U29" i="15"/>
  <c r="AQ29" i="15" s="1"/>
  <c r="AJ10" i="15"/>
  <c r="T10" i="15"/>
  <c r="AP10" i="15" s="1"/>
  <c r="N10" i="20"/>
  <c r="T10" i="20" s="1"/>
  <c r="AJ28" i="15"/>
  <c r="N28" i="20"/>
  <c r="T28" i="20" s="1"/>
  <c r="T28" i="15"/>
  <c r="AP28" i="15" s="1"/>
  <c r="U28" i="15"/>
  <c r="AQ28" i="15" s="1"/>
  <c r="AJ17" i="15"/>
  <c r="N17" i="20"/>
  <c r="T17" i="20" s="1"/>
  <c r="T17" i="15"/>
  <c r="AP17" i="15" s="1"/>
  <c r="U17" i="15"/>
  <c r="AJ18" i="15"/>
  <c r="T18" i="15"/>
  <c r="AP18" i="15" s="1"/>
  <c r="U18" i="15"/>
  <c r="N18" i="20"/>
  <c r="T18" i="20" s="1"/>
  <c r="AJ39" i="15"/>
  <c r="AQ39" i="15"/>
  <c r="T39" i="15"/>
  <c r="AP39" i="15" s="1"/>
  <c r="N39" i="20"/>
  <c r="T39" i="20" s="1"/>
  <c r="AJ30" i="15"/>
  <c r="N30" i="20"/>
  <c r="T30" i="20" s="1"/>
  <c r="T30" i="15"/>
  <c r="AP30" i="15" s="1"/>
  <c r="U30" i="15"/>
  <c r="AQ30" i="15" s="1"/>
  <c r="AJ48" i="15"/>
  <c r="AQ48" i="15"/>
  <c r="N48" i="20"/>
  <c r="T48" i="20" s="1"/>
  <c r="T48" i="15"/>
  <c r="AP48" i="15" s="1"/>
  <c r="AJ23" i="15"/>
  <c r="T23" i="15"/>
  <c r="AP23" i="15" s="1"/>
  <c r="U23" i="15"/>
  <c r="AQ23" i="15" s="1"/>
  <c r="N23" i="20"/>
  <c r="T23" i="20" s="1"/>
  <c r="AY24" i="13"/>
  <c r="BB26" i="13"/>
  <c r="AZ26" i="13"/>
  <c r="BA26" i="13"/>
  <c r="AX26" i="13"/>
  <c r="M142" i="5"/>
  <c r="BA25" i="11"/>
  <c r="AX26" i="11"/>
  <c r="AY25" i="13"/>
  <c r="AY24" i="11"/>
  <c r="AZ25" i="11"/>
  <c r="AY25" i="11"/>
  <c r="AQ50" i="26" l="1" a="1"/>
  <c r="AQ50" i="26" s="1"/>
  <c r="AU50" i="26" s="1"/>
  <c r="AQ48" i="26" a="1"/>
  <c r="AQ48" i="26" s="1"/>
  <c r="AU48" i="26" s="1"/>
  <c r="AQ15" i="26" a="1"/>
  <c r="AQ15" i="26" s="1"/>
  <c r="AU15" i="26" s="1"/>
  <c r="AQ20" i="26" a="1"/>
  <c r="AQ20" i="26" s="1"/>
  <c r="AU20" i="26" s="1"/>
  <c r="AQ32" i="26" a="1"/>
  <c r="AQ32" i="26" s="1"/>
  <c r="AU32" i="26" s="1"/>
  <c r="AQ14" i="26" a="1"/>
  <c r="AQ14" i="26" s="1"/>
  <c r="AU14" i="26" s="1"/>
  <c r="AQ41" i="26" a="1"/>
  <c r="AQ41" i="26" s="1"/>
  <c r="AU41" i="26" s="1"/>
  <c r="AQ30" i="26" a="1"/>
  <c r="AQ30" i="26" s="1"/>
  <c r="AU30" i="26" s="1"/>
  <c r="AQ17" i="26" a="1"/>
  <c r="AQ17" i="26" s="1"/>
  <c r="AU17" i="26" s="1"/>
  <c r="AQ51" i="26" a="1"/>
  <c r="AQ51" i="26" s="1"/>
  <c r="AU51" i="26" s="1"/>
  <c r="AQ11" i="26" a="1"/>
  <c r="AQ11" i="26" s="1"/>
  <c r="AU11" i="26" s="1"/>
  <c r="AQ34" i="26" a="1"/>
  <c r="AQ34" i="26" s="1"/>
  <c r="AU34" i="26" s="1"/>
  <c r="AQ24" i="26" a="1"/>
  <c r="AQ24" i="26" s="1"/>
  <c r="AU24" i="26" s="1"/>
  <c r="AQ31" i="26" a="1"/>
  <c r="AQ31" i="26" s="1"/>
  <c r="AU31" i="26" s="1"/>
  <c r="AQ16" i="26" a="1"/>
  <c r="AQ16" i="26" s="1"/>
  <c r="AU16" i="26" s="1"/>
  <c r="AQ27" i="26" a="1"/>
  <c r="AQ27" i="26" s="1"/>
  <c r="AU27" i="26" s="1"/>
  <c r="AQ23" i="26" a="1"/>
  <c r="AQ23" i="26" s="1"/>
  <c r="AU23" i="26" s="1"/>
  <c r="AQ43" i="26" a="1"/>
  <c r="AQ43" i="26" s="1"/>
  <c r="AU43" i="26" s="1"/>
  <c r="AQ18" i="26" a="1"/>
  <c r="AQ18" i="26" s="1"/>
  <c r="AU18" i="26" s="1"/>
  <c r="AQ38" i="26" a="1"/>
  <c r="AQ38" i="26" s="1"/>
  <c r="AU38" i="26" s="1"/>
  <c r="AQ45" i="26" a="1"/>
  <c r="AQ45" i="26" s="1"/>
  <c r="AU45" i="26" s="1"/>
  <c r="AQ25" i="26" a="1"/>
  <c r="AQ25" i="26" s="1"/>
  <c r="AU25" i="26" s="1"/>
  <c r="AQ35" i="26" a="1"/>
  <c r="AQ35" i="26" s="1"/>
  <c r="AU35" i="26" s="1"/>
  <c r="AQ52" i="26" a="1"/>
  <c r="AQ52" i="26" s="1"/>
  <c r="AU52" i="26" s="1"/>
  <c r="AQ28" i="26" a="1"/>
  <c r="AQ28" i="26" s="1"/>
  <c r="AU28" i="26" s="1"/>
  <c r="AQ19" i="26" a="1"/>
  <c r="AQ19" i="26" s="1"/>
  <c r="AU19" i="26" s="1"/>
  <c r="AQ37" i="26" a="1"/>
  <c r="AQ37" i="26" s="1"/>
  <c r="AU37" i="26" s="1"/>
  <c r="AQ39" i="26" a="1"/>
  <c r="AQ39" i="26" s="1"/>
  <c r="AU39" i="26" s="1"/>
  <c r="AQ42" i="26" a="1"/>
  <c r="AQ42" i="26" s="1"/>
  <c r="AU42" i="26" s="1"/>
  <c r="AQ21" i="26" a="1"/>
  <c r="AQ21" i="26" s="1"/>
  <c r="AU21" i="26" s="1"/>
  <c r="AQ10" i="26" a="1"/>
  <c r="AQ10" i="26" s="1"/>
  <c r="AU10" i="26" s="1"/>
  <c r="AQ36" i="26" a="1"/>
  <c r="AQ36" i="26" s="1"/>
  <c r="AU36" i="26" s="1"/>
  <c r="AQ12" i="26" a="1"/>
  <c r="AQ12" i="26" s="1"/>
  <c r="AU12" i="26" s="1"/>
  <c r="AQ13" i="26" a="1"/>
  <c r="AQ13" i="26" s="1"/>
  <c r="AU13" i="26" s="1"/>
  <c r="AQ33" i="26" a="1"/>
  <c r="AQ33" i="26" s="1"/>
  <c r="AU33" i="26" s="1"/>
  <c r="AQ22" i="26" a="1"/>
  <c r="AQ22" i="26" s="1"/>
  <c r="AU22" i="26" s="1"/>
  <c r="AQ29" i="26" a="1"/>
  <c r="AQ29" i="26" s="1"/>
  <c r="AU29" i="26" s="1"/>
  <c r="AQ49" i="26" a="1"/>
  <c r="AQ49" i="26" s="1"/>
  <c r="AU49" i="26" s="1"/>
  <c r="AQ47" i="26" a="1"/>
  <c r="AQ47" i="26" s="1"/>
  <c r="AU47" i="26" s="1"/>
  <c r="AQ46" i="26" a="1"/>
  <c r="AQ46" i="26" s="1"/>
  <c r="AU46" i="26" s="1"/>
  <c r="AQ26" i="26" a="1"/>
  <c r="AQ26" i="26" s="1"/>
  <c r="AU26" i="26" s="1"/>
  <c r="AQ9" i="26" a="1"/>
  <c r="AQ9" i="26" s="1"/>
  <c r="AU9" i="26" s="1"/>
  <c r="AQ44" i="26" a="1"/>
  <c r="AQ44" i="26" s="1"/>
  <c r="AU44" i="26" s="1"/>
  <c r="AQ40" i="26" a="1"/>
  <c r="AQ40" i="26" s="1"/>
  <c r="AU40" i="26" s="1"/>
  <c r="N40" i="24"/>
  <c r="N24" i="24"/>
  <c r="N53" i="24"/>
  <c r="N38" i="24"/>
  <c r="N18" i="24"/>
  <c r="N13" i="24"/>
  <c r="N11" i="24"/>
  <c r="N50" i="24"/>
  <c r="N49" i="24"/>
  <c r="N36" i="24"/>
  <c r="N32" i="24"/>
  <c r="N33" i="24"/>
  <c r="N17" i="24"/>
  <c r="N44" i="24"/>
  <c r="N45" i="24"/>
  <c r="N34" i="24"/>
  <c r="N35" i="24"/>
  <c r="N10" i="24"/>
  <c r="N47" i="24"/>
  <c r="N30" i="24"/>
  <c r="N37" i="24"/>
  <c r="BG26" i="13"/>
  <c r="BH26" i="13"/>
  <c r="BD26" i="13"/>
  <c r="BE26" i="13"/>
  <c r="BF26" i="13"/>
  <c r="AX24" i="11"/>
  <c r="BB24" i="13"/>
  <c r="BA24" i="11"/>
  <c r="AZ24" i="13"/>
  <c r="BB25" i="13"/>
  <c r="BA24" i="13"/>
  <c r="BA25" i="13"/>
  <c r="AZ25" i="13"/>
  <c r="AX24" i="13"/>
  <c r="M143" i="5"/>
  <c r="M145" i="5" s="1"/>
  <c r="N143" i="5" s="1"/>
  <c r="AX25" i="13"/>
  <c r="BB26" i="11"/>
  <c r="BF26" i="11" s="1"/>
  <c r="AX25" i="11"/>
  <c r="AZ24" i="11"/>
  <c r="BD25" i="13" l="1"/>
  <c r="BE25" i="13"/>
  <c r="BF25" i="13"/>
  <c r="BG25" i="13"/>
  <c r="BH25" i="13"/>
  <c r="BE24" i="13"/>
  <c r="BF24" i="13"/>
  <c r="BG24" i="13"/>
  <c r="BH24" i="13"/>
  <c r="BD24" i="13"/>
  <c r="BC26" i="13"/>
  <c r="BB25" i="11"/>
  <c r="BG25" i="11" s="1"/>
  <c r="BB24" i="11"/>
  <c r="BD24" i="11" s="1"/>
  <c r="BH26" i="11"/>
  <c r="BG26" i="11"/>
  <c r="BE26" i="11"/>
  <c r="BD26" i="11"/>
  <c r="N142" i="5"/>
  <c r="N145" i="5" s="1"/>
  <c r="BC25" i="13" l="1"/>
  <c r="BC24" i="13"/>
  <c r="BH25" i="11"/>
  <c r="BD25" i="11"/>
  <c r="BE25" i="11"/>
  <c r="BF25" i="11"/>
  <c r="BG24" i="11"/>
  <c r="BH24" i="11"/>
  <c r="BF24" i="11"/>
  <c r="BE24" i="11"/>
  <c r="BC26" i="11"/>
  <c r="BC25" i="11" l="1"/>
  <c r="BC24" i="11"/>
  <c r="AY30" i="13" l="1"/>
  <c r="AY40" i="13"/>
  <c r="AY32" i="13"/>
  <c r="AY34" i="13"/>
  <c r="AY28" i="13"/>
  <c r="BA28" i="13"/>
  <c r="BA32" i="13"/>
  <c r="BB28" i="13"/>
  <c r="BB27" i="13"/>
  <c r="BA34" i="13"/>
  <c r="AY39" i="11"/>
  <c r="AY29" i="13"/>
  <c r="AY35" i="13"/>
  <c r="AY27" i="13"/>
  <c r="AY37" i="13"/>
  <c r="AY39" i="13"/>
  <c r="AY38" i="13"/>
  <c r="AY31" i="11"/>
  <c r="AY27" i="11"/>
  <c r="AY32" i="11"/>
  <c r="AY36" i="11"/>
  <c r="AY28" i="11"/>
  <c r="AY33" i="13"/>
  <c r="AY40" i="11"/>
  <c r="AY35" i="11"/>
  <c r="AY37" i="11"/>
  <c r="AY41" i="11"/>
  <c r="AY33" i="11"/>
  <c r="AY30" i="11"/>
  <c r="AY29" i="11"/>
  <c r="AY38" i="11"/>
  <c r="AY34" i="11"/>
  <c r="AY31" i="13"/>
  <c r="AY36" i="13" l="1"/>
  <c r="AY41" i="13"/>
  <c r="AZ32" i="13"/>
  <c r="AZ34" i="13"/>
  <c r="AZ33" i="13"/>
  <c r="AZ38" i="13"/>
  <c r="AZ27" i="13"/>
  <c r="AZ36" i="13"/>
  <c r="BB35" i="13"/>
  <c r="BA30" i="13"/>
  <c r="BB34" i="13"/>
  <c r="AZ41" i="13"/>
  <c r="AZ31" i="13"/>
  <c r="BB29" i="13"/>
  <c r="BA33" i="13"/>
  <c r="BA27" i="13"/>
  <c r="BB30" i="13"/>
  <c r="BB31" i="13"/>
  <c r="BB32" i="13"/>
  <c r="BA35" i="13"/>
  <c r="BA31" i="13"/>
  <c r="BA29" i="13"/>
  <c r="BB33" i="13"/>
  <c r="AZ40" i="13"/>
  <c r="AZ29" i="13"/>
  <c r="AZ37" i="13"/>
  <c r="AZ35" i="13"/>
  <c r="AZ28" i="13"/>
  <c r="BB30" i="11"/>
  <c r="BB29" i="11"/>
  <c r="BB35" i="11"/>
  <c r="BB34" i="11"/>
  <c r="BB28" i="11"/>
  <c r="BB32" i="11"/>
  <c r="BB33" i="11"/>
  <c r="BB27" i="11"/>
  <c r="BB31" i="11"/>
  <c r="AX27" i="13"/>
  <c r="AX29" i="13"/>
  <c r="AX33" i="11"/>
  <c r="AX35" i="11"/>
  <c r="AX32" i="13"/>
  <c r="AX30" i="13"/>
  <c r="AX33" i="13"/>
  <c r="AX32" i="11"/>
  <c r="AX28" i="13"/>
  <c r="AX34" i="13"/>
  <c r="AX35" i="13"/>
  <c r="AX31" i="11"/>
  <c r="AX31" i="13"/>
  <c r="AX34" i="11"/>
  <c r="O143" i="5"/>
  <c r="O142" i="5"/>
  <c r="Q143" i="5"/>
  <c r="Q142" i="5"/>
  <c r="AX27" i="11"/>
  <c r="AX28" i="11"/>
  <c r="AX30" i="11"/>
  <c r="AX29" i="11"/>
  <c r="BD27" i="13" l="1"/>
  <c r="BE27" i="13"/>
  <c r="BF27" i="13"/>
  <c r="BG27" i="13"/>
  <c r="BH27" i="13"/>
  <c r="BH29" i="13"/>
  <c r="BD29" i="13"/>
  <c r="BG29" i="13"/>
  <c r="BE29" i="13"/>
  <c r="BF29" i="13"/>
  <c r="BG34" i="13"/>
  <c r="BH34" i="13"/>
  <c r="BD34" i="13"/>
  <c r="BE34" i="13"/>
  <c r="BF34" i="13"/>
  <c r="BD33" i="13"/>
  <c r="BE33" i="13"/>
  <c r="BF33" i="13"/>
  <c r="BG33" i="13"/>
  <c r="BH33" i="13"/>
  <c r="BE28" i="13"/>
  <c r="BF28" i="13"/>
  <c r="BG28" i="13"/>
  <c r="BH28" i="13"/>
  <c r="BD28" i="13"/>
  <c r="BD35" i="13"/>
  <c r="BE35" i="13"/>
  <c r="BF35" i="13"/>
  <c r="BG35" i="13"/>
  <c r="BH35" i="13"/>
  <c r="BF31" i="13"/>
  <c r="BG31" i="13"/>
  <c r="BH31" i="13"/>
  <c r="BE31" i="13"/>
  <c r="BD31" i="13"/>
  <c r="BD32" i="13"/>
  <c r="BE32" i="13"/>
  <c r="BF32" i="13"/>
  <c r="BH32" i="13"/>
  <c r="BG32" i="13"/>
  <c r="AZ30" i="13"/>
  <c r="BD30" i="13" s="1"/>
  <c r="AZ39" i="13"/>
  <c r="BG35" i="11"/>
  <c r="BH35" i="11"/>
  <c r="BF35" i="11"/>
  <c r="BF31" i="11"/>
  <c r="BG31" i="11"/>
  <c r="BH31" i="11"/>
  <c r="BH33" i="11"/>
  <c r="BF33" i="11"/>
  <c r="BG33" i="11"/>
  <c r="BF32" i="11"/>
  <c r="BG32" i="11"/>
  <c r="BH32" i="11"/>
  <c r="BG28" i="11"/>
  <c r="BH28" i="11"/>
  <c r="BF28" i="11"/>
  <c r="BF29" i="11"/>
  <c r="BG29" i="11"/>
  <c r="BH29" i="11"/>
  <c r="BF30" i="11"/>
  <c r="BG30" i="11"/>
  <c r="BH30" i="11"/>
  <c r="BH27" i="11"/>
  <c r="BF27" i="11"/>
  <c r="BG27" i="11"/>
  <c r="BF34" i="11"/>
  <c r="BG34" i="11"/>
  <c r="BH34" i="11"/>
  <c r="BE31" i="11"/>
  <c r="BE35" i="11"/>
  <c r="BE28" i="11"/>
  <c r="BE32" i="11"/>
  <c r="BE33" i="11"/>
  <c r="BE29" i="11"/>
  <c r="BE27" i="11"/>
  <c r="BE30" i="11"/>
  <c r="BE34" i="11"/>
  <c r="BD33" i="11"/>
  <c r="BD27" i="11"/>
  <c r="BD32" i="11"/>
  <c r="BD31" i="11"/>
  <c r="BD35" i="11"/>
  <c r="BD29" i="11"/>
  <c r="BD30" i="11"/>
  <c r="BD28" i="11"/>
  <c r="BD34" i="11"/>
  <c r="O145" i="5"/>
  <c r="P143" i="5" s="1"/>
  <c r="Q145" i="5"/>
  <c r="R143" i="5" s="1"/>
  <c r="BG30" i="13" l="1"/>
  <c r="BH30" i="13"/>
  <c r="BF30" i="13"/>
  <c r="BE30" i="13"/>
  <c r="BC27" i="13"/>
  <c r="BC28" i="13"/>
  <c r="BC33" i="13"/>
  <c r="BC29" i="13"/>
  <c r="BC35" i="13"/>
  <c r="BC34" i="13"/>
  <c r="BC32" i="13"/>
  <c r="BC31" i="13"/>
  <c r="BC35" i="11"/>
  <c r="BC31" i="11"/>
  <c r="BC32" i="11"/>
  <c r="BC34" i="11"/>
  <c r="BC33" i="11"/>
  <c r="BC30" i="11"/>
  <c r="BC28" i="11"/>
  <c r="BC27" i="11"/>
  <c r="BC29" i="11"/>
  <c r="R142" i="5"/>
  <c r="R145" i="5" s="1"/>
  <c r="P142" i="5"/>
  <c r="P145" i="5" s="1"/>
  <c r="BC30" i="13" l="1"/>
  <c r="AY57" i="13" l="1"/>
  <c r="AY57" i="11"/>
  <c r="BB36" i="13" l="1"/>
  <c r="BB37" i="13"/>
  <c r="AY52" i="11"/>
  <c r="BB38" i="13" l="1"/>
  <c r="BA37" i="13"/>
  <c r="BA36" i="13"/>
  <c r="BB42" i="11"/>
  <c r="BB36" i="11"/>
  <c r="BB37" i="11"/>
  <c r="AX37" i="13"/>
  <c r="AX36" i="13"/>
  <c r="AX42" i="11"/>
  <c r="AX36" i="11"/>
  <c r="AY42" i="11"/>
  <c r="AY43" i="11"/>
  <c r="AY58" i="13"/>
  <c r="AX37" i="11"/>
  <c r="S143" i="5"/>
  <c r="AY53" i="11"/>
  <c r="AY44" i="11"/>
  <c r="S142" i="5"/>
  <c r="AY58" i="11"/>
  <c r="BH37" i="13" l="1"/>
  <c r="BD37" i="13"/>
  <c r="BE37" i="13"/>
  <c r="BG37" i="13"/>
  <c r="BF37" i="13"/>
  <c r="BE36" i="13"/>
  <c r="BF36" i="13"/>
  <c r="BG36" i="13"/>
  <c r="BH36" i="13"/>
  <c r="BD36" i="13"/>
  <c r="BA38" i="13"/>
  <c r="AX38" i="13"/>
  <c r="BB57" i="11"/>
  <c r="BF37" i="11"/>
  <c r="BG37" i="11"/>
  <c r="BH37" i="11"/>
  <c r="BF42" i="11"/>
  <c r="BG42" i="11"/>
  <c r="BH42" i="11"/>
  <c r="BG36" i="11"/>
  <c r="BH36" i="11"/>
  <c r="BF36" i="11"/>
  <c r="BE37" i="11"/>
  <c r="BE42" i="11"/>
  <c r="BE36" i="11"/>
  <c r="BD42" i="11"/>
  <c r="BD37" i="11"/>
  <c r="BD36" i="11"/>
  <c r="BB43" i="11"/>
  <c r="BB58" i="11"/>
  <c r="BB39" i="11"/>
  <c r="BB38" i="11"/>
  <c r="BB44" i="11"/>
  <c r="AX44" i="11"/>
  <c r="AX39" i="11"/>
  <c r="AX58" i="11"/>
  <c r="AX43" i="11"/>
  <c r="AY59" i="11"/>
  <c r="AY54" i="11"/>
  <c r="AX57" i="11"/>
  <c r="M147" i="5"/>
  <c r="AY59" i="13"/>
  <c r="S147" i="5"/>
  <c r="AX38" i="11"/>
  <c r="S145" i="5"/>
  <c r="T143" i="5" s="1"/>
  <c r="BI39" i="11" l="1"/>
  <c r="BD38" i="13"/>
  <c r="BE38" i="13"/>
  <c r="BF38" i="13"/>
  <c r="BG38" i="13"/>
  <c r="BH38" i="13"/>
  <c r="BC37" i="13"/>
  <c r="BC36" i="13"/>
  <c r="BB59" i="11"/>
  <c r="BG43" i="11"/>
  <c r="BF43" i="11"/>
  <c r="BH43" i="11"/>
  <c r="BF58" i="11"/>
  <c r="BG58" i="11"/>
  <c r="BH58" i="11"/>
  <c r="BF39" i="11"/>
  <c r="BG39" i="11"/>
  <c r="BH39" i="11"/>
  <c r="BG44" i="11"/>
  <c r="BH44" i="11"/>
  <c r="BF44" i="11"/>
  <c r="BF38" i="11"/>
  <c r="BG38" i="11"/>
  <c r="BH38" i="11"/>
  <c r="BH57" i="11"/>
  <c r="BG57" i="11"/>
  <c r="BF57" i="11"/>
  <c r="BE44" i="11"/>
  <c r="BE38" i="11"/>
  <c r="BE57" i="11"/>
  <c r="BE39" i="11"/>
  <c r="BE43" i="11"/>
  <c r="BE58" i="11"/>
  <c r="BD43" i="11"/>
  <c r="BD38" i="11"/>
  <c r="BD39" i="11"/>
  <c r="BD44" i="11"/>
  <c r="BD57" i="11"/>
  <c r="BD58" i="11"/>
  <c r="BC37" i="11"/>
  <c r="BC36" i="11"/>
  <c r="BC42" i="11"/>
  <c r="AY45" i="11"/>
  <c r="T142" i="5"/>
  <c r="T145" i="5" s="1"/>
  <c r="AY56" i="11"/>
  <c r="AX59" i="11"/>
  <c r="AY60" i="11"/>
  <c r="AY55" i="11"/>
  <c r="AY60" i="13"/>
  <c r="BC38" i="13" l="1"/>
  <c r="AY61" i="13"/>
  <c r="BB60" i="11"/>
  <c r="BB40" i="11"/>
  <c r="BF59" i="11"/>
  <c r="BG59" i="11"/>
  <c r="BH59" i="11"/>
  <c r="BE59" i="11"/>
  <c r="BD59" i="11"/>
  <c r="BC43" i="11"/>
  <c r="BC57" i="11"/>
  <c r="BC58" i="11"/>
  <c r="BC39" i="11"/>
  <c r="BC44" i="11"/>
  <c r="BC38" i="11"/>
  <c r="BB41" i="11"/>
  <c r="BB45" i="11"/>
  <c r="AX40" i="11"/>
  <c r="AX41" i="11"/>
  <c r="AX60" i="11"/>
  <c r="AX45" i="11"/>
  <c r="AY61" i="11"/>
  <c r="AY46" i="11"/>
  <c r="AY62" i="13" l="1"/>
  <c r="BB61" i="11"/>
  <c r="BF45" i="11"/>
  <c r="BG45" i="11"/>
  <c r="BH45" i="11"/>
  <c r="BG60" i="11"/>
  <c r="BH60" i="11"/>
  <c r="BF60" i="11"/>
  <c r="BH41" i="11"/>
  <c r="BF41" i="11"/>
  <c r="BG41" i="11"/>
  <c r="BF40" i="11"/>
  <c r="BH40" i="11"/>
  <c r="BG40" i="11"/>
  <c r="BE60" i="11"/>
  <c r="BE40" i="11"/>
  <c r="BE45" i="11"/>
  <c r="BE41" i="11"/>
  <c r="BD45" i="11"/>
  <c r="BD60" i="11"/>
  <c r="BD41" i="11"/>
  <c r="BD40" i="11"/>
  <c r="BC59" i="11"/>
  <c r="BB46" i="11"/>
  <c r="AY47" i="11"/>
  <c r="AX61" i="11"/>
  <c r="AX46" i="11"/>
  <c r="AY62" i="11"/>
  <c r="BB47" i="11" l="1"/>
  <c r="BG46" i="11"/>
  <c r="BF46" i="11"/>
  <c r="BH46" i="11"/>
  <c r="BF61" i="11"/>
  <c r="BG61" i="11"/>
  <c r="BH61" i="11"/>
  <c r="BE46" i="11"/>
  <c r="BE61" i="11"/>
  <c r="BD61" i="11"/>
  <c r="BD46" i="11"/>
  <c r="BC45" i="11"/>
  <c r="BC41" i="11"/>
  <c r="BC40" i="11"/>
  <c r="BC60" i="11"/>
  <c r="BB62" i="11"/>
  <c r="AY49" i="11"/>
  <c r="AX62" i="11"/>
  <c r="AX47" i="11"/>
  <c r="AY63" i="11"/>
  <c r="AY48" i="11"/>
  <c r="M152" i="5"/>
  <c r="O147" i="5"/>
  <c r="AY63" i="13"/>
  <c r="AY64" i="13" l="1"/>
  <c r="BF62" i="11"/>
  <c r="BG62" i="11"/>
  <c r="BH62" i="11"/>
  <c r="BF47" i="11"/>
  <c r="BG47" i="11"/>
  <c r="BH47" i="11"/>
  <c r="BE62" i="11"/>
  <c r="BE47" i="11"/>
  <c r="BD62" i="11"/>
  <c r="BD47" i="11"/>
  <c r="BC61" i="11"/>
  <c r="BC46" i="11"/>
  <c r="BB49" i="11"/>
  <c r="BB48" i="11"/>
  <c r="BB63" i="11"/>
  <c r="AX49" i="11"/>
  <c r="AX48" i="11"/>
  <c r="AX63" i="11"/>
  <c r="AY64" i="11"/>
  <c r="BB57" i="13" l="1"/>
  <c r="AY65" i="13"/>
  <c r="BB64" i="11"/>
  <c r="BF63" i="11"/>
  <c r="BG63" i="11"/>
  <c r="BH63" i="11"/>
  <c r="BF48" i="11"/>
  <c r="BH48" i="11"/>
  <c r="BG48" i="11"/>
  <c r="BH49" i="11"/>
  <c r="BG49" i="11"/>
  <c r="BF49" i="11"/>
  <c r="BE49" i="11"/>
  <c r="BE63" i="11"/>
  <c r="BE48" i="11"/>
  <c r="BD63" i="11"/>
  <c r="BD48" i="11"/>
  <c r="BD49" i="11"/>
  <c r="BC62" i="11"/>
  <c r="BC47" i="11"/>
  <c r="AY50" i="11"/>
  <c r="AY51" i="11"/>
  <c r="AY65" i="11"/>
  <c r="AX64" i="11"/>
  <c r="BB39" i="13" l="1"/>
  <c r="BA57" i="13"/>
  <c r="BB50" i="11"/>
  <c r="BB65" i="11"/>
  <c r="BF64" i="11"/>
  <c r="BG64" i="11"/>
  <c r="BH64" i="11"/>
  <c r="BE64" i="11"/>
  <c r="BD64" i="11"/>
  <c r="BC48" i="11"/>
  <c r="BC49" i="11"/>
  <c r="BC63" i="11"/>
  <c r="AX50" i="11"/>
  <c r="AX57" i="13"/>
  <c r="AY66" i="13"/>
  <c r="AY66" i="11"/>
  <c r="AX65" i="11"/>
  <c r="AY67" i="11"/>
  <c r="AY42" i="13"/>
  <c r="AY67" i="13"/>
  <c r="BB58" i="13" l="1"/>
  <c r="BB42" i="13"/>
  <c r="BA42" i="13"/>
  <c r="BA39" i="13"/>
  <c r="BB66" i="11"/>
  <c r="BB51" i="11"/>
  <c r="BB67" i="11"/>
  <c r="BF50" i="11"/>
  <c r="BG50" i="11"/>
  <c r="BH50" i="11"/>
  <c r="BH65" i="11"/>
  <c r="BF65" i="11"/>
  <c r="BG65" i="11"/>
  <c r="BE65" i="11"/>
  <c r="BE50" i="11"/>
  <c r="BD50" i="11"/>
  <c r="BD65" i="11"/>
  <c r="BC64" i="11"/>
  <c r="AX51" i="11"/>
  <c r="AX39" i="13"/>
  <c r="AX67" i="11"/>
  <c r="AX42" i="13"/>
  <c r="AX66" i="11"/>
  <c r="O152" i="5"/>
  <c r="BF39" i="13" l="1"/>
  <c r="BG39" i="13"/>
  <c r="BH39" i="13"/>
  <c r="BD39" i="13"/>
  <c r="BE39" i="13"/>
  <c r="BB41" i="13"/>
  <c r="BB59" i="13"/>
  <c r="AZ57" i="13"/>
  <c r="BA44" i="13"/>
  <c r="BA43" i="13"/>
  <c r="BA58" i="13"/>
  <c r="BA59" i="13"/>
  <c r="BG67" i="11"/>
  <c r="BH67" i="11"/>
  <c r="BF67" i="11"/>
  <c r="BG51" i="11"/>
  <c r="BH51" i="11"/>
  <c r="BF51" i="11"/>
  <c r="BF66" i="11"/>
  <c r="BG66" i="11"/>
  <c r="BH66" i="11"/>
  <c r="BE67" i="11"/>
  <c r="BE51" i="11"/>
  <c r="BE66" i="11"/>
  <c r="BD66" i="11"/>
  <c r="BD51" i="11"/>
  <c r="BD67" i="11"/>
  <c r="BC50" i="11"/>
  <c r="BC65" i="11"/>
  <c r="BB52" i="11"/>
  <c r="AX44" i="13"/>
  <c r="AX43" i="13"/>
  <c r="S148" i="5"/>
  <c r="AX52" i="11"/>
  <c r="AX58" i="13"/>
  <c r="Q147" i="5"/>
  <c r="BD57" i="13" l="1"/>
  <c r="BE57" i="13"/>
  <c r="BF57" i="13"/>
  <c r="BG57" i="13"/>
  <c r="BH57" i="13"/>
  <c r="BC39" i="13"/>
  <c r="BB40" i="13"/>
  <c r="BB60" i="13"/>
  <c r="BA40" i="13"/>
  <c r="BA41" i="13"/>
  <c r="BB53" i="11"/>
  <c r="BC66" i="11"/>
  <c r="BG52" i="11"/>
  <c r="BH52" i="11"/>
  <c r="BF52" i="11"/>
  <c r="BE52" i="11"/>
  <c r="BD52" i="11"/>
  <c r="BC51" i="11"/>
  <c r="BC67" i="11"/>
  <c r="AX59" i="13"/>
  <c r="AX53" i="11"/>
  <c r="AX40" i="13"/>
  <c r="AX41" i="13"/>
  <c r="S150" i="5"/>
  <c r="BD41" i="13" l="1"/>
  <c r="BE41" i="13"/>
  <c r="BF41" i="13"/>
  <c r="BG41" i="13"/>
  <c r="BH41" i="13"/>
  <c r="BD40" i="13"/>
  <c r="BE40" i="13"/>
  <c r="BH40" i="13"/>
  <c r="BF40" i="13"/>
  <c r="BG40" i="13"/>
  <c r="BC57" i="13"/>
  <c r="AZ58" i="13"/>
  <c r="BB61" i="13"/>
  <c r="BA60" i="13"/>
  <c r="BA45" i="13"/>
  <c r="BB54" i="11"/>
  <c r="BF53" i="11"/>
  <c r="BG53" i="11"/>
  <c r="BH53" i="11"/>
  <c r="BE53" i="11"/>
  <c r="BD53" i="11"/>
  <c r="BC52" i="11"/>
  <c r="AX60" i="13"/>
  <c r="AX54" i="11"/>
  <c r="T147" i="5"/>
  <c r="T150" i="5"/>
  <c r="AX45" i="13"/>
  <c r="T148" i="5"/>
  <c r="BH58" i="13" l="1"/>
  <c r="BD58" i="13"/>
  <c r="BE58" i="13"/>
  <c r="BF58" i="13"/>
  <c r="BG58" i="13"/>
  <c r="BC41" i="13"/>
  <c r="BC40" i="13"/>
  <c r="AZ59" i="13"/>
  <c r="BB62" i="13"/>
  <c r="BA46" i="13"/>
  <c r="BA61" i="13"/>
  <c r="BB55" i="11"/>
  <c r="BH54" i="11"/>
  <c r="BF54" i="11"/>
  <c r="BG54" i="11"/>
  <c r="BE54" i="11"/>
  <c r="BD54" i="11"/>
  <c r="BC53" i="11"/>
  <c r="BB56" i="11"/>
  <c r="AX46" i="13"/>
  <c r="AX55" i="11"/>
  <c r="AX56" i="11"/>
  <c r="AX61" i="13"/>
  <c r="BD59" i="13" l="1"/>
  <c r="BE59" i="13"/>
  <c r="BF59" i="13"/>
  <c r="BG59" i="13"/>
  <c r="BH59" i="13"/>
  <c r="BC58" i="13"/>
  <c r="BB63" i="13"/>
  <c r="BA62" i="13"/>
  <c r="BA47" i="13"/>
  <c r="BA49" i="13"/>
  <c r="AZ60" i="13"/>
  <c r="BF56" i="11"/>
  <c r="BH56" i="11"/>
  <c r="BG56" i="11"/>
  <c r="BF55" i="11"/>
  <c r="BG55" i="11"/>
  <c r="BH55" i="11"/>
  <c r="BE56" i="11"/>
  <c r="BE55" i="11"/>
  <c r="BD55" i="11"/>
  <c r="BD56" i="11"/>
  <c r="BC54" i="11"/>
  <c r="AX47" i="13"/>
  <c r="AX62" i="13"/>
  <c r="BE60" i="13" l="1"/>
  <c r="BD60" i="13"/>
  <c r="BF60" i="13"/>
  <c r="BG60" i="13"/>
  <c r="BH60" i="13"/>
  <c r="BC59" i="13"/>
  <c r="BB64" i="13"/>
  <c r="BA63" i="13"/>
  <c r="BA48" i="13"/>
  <c r="AZ61" i="13"/>
  <c r="AZ52" i="13"/>
  <c r="BC56" i="11"/>
  <c r="BC55" i="11"/>
  <c r="AX48" i="13"/>
  <c r="AX49" i="13"/>
  <c r="AX63" i="13"/>
  <c r="BH61" i="13" l="1"/>
  <c r="BD61" i="13"/>
  <c r="BG61" i="13"/>
  <c r="BE61" i="13"/>
  <c r="BF61" i="13"/>
  <c r="BC60" i="13"/>
  <c r="BB65" i="13"/>
  <c r="BA64" i="13"/>
  <c r="BA50" i="13"/>
  <c r="AZ53" i="13"/>
  <c r="AZ62" i="13"/>
  <c r="AX64" i="13"/>
  <c r="M153" i="5"/>
  <c r="AY52" i="13"/>
  <c r="BD62" i="13" l="1"/>
  <c r="BE62" i="13"/>
  <c r="BF62" i="13"/>
  <c r="BG62" i="13"/>
  <c r="BH62" i="13"/>
  <c r="BC61" i="13"/>
  <c r="AY44" i="13"/>
  <c r="AZ54" i="13"/>
  <c r="BB66" i="13"/>
  <c r="BA65" i="13"/>
  <c r="BB43" i="13"/>
  <c r="BB44" i="13"/>
  <c r="AZ63" i="13"/>
  <c r="AY43" i="13"/>
  <c r="AX50" i="13"/>
  <c r="AX65" i="13"/>
  <c r="AY53" i="13"/>
  <c r="M155" i="5"/>
  <c r="BE63" i="13" l="1"/>
  <c r="BD63" i="13"/>
  <c r="BF63" i="13"/>
  <c r="BG63" i="13"/>
  <c r="BH63" i="13"/>
  <c r="BC62" i="13"/>
  <c r="BB67" i="13"/>
  <c r="BB52" i="13"/>
  <c r="AZ56" i="13"/>
  <c r="BA67" i="13"/>
  <c r="BA66" i="13"/>
  <c r="BA51" i="13"/>
  <c r="AZ55" i="13"/>
  <c r="AZ64" i="13"/>
  <c r="AY54" i="13"/>
  <c r="AX66" i="13"/>
  <c r="AX67" i="13"/>
  <c r="AX51" i="13"/>
  <c r="N152" i="5"/>
  <c r="N155" i="5"/>
  <c r="N153" i="5"/>
  <c r="BH64" i="13" l="1"/>
  <c r="BG64" i="13"/>
  <c r="BF64" i="13"/>
  <c r="BE64" i="13"/>
  <c r="BD64" i="13"/>
  <c r="BC63" i="13"/>
  <c r="AY45" i="13"/>
  <c r="AY55" i="13"/>
  <c r="BB53" i="13"/>
  <c r="BA52" i="13"/>
  <c r="BB45" i="13"/>
  <c r="AZ65" i="13"/>
  <c r="AX52" i="13"/>
  <c r="Q148" i="5"/>
  <c r="AY56" i="13"/>
  <c r="BE52" i="13" l="1"/>
  <c r="BF52" i="13"/>
  <c r="BG52" i="13"/>
  <c r="BH52" i="13"/>
  <c r="BD52" i="13"/>
  <c r="BF65" i="13"/>
  <c r="BD65" i="13"/>
  <c r="BE65" i="13"/>
  <c r="BG65" i="13"/>
  <c r="BH65" i="13"/>
  <c r="BC64" i="13"/>
  <c r="AZ66" i="13"/>
  <c r="BB54" i="13"/>
  <c r="BA53" i="13"/>
  <c r="BB46" i="13"/>
  <c r="AZ42" i="13"/>
  <c r="AZ67" i="13"/>
  <c r="AY46" i="13"/>
  <c r="AX53" i="13"/>
  <c r="M148" i="5"/>
  <c r="O153" i="5"/>
  <c r="Q150" i="5"/>
  <c r="R148" i="5" s="1"/>
  <c r="BH53" i="13" l="1"/>
  <c r="BD53" i="13"/>
  <c r="BE53" i="13"/>
  <c r="BF53" i="13"/>
  <c r="BG53" i="13"/>
  <c r="BD67" i="13"/>
  <c r="BE67" i="13"/>
  <c r="BF67" i="13"/>
  <c r="BG67" i="13"/>
  <c r="BH67" i="13"/>
  <c r="BG42" i="13"/>
  <c r="BH42" i="13"/>
  <c r="BD42" i="13"/>
  <c r="BE42" i="13"/>
  <c r="BF42" i="13"/>
  <c r="BE66" i="13"/>
  <c r="BG66" i="13"/>
  <c r="BH66" i="13"/>
  <c r="BD66" i="13"/>
  <c r="BF66" i="13"/>
  <c r="BC65" i="13"/>
  <c r="BC52" i="13"/>
  <c r="BB56" i="13"/>
  <c r="AY47" i="13"/>
  <c r="AZ43" i="13"/>
  <c r="BB55" i="13"/>
  <c r="BA54" i="13"/>
  <c r="BB47" i="13"/>
  <c r="AZ44" i="13"/>
  <c r="O155" i="5"/>
  <c r="P153" i="5" s="1"/>
  <c r="M150" i="5"/>
  <c r="N147" i="5" s="1"/>
  <c r="R147" i="5"/>
  <c r="R150" i="5"/>
  <c r="AX54" i="13"/>
  <c r="BC42" i="13" l="1"/>
  <c r="BG43" i="13"/>
  <c r="BH43" i="13"/>
  <c r="BF43" i="13"/>
  <c r="BD43" i="13"/>
  <c r="BE43" i="13"/>
  <c r="BD54" i="13"/>
  <c r="BE54" i="13"/>
  <c r="BF54" i="13"/>
  <c r="BG54" i="13"/>
  <c r="BH54" i="13"/>
  <c r="BF44" i="13"/>
  <c r="BD44" i="13"/>
  <c r="BE44" i="13"/>
  <c r="BG44" i="13"/>
  <c r="BH44" i="13"/>
  <c r="BC66" i="13"/>
  <c r="BC53" i="13"/>
  <c r="BC67" i="13"/>
  <c r="AY48" i="13"/>
  <c r="BA55" i="13"/>
  <c r="BA56" i="13"/>
  <c r="BB49" i="13"/>
  <c r="BB48" i="13"/>
  <c r="AX56" i="13"/>
  <c r="AY49" i="13"/>
  <c r="N148" i="5"/>
  <c r="N150" i="5" s="1"/>
  <c r="P152" i="5"/>
  <c r="P155" i="5"/>
  <c r="AX55" i="13"/>
  <c r="BD56" i="13" l="1"/>
  <c r="BE56" i="13"/>
  <c r="BF56" i="13"/>
  <c r="BH56" i="13"/>
  <c r="BG56" i="13"/>
  <c r="BF55" i="13"/>
  <c r="BG55" i="13"/>
  <c r="BH55" i="13"/>
  <c r="BE55" i="13"/>
  <c r="BD55" i="13"/>
  <c r="BC43" i="13"/>
  <c r="BC54" i="13"/>
  <c r="BC44" i="13"/>
  <c r="AZ45" i="13"/>
  <c r="BE45" i="13" l="1"/>
  <c r="BF45" i="13"/>
  <c r="BG45" i="13"/>
  <c r="BH45" i="13"/>
  <c r="BD45" i="13"/>
  <c r="BC56" i="13"/>
  <c r="BC55" i="13"/>
  <c r="AY51" i="13"/>
  <c r="AZ46" i="13"/>
  <c r="BB50" i="13"/>
  <c r="BB51" i="13"/>
  <c r="AY50" i="13"/>
  <c r="BG46" i="13" l="1"/>
  <c r="BE46" i="13"/>
  <c r="BH46" i="13"/>
  <c r="BD46" i="13"/>
  <c r="BF46" i="13"/>
  <c r="BC45" i="13"/>
  <c r="AZ47" i="13"/>
  <c r="O148" i="5"/>
  <c r="BE47" i="13" l="1"/>
  <c r="BD47" i="13"/>
  <c r="BG47" i="13"/>
  <c r="BH47" i="13"/>
  <c r="BF47" i="13"/>
  <c r="BC46" i="13"/>
  <c r="AZ48" i="13"/>
  <c r="AZ49" i="13"/>
  <c r="O150" i="5"/>
  <c r="P148" i="5" s="1"/>
  <c r="BD49" i="13" l="1"/>
  <c r="BE49" i="13"/>
  <c r="BF49" i="13"/>
  <c r="BG49" i="13"/>
  <c r="BH49" i="13"/>
  <c r="BD48" i="13"/>
  <c r="BG48" i="13"/>
  <c r="BH48" i="13"/>
  <c r="BE48" i="13"/>
  <c r="BF48" i="13"/>
  <c r="BC47" i="13"/>
  <c r="P147" i="5"/>
  <c r="P150" i="5"/>
  <c r="BC49" i="13" l="1"/>
  <c r="BC48" i="13"/>
  <c r="AZ50" i="13"/>
  <c r="AZ51" i="13"/>
  <c r="BG51" i="13" l="1"/>
  <c r="BH51" i="13"/>
  <c r="BD51" i="13"/>
  <c r="BF51" i="13"/>
  <c r="BE51" i="13"/>
  <c r="BD50" i="13"/>
  <c r="BE50" i="13"/>
  <c r="BH50" i="13"/>
  <c r="BF50" i="13"/>
  <c r="BG50" i="13"/>
  <c r="BC50" i="13" l="1"/>
  <c r="BC51" i="13"/>
  <c r="AI76" i="11" l="1"/>
  <c r="AH76" i="11"/>
  <c r="C10" i="24" s="1"/>
  <c r="B10" i="24" s="1"/>
  <c r="AD76" i="11" l="1"/>
  <c r="C10" i="25"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Alicia Birky</author>
    <author>tc={B0187843-2530-4EA3-9CAD-2198DBC8099E}</author>
  </authors>
  <commentList>
    <comment ref="J6" authorId="0" shapeId="0" xr:uid="{00000000-0006-0000-02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2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2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 ref="N20" authorId="1" shapeId="0" xr:uid="{B0187843-2530-4EA3-9CAD-2198DBC8099E}">
      <text>
        <t>[Threaded comment]
Your version of Excel allows you to read this threaded comment; however, any edits to it will get removed if the file is opened in a newer version of Excel. Learn more: https://go.microsoft.com/fwlink/?linkid=870924
Comment:
    baseline constrained to never fall</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3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6" authorId="0" shapeId="0" xr:uid="{00000000-0006-0000-03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7" authorId="0" shapeId="0" xr:uid="{00000000-0006-0000-0300-000003000000}">
      <text>
        <r>
          <rPr>
            <b/>
            <sz val="8"/>
            <color indexed="81"/>
            <rFont val="Tahoma"/>
            <family val="2"/>
          </rPr>
          <t>Alicia Birky:</t>
        </r>
        <r>
          <rPr>
            <sz val="8"/>
            <color indexed="81"/>
            <rFont val="Tahoma"/>
            <family val="2"/>
          </rPr>
          <t xml:space="preserve">
Include additional costs that depend on accumulated miles, such as engine repower, hybrid battery replacement,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6" authorId="0" shapeId="0" xr:uid="{00000000-0006-0000-04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Dwyer, Michael T.</author>
    <author>Birky, Alicia</author>
    <author>Alicia Birky</author>
    <author>mtd240</author>
  </authors>
  <commentList>
    <comment ref="P1" authorId="0" shapeId="0" xr:uid="{5DA543A4-5C04-4AA2-BE16-EEAC50A55C2A}">
      <text>
        <r>
          <rPr>
            <b/>
            <sz val="9"/>
            <color indexed="81"/>
            <rFont val="Tahoma"/>
            <family val="2"/>
          </rPr>
          <t>Dwyer, Michael T.:</t>
        </r>
        <r>
          <rPr>
            <sz val="9"/>
            <color indexed="81"/>
            <rFont val="Tahoma"/>
            <family val="2"/>
          </rPr>
          <t xml:space="preserve">
https://fred.stlouisfed.org/series/A191RG3A086NBEA</t>
        </r>
      </text>
    </comment>
    <comment ref="M2" authorId="0" shapeId="0" xr:uid="{4B976AF6-18DE-4833-A800-45B3DA4457B2}">
      <text>
        <r>
          <rPr>
            <b/>
            <sz val="9"/>
            <color rgb="FF000000"/>
            <rFont val="Tahoma"/>
            <family val="2"/>
          </rPr>
          <t>Dwyer, Michael T.:</t>
        </r>
        <r>
          <rPr>
            <sz val="9"/>
            <color rgb="FF000000"/>
            <rFont val="Tahoma"/>
            <family val="2"/>
          </rPr>
          <t xml:space="preserve">
</t>
        </r>
        <r>
          <rPr>
            <sz val="9"/>
            <color rgb="FF000000"/>
            <rFont val="Tahoma"/>
            <family val="2"/>
          </rPr>
          <t>TEDB Table B4. HHV</t>
        </r>
      </text>
    </comment>
    <comment ref="B8" authorId="1" shapeId="0" xr:uid="{0801E5F6-2974-4948-A61A-6857644CD17B}">
      <text>
        <r>
          <rPr>
            <b/>
            <sz val="9"/>
            <color indexed="81"/>
            <rFont val="Tahoma"/>
            <family val="2"/>
          </rPr>
          <t>Birky, Alicia:</t>
        </r>
        <r>
          <rPr>
            <sz val="9"/>
            <color indexed="81"/>
            <rFont val="Tahoma"/>
            <family val="2"/>
          </rPr>
          <t xml:space="preserve">
Historical gasoline and diesel prices from MER, updated to 2019 $. Other fuels from prior AEOs are in differen tbasis years</t>
        </r>
      </text>
    </comment>
    <comment ref="X8" authorId="2" shapeId="0" xr:uid="{00000000-0006-0000-0500-000002000000}">
      <text>
        <r>
          <rPr>
            <b/>
            <sz val="9"/>
            <color indexed="81"/>
            <rFont val="Tahoma"/>
            <family val="2"/>
          </rPr>
          <t>Alicia Birky:</t>
        </r>
        <r>
          <rPr>
            <sz val="9"/>
            <color indexed="81"/>
            <rFont val="Tahoma"/>
            <family val="2"/>
          </rPr>
          <t xml:space="preserve">
Values from prior AEO are in different basis years
</t>
        </r>
      </text>
    </comment>
    <comment ref="J10" authorId="3" shapeId="0" xr:uid="{00000000-0006-0000-0500-000003000000}">
      <text>
        <r>
          <rPr>
            <b/>
            <sz val="9"/>
            <color rgb="FF000000"/>
            <rFont val="Tahoma"/>
            <family val="2"/>
          </rPr>
          <t>mtd240:</t>
        </r>
        <r>
          <rPr>
            <sz val="9"/>
            <color rgb="FF000000"/>
            <rFont val="Tahoma"/>
            <family val="2"/>
          </rPr>
          <t xml:space="preserve">
</t>
        </r>
        <r>
          <rPr>
            <sz val="9"/>
            <color rgb="FF000000"/>
            <rFont val="Tahoma"/>
            <family val="2"/>
          </rPr>
          <t xml:space="preserve">
</t>
        </r>
        <r>
          <rPr>
            <sz val="9"/>
            <color rgb="FF000000"/>
            <rFont val="Tahoma"/>
            <family val="2"/>
          </rPr>
          <t xml:space="preserve">Dollars per kg
</t>
        </r>
        <r>
          <rPr>
            <sz val="9"/>
            <color rgb="FF000000"/>
            <rFont val="Tahoma"/>
            <family val="2"/>
          </rPr>
          <t xml:space="preserve">
</t>
        </r>
        <r>
          <rPr>
            <sz val="9"/>
            <color rgb="FF000000"/>
            <rFont val="Tahoma"/>
            <family val="2"/>
          </rPr>
          <t>From Tom Stephens' email, in 2015$ per kg!</t>
        </r>
      </text>
    </comment>
    <comment ref="AF10" authorId="3" shapeId="0" xr:uid="{00000000-0006-0000-0500-000004000000}">
      <text>
        <r>
          <rPr>
            <b/>
            <sz val="9"/>
            <color indexed="81"/>
            <rFont val="Tahoma"/>
            <family val="2"/>
          </rPr>
          <t>mtd240:</t>
        </r>
        <r>
          <rPr>
            <sz val="9"/>
            <color indexed="81"/>
            <rFont val="Tahoma"/>
            <family val="2"/>
          </rPr>
          <t xml:space="preserve">
Dollars per kg
From Autonomie output in LD Basce 2018</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6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6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6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7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 ref="L9" authorId="0" shapeId="0" xr:uid="{00000000-0006-0000-0700-000002000000}">
      <text>
        <r>
          <rPr>
            <b/>
            <sz val="8"/>
            <color indexed="81"/>
            <rFont val="Tahoma"/>
            <family val="2"/>
          </rPr>
          <t>Alicia Birky:</t>
        </r>
        <r>
          <rPr>
            <sz val="8"/>
            <color indexed="81"/>
            <rFont val="Tahoma"/>
            <family val="2"/>
          </rPr>
          <t xml:space="preserve">
These are threshold costs within which the buyer is relatively indifferent to cost differences.  Probability of purchase is an S-Curve based on ratio of actual cost to threshold.</t>
        </r>
      </text>
    </comment>
    <comment ref="N10" authorId="0" shapeId="0" xr:uid="{00000000-0006-0000-0700-000003000000}">
      <text>
        <r>
          <rPr>
            <b/>
            <sz val="8"/>
            <color indexed="81"/>
            <rFont val="Tahoma"/>
            <family val="2"/>
          </rPr>
          <t>Alicia Birky:</t>
        </r>
        <r>
          <rPr>
            <sz val="8"/>
            <color indexed="81"/>
            <rFont val="Tahoma"/>
            <family val="2"/>
          </rPr>
          <t xml:space="preserve">
Additional (non-fuel) costs that depend on accumulated miles, such as engine repower, hybrid battery replacement, etc.</t>
        </r>
      </text>
    </comment>
    <comment ref="AX19" authorId="0" shapeId="0" xr:uid="{00000000-0006-0000-0700-000007000000}">
      <text>
        <r>
          <rPr>
            <b/>
            <sz val="8"/>
            <color indexed="81"/>
            <rFont val="Tahoma"/>
            <family val="2"/>
          </rPr>
          <t>Alicia Birky:</t>
        </r>
        <r>
          <rPr>
            <sz val="8"/>
            <color indexed="81"/>
            <rFont val="Tahoma"/>
            <family val="2"/>
          </rPr>
          <t xml:space="preserve">
Adjusted for incremental cost and NPV of savings.</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Alicia Birky</author>
  </authors>
  <commentList>
    <comment ref="J9" authorId="0" shapeId="0" xr:uid="{00000000-0006-0000-0800-000001000000}">
      <text>
        <r>
          <rPr>
            <b/>
            <sz val="8"/>
            <color indexed="81"/>
            <rFont val="Tahoma"/>
            <family val="2"/>
          </rPr>
          <t>Alicia Birky:</t>
        </r>
        <r>
          <rPr>
            <sz val="8"/>
            <color indexed="81"/>
            <rFont val="Tahoma"/>
            <family val="2"/>
          </rPr>
          <t xml:space="preserve">
The preference factor represents the fraction, in competition with the base, that consumers would purchase if purchase cost and fuel cost were the same as the base.  Set value =0.5 for no bias/preference.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Dwyer, Michael T.</author>
  </authors>
  <commentList>
    <comment ref="Q6" authorId="0" shapeId="0" xr:uid="{CF9ED68A-D163-48F8-B559-2572A38F8AE5}">
      <text>
        <r>
          <rPr>
            <b/>
            <sz val="9"/>
            <color indexed="81"/>
            <rFont val="Tahoma"/>
            <family val="2"/>
          </rPr>
          <t>Dwyer, Michael T.:</t>
        </r>
        <r>
          <rPr>
            <sz val="9"/>
            <color indexed="81"/>
            <rFont val="Tahoma"/>
            <family val="2"/>
          </rPr>
          <t xml:space="preserve">
should be 61785/21218 based on https://afdc.energy.gov/stations/states</t>
        </r>
      </text>
    </comment>
    <comment ref="Q7" authorId="0" shapeId="0" xr:uid="{E585AE22-F1FF-4685-9E1E-572D92CF6359}">
      <text>
        <r>
          <rPr>
            <b/>
            <sz val="9"/>
            <color indexed="81"/>
            <rFont val="Tahoma"/>
            <family val="2"/>
          </rPr>
          <t>Dwyer, Michael T.:</t>
        </r>
        <r>
          <rPr>
            <sz val="9"/>
            <color indexed="81"/>
            <rFont val="Tahoma"/>
            <family val="2"/>
          </rPr>
          <t xml:space="preserve">
AFDC methodology changed in 2011:
Pre-2011: Number of stations/installations
2011+: Number of plugs
This column uses an </t>
        </r>
        <r>
          <rPr>
            <i/>
            <sz val="9"/>
            <color indexed="81"/>
            <rFont val="Tahoma"/>
            <family val="2"/>
          </rPr>
          <t>average plugs per station</t>
        </r>
        <r>
          <rPr>
            <sz val="9"/>
            <color indexed="81"/>
            <rFont val="Tahoma"/>
            <family val="2"/>
          </rPr>
          <t xml:space="preserve"> metric to get station count from the plug counts post-2010</t>
        </r>
      </text>
    </comment>
    <comment ref="U7" authorId="0" shapeId="0" xr:uid="{FA541295-481D-4D9D-8F1D-8193D69C423E}">
      <text>
        <r>
          <rPr>
            <b/>
            <sz val="9"/>
            <color indexed="81"/>
            <rFont val="Tahoma"/>
            <family val="2"/>
          </rPr>
          <t>Dwyer, Michael T.:</t>
        </r>
        <r>
          <rPr>
            <sz val="9"/>
            <color indexed="81"/>
            <rFont val="Tahoma"/>
            <family val="2"/>
          </rPr>
          <t xml:space="preserve">
2015 and after are from GPRA2019 Progr Success case data provided by Tom Stephens</t>
        </r>
      </text>
    </comment>
    <comment ref="Y7" authorId="0" shapeId="0" xr:uid="{3D9268C6-B3C2-4309-A528-AA204AA8B861}">
      <text>
        <r>
          <rPr>
            <b/>
            <sz val="9"/>
            <color indexed="81"/>
            <rFont val="Tahoma"/>
            <family val="2"/>
          </rPr>
          <t>Dwyer, Michael T.:</t>
        </r>
        <r>
          <rPr>
            <sz val="9"/>
            <color indexed="81"/>
            <rFont val="Tahoma"/>
            <family val="2"/>
          </rPr>
          <t xml:space="preserve">
AFDC: https://www.afdc.energy.gov/data/10333
Frozen post-2012 (no new data available)</t>
        </r>
      </text>
    </comment>
  </commentList>
</comments>
</file>

<file path=xl/sharedStrings.xml><?xml version="1.0" encoding="utf-8"?>
<sst xmlns="http://schemas.openxmlformats.org/spreadsheetml/2006/main" count="2121" uniqueCount="453">
  <si>
    <t>Gasoline</t>
  </si>
  <si>
    <t>CNG</t>
  </si>
  <si>
    <t>LPG</t>
  </si>
  <si>
    <t>Year</t>
  </si>
  <si>
    <t>Transportation Energy Prices</t>
  </si>
  <si>
    <t>Diesel</t>
  </si>
  <si>
    <t>Electricity</t>
  </si>
  <si>
    <t>Prices Include Federal and State taxes and exclude county and local taxes.</t>
  </si>
  <si>
    <t>Ethanol-as E85-actual all-year avg = 74% due to seasonal blend effects</t>
  </si>
  <si>
    <t>Vehicle Age 2 or Less</t>
  </si>
  <si>
    <t>Vehicles</t>
  </si>
  <si>
    <t>Percent</t>
  </si>
  <si>
    <t>VMT (1000)</t>
  </si>
  <si>
    <t xml:space="preserve">Central </t>
  </si>
  <si>
    <t>Central Veh-Miles</t>
  </si>
  <si>
    <t>Non-Central</t>
  </si>
  <si>
    <t>Non-Central Veh-Miles</t>
  </si>
  <si>
    <t>Veh-miles</t>
  </si>
  <si>
    <t>Total</t>
  </si>
  <si>
    <t>Central Trucks</t>
  </si>
  <si>
    <t>Non-Central Trucks</t>
  </si>
  <si>
    <t>Central    Miles (1000)</t>
  </si>
  <si>
    <t>Non-Central  Miles (1000)</t>
  </si>
  <si>
    <t>wtd avg</t>
  </si>
  <si>
    <t xml:space="preserve"> </t>
  </si>
  <si>
    <t>VMT</t>
  </si>
  <si>
    <t>Central (Weighted Avg VMT)</t>
  </si>
  <si>
    <t>Non-Central (Weighted Avg VMT)</t>
  </si>
  <si>
    <t>0-19.9</t>
  </si>
  <si>
    <t>20-39.9</t>
  </si>
  <si>
    <t>40-59.9</t>
  </si>
  <si>
    <t>60-79.9</t>
  </si>
  <si>
    <t>80-99.9</t>
  </si>
  <si>
    <t>100-119.9</t>
  </si>
  <si>
    <t>120-139.9</t>
  </si>
  <si>
    <t>140-159.9</t>
  </si>
  <si>
    <t>160-179.9</t>
  </si>
  <si>
    <t>180-199.9</t>
  </si>
  <si>
    <t>200+</t>
  </si>
  <si>
    <t>totals</t>
  </si>
  <si>
    <t/>
  </si>
  <si>
    <t>Energy Shares                                                                                                                           (Fuel economies from 'new MPG' page)</t>
  </si>
  <si>
    <t>Types</t>
  </si>
  <si>
    <t>Percent of Vehicles</t>
  </si>
  <si>
    <t>Miles</t>
  </si>
  <si>
    <t>miles/yr/veh</t>
  </si>
  <si>
    <t>Percent VMT</t>
  </si>
  <si>
    <t>Fuel Use by Type                    (Gal)</t>
  </si>
  <si>
    <t>% Fuel Use by Type</t>
  </si>
  <si>
    <t>All Class 7&amp;8:</t>
  </si>
  <si>
    <t>E85</t>
  </si>
  <si>
    <t>Jet Fuel</t>
  </si>
  <si>
    <t>Residual Fuel Oil</t>
  </si>
  <si>
    <t>Discount Rate:</t>
  </si>
  <si>
    <t>Market Adoption Curve:</t>
  </si>
  <si>
    <t>Percentage willing to adopt by payback period</t>
  </si>
  <si>
    <t>years</t>
  </si>
  <si>
    <t>percent willing</t>
  </si>
  <si>
    <t>cumulative % willing</t>
  </si>
  <si>
    <t>shift (months)</t>
  </si>
  <si>
    <t>alpha</t>
  </si>
  <si>
    <t>cumul % willing</t>
  </si>
  <si>
    <t>beta</t>
  </si>
  <si>
    <t>months</t>
  </si>
  <si>
    <t>alt. slow</t>
  </si>
  <si>
    <t>A</t>
  </si>
  <si>
    <t>B</t>
  </si>
  <si>
    <t>C</t>
  </si>
  <si>
    <t>Avg Annual VMT:</t>
  </si>
  <si>
    <t>Base</t>
  </si>
  <si>
    <t>Baseline</t>
  </si>
  <si>
    <t>Monthly Fuel Costs</t>
  </si>
  <si>
    <t>Months to Pay Back</t>
  </si>
  <si>
    <t>Indiv. Tech. Adoption Rate</t>
  </si>
  <si>
    <t>Technology Option Information</t>
  </si>
  <si>
    <t>Description</t>
  </si>
  <si>
    <t>Preference Factor</t>
  </si>
  <si>
    <t>Logistic curve for evolution of experience/risk/preference curves</t>
  </si>
  <si>
    <t>k1 =</t>
  </si>
  <si>
    <t>k2 =</t>
  </si>
  <si>
    <t>Years Since Intro</t>
  </si>
  <si>
    <t>Intro Yr</t>
  </si>
  <si>
    <t>Final Market Share</t>
  </si>
  <si>
    <t>Indifference Costs</t>
  </si>
  <si>
    <t>Fuel ($/mo)</t>
  </si>
  <si>
    <t>Weibull: F(p) = 1-e^(-(p/k2)^k1)</t>
  </si>
  <si>
    <t>adjusts skew</t>
  </si>
  <si>
    <t>adjusts saturation rate</t>
  </si>
  <si>
    <t>k1&gt;1; k2&gt;0</t>
  </si>
  <si>
    <t>Weibull, fuel cost savings</t>
  </si>
  <si>
    <t>fraction of indiff. First cost</t>
  </si>
  <si>
    <t>fraction of indiff. Fuel cost</t>
  </si>
  <si>
    <t>Indifference Calculation</t>
  </si>
  <si>
    <t>Curve for indifference to first cost and fuel cost savings</t>
  </si>
  <si>
    <t>This curve applies when incremental cost is small and fuel costs are similar.  Thresholds are set by "indifference costs."</t>
  </si>
  <si>
    <t>Cost</t>
  </si>
  <si>
    <t>max probability</t>
  </si>
  <si>
    <t>Pmax=</t>
  </si>
  <si>
    <t>Weibull</t>
  </si>
  <si>
    <t>incr cost / base cost</t>
  </si>
  <si>
    <t>Incremental Cost Factor</t>
  </si>
  <si>
    <t>Pmax =</t>
  </si>
  <si>
    <t>Adj'd Indiv. Adoption Rate</t>
  </si>
  <si>
    <t>Adjustment factor for incremental cost</t>
  </si>
  <si>
    <t>Mkt Adoption Rate:</t>
  </si>
  <si>
    <t>Adoption Data Col:</t>
  </si>
  <si>
    <t>alt. params</t>
  </si>
  <si>
    <t>Monthly Cost Savings</t>
  </si>
  <si>
    <t>Monthly Savings</t>
  </si>
  <si>
    <t>Mileage Dependent Costs</t>
  </si>
  <si>
    <t>Aggressive</t>
  </si>
  <si>
    <t>Moderate</t>
  </si>
  <si>
    <t>Interval (K miles)</t>
  </si>
  <si>
    <t>Incr. Cost ($)</t>
  </si>
  <si>
    <t>Enter Economic Parameters:</t>
  </si>
  <si>
    <t>Run ID / Description</t>
  </si>
  <si>
    <t>Conservative</t>
  </si>
  <si>
    <t>Addtl Mileage Dep. Savings</t>
  </si>
  <si>
    <t>Fleet:</t>
  </si>
  <si>
    <t>Cost and Fuel Economy Inputs</t>
  </si>
  <si>
    <t>Monthly Budget</t>
  </si>
  <si>
    <t>(thousands of miles)</t>
  </si>
  <si>
    <t>Veh-Miles</t>
  </si>
  <si>
    <t>Veh-Num</t>
  </si>
  <si>
    <t>trucks</t>
  </si>
  <si>
    <t>miles</t>
  </si>
  <si>
    <t>Output generated:</t>
  </si>
  <si>
    <t>Run ID / Name:</t>
  </si>
  <si>
    <t xml:space="preserve">Market Penetration of Enhanced Technologies, % of Vehicles Sold </t>
  </si>
  <si>
    <t>Technology</t>
  </si>
  <si>
    <t>General Notes</t>
  </si>
  <si>
    <t>Input worksheets are indicated by yellow tabs.</t>
  </si>
  <si>
    <t>Cells for user inputs are indicated by yellow shading.  Other cells are protected to prevent inadvertant changes.  When making changes to input cells, the user should paste values to preserve formatting.</t>
  </si>
  <si>
    <t>Running a Case</t>
  </si>
  <si>
    <t>Results worksheets are indicated by green tabs.</t>
  </si>
  <si>
    <t>Enter run ID / title.</t>
  </si>
  <si>
    <t>This curve phases in user specified preferences representing factors other than costs.</t>
  </si>
  <si>
    <t>Weibull,  incr. cost</t>
  </si>
  <si>
    <t>Alternative</t>
  </si>
  <si>
    <t>a) Discount rate used to calculate NPV of fuel cost savings, payback period, and NPV of savings relative to baseline vehicle.</t>
  </si>
  <si>
    <t>b) Market adoption curve.  Select from three available curves representing aggressive (rates equal to survey results / stated preferences), moderate (somewhat lower than survey), and risk averse (much lower than survey).</t>
  </si>
  <si>
    <t>Specify technologies and characteristics.</t>
  </si>
  <si>
    <t>Enter fuel prices.</t>
  </si>
  <si>
    <t>Run the model.</t>
  </si>
  <si>
    <t>Click the macro button labeled "Run All" on the 'Run Model' worksheet.</t>
  </si>
  <si>
    <t>On the 'Run Model' worksheet, specify a descriptive title that will be included on all output sheets.</t>
  </si>
  <si>
    <t>Enter economic parameters.</t>
  </si>
  <si>
    <t>Economic parameters used for all technologies in all markets are entered on the 'Run Model' worksheet:</t>
  </si>
  <si>
    <r>
      <t xml:space="preserve">Macros used in this model rely on named ranges and worksheets.  </t>
    </r>
    <r>
      <rPr>
        <b/>
        <i/>
        <sz val="10"/>
        <color indexed="10"/>
        <rFont val="Arial"/>
        <family val="2"/>
      </rPr>
      <t>The user should not alter or delete any named ranges or change the names of worksheets</t>
    </r>
    <r>
      <rPr>
        <sz val="10"/>
        <rFont val="Arial"/>
        <family val="2"/>
      </rPr>
      <t>.  Doing so will disable the model.</t>
    </r>
  </si>
  <si>
    <t>The baseline truck in each market must be the least expensive alternative.</t>
  </si>
  <si>
    <t>Market Penetration of Enhanced Technologies, % of New Vehicle Miles in Market</t>
  </si>
  <si>
    <t>Market Penetration of Enhanced Technologies, % of All New Vehicle Miles</t>
  </si>
  <si>
    <t>CLASS 7&amp;8 Single Unit Truck Market</t>
  </si>
  <si>
    <t>Class 7&amp;8 Final</t>
  </si>
  <si>
    <t>Class 7&amp;8 Single Unit</t>
  </si>
  <si>
    <t xml:space="preserve">Class 7&amp;8 Single Unit Vehicle Distribution by Annual VMT </t>
  </si>
  <si>
    <t>Central                       % of All 7&amp;8 SU Trucks</t>
  </si>
  <si>
    <t>Central          % of All 7&amp;8 SU VMT</t>
  </si>
  <si>
    <t>Non-Central % of All 7&amp;8 SU Trucks</t>
  </si>
  <si>
    <t>Non-Central        % of All 7&amp;8 SU VMT</t>
  </si>
  <si>
    <t>Total              % of All 7&amp;8 SU Trucks</t>
  </si>
  <si>
    <t>7&amp;8 C Central:</t>
  </si>
  <si>
    <t>7&amp;8 C Non-Central:</t>
  </si>
  <si>
    <t>7&amp;8 C Total:</t>
  </si>
  <si>
    <t>7&amp;8 SU Central:</t>
  </si>
  <si>
    <t>7&amp;8 SU Non-Central:</t>
  </si>
  <si>
    <t>7&amp;8 SU Total:</t>
  </si>
  <si>
    <t>7&amp;8 Hybrid Central:</t>
  </si>
  <si>
    <t>7&amp;8 Hybrid Non-Central:</t>
  </si>
  <si>
    <t>7&amp;8 Hybrid Total:</t>
  </si>
  <si>
    <t>Calculation worksheets are indicated by blue tabs.  Data in the working table is shown for only the last mileage cohort run.  Market penetration data from all cohorts is stored in the lower tables.  Most users will not need to refer to these worksheets, but they may be useful for debugging runs.</t>
  </si>
  <si>
    <t>Worksheets that are not color coded are used as references and lookup tables.  These worksheets should not be altered and are protected to prevent inadvertent changes.</t>
  </si>
  <si>
    <t>0-20</t>
  </si>
  <si>
    <t>20-40</t>
  </si>
  <si>
    <t>40-60</t>
  </si>
  <si>
    <t>60-80</t>
  </si>
  <si>
    <t>80-100</t>
  </si>
  <si>
    <t>100-120</t>
  </si>
  <si>
    <t>120-140</t>
  </si>
  <si>
    <t>140-160</t>
  </si>
  <si>
    <t>160-180</t>
  </si>
  <si>
    <t>180-200</t>
  </si>
  <si>
    <t>&gt;200</t>
  </si>
  <si>
    <t>Conventional Diesel ICE</t>
  </si>
  <si>
    <t>^</t>
  </si>
  <si>
    <t>Average VMT per Truck, Miles per Year</t>
  </si>
  <si>
    <t>Central</t>
  </si>
  <si>
    <t>Class 7&amp;8 Combination Truck Market, Market Shares by Average Annual VMT - Centrally Refueled, Technology A</t>
  </si>
  <si>
    <t>Class 7&amp;8 Combination Truck Market, Market Shares by Average Annual VMT - Non-Centrally Refueled, Technology A</t>
  </si>
  <si>
    <t>Class 7&amp;8 Combination Truck Market, Market Shares by Average Annual VMT - Centrally Refueled, Technology B</t>
  </si>
  <si>
    <t>Class 7&amp;8 Combination Truck Market, Market Shares by Average Annual VMT - Non-Centrally Refueled, Technology B</t>
  </si>
  <si>
    <t>Class 7&amp;8 Combination Truck Market, Market Shares by Average Annual VMT - Centrally Refueled, Technology C</t>
  </si>
  <si>
    <t>Class 7&amp;8 Combination Truck Market, Market Shares by Average Annual VMT - Non-Centrally Refueled, Technology C</t>
  </si>
  <si>
    <t>Class 7&amp;8 SU Truck Market, Market Shares by Average Annual VMT - Centrally Refueled, Technology A</t>
  </si>
  <si>
    <t>Class 7&amp;8 SU Truck Market, Market Shares by Average Annual VMT - Non-Centrally Refueled, Technology A</t>
  </si>
  <si>
    <t>Class 7&amp;8 SU Truck Market, Market Shares by Average Annual VMT - Centrally Refueled, Technology B</t>
  </si>
  <si>
    <t>Class 7&amp;8 SU Truck Market, Market Shares by Average Annual VMT - Non-Centrally Refueled, Technology B</t>
  </si>
  <si>
    <t>Class 7&amp;8 SU Truck Market, Market Shares by Average Annual VMT - Centrally Refueled, Technology C</t>
  </si>
  <si>
    <t>Class 7&amp;8 SU Truck Market, Market Shares by Average Annual VMT - Non-Centrally Refueled, Technology C</t>
  </si>
  <si>
    <t>SU NC Output Generated:</t>
  </si>
  <si>
    <t>SU Cent. Ouptut Generated:</t>
  </si>
  <si>
    <t>Run Model:</t>
  </si>
  <si>
    <t>=&gt; Input cell.</t>
  </si>
  <si>
    <t>Latest AEO Input Values in Orange Cells</t>
  </si>
  <si>
    <t>BaSce FY2018 7&amp;8 Reference Oil Price</t>
  </si>
  <si>
    <t>D</t>
  </si>
  <si>
    <t>E</t>
  </si>
  <si>
    <t>Hydrogen</t>
  </si>
  <si>
    <t>H2</t>
  </si>
  <si>
    <t>Btu/kg</t>
  </si>
  <si>
    <t>Fuel 2</t>
  </si>
  <si>
    <t>Fuel 1</t>
  </si>
  <si>
    <t>Class 7&amp;8 Combination Truck Market, Market Shares by Average Annual VMT - Non-Centrally Refueled, Technology D</t>
  </si>
  <si>
    <t>Class 7&amp;8 Combination Truck Market, Market Shares by Average Annual VMT - Centrally Refueled, Technology D</t>
  </si>
  <si>
    <t>Class 7&amp;8 Combination Truck Market, Market Shares by Average Annual VMT - Centrally Refueled, Technology E</t>
  </si>
  <si>
    <t>Class 7&amp;8 Combination Truck Market, Market Shares by Average Annual VMT - Non-Centrally Refueled, Technology E</t>
  </si>
  <si>
    <t>Class 7&amp;8 SU Truck Market, Market Shares by Average Annual VMT - Centrally Refueled, Technology D</t>
  </si>
  <si>
    <t>Class 7&amp;8 SU Truck Market, Market Shares by Average Annual VMT - Non-Centrally Refueled, Technology D</t>
  </si>
  <si>
    <t>Class 7&amp;8 SU Truck Market, Market Shares by Average Annual VMT - Non-Centrally Refueled, Technology E</t>
  </si>
  <si>
    <t>Class 7&amp;8 SU Truck Market, Market Shares by Average Annual VMT - Centrally Refueled, Technology E</t>
  </si>
  <si>
    <t>Fuel 1 share of miles traveled</t>
  </si>
  <si>
    <t>Cost (incremental for non-base)</t>
  </si>
  <si>
    <t>Subsidy</t>
  </si>
  <si>
    <t>Fuel Economy - Fuel 1 (mpgge)</t>
  </si>
  <si>
    <t>Fuel Economy - Fuel 2 (mpgge)</t>
  </si>
  <si>
    <t>Tech Opt</t>
  </si>
  <si>
    <t>Charge Depletion (CD) Range</t>
  </si>
  <si>
    <t>Universal inputs:</t>
  </si>
  <si>
    <t>Operating days:</t>
  </si>
  <si>
    <t>N/A</t>
  </si>
  <si>
    <t>Value</t>
  </si>
  <si>
    <t>All Fuel 2 Fuel Economies should be 1</t>
  </si>
  <si>
    <t>unless a Fuel 2 is specified</t>
  </si>
  <si>
    <t>Cap at 100%</t>
  </si>
  <si>
    <t>Incremental cost</t>
  </si>
  <si>
    <t xml:space="preserve">Class 7&amp;8 Combination Sleeper Vehicle Distribution by Annual VMT </t>
  </si>
  <si>
    <t xml:space="preserve">Class 7&amp;8 Combination Daycab Vehicle Distribution by Annual VMT </t>
  </si>
  <si>
    <r>
      <t>Ref: 2002 VIUS,</t>
    </r>
    <r>
      <rPr>
        <b/>
        <sz val="10"/>
        <color indexed="10"/>
        <rFont val="Calibri"/>
        <family val="2"/>
      </rPr>
      <t xml:space="preserve"> rev. 04/12/2006, updated 9/29/2011 by A. Birky, updated 8/29/2018 by M. Dwyer</t>
    </r>
  </si>
  <si>
    <r>
      <t>Ref: 2002 VIUS,</t>
    </r>
    <r>
      <rPr>
        <b/>
        <sz val="10"/>
        <color indexed="10"/>
        <rFont val="Calibri"/>
        <family val="2"/>
      </rPr>
      <t xml:space="preserve"> 8/29/2018 by M. Dwyer</t>
    </r>
  </si>
  <si>
    <t>CLASS 7&amp;8 Sleeper Trucks</t>
  </si>
  <si>
    <t>Output generated: 8/23/2018 19:10</t>
  </si>
  <si>
    <t>CLASS 7&amp;8 Sleeper Truck Market</t>
  </si>
  <si>
    <t>CLASS 7&amp;8 Daycab Truck Market</t>
  </si>
  <si>
    <t>Class7&amp;8 Daycab Trucks</t>
  </si>
  <si>
    <t>CLASS 7&amp;8 Single Unit Trucks</t>
  </si>
  <si>
    <t>Sleeper Cent. Ouptut Generated:</t>
  </si>
  <si>
    <t>Sleeper NC Output Generated:</t>
  </si>
  <si>
    <t>Daycab Cent. Ouptut Generated:</t>
  </si>
  <si>
    <t>Daycab NC Output Generated:</t>
  </si>
  <si>
    <t>Class 7&amp;8 Sleeper</t>
  </si>
  <si>
    <t>Class 7&amp;8 Daycab</t>
  </si>
  <si>
    <t>Class 7&amp;8 Daycab Truck Market, Market Shares by Average Annual VMT - Centrally Refueled, Technology A</t>
  </si>
  <si>
    <t>Class 7&amp;8 Daycab Truck Market, Market Shares by Average Annual VMT - Non-Centrally Refueled, Technology A</t>
  </si>
  <si>
    <t>Class 7&amp;8 Daycab Truck Market, Market Shares by Average Annual VMT - Centrally Refueled, Technology B</t>
  </si>
  <si>
    <t>Class 7&amp;8 Daycab Truck Market, Market Shares by Average Annual VMT - Non-Centrally Refueled, Technology B</t>
  </si>
  <si>
    <t>Class 7&amp;8 Daycab Truck Market, Market Shares by Average Annual VMT - Centrally Refueled, Technology C</t>
  </si>
  <si>
    <t>Class 7&amp;8 Daycab Truck Market, Market Shares by Average Annual VMT - Non-Centrally Refueled, Technology C</t>
  </si>
  <si>
    <t>Class 7&amp;8 Daycab Truck Market, Market Shares by Average Annual VMT - Centrally Refueled, Technology D</t>
  </si>
  <si>
    <t>Class 7&amp;8 Daycab Truck Market, Market Shares by Average Annual VMT - Non-Centrally Refueled, Technology D</t>
  </si>
  <si>
    <t>Class 7&amp;8 Daycab Truck Market, Market Shares by Average Annual VMT - Centrally Refueled, Technology E</t>
  </si>
  <si>
    <t>Class 7&amp;8 Daycab Truck Market, Market Shares by Average Annual VMT - Non-Centrally Refueled, Technology E</t>
  </si>
  <si>
    <t>Note: Zero ("0") values are not displayed</t>
  </si>
  <si>
    <t>Indicates that the column specifies</t>
  </si>
  <si>
    <r>
      <t xml:space="preserve">a </t>
    </r>
    <r>
      <rPr>
        <b/>
        <sz val="10"/>
        <rFont val="Calibri"/>
        <family val="2"/>
        <scheme val="minor"/>
      </rPr>
      <t>range limitation</t>
    </r>
    <r>
      <rPr>
        <sz val="10"/>
        <rFont val="Calibri"/>
        <family val="2"/>
        <scheme val="minor"/>
      </rPr>
      <t>, not CD range</t>
    </r>
  </si>
  <si>
    <t>Range limited*</t>
  </si>
  <si>
    <t>* For single fuel vehicles with range limitation, use CD range to specify range. Model assumes no adoption if daily mileage exceeds range.</t>
  </si>
  <si>
    <t>range</t>
  </si>
  <si>
    <t>Dual-fuel?</t>
  </si>
  <si>
    <t>Tech Number</t>
  </si>
  <si>
    <t>Central Daily Range</t>
  </si>
  <si>
    <t>Non-Central Daily Range</t>
  </si>
  <si>
    <t>Central                       % of All 7&amp;8 Day Trucks</t>
  </si>
  <si>
    <t>Central          % of All 7&amp;8 Day VMT</t>
  </si>
  <si>
    <t>Non-Central % of All 7&amp;8 Day Trucks</t>
  </si>
  <si>
    <t>Non-Central        % of All 7&amp;8 Day VMT</t>
  </si>
  <si>
    <t>Total              % of All 7&amp;8 Day Trucks</t>
  </si>
  <si>
    <t>Central                       % of All 7&amp;8 Sleep Trucks</t>
  </si>
  <si>
    <t>Central          % of All 7&amp;8 Sleep VMT</t>
  </si>
  <si>
    <t>Non-Central % of All 7&amp;8 Sleep Trucks</t>
  </si>
  <si>
    <t>Non-Central        % of All 7&amp;8 Sleep VMT</t>
  </si>
  <si>
    <t>Total              % of All 7&amp;8 Sleep Trucks</t>
  </si>
  <si>
    <t>Centrally-Fueled</t>
  </si>
  <si>
    <t>Not Centrally-Fueled</t>
  </si>
  <si>
    <t>Intro</t>
  </si>
  <si>
    <t>Final</t>
  </si>
  <si>
    <t>Propane</t>
  </si>
  <si>
    <t>Methanol (M85)</t>
  </si>
  <si>
    <t>LNG</t>
  </si>
  <si>
    <t>Biodiesel**</t>
  </si>
  <si>
    <t>From AFDC</t>
  </si>
  <si>
    <t>https://www.afdc.energy.gov/data/10332</t>
  </si>
  <si>
    <t xml:space="preserve">Fuel availability - % of diesel stations </t>
  </si>
  <si>
    <t>fuel_avail</t>
  </si>
  <si>
    <t>pref_multiplier</t>
  </si>
  <si>
    <t>k1</t>
  </si>
  <si>
    <t>k2</t>
  </si>
  <si>
    <t>k3</t>
  </si>
  <si>
    <t>Central/non-cent split for tech A</t>
  </si>
  <si>
    <t>% of total miles on Tech A</t>
  </si>
  <si>
    <t>Central/non-cent split for tech E</t>
  </si>
  <si>
    <t>% of total miles on Tech E</t>
  </si>
  <si>
    <t>% of total miles on Tech D</t>
  </si>
  <si>
    <t>Central/non-cent split for tech D</t>
  </si>
  <si>
    <t>% of total miles on Tech C</t>
  </si>
  <si>
    <t>Central/non-cent split for tech C</t>
  </si>
  <si>
    <t>% of total miles on Tech B</t>
  </si>
  <si>
    <t>Central/non-cent split for tech B</t>
  </si>
  <si>
    <t>Central/non-cent mile shares for tech A</t>
  </si>
  <si>
    <t>Central/non-cent mile shares for tech B</t>
  </si>
  <si>
    <t>Central/non-cent mile shares for tech C</t>
  </si>
  <si>
    <t>Central/non-cent mile shares for tech D</t>
  </si>
  <si>
    <t>Central/non-cent mile shares for tech E</t>
  </si>
  <si>
    <t>cent_shr</t>
  </si>
  <si>
    <t>Share of miles that are centrally-refueled</t>
  </si>
  <si>
    <t>fuel_2</t>
  </si>
  <si>
    <t>Share of miles that are fuel 2</t>
  </si>
  <si>
    <t>Fuel economy to apply to all miles; needed for multifuel vehicles</t>
  </si>
  <si>
    <t>diesel</t>
  </si>
  <si>
    <t>Btu/gal</t>
  </si>
  <si>
    <t>Fuel Economy - Fuel 1 (mpgde)</t>
  </si>
  <si>
    <t>Fuel Economy - Fuel 2 (mpgde)</t>
  </si>
  <si>
    <t>ISG</t>
  </si>
  <si>
    <t>HEV</t>
  </si>
  <si>
    <t>PHEV</t>
  </si>
  <si>
    <t>BEV</t>
  </si>
  <si>
    <r>
      <t xml:space="preserve">Composite MPG in </t>
    </r>
    <r>
      <rPr>
        <b/>
        <sz val="12"/>
        <color rgb="FFFF0000"/>
        <rFont val="Calibri"/>
        <family val="2"/>
        <scheme val="minor"/>
      </rPr>
      <t>diesel gallon equivalent</t>
    </r>
  </si>
  <si>
    <t>FCHEV</t>
  </si>
  <si>
    <t xml:space="preserve">Multipliers for Centrally-Refueled Prices (Source: Clean Cities Alternative Fuel Price Report, April 2018) </t>
  </si>
  <si>
    <t>Vehicle Purchase Price, 2017$</t>
  </si>
  <si>
    <t>Adv Conv</t>
  </si>
  <si>
    <t>FY19 BaSce LDV inputs GPRA2019</t>
  </si>
  <si>
    <t>Avg. plugs per station:</t>
  </si>
  <si>
    <t>SUMMARY OUTPUT</t>
  </si>
  <si>
    <t>Regression Statistics</t>
  </si>
  <si>
    <t>Multiple R</t>
  </si>
  <si>
    <t>R Square</t>
  </si>
  <si>
    <t>Adjusted R Square</t>
  </si>
  <si>
    <t>Standard Error</t>
  </si>
  <si>
    <t>Observations</t>
  </si>
  <si>
    <t>ANOVA</t>
  </si>
  <si>
    <t>Regression</t>
  </si>
  <si>
    <t>Residual</t>
  </si>
  <si>
    <t>Intercept</t>
  </si>
  <si>
    <t>df</t>
  </si>
  <si>
    <t>SS</t>
  </si>
  <si>
    <t>MS</t>
  </si>
  <si>
    <t>F</t>
  </si>
  <si>
    <t>Significance F</t>
  </si>
  <si>
    <t>Coefficients</t>
  </si>
  <si>
    <t>t Stat</t>
  </si>
  <si>
    <t>P-value</t>
  </si>
  <si>
    <t>Lower 95%</t>
  </si>
  <si>
    <t>Upper 95%</t>
  </si>
  <si>
    <t>Lower 95.0%</t>
  </si>
  <si>
    <t>Upper 95.0%</t>
  </si>
  <si>
    <t>X Variable 1</t>
  </si>
  <si>
    <t>H2 $/kg</t>
  </si>
  <si>
    <t>Source: GPRA2019 Estimated H2 Prices (Tom Stephens)</t>
  </si>
  <si>
    <t>Use LDV station data as proxy for HD fuel availability</t>
  </si>
  <si>
    <t>Conv</t>
  </si>
  <si>
    <t>For Aymeric, email 1/2018</t>
  </si>
  <si>
    <t>Non-Central Veh-Miles (1000)</t>
  </si>
  <si>
    <t>Central Veh-Miles (1000)</t>
  </si>
  <si>
    <t>Daily range</t>
  </si>
  <si>
    <t>Survey data</t>
  </si>
  <si>
    <t>Approaches 50% at ~80% fuel_avail</t>
  </si>
  <si>
    <t>Avg daily mi/veh</t>
  </si>
  <si>
    <t>Avg Annual Mi/Veh</t>
  </si>
  <si>
    <t>From Tom Stephens (1/22/2019 GPRA):</t>
  </si>
  <si>
    <t>CPI Inflator (2015 --&gt; 2017)</t>
  </si>
  <si>
    <t>Technologies and characteristics are entered on worksheets 'Inputs 7&amp;8 Sleep', 'Inputs 7&amp;8 Day', and 'Inputs 7&amp;8 SU.'</t>
  </si>
  <si>
    <t>All fuel economies and fuel economy ratios must be specified in miles per diesel gallon equivalent.</t>
  </si>
  <si>
    <t>Note: if the user chooses to edit the fuel prices in $/gallon, the prices must be entered in diesel gallon equivalents.</t>
  </si>
  <si>
    <t>Last Modified: April 2019</t>
  </si>
  <si>
    <t>BaSce FY2020 Final Run</t>
  </si>
  <si>
    <t>4-6 Vocational</t>
  </si>
  <si>
    <t>7&amp;8 Sleeper</t>
  </si>
  <si>
    <t>7&amp;8 Day</t>
  </si>
  <si>
    <t>7&amp;8 Single-Unit</t>
  </si>
  <si>
    <t>Mile-weighted average MPGDE</t>
  </si>
  <si>
    <t>Mile-weighted average MPGDE multiplier (versus base vehicle)</t>
  </si>
  <si>
    <t>Date</t>
  </si>
  <si>
    <t>Tab</t>
  </si>
  <si>
    <t>Change made</t>
  </si>
  <si>
    <t>Inputs 7&amp;8 Sleep</t>
  </si>
  <si>
    <t>Inputs 7&amp;8 Day</t>
  </si>
  <si>
    <t>Inserted updated FCHEV MPGs and costs.</t>
  </si>
  <si>
    <t>7&amp;8 Sleep</t>
  </si>
  <si>
    <t>Columns AN-AR, calculation of Incremental Cost Factor, added "if" to check if incremental cost is negative. If so, it sets this factor to 1 (weibull doesn't like the negative).</t>
  </si>
  <si>
    <t>7&amp;8 SU</t>
  </si>
  <si>
    <t>Started with final TRUCK78 model deliverable from BaSce2020</t>
  </si>
  <si>
    <t>FuelAvail</t>
  </si>
  <si>
    <t>Adjusted fuel availability response curve to 50% adoption probability at 50% fuel availability.  Was previously ~50% adoption probability at 80% fuel availability.  Boosted FCHEV market pen.</t>
  </si>
  <si>
    <t>Froze Adv Conv and ISG cost and MPG attributes in 2030 (when baseline vehicle attributes freeze)</t>
  </si>
  <si>
    <t>Adjusted BEV price (added ~$19k), to account for difference in Day v. Sleeper chassis costs.  Did this in the Autonomie_processed spreadsheet. Marked up the $16k increased by 1.2 (same markup used on the other costs to get price)</t>
  </si>
  <si>
    <t>years to half saturation</t>
  </si>
  <si>
    <t>adjusts "steepness" at half saturation (width of probability function at 3 sigma)</t>
  </si>
  <si>
    <t>f(t) = 1/(1+e^(-(t-k1)/k2))</t>
  </si>
  <si>
    <t>note this is the logistic cumulative probability function.</t>
  </si>
  <si>
    <t>Gompertz</t>
  </si>
  <si>
    <t>Adjusted Logistic</t>
  </si>
  <si>
    <t>Logistic</t>
  </si>
  <si>
    <t>S-Curves</t>
  </si>
  <si>
    <t>HHVs</t>
  </si>
  <si>
    <t>10/31//2019</t>
  </si>
  <si>
    <t>Changed preference curve to logistic (from prev. TRUCK models). Adjusted to be slower (changedk1 from 4 to 6)</t>
  </si>
  <si>
    <t>Fuel Prices</t>
  </si>
  <si>
    <t>Changed H2 DGE conversion from using LHV to using HHV per TS request</t>
  </si>
  <si>
    <t>Updated to AEO2019 fuel prices</t>
  </si>
  <si>
    <t>All Inputs</t>
  </si>
  <si>
    <t>Updated to Adjusted Baseline derived from AEO2019 (a little higher MPG than BaSce2020 due to 2 less techs included in VTO funded list)</t>
  </si>
  <si>
    <t xml:space="preserve">Replaced BEV500 with PHEV250. Inserted updated FCHEV MPGs and costs. </t>
  </si>
  <si>
    <t>Column1</t>
  </si>
  <si>
    <t>Reverted preference curve to older steeper version.</t>
  </si>
  <si>
    <t>Increased market introduction dates for all powertrains to 2020 (most were 2016/2018)</t>
  </si>
  <si>
    <t>Made fuel avail response curve more shallow. Switched gasoline station count projection to flatline in 2012.</t>
  </si>
  <si>
    <t>Interpolated MPGs between Autonomie Low 2020 and Autonomie High 2030, rather than between Low 2020 and High 2025, then High 2025 to High 2030.  Previous method led to a flatline (even decrease) in MPG between 2025-2030, causing mkt share drops in TRUCK.</t>
  </si>
  <si>
    <t>Elec Price Factor</t>
  </si>
  <si>
    <t>Developed Electricity Cost Factor and applied to fuel prices</t>
  </si>
  <si>
    <t>S-Curves; Fuel Prices</t>
  </si>
  <si>
    <t>Note that for dual fuel, range applies to Fuel 2!</t>
  </si>
  <si>
    <t>elect price mult</t>
  </si>
  <si>
    <t>AEO2020 Reference Case</t>
  </si>
  <si>
    <t>updated 7/10/2020</t>
  </si>
  <si>
    <t>by: A. Birky</t>
  </si>
  <si>
    <t>2019 Dollars per Million BTU</t>
  </si>
  <si>
    <t>2019 Dollars Per Gallon-Diesel Equivalent</t>
  </si>
  <si>
    <t>2019 Dollars per Million BTU (per kg for H2)</t>
  </si>
  <si>
    <t>used to convert H2 prices to consistent constant $</t>
  </si>
  <si>
    <t>Historical Data - Monthly Energy Review</t>
  </si>
  <si>
    <t>TEDB CPI (1970=1)</t>
  </si>
  <si>
    <t>Price to consumers</t>
  </si>
  <si>
    <t>Nominal $/gallon fuel</t>
  </si>
  <si>
    <t>2019 $/dge</t>
  </si>
  <si>
    <t>2019 $/Mbtu</t>
  </si>
  <si>
    <t>gasoline</t>
  </si>
  <si>
    <t>(see EIA MER - includes ETOH content)</t>
  </si>
  <si>
    <t>Annual Energy Outlook 2020, Reference Case Forecast</t>
  </si>
  <si>
    <t>https://www.eia.gov/outlooks/aeo/</t>
  </si>
  <si>
    <t>Source: AEO 2020</t>
  </si>
  <si>
    <t>TRUCK Class 7-8 Heavy Market Penetration Model version v5.2</t>
  </si>
  <si>
    <t>Edit the fuel prices specified as 2019 $ per million BTU.  Price per diesel gallon equivalent is calculated automatically.</t>
  </si>
  <si>
    <t>This model estimates market penetration of six technology platforms specified separately for three truck market sectors based on incremental costs and fuel economy.  Additonal inputs inlcude range limits, technology preferences, mileage-dependent costs, fuel availability, and payback curves</t>
  </si>
  <si>
    <t>Macros must be enabled to use this model.  If you are unable to run the macros, check your Excel security settings.</t>
  </si>
  <si>
    <t>This model is currently maintained by National Renewable Energy Laboratory for the U.S. Department of Energy.  Questions should be directed to Alicia Birky at:</t>
  </si>
  <si>
    <t>National Renewable Energy Laboratory</t>
  </si>
  <si>
    <t>Alicia.Birky@NREL.gov</t>
  </si>
  <si>
    <t>901 D Street SW, Suite 930</t>
  </si>
  <si>
    <t>Washington, DC  20024</t>
  </si>
  <si>
    <t>Fuel price projection updated to AEO 2020 and 2019$. Historical diesel and gasoline prices revised per EIA Monthly Energy Review and converted to 2019$.</t>
  </si>
  <si>
    <t>FCEV</t>
  </si>
  <si>
    <t>apply?</t>
  </si>
  <si>
    <t>Testing Aug 24 FY2020 Final Run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</si>
</sst>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7">
    <numFmt numFmtId="5" formatCode="&quot;$&quot;#,##0_);\(&quot;$&quot;#,##0\)"/>
    <numFmt numFmtId="44" formatCode="_(&quot;$&quot;* #,##0.00_);_(&quot;$&quot;* \(#,##0.00\);_(&quot;$&quot;* &quot;-&quot;??_);_(@_)"/>
    <numFmt numFmtId="43" formatCode="_(* #,##0.00_);_(* \(#,##0.00\);_(* &quot;-&quot;??_);_(@_)"/>
    <numFmt numFmtId="164" formatCode="0.0%"/>
    <numFmt numFmtId="165" formatCode="0.000"/>
    <numFmt numFmtId="166" formatCode="0.0"/>
    <numFmt numFmtId="167" formatCode="0.000%"/>
    <numFmt numFmtId="168" formatCode="&quot;$&quot;#,##0"/>
    <numFmt numFmtId="169" formatCode="#,##0.000"/>
    <numFmt numFmtId="170" formatCode="0.00_)"/>
    <numFmt numFmtId="171" formatCode="0_)"/>
    <numFmt numFmtId="172" formatCode="_(&quot;$&quot;* #,##0_);_(&quot;$&quot;* \(#,##0\);_(&quot;$&quot;* &quot;-&quot;??_);_(@_)"/>
    <numFmt numFmtId="173" formatCode="&quot;$&quot;#,##0.00"/>
    <numFmt numFmtId="174" formatCode="#,##0.0"/>
    <numFmt numFmtId="175" formatCode="_(* #,##0_);_(* \(#,##0\);_(* &quot;-&quot;??_);_(@_)"/>
    <numFmt numFmtId="176" formatCode="0.0000"/>
    <numFmt numFmtId="177" formatCode="#,##0.0000"/>
  </numFmts>
  <fonts count="100" x14ac:knownFonts="1">
    <font>
      <sz val="10"/>
      <name val="Arial"/>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sz val="10"/>
      <name val="Arial"/>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u/>
      <sz val="10"/>
      <color indexed="12"/>
      <name val="Arial"/>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10"/>
      <name val="Arial"/>
      <family val="2"/>
    </font>
    <font>
      <sz val="8"/>
      <name val="Arial"/>
      <family val="2"/>
    </font>
    <font>
      <sz val="8"/>
      <color indexed="81"/>
      <name val="Tahoma"/>
      <family val="2"/>
    </font>
    <font>
      <b/>
      <sz val="8"/>
      <color indexed="81"/>
      <name val="Tahoma"/>
      <family val="2"/>
    </font>
    <font>
      <b/>
      <sz val="10"/>
      <name val="Calibri"/>
      <family val="2"/>
    </font>
    <font>
      <sz val="10"/>
      <name val="Calibri"/>
      <family val="2"/>
    </font>
    <font>
      <b/>
      <sz val="10"/>
      <color indexed="10"/>
      <name val="Calibri"/>
      <family val="2"/>
    </font>
    <font>
      <sz val="8"/>
      <name val="Calibri"/>
      <family val="2"/>
    </font>
    <font>
      <b/>
      <sz val="11"/>
      <name val="Calibri"/>
      <family val="2"/>
    </font>
    <font>
      <b/>
      <sz val="12"/>
      <name val="Calibri"/>
      <family val="2"/>
    </font>
    <font>
      <sz val="11"/>
      <name val="Calibri"/>
      <family val="2"/>
    </font>
    <font>
      <b/>
      <sz val="11"/>
      <color indexed="10"/>
      <name val="Calibri"/>
      <family val="2"/>
    </font>
    <font>
      <b/>
      <sz val="8"/>
      <color indexed="8"/>
      <name val="Calibri"/>
      <family val="2"/>
    </font>
    <font>
      <sz val="8"/>
      <color indexed="8"/>
      <name val="Calibri"/>
      <family val="2"/>
    </font>
    <font>
      <b/>
      <sz val="10"/>
      <color indexed="8"/>
      <name val="Calibri"/>
      <family val="2"/>
    </font>
    <font>
      <b/>
      <sz val="9"/>
      <color indexed="8"/>
      <name val="Calibri"/>
      <family val="2"/>
    </font>
    <font>
      <b/>
      <sz val="12"/>
      <color indexed="10"/>
      <name val="Calibri"/>
      <family val="2"/>
    </font>
    <font>
      <b/>
      <sz val="12"/>
      <color indexed="12"/>
      <name val="Calibri"/>
      <family val="2"/>
    </font>
    <font>
      <b/>
      <sz val="10"/>
      <color indexed="12"/>
      <name val="Calibri"/>
      <family val="2"/>
    </font>
    <font>
      <b/>
      <i/>
      <sz val="10"/>
      <name val="Calibri"/>
      <family val="2"/>
    </font>
    <font>
      <b/>
      <sz val="10"/>
      <color indexed="48"/>
      <name val="Calibri"/>
      <family val="2"/>
    </font>
    <font>
      <sz val="10"/>
      <color indexed="10"/>
      <name val="Calibri"/>
      <family val="2"/>
    </font>
    <font>
      <sz val="10"/>
      <color indexed="12"/>
      <name val="Calibri"/>
      <family val="2"/>
    </font>
    <font>
      <b/>
      <sz val="18"/>
      <color indexed="12"/>
      <name val="Calibri"/>
      <family val="2"/>
    </font>
    <font>
      <b/>
      <sz val="14"/>
      <name val="Calibri"/>
      <family val="2"/>
    </font>
    <font>
      <sz val="14"/>
      <name val="Calibri"/>
      <family val="2"/>
    </font>
    <font>
      <b/>
      <sz val="14"/>
      <color indexed="17"/>
      <name val="Calibri"/>
      <family val="2"/>
    </font>
    <font>
      <b/>
      <u/>
      <sz val="14"/>
      <name val="Calibri"/>
      <family val="2"/>
    </font>
    <font>
      <sz val="12"/>
      <name val="Calibri"/>
      <family val="2"/>
    </font>
    <font>
      <b/>
      <sz val="12"/>
      <color indexed="17"/>
      <name val="Calibri"/>
      <family val="2"/>
    </font>
    <font>
      <b/>
      <sz val="12"/>
      <color indexed="53"/>
      <name val="Calibri"/>
      <family val="2"/>
    </font>
    <font>
      <b/>
      <sz val="20"/>
      <name val="Calibri"/>
      <family val="2"/>
    </font>
    <font>
      <sz val="10"/>
      <color indexed="8"/>
      <name val="Calibri"/>
      <family val="2"/>
    </font>
    <font>
      <sz val="9"/>
      <color indexed="8"/>
      <name val="Calibri"/>
      <family val="2"/>
    </font>
    <font>
      <sz val="10"/>
      <name val="Arial"/>
      <family val="2"/>
    </font>
    <font>
      <sz val="10"/>
      <color indexed="55"/>
      <name val="Calibri"/>
      <family val="2"/>
    </font>
    <font>
      <b/>
      <sz val="12"/>
      <name val="Arial"/>
      <family val="2"/>
    </font>
    <font>
      <b/>
      <sz val="11"/>
      <name val="Arial"/>
      <family val="2"/>
    </font>
    <font>
      <sz val="10"/>
      <color indexed="10"/>
      <name val="Arial"/>
      <family val="2"/>
    </font>
    <font>
      <sz val="8"/>
      <name val="Arial"/>
      <family val="2"/>
    </font>
    <font>
      <b/>
      <i/>
      <sz val="10"/>
      <color indexed="10"/>
      <name val="Arial"/>
      <family val="2"/>
    </font>
    <font>
      <b/>
      <sz val="10"/>
      <color rgb="FFC00000"/>
      <name val="Calibri"/>
      <family val="2"/>
    </font>
    <font>
      <sz val="9"/>
      <color indexed="81"/>
      <name val="Tahoma"/>
      <family val="2"/>
    </font>
    <font>
      <b/>
      <sz val="9"/>
      <color indexed="81"/>
      <name val="Tahoma"/>
      <family val="2"/>
    </font>
    <font>
      <sz val="10"/>
      <name val="Arial"/>
      <family val="2"/>
    </font>
    <font>
      <sz val="10"/>
      <name val="Calibri"/>
      <family val="2"/>
      <scheme val="minor"/>
    </font>
    <font>
      <b/>
      <sz val="12"/>
      <color indexed="12"/>
      <name val="Calibri"/>
      <family val="2"/>
      <scheme val="minor"/>
    </font>
    <font>
      <b/>
      <sz val="10"/>
      <name val="Calibri"/>
      <family val="2"/>
      <scheme val="minor"/>
    </font>
    <font>
      <b/>
      <sz val="12"/>
      <name val="Calibri"/>
      <family val="2"/>
      <scheme val="minor"/>
    </font>
    <font>
      <b/>
      <sz val="11"/>
      <color indexed="8"/>
      <name val="Calibri"/>
      <family val="2"/>
      <scheme val="minor"/>
    </font>
    <font>
      <sz val="8"/>
      <name val="Calibri"/>
      <family val="2"/>
      <scheme val="minor"/>
    </font>
    <font>
      <b/>
      <sz val="10"/>
      <color indexed="8"/>
      <name val="Calibri"/>
      <family val="2"/>
      <scheme val="minor"/>
    </font>
    <font>
      <b/>
      <sz val="8"/>
      <color indexed="8"/>
      <name val="Calibri"/>
      <family val="2"/>
      <scheme val="minor"/>
    </font>
    <font>
      <b/>
      <sz val="9"/>
      <color indexed="8"/>
      <name val="Calibri"/>
      <family val="2"/>
      <scheme val="minor"/>
    </font>
    <font>
      <sz val="8"/>
      <color indexed="8"/>
      <name val="Calibri"/>
      <family val="2"/>
      <scheme val="minor"/>
    </font>
    <font>
      <b/>
      <sz val="11"/>
      <name val="Calibri"/>
      <family val="2"/>
      <scheme val="minor"/>
    </font>
    <font>
      <b/>
      <sz val="10"/>
      <color indexed="10"/>
      <name val="Calibri"/>
      <family val="2"/>
      <scheme val="minor"/>
    </font>
    <font>
      <sz val="10"/>
      <color theme="4" tint="-0.249977111117893"/>
      <name val="Calibri"/>
      <family val="2"/>
    </font>
    <font>
      <b/>
      <sz val="12"/>
      <color rgb="FFFF0000"/>
      <name val="Calibri"/>
      <family val="2"/>
    </font>
    <font>
      <sz val="10"/>
      <color theme="1"/>
      <name val="Calibri"/>
      <family val="2"/>
    </font>
    <font>
      <b/>
      <sz val="8"/>
      <name val="Calibri"/>
      <family val="2"/>
      <scheme val="minor"/>
    </font>
    <font>
      <b/>
      <sz val="10"/>
      <color theme="0"/>
      <name val="Calibri"/>
      <family val="2"/>
      <scheme val="minor"/>
    </font>
    <font>
      <b/>
      <u/>
      <sz val="10"/>
      <color indexed="8"/>
      <name val="Calibri"/>
      <family val="2"/>
    </font>
    <font>
      <b/>
      <sz val="10"/>
      <color rgb="FFFF0000"/>
      <name val="Calibri"/>
      <family val="2"/>
    </font>
    <font>
      <sz val="14"/>
      <color rgb="FF000080"/>
      <name val="Calibri"/>
      <family val="2"/>
    </font>
    <font>
      <b/>
      <sz val="11"/>
      <color rgb="FF0033CC"/>
      <name val="Calibri"/>
      <family val="2"/>
    </font>
    <font>
      <sz val="10"/>
      <color rgb="FF0033CC"/>
      <name val="Calibri"/>
      <family val="2"/>
    </font>
    <font>
      <sz val="11"/>
      <name val="Calibri"/>
      <family val="2"/>
      <scheme val="minor"/>
    </font>
    <font>
      <b/>
      <sz val="12"/>
      <color rgb="FFFF0000"/>
      <name val="Calibri"/>
      <family val="2"/>
      <scheme val="minor"/>
    </font>
    <font>
      <i/>
      <sz val="10"/>
      <name val="Arial"/>
      <family val="2"/>
    </font>
    <font>
      <i/>
      <sz val="9"/>
      <color indexed="81"/>
      <name val="Tahoma"/>
      <family val="2"/>
    </font>
    <font>
      <sz val="8"/>
      <color rgb="FFFF0000"/>
      <name val="Calibri"/>
      <family val="2"/>
      <scheme val="minor"/>
    </font>
    <font>
      <sz val="11"/>
      <color theme="1"/>
      <name val="Calibri"/>
      <family val="2"/>
    </font>
    <font>
      <sz val="10"/>
      <color rgb="FFFF0000"/>
      <name val="Arial"/>
      <family val="2"/>
    </font>
    <font>
      <b/>
      <i/>
      <sz val="10"/>
      <name val="Calibri"/>
      <family val="2"/>
      <scheme val="minor"/>
    </font>
    <font>
      <sz val="11"/>
      <color theme="1"/>
      <name val="Calibri"/>
      <family val="2"/>
      <scheme val="minor"/>
    </font>
    <font>
      <b/>
      <sz val="10"/>
      <color theme="4" tint="-0.249977111117893"/>
      <name val="Calibri"/>
      <family val="2"/>
    </font>
    <font>
      <sz val="10"/>
      <color theme="0" tint="-0.34998626667073579"/>
      <name val="Calibri"/>
      <family val="2"/>
    </font>
    <font>
      <b/>
      <sz val="9"/>
      <color rgb="FF000000"/>
      <name val="Tahoma"/>
      <family val="2"/>
    </font>
    <font>
      <sz val="9"/>
      <color rgb="FF000000"/>
      <name val="Tahoma"/>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43"/>
        <bgColor indexed="64"/>
      </patternFill>
    </fill>
    <fill>
      <patternFill patternType="solid">
        <fgColor indexed="22"/>
        <bgColor indexed="64"/>
      </patternFill>
    </fill>
    <fill>
      <patternFill patternType="solid">
        <fgColor indexed="26"/>
        <bgColor indexed="64"/>
      </patternFill>
    </fill>
    <fill>
      <patternFill patternType="solid">
        <fgColor indexed="9"/>
        <bgColor indexed="64"/>
      </patternFill>
    </fill>
    <fill>
      <patternFill patternType="solid">
        <fgColor rgb="FFCCFFCC"/>
        <bgColor indexed="64"/>
      </patternFill>
    </fill>
    <fill>
      <patternFill patternType="solid">
        <fgColor theme="0" tint="-0.14999847407452621"/>
        <bgColor indexed="64"/>
      </patternFill>
    </fill>
    <fill>
      <patternFill patternType="solid">
        <fgColor theme="0"/>
        <bgColor indexed="64"/>
      </patternFill>
    </fill>
    <fill>
      <patternFill patternType="solid">
        <fgColor theme="9" tint="0.59999389629810485"/>
        <bgColor indexed="64"/>
      </patternFill>
    </fill>
    <fill>
      <patternFill patternType="solid">
        <fgColor rgb="FFFF0000"/>
        <bgColor indexed="64"/>
      </patternFill>
    </fill>
    <fill>
      <patternFill patternType="solid">
        <fgColor theme="8" tint="0.59999389629810485"/>
        <bgColor indexed="64"/>
      </patternFill>
    </fill>
    <fill>
      <patternFill patternType="solid">
        <fgColor theme="3" tint="0.59999389629810485"/>
        <bgColor indexed="64"/>
      </patternFill>
    </fill>
    <fill>
      <patternFill patternType="solid">
        <fgColor rgb="FFFFFFCC"/>
        <bgColor indexed="64"/>
      </patternFill>
    </fill>
    <fill>
      <patternFill patternType="solid">
        <fgColor theme="0" tint="-4.9989318521683403E-2"/>
        <bgColor indexed="64"/>
      </patternFill>
    </fill>
    <fill>
      <patternFill patternType="solid">
        <fgColor rgb="FFFFFF00"/>
        <bgColor indexed="64"/>
      </patternFill>
    </fill>
  </fills>
  <borders count="24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hair">
        <color indexed="64"/>
      </bottom>
      <diagonal/>
    </border>
    <border>
      <left style="thin">
        <color indexed="64"/>
      </left>
      <right/>
      <top/>
      <bottom style="hair">
        <color indexed="64"/>
      </bottom>
      <diagonal/>
    </border>
    <border>
      <left/>
      <right style="medium">
        <color indexed="64"/>
      </right>
      <top/>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thin">
        <color indexed="64"/>
      </left>
      <right style="thin">
        <color indexed="64"/>
      </right>
      <top style="hair">
        <color indexed="64"/>
      </top>
      <bottom/>
      <diagonal/>
    </border>
    <border>
      <left style="thin">
        <color indexed="64"/>
      </left>
      <right style="thin">
        <color indexed="64"/>
      </right>
      <top style="medium">
        <color indexed="64"/>
      </top>
      <bottom style="hair">
        <color indexed="64"/>
      </bottom>
      <diagonal/>
    </border>
    <border>
      <left style="medium">
        <color indexed="64"/>
      </left>
      <right style="thin">
        <color indexed="64"/>
      </right>
      <top style="hair">
        <color indexed="64"/>
      </top>
      <bottom style="hair">
        <color indexed="64"/>
      </bottom>
      <diagonal/>
    </border>
    <border>
      <left style="medium">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hair">
        <color indexed="64"/>
      </top>
      <bottom/>
      <diagonal/>
    </border>
    <border>
      <left style="thin">
        <color indexed="64"/>
      </left>
      <right style="medium">
        <color indexed="64"/>
      </right>
      <top/>
      <bottom/>
      <diagonal/>
    </border>
    <border>
      <left style="medium">
        <color indexed="64"/>
      </left>
      <right/>
      <top style="medium">
        <color indexed="64"/>
      </top>
      <bottom/>
      <diagonal/>
    </border>
    <border>
      <left style="medium">
        <color indexed="64"/>
      </left>
      <right/>
      <top/>
      <bottom/>
      <diagonal/>
    </border>
    <border>
      <left style="medium">
        <color indexed="64"/>
      </left>
      <right/>
      <top style="hair">
        <color indexed="64"/>
      </top>
      <bottom style="hair">
        <color indexed="64"/>
      </bottom>
      <diagonal/>
    </border>
    <border>
      <left style="medium">
        <color indexed="64"/>
      </left>
      <right/>
      <top style="hair">
        <color indexed="64"/>
      </top>
      <bottom style="medium">
        <color indexed="64"/>
      </bottom>
      <diagonal/>
    </border>
    <border>
      <left style="medium">
        <color indexed="64"/>
      </left>
      <right/>
      <top/>
      <bottom style="hair">
        <color indexed="64"/>
      </bottom>
      <diagonal/>
    </border>
    <border>
      <left style="medium">
        <color indexed="64"/>
      </left>
      <right/>
      <top style="hair">
        <color indexed="64"/>
      </top>
      <bottom/>
      <diagonal/>
    </border>
    <border>
      <left style="medium">
        <color indexed="64"/>
      </left>
      <right/>
      <top style="medium">
        <color indexed="64"/>
      </top>
      <bottom style="hair">
        <color indexed="64"/>
      </bottom>
      <diagonal/>
    </border>
    <border>
      <left style="medium">
        <color indexed="64"/>
      </left>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medium">
        <color indexed="64"/>
      </right>
      <top/>
      <bottom style="medium">
        <color indexed="64"/>
      </bottom>
      <diagonal/>
    </border>
    <border>
      <left style="thin">
        <color indexed="64"/>
      </left>
      <right style="thin">
        <color indexed="64"/>
      </right>
      <top/>
      <bottom/>
      <diagonal/>
    </border>
    <border>
      <left/>
      <right style="thin">
        <color indexed="64"/>
      </right>
      <top/>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top style="medium">
        <color indexed="64"/>
      </top>
      <bottom/>
      <diagonal/>
    </border>
    <border>
      <left/>
      <right/>
      <top style="medium">
        <color indexed="64"/>
      </top>
      <bottom/>
      <diagonal/>
    </border>
    <border>
      <left style="medium">
        <color indexed="64"/>
      </left>
      <right style="thin">
        <color indexed="64"/>
      </right>
      <top/>
      <bottom style="double">
        <color indexed="64"/>
      </bottom>
      <diagonal/>
    </border>
    <border>
      <left style="thin">
        <color indexed="64"/>
      </left>
      <right/>
      <top/>
      <bottom style="double">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double">
        <color indexed="64"/>
      </bottom>
      <diagonal/>
    </border>
    <border>
      <left/>
      <right/>
      <top/>
      <bottom style="double">
        <color indexed="64"/>
      </bottom>
      <diagonal/>
    </border>
    <border>
      <left style="medium">
        <color indexed="64"/>
      </left>
      <right/>
      <top/>
      <bottom style="double">
        <color indexed="64"/>
      </bottom>
      <diagonal/>
    </border>
    <border>
      <left style="medium">
        <color indexed="64"/>
      </left>
      <right style="medium">
        <color indexed="64"/>
      </right>
      <top style="medium">
        <color indexed="64"/>
      </top>
      <bottom style="medium">
        <color indexed="64"/>
      </bottom>
      <diagonal/>
    </border>
    <border>
      <left style="thin">
        <color indexed="64"/>
      </left>
      <right style="medium">
        <color indexed="64"/>
      </right>
      <top/>
      <bottom style="hair">
        <color indexed="64"/>
      </bottom>
      <diagonal/>
    </border>
    <border>
      <left style="thin">
        <color indexed="64"/>
      </left>
      <right style="medium">
        <color indexed="64"/>
      </right>
      <top style="hair">
        <color indexed="64"/>
      </top>
      <bottom/>
      <diagonal/>
    </border>
    <border>
      <left style="thin">
        <color indexed="64"/>
      </left>
      <right style="medium">
        <color indexed="64"/>
      </right>
      <top style="medium">
        <color indexed="64"/>
      </top>
      <bottom style="hair">
        <color indexed="64"/>
      </bottom>
      <diagonal/>
    </border>
    <border>
      <left/>
      <right/>
      <top style="thin">
        <color indexed="64"/>
      </top>
      <bottom/>
      <diagonal/>
    </border>
    <border>
      <left/>
      <right style="medium">
        <color indexed="64"/>
      </right>
      <top style="medium">
        <color indexed="64"/>
      </top>
      <bottom/>
      <diagonal/>
    </border>
    <border>
      <left/>
      <right/>
      <top/>
      <bottom style="medium">
        <color indexed="64"/>
      </bottom>
      <diagonal/>
    </border>
    <border>
      <left style="medium">
        <color indexed="64"/>
      </left>
      <right style="thin">
        <color indexed="64"/>
      </right>
      <top style="medium">
        <color indexed="64"/>
      </top>
      <bottom style="hair">
        <color indexed="64"/>
      </bottom>
      <diagonal/>
    </border>
    <border>
      <left/>
      <right style="medium">
        <color indexed="64"/>
      </right>
      <top style="medium">
        <color indexed="64"/>
      </top>
      <bottom style="hair">
        <color indexed="64"/>
      </bottom>
      <diagonal/>
    </border>
    <border>
      <left style="thin">
        <color indexed="64"/>
      </left>
      <right/>
      <top style="medium">
        <color indexed="64"/>
      </top>
      <bottom style="hair">
        <color indexed="64"/>
      </bottom>
      <diagonal/>
    </border>
    <border>
      <left/>
      <right style="medium">
        <color indexed="64"/>
      </right>
      <top style="hair">
        <color indexed="64"/>
      </top>
      <bottom style="hair">
        <color indexed="64"/>
      </bottom>
      <diagonal/>
    </border>
    <border>
      <left style="thin">
        <color indexed="64"/>
      </left>
      <right style="thin">
        <color indexed="64"/>
      </right>
      <top style="hair">
        <color indexed="64"/>
      </top>
      <bottom style="double">
        <color indexed="64"/>
      </bottom>
      <diagonal/>
    </border>
    <border>
      <left style="medium">
        <color indexed="64"/>
      </left>
      <right style="thin">
        <color indexed="64"/>
      </right>
      <top style="hair">
        <color indexed="64"/>
      </top>
      <bottom style="double">
        <color indexed="64"/>
      </bottom>
      <diagonal/>
    </border>
    <border>
      <left style="thin">
        <color indexed="64"/>
      </left>
      <right style="medium">
        <color indexed="64"/>
      </right>
      <top style="hair">
        <color indexed="64"/>
      </top>
      <bottom style="double">
        <color indexed="64"/>
      </bottom>
      <diagonal/>
    </border>
    <border>
      <left/>
      <right style="medium">
        <color indexed="64"/>
      </right>
      <top style="hair">
        <color indexed="64"/>
      </top>
      <bottom style="double">
        <color indexed="64"/>
      </bottom>
      <diagonal/>
    </border>
    <border>
      <left style="thin">
        <color indexed="64"/>
      </left>
      <right/>
      <top style="hair">
        <color indexed="64"/>
      </top>
      <bottom style="double">
        <color indexed="64"/>
      </bottom>
      <diagonal/>
    </border>
    <border>
      <left/>
      <right/>
      <top style="double">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style="medium">
        <color indexed="64"/>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hair">
        <color indexed="64"/>
      </top>
      <bottom style="double">
        <color indexed="64"/>
      </bottom>
      <diagonal/>
    </border>
    <border>
      <left/>
      <right style="thin">
        <color indexed="64"/>
      </right>
      <top style="hair">
        <color indexed="64"/>
      </top>
      <bottom style="double">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top/>
      <bottom style="thin">
        <color indexed="64"/>
      </bottom>
      <diagonal/>
    </border>
    <border>
      <left style="medium">
        <color indexed="64"/>
      </left>
      <right style="medium">
        <color indexed="64"/>
      </right>
      <top/>
      <bottom style="thin">
        <color indexed="64"/>
      </bottom>
      <diagonal/>
    </border>
    <border>
      <left/>
      <right style="thin">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hair">
        <color indexed="64"/>
      </left>
      <right style="hair">
        <color indexed="64"/>
      </right>
      <top style="thin">
        <color indexed="64"/>
      </top>
      <bottom style="thin">
        <color indexed="64"/>
      </bottom>
      <diagonal/>
    </border>
    <border>
      <left style="hair">
        <color indexed="64"/>
      </left>
      <right/>
      <top style="thin">
        <color indexed="64"/>
      </top>
      <bottom style="thin">
        <color indexed="64"/>
      </bottom>
      <diagonal/>
    </border>
    <border>
      <left style="medium">
        <color indexed="64"/>
      </left>
      <right style="thin">
        <color indexed="64"/>
      </right>
      <top style="double">
        <color indexed="64"/>
      </top>
      <bottom style="thin">
        <color indexed="64"/>
      </bottom>
      <diagonal/>
    </border>
    <border>
      <left style="thin">
        <color indexed="64"/>
      </left>
      <right style="medium">
        <color indexed="64"/>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thin">
        <color indexed="64"/>
      </right>
      <top/>
      <bottom/>
      <diagonal/>
    </border>
    <border>
      <left style="medium">
        <color indexed="64"/>
      </left>
      <right style="medium">
        <color indexed="64"/>
      </right>
      <top/>
      <bottom style="double">
        <color indexed="64"/>
      </bottom>
      <diagonal/>
    </border>
    <border>
      <left style="medium">
        <color indexed="64"/>
      </left>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style="medium">
        <color indexed="64"/>
      </left>
      <right/>
      <top style="double">
        <color indexed="64"/>
      </top>
      <bottom style="thin">
        <color indexed="64"/>
      </bottom>
      <diagonal/>
    </border>
    <border>
      <left style="thin">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right style="thin">
        <color indexed="64"/>
      </right>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thin">
        <color indexed="64"/>
      </top>
      <bottom style="double">
        <color indexed="64"/>
      </bottom>
      <diagonal/>
    </border>
    <border>
      <left style="hair">
        <color indexed="64"/>
      </left>
      <right style="hair">
        <color indexed="64"/>
      </right>
      <top style="thin">
        <color indexed="64"/>
      </top>
      <bottom style="double">
        <color indexed="64"/>
      </bottom>
      <diagonal/>
    </border>
    <border>
      <left style="medium">
        <color indexed="64"/>
      </left>
      <right style="hair">
        <color indexed="64"/>
      </right>
      <top style="double">
        <color indexed="64"/>
      </top>
      <bottom style="thin">
        <color indexed="64"/>
      </bottom>
      <diagonal/>
    </border>
    <border>
      <left style="hair">
        <color indexed="64"/>
      </left>
      <right style="hair">
        <color indexed="64"/>
      </right>
      <top style="double">
        <color indexed="64"/>
      </top>
      <bottom style="thin">
        <color indexed="64"/>
      </bottom>
      <diagonal/>
    </border>
    <border>
      <left style="medium">
        <color indexed="64"/>
      </left>
      <right style="hair">
        <color indexed="64"/>
      </right>
      <top/>
      <bottom style="thin">
        <color indexed="64"/>
      </bottom>
      <diagonal/>
    </border>
    <border>
      <left style="hair">
        <color indexed="64"/>
      </left>
      <right style="hair">
        <color indexed="64"/>
      </right>
      <top/>
      <bottom style="thin">
        <color indexed="64"/>
      </bottom>
      <diagonal/>
    </border>
    <border>
      <left style="medium">
        <color indexed="64"/>
      </left>
      <right style="hair">
        <color indexed="64"/>
      </right>
      <top style="thin">
        <color indexed="64"/>
      </top>
      <bottom style="thin">
        <color indexed="64"/>
      </bottom>
      <diagonal/>
    </border>
    <border>
      <left style="medium">
        <color indexed="64"/>
      </left>
      <right style="hair">
        <color indexed="64"/>
      </right>
      <top style="thin">
        <color indexed="64"/>
      </top>
      <bottom style="medium">
        <color indexed="64"/>
      </bottom>
      <diagonal/>
    </border>
    <border>
      <left style="hair">
        <color indexed="64"/>
      </left>
      <right style="hair">
        <color indexed="64"/>
      </right>
      <top style="thin">
        <color indexed="64"/>
      </top>
      <bottom style="medium">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hair">
        <color indexed="64"/>
      </top>
      <bottom/>
      <diagonal/>
    </border>
    <border>
      <left style="hair">
        <color indexed="64"/>
      </left>
      <right style="thin">
        <color indexed="64"/>
      </right>
      <top/>
      <bottom style="hair">
        <color indexed="64"/>
      </bottom>
      <diagonal/>
    </border>
    <border>
      <left style="thin">
        <color indexed="64"/>
      </left>
      <right style="hair">
        <color indexed="64"/>
      </right>
      <top/>
      <bottom/>
      <diagonal/>
    </border>
    <border>
      <left style="hair">
        <color indexed="64"/>
      </left>
      <right style="thin">
        <color indexed="64"/>
      </right>
      <top style="hair">
        <color indexed="64"/>
      </top>
      <bottom/>
      <diagonal/>
    </border>
    <border>
      <left style="hair">
        <color indexed="64"/>
      </left>
      <right style="thin">
        <color indexed="64"/>
      </right>
      <top/>
      <bottom/>
      <diagonal/>
    </border>
    <border>
      <left style="thin">
        <color indexed="64"/>
      </left>
      <right style="hair">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hair">
        <color indexed="64"/>
      </left>
      <right style="thin">
        <color indexed="64"/>
      </right>
      <top/>
      <bottom style="thin">
        <color indexed="64"/>
      </bottom>
      <diagonal/>
    </border>
    <border>
      <left style="hair">
        <color indexed="64"/>
      </left>
      <right style="thin">
        <color indexed="64"/>
      </right>
      <top style="hair">
        <color indexed="64"/>
      </top>
      <bottom style="thin">
        <color indexed="64"/>
      </bottom>
      <diagonal/>
    </border>
    <border>
      <left style="hair">
        <color indexed="64"/>
      </left>
      <right/>
      <top style="thin">
        <color indexed="64"/>
      </top>
      <bottom style="double">
        <color indexed="64"/>
      </bottom>
      <diagonal/>
    </border>
    <border>
      <left style="hair">
        <color indexed="64"/>
      </left>
      <right/>
      <top style="double">
        <color indexed="64"/>
      </top>
      <bottom style="thin">
        <color indexed="64"/>
      </bottom>
      <diagonal/>
    </border>
    <border>
      <left style="hair">
        <color indexed="64"/>
      </left>
      <right/>
      <top/>
      <bottom style="thin">
        <color indexed="64"/>
      </bottom>
      <diagonal/>
    </border>
    <border>
      <left style="hair">
        <color indexed="64"/>
      </left>
      <right/>
      <top style="thin">
        <color indexed="64"/>
      </top>
      <bottom style="medium">
        <color indexed="64"/>
      </bottom>
      <diagonal/>
    </border>
    <border>
      <left style="medium">
        <color indexed="64"/>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style="thin">
        <color indexed="64"/>
      </left>
      <right style="medium">
        <color indexed="64"/>
      </right>
      <top style="hair">
        <color indexed="64"/>
      </top>
      <bottom style="thin">
        <color indexed="64"/>
      </bottom>
      <diagonal/>
    </border>
    <border>
      <left style="medium">
        <color indexed="64"/>
      </left>
      <right style="thin">
        <color indexed="64"/>
      </right>
      <top/>
      <bottom style="hair">
        <color indexed="64"/>
      </bottom>
      <diagonal/>
    </border>
    <border>
      <left style="medium">
        <color indexed="64"/>
      </left>
      <right style="thin">
        <color indexed="64"/>
      </right>
      <top style="double">
        <color indexed="64"/>
      </top>
      <bottom style="hair">
        <color indexed="64"/>
      </bottom>
      <diagonal/>
    </border>
    <border>
      <left style="thin">
        <color indexed="64"/>
      </left>
      <right style="thin">
        <color indexed="64"/>
      </right>
      <top style="double">
        <color indexed="64"/>
      </top>
      <bottom style="hair">
        <color indexed="64"/>
      </bottom>
      <diagonal/>
    </border>
    <border>
      <left style="thin">
        <color indexed="64"/>
      </left>
      <right/>
      <top style="double">
        <color indexed="64"/>
      </top>
      <bottom style="hair">
        <color indexed="64"/>
      </bottom>
      <diagonal/>
    </border>
    <border>
      <left style="medium">
        <color indexed="64"/>
      </left>
      <right style="medium">
        <color indexed="64"/>
      </right>
      <top style="thin">
        <color indexed="64"/>
      </top>
      <bottom style="double">
        <color indexed="64"/>
      </bottom>
      <diagonal/>
    </border>
    <border>
      <left style="thin">
        <color indexed="64"/>
      </left>
      <right style="medium">
        <color indexed="64"/>
      </right>
      <top style="double">
        <color indexed="64"/>
      </top>
      <bottom style="hair">
        <color indexed="64"/>
      </bottom>
      <diagonal/>
    </border>
    <border>
      <left style="medium">
        <color indexed="64"/>
      </left>
      <right/>
      <top style="thin">
        <color indexed="64"/>
      </top>
      <bottom/>
      <diagonal/>
    </border>
    <border>
      <left style="medium">
        <color indexed="64"/>
      </left>
      <right style="thin">
        <color indexed="64"/>
      </right>
      <top style="thin">
        <color indexed="64"/>
      </top>
      <bottom style="hair">
        <color indexed="64"/>
      </bottom>
      <diagonal/>
    </border>
    <border>
      <left style="thin">
        <color indexed="64"/>
      </left>
      <right style="medium">
        <color indexed="64"/>
      </right>
      <top style="thin">
        <color indexed="64"/>
      </top>
      <bottom style="hair">
        <color indexed="64"/>
      </bottom>
      <diagonal/>
    </border>
    <border>
      <left style="medium">
        <color indexed="64"/>
      </left>
      <right/>
      <top style="hair">
        <color indexed="64"/>
      </top>
      <bottom style="double">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top style="double">
        <color indexed="64"/>
      </top>
      <bottom style="medium">
        <color indexed="64"/>
      </bottom>
      <diagonal/>
    </border>
    <border>
      <left/>
      <right style="thin">
        <color indexed="64"/>
      </right>
      <top style="double">
        <color indexed="64"/>
      </top>
      <bottom style="medium">
        <color indexed="64"/>
      </bottom>
      <diagonal/>
    </border>
    <border>
      <left style="thin">
        <color indexed="64"/>
      </left>
      <right/>
      <top style="medium">
        <color indexed="64"/>
      </top>
      <bottom style="thin">
        <color indexed="64"/>
      </bottom>
      <diagonal/>
    </border>
    <border>
      <left/>
      <right/>
      <top/>
      <bottom style="dashed">
        <color rgb="FFBFBFBF"/>
      </bottom>
      <diagonal/>
    </border>
    <border>
      <left style="medium">
        <color indexed="64"/>
      </left>
      <right style="medium">
        <color indexed="64"/>
      </right>
      <top style="thin">
        <color indexed="64"/>
      </top>
      <bottom/>
      <diagonal/>
    </border>
    <border>
      <left style="thin">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right/>
      <top style="double">
        <color indexed="64"/>
      </top>
      <bottom style="hair">
        <color indexed="64"/>
      </bottom>
      <diagonal/>
    </border>
    <border>
      <left/>
      <right/>
      <top style="hair">
        <color indexed="64"/>
      </top>
      <bottom style="thin">
        <color indexed="64"/>
      </bottom>
      <diagonal/>
    </border>
    <border>
      <left/>
      <right/>
      <top/>
      <bottom style="hair">
        <color indexed="64"/>
      </bottom>
      <diagonal/>
    </border>
    <border>
      <left/>
      <right/>
      <top style="hair">
        <color indexed="64"/>
      </top>
      <bottom style="medium">
        <color indexed="64"/>
      </bottom>
      <diagonal/>
    </border>
    <border>
      <left/>
      <right style="thin">
        <color indexed="64"/>
      </right>
      <top style="hair">
        <color indexed="64"/>
      </top>
      <bottom style="thin">
        <color indexed="64"/>
      </bottom>
      <diagonal/>
    </border>
    <border>
      <left/>
      <right style="thin">
        <color indexed="64"/>
      </right>
      <top/>
      <bottom style="hair">
        <color indexed="64"/>
      </bottom>
      <diagonal/>
    </border>
    <border>
      <left/>
      <right style="thin">
        <color indexed="64"/>
      </right>
      <top style="hair">
        <color indexed="64"/>
      </top>
      <bottom style="medium">
        <color indexed="64"/>
      </bottom>
      <diagonal/>
    </border>
    <border>
      <left style="medium">
        <color indexed="64"/>
      </left>
      <right style="hair">
        <color indexed="64"/>
      </right>
      <top style="double">
        <color indexed="64"/>
      </top>
      <bottom style="hair">
        <color indexed="64"/>
      </bottom>
      <diagonal/>
    </border>
    <border>
      <left style="hair">
        <color indexed="64"/>
      </left>
      <right style="hair">
        <color indexed="64"/>
      </right>
      <top style="double">
        <color indexed="64"/>
      </top>
      <bottom style="hair">
        <color indexed="64"/>
      </bottom>
      <diagonal/>
    </border>
    <border>
      <left style="hair">
        <color indexed="64"/>
      </left>
      <right style="medium">
        <color indexed="64"/>
      </right>
      <top style="double">
        <color indexed="64"/>
      </top>
      <bottom style="hair">
        <color indexed="64"/>
      </bottom>
      <diagonal/>
    </border>
    <border>
      <left style="medium">
        <color indexed="64"/>
      </left>
      <right style="hair">
        <color indexed="64"/>
      </right>
      <top style="hair">
        <color indexed="64"/>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medium">
        <color indexed="64"/>
      </right>
      <top style="hair">
        <color indexed="64"/>
      </top>
      <bottom style="hair">
        <color indexed="64"/>
      </bottom>
      <diagonal/>
    </border>
    <border>
      <left style="medium">
        <color indexed="64"/>
      </left>
      <right style="hair">
        <color indexed="64"/>
      </right>
      <top style="hair">
        <color indexed="64"/>
      </top>
      <bottom style="thin">
        <color indexed="64"/>
      </bottom>
      <diagonal/>
    </border>
    <border>
      <left style="hair">
        <color indexed="64"/>
      </left>
      <right style="hair">
        <color indexed="64"/>
      </right>
      <top style="hair">
        <color indexed="64"/>
      </top>
      <bottom style="thin">
        <color indexed="64"/>
      </bottom>
      <diagonal/>
    </border>
    <border>
      <left style="hair">
        <color indexed="64"/>
      </left>
      <right style="medium">
        <color indexed="64"/>
      </right>
      <top style="hair">
        <color indexed="64"/>
      </top>
      <bottom style="thin">
        <color indexed="64"/>
      </bottom>
      <diagonal/>
    </border>
    <border>
      <left style="medium">
        <color indexed="64"/>
      </left>
      <right style="hair">
        <color indexed="64"/>
      </right>
      <top/>
      <bottom style="hair">
        <color indexed="64"/>
      </bottom>
      <diagonal/>
    </border>
    <border>
      <left style="hair">
        <color indexed="64"/>
      </left>
      <right style="hair">
        <color indexed="64"/>
      </right>
      <top/>
      <bottom style="hair">
        <color indexed="64"/>
      </bottom>
      <diagonal/>
    </border>
    <border>
      <left style="hair">
        <color indexed="64"/>
      </left>
      <right style="medium">
        <color indexed="64"/>
      </right>
      <top/>
      <bottom style="hair">
        <color indexed="64"/>
      </bottom>
      <diagonal/>
    </border>
    <border>
      <left style="medium">
        <color indexed="64"/>
      </left>
      <right style="hair">
        <color indexed="64"/>
      </right>
      <top style="hair">
        <color indexed="64"/>
      </top>
      <bottom style="medium">
        <color indexed="64"/>
      </bottom>
      <diagonal/>
    </border>
    <border>
      <left style="hair">
        <color indexed="64"/>
      </left>
      <right style="hair">
        <color indexed="64"/>
      </right>
      <top style="hair">
        <color indexed="64"/>
      </top>
      <bottom style="medium">
        <color indexed="64"/>
      </bottom>
      <diagonal/>
    </border>
    <border>
      <left style="hair">
        <color indexed="64"/>
      </left>
      <right style="medium">
        <color indexed="64"/>
      </right>
      <top style="hair">
        <color indexed="64"/>
      </top>
      <bottom style="medium">
        <color indexed="64"/>
      </bottom>
      <diagonal/>
    </border>
    <border>
      <left/>
      <right style="medium">
        <color indexed="64"/>
      </right>
      <top style="double">
        <color indexed="64"/>
      </top>
      <bottom style="hair">
        <color indexed="64"/>
      </bottom>
      <diagonal/>
    </border>
    <border>
      <left/>
      <right style="medium">
        <color indexed="64"/>
      </right>
      <top style="hair">
        <color indexed="64"/>
      </top>
      <bottom style="thin">
        <color indexed="64"/>
      </bottom>
      <diagonal/>
    </border>
    <border>
      <left/>
      <right style="medium">
        <color indexed="64"/>
      </right>
      <top/>
      <bottom style="hair">
        <color indexed="64"/>
      </bottom>
      <diagonal/>
    </border>
    <border>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top style="medium">
        <color indexed="64"/>
      </top>
      <bottom style="hair">
        <color indexed="64"/>
      </bottom>
      <diagonal/>
    </border>
    <border>
      <left style="medium">
        <color indexed="64"/>
      </left>
      <right style="medium">
        <color indexed="64"/>
      </right>
      <top/>
      <bottom style="medium">
        <color indexed="64"/>
      </bottom>
      <diagonal/>
    </border>
    <border>
      <left/>
      <right/>
      <top style="hair">
        <color indexed="64"/>
      </top>
      <bottom/>
      <diagonal/>
    </border>
    <border>
      <left style="medium">
        <color indexed="64"/>
      </left>
      <right/>
      <top style="double">
        <color indexed="64"/>
      </top>
      <bottom style="hair">
        <color indexed="64"/>
      </bottom>
      <diagonal/>
    </border>
    <border>
      <left style="medium">
        <color indexed="64"/>
      </left>
      <right/>
      <top style="hair">
        <color indexed="64"/>
      </top>
      <bottom style="thin">
        <color indexed="64"/>
      </bottom>
      <diagonal/>
    </border>
    <border>
      <left style="hair">
        <color indexed="64"/>
      </left>
      <right style="medium">
        <color indexed="64"/>
      </right>
      <top style="thin">
        <color indexed="64"/>
      </top>
      <bottom style="thin">
        <color indexed="64"/>
      </bottom>
      <diagonal/>
    </border>
    <border>
      <left style="medium">
        <color indexed="64"/>
      </left>
      <right style="hair">
        <color indexed="64"/>
      </right>
      <top/>
      <bottom/>
      <diagonal/>
    </border>
    <border>
      <left style="hair">
        <color indexed="64"/>
      </left>
      <right style="hair">
        <color indexed="64"/>
      </right>
      <top/>
      <bottom/>
      <diagonal/>
    </border>
    <border>
      <left style="hair">
        <color indexed="64"/>
      </left>
      <right/>
      <top/>
      <bottom/>
      <diagonal/>
    </border>
    <border>
      <left style="medium">
        <color indexed="64"/>
      </left>
      <right style="hair">
        <color indexed="64"/>
      </right>
      <top style="medium">
        <color indexed="64"/>
      </top>
      <bottom style="thin">
        <color indexed="64"/>
      </bottom>
      <diagonal/>
    </border>
    <border>
      <left style="hair">
        <color indexed="64"/>
      </left>
      <right style="hair">
        <color indexed="64"/>
      </right>
      <top style="medium">
        <color indexed="64"/>
      </top>
      <bottom style="thin">
        <color indexed="64"/>
      </bottom>
      <diagonal/>
    </border>
    <border>
      <left style="hair">
        <color indexed="64"/>
      </left>
      <right style="medium">
        <color indexed="64"/>
      </right>
      <top style="medium">
        <color indexed="64"/>
      </top>
      <bottom style="thin">
        <color indexed="64"/>
      </bottom>
      <diagonal/>
    </border>
    <border>
      <left style="hair">
        <color indexed="64"/>
      </left>
      <right style="medium">
        <color indexed="64"/>
      </right>
      <top style="thin">
        <color indexed="64"/>
      </top>
      <bottom style="medium">
        <color indexed="64"/>
      </bottom>
      <diagonal/>
    </border>
    <border>
      <left style="double">
        <color indexed="64"/>
      </left>
      <right style="double">
        <color indexed="64"/>
      </right>
      <top style="double">
        <color indexed="64"/>
      </top>
      <bottom/>
      <diagonal/>
    </border>
    <border>
      <left style="double">
        <color indexed="64"/>
      </left>
      <right style="double">
        <color indexed="64"/>
      </right>
      <top/>
      <bottom/>
      <diagonal/>
    </border>
    <border>
      <left style="double">
        <color indexed="64"/>
      </left>
      <right style="double">
        <color indexed="64"/>
      </right>
      <top/>
      <bottom style="double">
        <color indexed="64"/>
      </bottom>
      <diagonal/>
    </border>
    <border>
      <left style="thin">
        <color indexed="64"/>
      </left>
      <right style="thin">
        <color indexed="64"/>
      </right>
      <top style="thin">
        <color indexed="64"/>
      </top>
      <bottom style="hair">
        <color indexed="64"/>
      </bottom>
      <diagonal/>
    </border>
    <border>
      <left style="hair">
        <color indexed="64"/>
      </left>
      <right style="medium">
        <color indexed="64"/>
      </right>
      <top style="double">
        <color indexed="64"/>
      </top>
      <bottom style="thin">
        <color indexed="64"/>
      </bottom>
      <diagonal/>
    </border>
    <border>
      <left style="hair">
        <color indexed="64"/>
      </left>
      <right style="medium">
        <color indexed="64"/>
      </right>
      <top style="thin">
        <color indexed="64"/>
      </top>
      <bottom style="double">
        <color indexed="64"/>
      </bottom>
      <diagonal/>
    </border>
    <border>
      <left style="hair">
        <color indexed="64"/>
      </left>
      <right/>
      <top style="double">
        <color indexed="64"/>
      </top>
      <bottom style="hair">
        <color indexed="64"/>
      </bottom>
      <diagonal/>
    </border>
    <border>
      <left style="medium">
        <color indexed="64"/>
      </left>
      <right style="hair">
        <color indexed="64"/>
      </right>
      <top style="hair">
        <color indexed="64"/>
      </top>
      <bottom/>
      <diagonal/>
    </border>
    <border>
      <left style="hair">
        <color indexed="64"/>
      </left>
      <right style="hair">
        <color indexed="64"/>
      </right>
      <top style="hair">
        <color indexed="64"/>
      </top>
      <bottom/>
      <diagonal/>
    </border>
    <border>
      <left style="hair">
        <color indexed="64"/>
      </left>
      <right style="medium">
        <color indexed="64"/>
      </right>
      <top style="hair">
        <color indexed="64"/>
      </top>
      <bottom/>
      <diagonal/>
    </border>
    <border>
      <left style="thin">
        <color indexed="64"/>
      </left>
      <right/>
      <top/>
      <bottom style="medium">
        <color indexed="64"/>
      </bottom>
      <diagonal/>
    </border>
    <border>
      <left/>
      <right style="thin">
        <color indexed="64"/>
      </right>
      <top style="hair">
        <color indexed="64"/>
      </top>
      <bottom/>
      <diagonal/>
    </border>
    <border>
      <left/>
      <right style="thin">
        <color indexed="64"/>
      </right>
      <top style="medium">
        <color indexed="64"/>
      </top>
      <bottom style="hair">
        <color indexed="64"/>
      </bottom>
      <diagonal/>
    </border>
    <border>
      <left style="thin">
        <color indexed="64"/>
      </left>
      <right/>
      <top style="hair">
        <color indexed="64"/>
      </top>
      <bottom/>
      <diagonal/>
    </border>
  </borders>
  <cellStyleXfs count="56">
    <xf numFmtId="0" fontId="0" fillId="0" borderId="0"/>
    <xf numFmtId="0" fontId="1"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5" borderId="0" applyNumberFormat="0" applyBorder="0" applyAlignment="0" applyProtection="0"/>
    <xf numFmtId="0" fontId="1" fillId="8" borderId="0" applyNumberFormat="0" applyBorder="0" applyAlignment="0" applyProtection="0"/>
    <xf numFmtId="0" fontId="1" fillId="11" borderId="0" applyNumberFormat="0" applyBorder="0" applyAlignment="0" applyProtection="0"/>
    <xf numFmtId="0" fontId="2" fillId="12"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5" borderId="0" applyNumberFormat="0" applyBorder="0" applyAlignment="0" applyProtection="0"/>
    <xf numFmtId="0" fontId="2" fillId="16" borderId="0" applyNumberFormat="0" applyBorder="0" applyAlignment="0" applyProtection="0"/>
    <xf numFmtId="0" fontId="2" fillId="17" borderId="0" applyNumberFormat="0" applyBorder="0" applyAlignment="0" applyProtection="0"/>
    <xf numFmtId="0" fontId="2" fillId="18" borderId="0" applyNumberFormat="0" applyBorder="0" applyAlignment="0" applyProtection="0"/>
    <xf numFmtId="0" fontId="2" fillId="13" borderId="0" applyNumberFormat="0" applyBorder="0" applyAlignment="0" applyProtection="0"/>
    <xf numFmtId="0" fontId="2" fillId="14" borderId="0" applyNumberFormat="0" applyBorder="0" applyAlignment="0" applyProtection="0"/>
    <xf numFmtId="0" fontId="2" fillId="19" borderId="0" applyNumberFormat="0" applyBorder="0" applyAlignment="0" applyProtection="0"/>
    <xf numFmtId="0" fontId="3" fillId="3" borderId="0" applyNumberFormat="0" applyBorder="0" applyAlignment="0" applyProtection="0"/>
    <xf numFmtId="0" fontId="4" fillId="20" borderId="1" applyNumberFormat="0" applyAlignment="0" applyProtection="0"/>
    <xf numFmtId="0" fontId="5" fillId="21" borderId="2" applyNumberFormat="0" applyAlignment="0" applyProtection="0"/>
    <xf numFmtId="43" fontId="6" fillId="0" borderId="0" applyFont="0" applyFill="0" applyBorder="0" applyAlignment="0" applyProtection="0"/>
    <xf numFmtId="43" fontId="6" fillId="0" borderId="0" applyFont="0" applyFill="0" applyBorder="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0" borderId="0" applyNumberFormat="0" applyFill="0" applyBorder="0" applyAlignment="0" applyProtection="0">
      <alignment vertical="top"/>
      <protection locked="0"/>
    </xf>
    <xf numFmtId="0" fontId="13" fillId="7" borderId="1" applyNumberFormat="0" applyAlignment="0" applyProtection="0"/>
    <xf numFmtId="0" fontId="14" fillId="0" borderId="6" applyNumberFormat="0" applyFill="0" applyAlignment="0" applyProtection="0"/>
    <xf numFmtId="0" fontId="15" fillId="22" borderId="0" applyNumberFormat="0" applyBorder="0" applyAlignment="0" applyProtection="0"/>
    <xf numFmtId="0" fontId="6" fillId="0" borderId="0"/>
    <xf numFmtId="0" fontId="1" fillId="0" borderId="0"/>
    <xf numFmtId="0" fontId="6" fillId="23" borderId="7" applyNumberFormat="0" applyFont="0" applyAlignment="0" applyProtection="0"/>
    <xf numFmtId="0" fontId="16" fillId="20" borderId="8" applyNumberFormat="0" applyAlignment="0" applyProtection="0"/>
    <xf numFmtId="9" fontId="6" fillId="0" borderId="0" applyFont="0" applyFill="0" applyBorder="0" applyAlignment="0" applyProtection="0"/>
    <xf numFmtId="9" fontId="6" fillId="0" borderId="0" applyFont="0" applyFill="0" applyBorder="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0" borderId="0" applyNumberFormat="0" applyFill="0" applyBorder="0" applyAlignment="0" applyProtection="0"/>
    <xf numFmtId="0" fontId="53" fillId="0" borderId="181" applyNumberFormat="0" applyFont="0" applyProtection="0">
      <alignment wrapText="1"/>
    </xf>
    <xf numFmtId="44" fontId="64" fillId="0" borderId="0" applyFont="0" applyFill="0" applyBorder="0" applyAlignment="0" applyProtection="0"/>
    <xf numFmtId="44" fontId="6" fillId="0" borderId="0" applyFont="0" applyFill="0" applyBorder="0" applyAlignment="0" applyProtection="0"/>
    <xf numFmtId="0" fontId="92" fillId="0" borderId="0"/>
    <xf numFmtId="9" fontId="92" fillId="0" borderId="0" applyFont="0" applyFill="0" applyBorder="0" applyAlignment="0" applyProtection="0"/>
    <xf numFmtId="44" fontId="92" fillId="0" borderId="0" applyFont="0" applyFill="0" applyBorder="0" applyAlignment="0" applyProtection="0"/>
    <xf numFmtId="0" fontId="95" fillId="0" borderId="0"/>
  </cellStyleXfs>
  <cellXfs count="1657">
    <xf numFmtId="0" fontId="0" fillId="0" borderId="0" xfId="0"/>
    <xf numFmtId="0" fontId="24" fillId="0" borderId="0" xfId="0" applyFont="1"/>
    <xf numFmtId="3" fontId="25" fillId="0" borderId="0" xfId="0" applyNumberFormat="1" applyFont="1"/>
    <xf numFmtId="0" fontId="25" fillId="0" borderId="0" xfId="0" applyFont="1"/>
    <xf numFmtId="0" fontId="26" fillId="0" borderId="0" xfId="0" applyFont="1" applyAlignment="1">
      <alignment horizontal="centerContinuous"/>
    </xf>
    <xf numFmtId="3" fontId="25" fillId="0" borderId="0" xfId="0" applyNumberFormat="1" applyFont="1" applyAlignment="1">
      <alignment horizontal="centerContinuous"/>
    </xf>
    <xf numFmtId="0" fontId="25" fillId="0" borderId="0" xfId="0" applyFont="1" applyAlignment="1">
      <alignment horizontal="centerContinuous"/>
    </xf>
    <xf numFmtId="0" fontId="25" fillId="0" borderId="0" xfId="0" applyFont="1" applyAlignment="1">
      <alignment horizontal="center"/>
    </xf>
    <xf numFmtId="3" fontId="25" fillId="0" borderId="0" xfId="0" applyNumberFormat="1" applyFont="1" applyAlignment="1">
      <alignment horizontal="center"/>
    </xf>
    <xf numFmtId="0" fontId="25" fillId="0" borderId="0" xfId="0" quotePrefix="1" applyFont="1" applyBorder="1"/>
    <xf numFmtId="0" fontId="25" fillId="0" borderId="0" xfId="0" applyFont="1" applyBorder="1"/>
    <xf numFmtId="0" fontId="26" fillId="0" borderId="0" xfId="0" applyFont="1" applyBorder="1" applyAlignment="1">
      <alignment horizontal="left" vertical="center"/>
    </xf>
    <xf numFmtId="3" fontId="29" fillId="0" borderId="0" xfId="0" applyNumberFormat="1" applyFont="1" applyAlignment="1"/>
    <xf numFmtId="0" fontId="30" fillId="0" borderId="0" xfId="40" applyFont="1"/>
    <xf numFmtId="0" fontId="31" fillId="0" borderId="0" xfId="40" applyFont="1"/>
    <xf numFmtId="0" fontId="30" fillId="0" borderId="0" xfId="40" applyFont="1" applyAlignment="1">
      <alignment horizontal="center" wrapText="1"/>
    </xf>
    <xf numFmtId="164" fontId="1" fillId="0" borderId="0" xfId="45" applyNumberFormat="1" applyFont="1"/>
    <xf numFmtId="164" fontId="30" fillId="0" borderId="0" xfId="40" applyNumberFormat="1" applyFont="1"/>
    <xf numFmtId="0" fontId="30" fillId="0" borderId="39" xfId="40" applyFont="1" applyBorder="1"/>
    <xf numFmtId="0" fontId="30" fillId="0" borderId="40" xfId="40" applyFont="1" applyBorder="1" applyAlignment="1">
      <alignment horizontal="center"/>
    </xf>
    <xf numFmtId="0" fontId="30" fillId="0" borderId="40" xfId="40" applyFont="1" applyBorder="1"/>
    <xf numFmtId="167" fontId="1" fillId="0" borderId="40" xfId="45" applyNumberFormat="1" applyFont="1" applyBorder="1"/>
    <xf numFmtId="0" fontId="1" fillId="0" borderId="0" xfId="41"/>
    <xf numFmtId="0" fontId="18" fillId="0" borderId="0" xfId="41" applyFont="1"/>
    <xf numFmtId="0" fontId="18" fillId="0" borderId="41" xfId="41" applyFont="1" applyBorder="1"/>
    <xf numFmtId="0" fontId="1" fillId="0" borderId="41" xfId="41" applyBorder="1"/>
    <xf numFmtId="0" fontId="1" fillId="0" borderId="41" xfId="41" applyFont="1" applyBorder="1" applyAlignment="1">
      <alignment horizontal="right"/>
    </xf>
    <xf numFmtId="0" fontId="1" fillId="24" borderId="42" xfId="41" applyFill="1" applyBorder="1"/>
    <xf numFmtId="0" fontId="1" fillId="0" borderId="42" xfId="41" applyBorder="1"/>
    <xf numFmtId="0" fontId="1" fillId="0" borderId="0" xfId="41" applyFont="1"/>
    <xf numFmtId="0" fontId="18" fillId="0" borderId="0" xfId="41" applyFont="1" applyAlignment="1">
      <alignment horizontal="center" wrapText="1"/>
    </xf>
    <xf numFmtId="0" fontId="1" fillId="0" borderId="0" xfId="41" applyAlignment="1">
      <alignment wrapText="1"/>
    </xf>
    <xf numFmtId="0" fontId="18" fillId="0" borderId="41" xfId="41" applyFont="1" applyBorder="1" applyAlignment="1">
      <alignment horizontal="center" wrapText="1"/>
    </xf>
    <xf numFmtId="9" fontId="30" fillId="0" borderId="41" xfId="44" applyFont="1" applyBorder="1"/>
    <xf numFmtId="165" fontId="1" fillId="0" borderId="0" xfId="41" applyNumberFormat="1"/>
    <xf numFmtId="9" fontId="1" fillId="0" borderId="41" xfId="44" applyFont="1" applyBorder="1"/>
    <xf numFmtId="0" fontId="18" fillId="0" borderId="0" xfId="0" applyFont="1"/>
    <xf numFmtId="168" fontId="0" fillId="0" borderId="0" xfId="0" applyNumberFormat="1" applyFill="1" applyBorder="1"/>
    <xf numFmtId="0" fontId="27" fillId="0" borderId="27" xfId="0" applyFont="1" applyBorder="1"/>
    <xf numFmtId="0" fontId="27" fillId="0" borderId="43" xfId="0" applyFont="1" applyBorder="1"/>
    <xf numFmtId="0" fontId="27" fillId="0" borderId="44" xfId="0" applyFont="1" applyBorder="1"/>
    <xf numFmtId="0" fontId="32" fillId="0" borderId="45" xfId="0" applyFont="1" applyBorder="1" applyAlignment="1">
      <alignment horizontal="center"/>
    </xf>
    <xf numFmtId="0" fontId="34" fillId="0" borderId="46" xfId="0" applyFont="1" applyBorder="1" applyAlignment="1">
      <alignment horizontal="center" wrapText="1"/>
    </xf>
    <xf numFmtId="0" fontId="35" fillId="0" borderId="51" xfId="0" applyFont="1" applyFill="1" applyBorder="1" applyAlignment="1">
      <alignment horizontal="center" wrapText="1"/>
    </xf>
    <xf numFmtId="0" fontId="35" fillId="0" borderId="46" xfId="0" applyFont="1" applyFill="1" applyBorder="1" applyAlignment="1">
      <alignment horizontal="center" wrapText="1"/>
    </xf>
    <xf numFmtId="0" fontId="35" fillId="0" borderId="52" xfId="0" applyFont="1" applyFill="1" applyBorder="1" applyAlignment="1">
      <alignment horizontal="center" wrapText="1"/>
    </xf>
    <xf numFmtId="0" fontId="35" fillId="0" borderId="50" xfId="0" applyFont="1" applyFill="1" applyBorder="1" applyAlignment="1">
      <alignment horizontal="center" wrapText="1"/>
    </xf>
    <xf numFmtId="0" fontId="28" fillId="0" borderId="0" xfId="0" applyFont="1" applyAlignment="1">
      <alignment horizontal="left" vertical="center"/>
    </xf>
    <xf numFmtId="0" fontId="25" fillId="0" borderId="0" xfId="0" applyFont="1" applyFill="1"/>
    <xf numFmtId="0" fontId="25" fillId="0" borderId="0" xfId="0" quotePrefix="1" applyFont="1" applyFill="1" applyAlignment="1">
      <alignment horizontal="left"/>
    </xf>
    <xf numFmtId="0" fontId="24" fillId="0" borderId="0" xfId="0" applyFont="1" applyFill="1"/>
    <xf numFmtId="0" fontId="29" fillId="0" borderId="0" xfId="0" applyFont="1" applyFill="1" applyAlignment="1">
      <alignment horizontal="center"/>
    </xf>
    <xf numFmtId="0" fontId="37" fillId="0" borderId="0" xfId="0" applyFont="1" applyFill="1" applyAlignment="1">
      <alignment horizontal="left"/>
    </xf>
    <xf numFmtId="0" fontId="25" fillId="0" borderId="0" xfId="0" applyFont="1" applyFill="1" applyAlignment="1">
      <alignment horizontal="center"/>
    </xf>
    <xf numFmtId="3" fontId="37" fillId="0" borderId="0" xfId="0" applyNumberFormat="1" applyFont="1" applyAlignment="1"/>
    <xf numFmtId="0" fontId="24" fillId="0" borderId="0" xfId="0" quotePrefix="1" applyFont="1" applyAlignment="1">
      <alignment horizontal="left"/>
    </xf>
    <xf numFmtId="0" fontId="25" fillId="0" borderId="0" xfId="0" applyFont="1" applyAlignment="1">
      <alignment horizontal="left"/>
    </xf>
    <xf numFmtId="2" fontId="25" fillId="0" borderId="0" xfId="0" applyNumberFormat="1" applyFont="1"/>
    <xf numFmtId="2" fontId="40" fillId="0" borderId="0" xfId="0" applyNumberFormat="1" applyFont="1"/>
    <xf numFmtId="0" fontId="39" fillId="0" borderId="0" xfId="0" applyFont="1" applyFill="1"/>
    <xf numFmtId="2" fontId="25" fillId="0" borderId="15" xfId="0" applyNumberFormat="1" applyFont="1" applyFill="1" applyBorder="1"/>
    <xf numFmtId="2" fontId="42" fillId="0" borderId="15" xfId="0" applyNumberFormat="1" applyFont="1" applyBorder="1" applyAlignment="1">
      <alignment horizontal="center"/>
    </xf>
    <xf numFmtId="2" fontId="42" fillId="0" borderId="12" xfId="0" applyNumberFormat="1" applyFont="1" applyBorder="1" applyAlignment="1">
      <alignment horizontal="center"/>
    </xf>
    <xf numFmtId="2" fontId="42" fillId="0" borderId="0" xfId="0" applyNumberFormat="1" applyFont="1" applyFill="1" applyAlignment="1">
      <alignment horizontal="center"/>
    </xf>
    <xf numFmtId="2" fontId="42" fillId="0" borderId="0" xfId="0" applyNumberFormat="1" applyFont="1" applyAlignment="1">
      <alignment horizontal="center"/>
    </xf>
    <xf numFmtId="2" fontId="25" fillId="0" borderId="41" xfId="0" applyNumberFormat="1" applyFont="1" applyBorder="1"/>
    <xf numFmtId="2" fontId="25" fillId="0" borderId="12" xfId="0" applyNumberFormat="1" applyFont="1" applyFill="1" applyBorder="1"/>
    <xf numFmtId="0" fontId="25" fillId="0" borderId="57" xfId="0" applyFont="1" applyBorder="1"/>
    <xf numFmtId="0" fontId="25" fillId="0" borderId="0" xfId="0" applyFont="1" applyBorder="1" applyAlignment="1">
      <alignment horizontal="center"/>
    </xf>
    <xf numFmtId="0" fontId="25" fillId="0" borderId="0" xfId="0" quotePrefix="1" applyFont="1" applyAlignment="1">
      <alignment horizontal="left"/>
    </xf>
    <xf numFmtId="170" fontId="25" fillId="0" borderId="0" xfId="0" applyNumberFormat="1" applyFont="1" applyProtection="1"/>
    <xf numFmtId="0" fontId="43" fillId="0" borderId="0" xfId="0" quotePrefix="1" applyFont="1" applyFill="1" applyAlignment="1">
      <alignment horizontal="left"/>
    </xf>
    <xf numFmtId="0" fontId="25" fillId="0" borderId="27" xfId="0" applyFont="1" applyFill="1" applyBorder="1"/>
    <xf numFmtId="0" fontId="29" fillId="0" borderId="58" xfId="0" applyFont="1" applyFill="1" applyBorder="1" applyAlignment="1">
      <alignment horizontal="center"/>
    </xf>
    <xf numFmtId="0" fontId="25" fillId="0" borderId="0" xfId="0" applyFont="1" applyFill="1" applyAlignment="1">
      <alignment horizontal="centerContinuous"/>
    </xf>
    <xf numFmtId="3" fontId="44" fillId="24" borderId="21" xfId="0" applyNumberFormat="1" applyFont="1" applyFill="1" applyBorder="1" applyAlignment="1"/>
    <xf numFmtId="3" fontId="45" fillId="0" borderId="21" xfId="0" applyNumberFormat="1" applyFont="1" applyBorder="1" applyAlignment="1"/>
    <xf numFmtId="164" fontId="45" fillId="0" borderId="60" xfId="44" applyNumberFormat="1" applyFont="1" applyFill="1" applyBorder="1" applyAlignment="1">
      <alignment horizontal="center"/>
    </xf>
    <xf numFmtId="164" fontId="45" fillId="0" borderId="21" xfId="44" applyNumberFormat="1" applyFont="1" applyFill="1" applyBorder="1" applyAlignment="1">
      <alignment horizontal="center"/>
    </xf>
    <xf numFmtId="164" fontId="45" fillId="0" borderId="56" xfId="44" applyNumberFormat="1" applyFont="1" applyFill="1" applyBorder="1" applyAlignment="1">
      <alignment horizontal="center"/>
    </xf>
    <xf numFmtId="164" fontId="45" fillId="0" borderId="61" xfId="44" applyNumberFormat="1" applyFont="1" applyFill="1" applyBorder="1" applyAlignment="1">
      <alignment horizontal="center"/>
    </xf>
    <xf numFmtId="0" fontId="45" fillId="0" borderId="60" xfId="0" applyFont="1" applyBorder="1" applyAlignment="1"/>
    <xf numFmtId="3" fontId="45" fillId="0" borderId="62" xfId="0" applyNumberFormat="1" applyFont="1" applyBorder="1" applyAlignment="1"/>
    <xf numFmtId="3" fontId="44" fillId="24" borderId="15" xfId="0" applyNumberFormat="1" applyFont="1" applyFill="1" applyBorder="1" applyAlignment="1"/>
    <xf numFmtId="3" fontId="45" fillId="0" borderId="15" xfId="0" applyNumberFormat="1" applyFont="1" applyBorder="1" applyAlignment="1"/>
    <xf numFmtId="164" fontId="45" fillId="0" borderId="22" xfId="44" applyNumberFormat="1" applyFont="1" applyFill="1" applyBorder="1" applyAlignment="1">
      <alignment horizontal="center"/>
    </xf>
    <xf numFmtId="164" fontId="45" fillId="0" borderId="15" xfId="44" applyNumberFormat="1" applyFont="1" applyFill="1" applyBorder="1" applyAlignment="1">
      <alignment horizontal="center"/>
    </xf>
    <xf numFmtId="164" fontId="45" fillId="0" borderId="24" xfId="44" applyNumberFormat="1" applyFont="1" applyFill="1" applyBorder="1" applyAlignment="1">
      <alignment horizontal="center"/>
    </xf>
    <xf numFmtId="164" fontId="45" fillId="0" borderId="63" xfId="44" applyNumberFormat="1" applyFont="1" applyFill="1" applyBorder="1" applyAlignment="1">
      <alignment horizontal="center"/>
    </xf>
    <xf numFmtId="0" fontId="45" fillId="0" borderId="22" xfId="0" applyFont="1" applyBorder="1" applyAlignment="1"/>
    <xf numFmtId="3" fontId="45" fillId="0" borderId="16" xfId="0" applyNumberFormat="1" applyFont="1" applyBorder="1" applyAlignment="1"/>
    <xf numFmtId="10" fontId="25" fillId="0" borderId="0" xfId="44" applyNumberFormat="1" applyFont="1" applyFill="1"/>
    <xf numFmtId="10" fontId="25" fillId="0" borderId="0" xfId="0" applyNumberFormat="1" applyFont="1" applyFill="1"/>
    <xf numFmtId="3" fontId="44" fillId="24" borderId="64" xfId="0" applyNumberFormat="1" applyFont="1" applyFill="1" applyBorder="1" applyAlignment="1"/>
    <xf numFmtId="3" fontId="45" fillId="0" borderId="64" xfId="0" applyNumberFormat="1" applyFont="1" applyBorder="1" applyAlignment="1"/>
    <xf numFmtId="164" fontId="45" fillId="0" borderId="65" xfId="44" applyNumberFormat="1" applyFont="1" applyFill="1" applyBorder="1" applyAlignment="1">
      <alignment horizontal="center"/>
    </xf>
    <xf numFmtId="164" fontId="45" fillId="0" borderId="64" xfId="44" applyNumberFormat="1" applyFont="1" applyFill="1" applyBorder="1" applyAlignment="1">
      <alignment horizontal="center"/>
    </xf>
    <xf numFmtId="164" fontId="45" fillId="0" borderId="66" xfId="44" applyNumberFormat="1" applyFont="1" applyFill="1" applyBorder="1" applyAlignment="1">
      <alignment horizontal="center"/>
    </xf>
    <xf numFmtId="164" fontId="45" fillId="0" borderId="67" xfId="44" applyNumberFormat="1" applyFont="1" applyFill="1" applyBorder="1" applyAlignment="1">
      <alignment horizontal="center"/>
    </xf>
    <xf numFmtId="0" fontId="45" fillId="0" borderId="65" xfId="0" applyFont="1" applyBorder="1" applyAlignment="1"/>
    <xf numFmtId="3" fontId="45" fillId="0" borderId="68" xfId="0" applyNumberFormat="1" applyFont="1" applyBorder="1" applyAlignment="1"/>
    <xf numFmtId="0" fontId="46" fillId="0" borderId="34" xfId="0" applyFont="1" applyFill="1" applyBorder="1" applyAlignment="1">
      <alignment horizontal="center"/>
    </xf>
    <xf numFmtId="3" fontId="44" fillId="0" borderId="59" xfId="0" applyNumberFormat="1" applyFont="1" applyFill="1" applyBorder="1" applyAlignment="1">
      <alignment horizontal="center"/>
    </xf>
    <xf numFmtId="164" fontId="44" fillId="0" borderId="69" xfId="44" applyNumberFormat="1" applyFont="1" applyFill="1" applyBorder="1" applyAlignment="1">
      <alignment horizontal="center"/>
    </xf>
    <xf numFmtId="164" fontId="44" fillId="0" borderId="59" xfId="44" applyNumberFormat="1" applyFont="1" applyFill="1" applyBorder="1" applyAlignment="1">
      <alignment horizontal="center"/>
    </xf>
    <xf numFmtId="164" fontId="44" fillId="0" borderId="38" xfId="44" applyNumberFormat="1" applyFont="1" applyFill="1" applyBorder="1" applyAlignment="1">
      <alignment horizontal="center"/>
    </xf>
    <xf numFmtId="0" fontId="46" fillId="0" borderId="0" xfId="0" applyFont="1" applyFill="1" applyBorder="1" applyAlignment="1">
      <alignment horizontal="center"/>
    </xf>
    <xf numFmtId="3" fontId="46" fillId="0" borderId="0" xfId="0" applyNumberFormat="1" applyFont="1" applyFill="1" applyBorder="1" applyAlignment="1">
      <alignment horizontal="center"/>
    </xf>
    <xf numFmtId="3" fontId="47" fillId="0" borderId="0" xfId="0" applyNumberFormat="1" applyFont="1" applyFill="1" applyBorder="1" applyAlignment="1">
      <alignment horizontal="center"/>
    </xf>
    <xf numFmtId="3" fontId="44" fillId="0" borderId="0" xfId="0" applyNumberFormat="1" applyFont="1" applyFill="1" applyBorder="1" applyAlignment="1">
      <alignment horizontal="center"/>
    </xf>
    <xf numFmtId="164" fontId="46" fillId="0" borderId="0" xfId="44" applyNumberFormat="1" applyFont="1" applyFill="1" applyBorder="1" applyAlignment="1">
      <alignment horizontal="center"/>
    </xf>
    <xf numFmtId="0" fontId="29" fillId="0" borderId="0" xfId="0" applyFont="1" applyFill="1" applyAlignment="1">
      <alignment horizontal="right"/>
    </xf>
    <xf numFmtId="3" fontId="29" fillId="0" borderId="0" xfId="0" applyNumberFormat="1" applyFont="1" applyFill="1" applyAlignment="1">
      <alignment horizontal="center"/>
    </xf>
    <xf numFmtId="0" fontId="48" fillId="0" borderId="0" xfId="0" applyFont="1" applyFill="1"/>
    <xf numFmtId="164" fontId="29" fillId="0" borderId="0" xfId="44" applyNumberFormat="1" applyFont="1" applyFill="1" applyAlignment="1">
      <alignment horizontal="center"/>
    </xf>
    <xf numFmtId="0" fontId="29" fillId="0" borderId="0" xfId="0" applyFont="1" applyFill="1"/>
    <xf numFmtId="10" fontId="29" fillId="0" borderId="0" xfId="44" applyNumberFormat="1" applyFont="1" applyFill="1" applyAlignment="1">
      <alignment horizontal="center"/>
    </xf>
    <xf numFmtId="164" fontId="25" fillId="0" borderId="0" xfId="44" applyNumberFormat="1" applyFont="1" applyFill="1"/>
    <xf numFmtId="0" fontId="29" fillId="0" borderId="70" xfId="0" applyFont="1" applyFill="1" applyBorder="1"/>
    <xf numFmtId="164" fontId="48" fillId="0" borderId="71" xfId="44" applyNumberFormat="1" applyFont="1" applyFill="1" applyBorder="1"/>
    <xf numFmtId="10" fontId="48" fillId="0" borderId="71" xfId="44" applyNumberFormat="1" applyFont="1" applyFill="1" applyBorder="1"/>
    <xf numFmtId="0" fontId="48" fillId="0" borderId="71" xfId="0" applyFont="1" applyFill="1" applyBorder="1"/>
    <xf numFmtId="0" fontId="48" fillId="0" borderId="72" xfId="0" applyFont="1" applyFill="1" applyBorder="1"/>
    <xf numFmtId="0" fontId="24" fillId="0" borderId="73" xfId="0" quotePrefix="1" applyFont="1" applyBorder="1" applyAlignment="1">
      <alignment horizontal="center"/>
    </xf>
    <xf numFmtId="0" fontId="24" fillId="0" borderId="74" xfId="0" applyFont="1" applyBorder="1" applyAlignment="1">
      <alignment horizontal="center" wrapText="1"/>
    </xf>
    <xf numFmtId="0" fontId="25" fillId="0" borderId="0" xfId="0" applyFont="1" applyFill="1" applyBorder="1"/>
    <xf numFmtId="0" fontId="24" fillId="0" borderId="74" xfId="0" applyFont="1" applyFill="1" applyBorder="1" applyAlignment="1">
      <alignment horizontal="center" wrapText="1"/>
    </xf>
    <xf numFmtId="0" fontId="24" fillId="0" borderId="75" xfId="0" applyFont="1" applyFill="1" applyBorder="1" applyAlignment="1">
      <alignment horizontal="center" wrapText="1"/>
    </xf>
    <xf numFmtId="0" fontId="48" fillId="0" borderId="28" xfId="0" applyFont="1" applyFill="1" applyBorder="1"/>
    <xf numFmtId="164" fontId="48" fillId="0" borderId="0" xfId="44" applyNumberFormat="1" applyFont="1" applyFill="1" applyBorder="1" applyAlignment="1">
      <alignment horizontal="center"/>
    </xf>
    <xf numFmtId="2" fontId="48" fillId="0" borderId="0" xfId="0" applyNumberFormat="1" applyFont="1" applyFill="1" applyBorder="1" applyAlignment="1">
      <alignment horizontal="center"/>
    </xf>
    <xf numFmtId="2" fontId="48" fillId="0" borderId="14" xfId="0" applyNumberFormat="1" applyFont="1" applyFill="1" applyBorder="1" applyAlignment="1">
      <alignment horizontal="center"/>
    </xf>
    <xf numFmtId="2" fontId="25" fillId="0" borderId="0" xfId="0" applyNumberFormat="1" applyFont="1" applyFill="1"/>
    <xf numFmtId="2" fontId="48" fillId="0" borderId="76" xfId="0" applyNumberFormat="1" applyFont="1" applyFill="1" applyBorder="1" applyAlignment="1">
      <alignment horizontal="center"/>
    </xf>
    <xf numFmtId="0" fontId="48" fillId="0" borderId="28" xfId="0" applyFont="1" applyFill="1" applyBorder="1" applyAlignment="1">
      <alignment horizontal="right"/>
    </xf>
    <xf numFmtId="3" fontId="49" fillId="0" borderId="0" xfId="44" applyNumberFormat="1" applyFont="1" applyFill="1" applyBorder="1" applyAlignment="1">
      <alignment horizontal="center"/>
    </xf>
    <xf numFmtId="3" fontId="29" fillId="0" borderId="0" xfId="44" applyNumberFormat="1" applyFont="1" applyFill="1" applyBorder="1" applyAlignment="1">
      <alignment horizontal="center"/>
    </xf>
    <xf numFmtId="3" fontId="50" fillId="0" borderId="0" xfId="44" applyNumberFormat="1" applyFont="1" applyFill="1" applyBorder="1" applyAlignment="1">
      <alignment horizontal="center"/>
    </xf>
    <xf numFmtId="3" fontId="48" fillId="0" borderId="0" xfId="44" applyNumberFormat="1" applyFont="1" applyFill="1" applyBorder="1" applyAlignment="1">
      <alignment horizontal="right"/>
    </xf>
    <xf numFmtId="2" fontId="49" fillId="0" borderId="0" xfId="44" applyNumberFormat="1" applyFont="1" applyFill="1" applyBorder="1" applyAlignment="1">
      <alignment horizontal="center"/>
    </xf>
    <xf numFmtId="2" fontId="29" fillId="0" borderId="0" xfId="0" applyNumberFormat="1" applyFont="1" applyFill="1" applyBorder="1" applyAlignment="1">
      <alignment horizontal="center"/>
    </xf>
    <xf numFmtId="2" fontId="50" fillId="0" borderId="14" xfId="44" applyNumberFormat="1" applyFont="1" applyFill="1" applyBorder="1" applyAlignment="1">
      <alignment horizontal="center"/>
    </xf>
    <xf numFmtId="0" fontId="48" fillId="0" borderId="0" xfId="0" applyFont="1" applyFill="1" applyBorder="1" applyAlignment="1">
      <alignment horizontal="center"/>
    </xf>
    <xf numFmtId="0" fontId="25" fillId="0" borderId="34" xfId="0" applyFont="1" applyFill="1" applyBorder="1" applyAlignment="1">
      <alignment horizontal="right"/>
    </xf>
    <xf numFmtId="0" fontId="25" fillId="0" borderId="59" xfId="0" applyFont="1" applyFill="1" applyBorder="1"/>
    <xf numFmtId="2" fontId="25" fillId="0" borderId="59" xfId="0" applyNumberFormat="1" applyFont="1" applyFill="1" applyBorder="1"/>
    <xf numFmtId="2" fontId="25" fillId="0" borderId="38" xfId="0" applyNumberFormat="1" applyFont="1" applyFill="1" applyBorder="1"/>
    <xf numFmtId="0" fontId="26" fillId="0" borderId="0" xfId="0" applyFont="1" applyFill="1" applyAlignment="1">
      <alignment horizontal="centerContinuous"/>
    </xf>
    <xf numFmtId="0" fontId="29" fillId="0" borderId="77" xfId="0" applyFont="1" applyFill="1" applyBorder="1"/>
    <xf numFmtId="0" fontId="29" fillId="0" borderId="78" xfId="0" applyFont="1" applyFill="1" applyBorder="1" applyAlignment="1">
      <alignment horizontal="center" wrapText="1"/>
    </xf>
    <xf numFmtId="0" fontId="29" fillId="0" borderId="79" xfId="0" applyFont="1" applyFill="1" applyBorder="1" applyAlignment="1">
      <alignment horizontal="center" wrapText="1"/>
    </xf>
    <xf numFmtId="0" fontId="44" fillId="0" borderId="80" xfId="0" applyFont="1" applyFill="1" applyBorder="1"/>
    <xf numFmtId="3" fontId="44" fillId="0" borderId="81" xfId="0" applyNumberFormat="1" applyFont="1" applyFill="1" applyBorder="1"/>
    <xf numFmtId="164" fontId="44" fillId="0" borderId="81" xfId="0" applyNumberFormat="1" applyFont="1" applyFill="1" applyBorder="1" applyAlignment="1">
      <alignment horizontal="center"/>
    </xf>
    <xf numFmtId="164" fontId="44" fillId="0" borderId="82" xfId="0" applyNumberFormat="1" applyFont="1" applyFill="1" applyBorder="1" applyAlignment="1">
      <alignment horizontal="center"/>
    </xf>
    <xf numFmtId="0" fontId="45" fillId="0" borderId="0" xfId="0" applyFont="1" applyFill="1"/>
    <xf numFmtId="0" fontId="44" fillId="0" borderId="16" xfId="0" applyFont="1" applyFill="1" applyBorder="1"/>
    <xf numFmtId="3" fontId="44" fillId="0" borderId="83" xfId="0" applyNumberFormat="1" applyFont="1" applyFill="1" applyBorder="1"/>
    <xf numFmtId="164" fontId="44" fillId="0" borderId="83" xfId="0" applyNumberFormat="1" applyFont="1" applyFill="1" applyBorder="1" applyAlignment="1">
      <alignment horizontal="center"/>
    </xf>
    <xf numFmtId="164" fontId="44" fillId="0" borderId="84" xfId="0" applyNumberFormat="1" applyFont="1" applyFill="1" applyBorder="1" applyAlignment="1">
      <alignment horizontal="center"/>
    </xf>
    <xf numFmtId="0" fontId="44" fillId="0" borderId="68" xfId="0" applyFont="1" applyFill="1" applyBorder="1"/>
    <xf numFmtId="3" fontId="44" fillId="0" borderId="85" xfId="0" applyNumberFormat="1" applyFont="1" applyFill="1" applyBorder="1"/>
    <xf numFmtId="164" fontId="44" fillId="0" borderId="85" xfId="0" applyNumberFormat="1" applyFont="1" applyFill="1" applyBorder="1" applyAlignment="1">
      <alignment horizontal="center"/>
    </xf>
    <xf numFmtId="164" fontId="44" fillId="0" borderId="86" xfId="0" applyNumberFormat="1" applyFont="1" applyFill="1" applyBorder="1" applyAlignment="1">
      <alignment horizontal="center"/>
    </xf>
    <xf numFmtId="3" fontId="29" fillId="0" borderId="0" xfId="0" applyNumberFormat="1" applyFont="1" applyFill="1"/>
    <xf numFmtId="1" fontId="29" fillId="0" borderId="0" xfId="0" applyNumberFormat="1" applyFont="1" applyFill="1"/>
    <xf numFmtId="10" fontId="29" fillId="0" borderId="0" xfId="0" applyNumberFormat="1" applyFont="1" applyFill="1"/>
    <xf numFmtId="10" fontId="36" fillId="0" borderId="14" xfId="0" applyNumberFormat="1" applyFont="1" applyFill="1" applyBorder="1"/>
    <xf numFmtId="10" fontId="36" fillId="0" borderId="0" xfId="0" applyNumberFormat="1" applyFont="1" applyFill="1"/>
    <xf numFmtId="1" fontId="25" fillId="0" borderId="0" xfId="0" applyNumberFormat="1" applyFont="1" applyFill="1"/>
    <xf numFmtId="0" fontId="29" fillId="0" borderId="0" xfId="0" quotePrefix="1" applyFont="1" applyFill="1" applyAlignment="1">
      <alignment wrapText="1"/>
    </xf>
    <xf numFmtId="0" fontId="29" fillId="0" borderId="0" xfId="0" applyFont="1" applyFill="1" applyAlignment="1">
      <alignment horizontal="center" wrapText="1"/>
    </xf>
    <xf numFmtId="0" fontId="29" fillId="0" borderId="87" xfId="0" applyFont="1" applyFill="1" applyBorder="1" applyAlignment="1">
      <alignment horizontal="center" wrapText="1"/>
    </xf>
    <xf numFmtId="3" fontId="29" fillId="0" borderId="88" xfId="0" applyNumberFormat="1" applyFont="1" applyFill="1" applyBorder="1" applyAlignment="1">
      <alignment horizontal="center" wrapText="1"/>
    </xf>
    <xf numFmtId="0" fontId="29" fillId="0" borderId="88" xfId="0" applyFont="1" applyFill="1" applyBorder="1" applyAlignment="1">
      <alignment horizontal="center" wrapText="1"/>
    </xf>
    <xf numFmtId="0" fontId="29" fillId="0" borderId="89" xfId="0" applyFont="1" applyFill="1" applyBorder="1" applyAlignment="1">
      <alignment horizontal="center" wrapText="1"/>
    </xf>
    <xf numFmtId="0" fontId="29" fillId="0" borderId="0" xfId="0" applyFont="1" applyFill="1" applyBorder="1" applyAlignment="1">
      <alignment horizontal="center" wrapText="1"/>
    </xf>
    <xf numFmtId="0" fontId="29" fillId="0" borderId="90" xfId="0" applyFont="1" applyFill="1" applyBorder="1" applyAlignment="1">
      <alignment horizontal="center" wrapText="1"/>
    </xf>
    <xf numFmtId="0" fontId="29" fillId="0" borderId="91" xfId="0" applyFont="1" applyFill="1" applyBorder="1" applyAlignment="1">
      <alignment horizontal="center" wrapText="1"/>
    </xf>
    <xf numFmtId="0" fontId="51" fillId="0" borderId="0" xfId="0" quotePrefix="1" applyFont="1" applyFill="1" applyBorder="1" applyAlignment="1">
      <alignment wrapText="1"/>
    </xf>
    <xf numFmtId="0" fontId="29" fillId="0" borderId="27" xfId="0" applyFont="1" applyFill="1" applyBorder="1"/>
    <xf numFmtId="0" fontId="29" fillId="0" borderId="92" xfId="0" applyFont="1" applyFill="1" applyBorder="1" applyAlignment="1">
      <alignment horizontal="right"/>
    </xf>
    <xf numFmtId="3" fontId="29" fillId="0" borderId="93" xfId="0" applyNumberFormat="1" applyFont="1" applyFill="1" applyBorder="1" applyAlignment="1">
      <alignment horizontal="center"/>
    </xf>
    <xf numFmtId="10" fontId="29" fillId="0" borderId="93" xfId="0" applyNumberFormat="1" applyFont="1" applyFill="1" applyBorder="1" applyAlignment="1">
      <alignment horizontal="center"/>
    </xf>
    <xf numFmtId="166" fontId="29" fillId="0" borderId="93" xfId="0" applyNumberFormat="1" applyFont="1" applyFill="1" applyBorder="1" applyAlignment="1">
      <alignment horizontal="center"/>
    </xf>
    <xf numFmtId="0" fontId="29" fillId="0" borderId="94" xfId="0" applyFont="1" applyFill="1" applyBorder="1" applyAlignment="1">
      <alignment horizontal="center"/>
    </xf>
    <xf numFmtId="0" fontId="29" fillId="0" borderId="0" xfId="0" applyFont="1" applyFill="1" applyBorder="1" applyAlignment="1">
      <alignment horizontal="center"/>
    </xf>
    <xf numFmtId="0" fontId="29" fillId="0" borderId="95" xfId="0" applyFont="1" applyFill="1" applyBorder="1" applyAlignment="1">
      <alignment horizontal="right"/>
    </xf>
    <xf numFmtId="3" fontId="29" fillId="0" borderId="96" xfId="0" applyNumberFormat="1" applyFont="1" applyFill="1" applyBorder="1" applyAlignment="1">
      <alignment horizontal="center"/>
    </xf>
    <xf numFmtId="10" fontId="29" fillId="0" borderId="96" xfId="0" applyNumberFormat="1" applyFont="1" applyFill="1" applyBorder="1" applyAlignment="1">
      <alignment horizontal="center"/>
    </xf>
    <xf numFmtId="166" fontId="29" fillId="0" borderId="96" xfId="0" applyNumberFormat="1" applyFont="1" applyFill="1" applyBorder="1" applyAlignment="1">
      <alignment horizontal="center"/>
    </xf>
    <xf numFmtId="0" fontId="29" fillId="0" borderId="50" xfId="0" applyFont="1" applyFill="1" applyBorder="1" applyAlignment="1">
      <alignment horizontal="center"/>
    </xf>
    <xf numFmtId="3" fontId="29" fillId="0" borderId="39" xfId="0" applyNumberFormat="1" applyFont="1" applyFill="1" applyBorder="1" applyAlignment="1">
      <alignment horizontal="center"/>
    </xf>
    <xf numFmtId="10" fontId="29" fillId="0" borderId="39" xfId="0" applyNumberFormat="1" applyFont="1" applyFill="1" applyBorder="1" applyAlignment="1">
      <alignment horizontal="center"/>
    </xf>
    <xf numFmtId="166" fontId="29" fillId="0" borderId="39" xfId="0" applyNumberFormat="1" applyFont="1" applyFill="1" applyBorder="1" applyAlignment="1">
      <alignment horizontal="center"/>
    </xf>
    <xf numFmtId="10" fontId="29" fillId="0" borderId="26" xfId="44" applyNumberFormat="1" applyFont="1" applyFill="1" applyBorder="1" applyAlignment="1">
      <alignment horizontal="center"/>
    </xf>
    <xf numFmtId="10" fontId="29" fillId="0" borderId="0" xfId="44" applyNumberFormat="1" applyFont="1" applyFill="1" applyBorder="1" applyAlignment="1">
      <alignment horizontal="center"/>
    </xf>
    <xf numFmtId="0" fontId="29" fillId="25" borderId="87" xfId="0" applyFont="1" applyFill="1" applyBorder="1"/>
    <xf numFmtId="0" fontId="29" fillId="25" borderId="90" xfId="0" applyFont="1" applyFill="1" applyBorder="1" applyAlignment="1">
      <alignment horizontal="right"/>
    </xf>
    <xf numFmtId="3" fontId="29" fillId="25" borderId="90" xfId="0" applyNumberFormat="1" applyFont="1" applyFill="1" applyBorder="1" applyAlignment="1">
      <alignment horizontal="center"/>
    </xf>
    <xf numFmtId="10" fontId="29" fillId="25" borderId="90" xfId="0" applyNumberFormat="1" applyFont="1" applyFill="1" applyBorder="1" applyAlignment="1">
      <alignment horizontal="center"/>
    </xf>
    <xf numFmtId="166" fontId="29" fillId="25" borderId="90" xfId="0" applyNumberFormat="1" applyFont="1" applyFill="1" applyBorder="1" applyAlignment="1">
      <alignment horizontal="center"/>
    </xf>
    <xf numFmtId="10" fontId="29" fillId="25" borderId="91" xfId="44" applyNumberFormat="1" applyFont="1" applyFill="1" applyBorder="1" applyAlignment="1">
      <alignment horizontal="center"/>
    </xf>
    <xf numFmtId="3" fontId="29" fillId="0" borderId="97" xfId="0" applyNumberFormat="1" applyFont="1" applyFill="1" applyBorder="1" applyAlignment="1">
      <alignment horizontal="center"/>
    </xf>
    <xf numFmtId="0" fontId="29" fillId="0" borderId="28" xfId="0" applyFont="1" applyFill="1" applyBorder="1"/>
    <xf numFmtId="0" fontId="29" fillId="0" borderId="26" xfId="0" applyFont="1" applyFill="1" applyBorder="1" applyAlignment="1">
      <alignment horizontal="center"/>
    </xf>
    <xf numFmtId="37" fontId="29" fillId="0" borderId="36" xfId="28" applyNumberFormat="1" applyFont="1" applyFill="1" applyBorder="1" applyAlignment="1">
      <alignment horizontal="center" shrinkToFit="1"/>
    </xf>
    <xf numFmtId="9" fontId="29" fillId="0" borderId="35" xfId="28" applyNumberFormat="1" applyFont="1" applyFill="1" applyBorder="1" applyAlignment="1">
      <alignment horizontal="center" shrinkToFit="1"/>
    </xf>
    <xf numFmtId="1" fontId="29" fillId="0" borderId="96" xfId="0" applyNumberFormat="1" applyFont="1" applyFill="1" applyBorder="1" applyAlignment="1">
      <alignment horizontal="center"/>
    </xf>
    <xf numFmtId="3" fontId="29" fillId="0" borderId="37" xfId="0" applyNumberFormat="1" applyFont="1" applyFill="1" applyBorder="1" applyAlignment="1">
      <alignment horizontal="center"/>
    </xf>
    <xf numFmtId="10" fontId="29" fillId="0" borderId="37" xfId="0" applyNumberFormat="1" applyFont="1" applyFill="1" applyBorder="1" applyAlignment="1">
      <alignment horizontal="center"/>
    </xf>
    <xf numFmtId="166" fontId="29" fillId="0" borderId="37" xfId="0" applyNumberFormat="1" applyFont="1" applyFill="1" applyBorder="1" applyAlignment="1">
      <alignment horizontal="center"/>
    </xf>
    <xf numFmtId="10" fontId="29" fillId="0" borderId="35" xfId="0" applyNumberFormat="1" applyFont="1" applyFill="1" applyBorder="1" applyAlignment="1">
      <alignment horizontal="center"/>
    </xf>
    <xf numFmtId="10" fontId="29" fillId="0" borderId="0" xfId="0" applyNumberFormat="1" applyFont="1" applyFill="1" applyBorder="1" applyAlignment="1">
      <alignment horizontal="center"/>
    </xf>
    <xf numFmtId="0" fontId="29" fillId="0" borderId="0" xfId="0" applyFont="1" applyFill="1" applyAlignment="1"/>
    <xf numFmtId="166" fontId="29" fillId="0" borderId="0" xfId="0" applyNumberFormat="1" applyFont="1" applyFill="1" applyAlignment="1">
      <alignment horizontal="center"/>
    </xf>
    <xf numFmtId="0" fontId="34" fillId="0" borderId="0" xfId="41" applyFont="1" applyFill="1" applyBorder="1" applyAlignment="1">
      <alignment horizontal="center"/>
    </xf>
    <xf numFmtId="0" fontId="34" fillId="0" borderId="98" xfId="41" applyFont="1" applyBorder="1" applyAlignment="1">
      <alignment horizontal="right"/>
    </xf>
    <xf numFmtId="0" fontId="34" fillId="0" borderId="99" xfId="41" applyFont="1" applyBorder="1" applyAlignment="1">
      <alignment horizontal="right"/>
    </xf>
    <xf numFmtId="0" fontId="34" fillId="0" borderId="100" xfId="41" applyFont="1" applyBorder="1" applyAlignment="1">
      <alignment horizontal="right"/>
    </xf>
    <xf numFmtId="0" fontId="33" fillId="0" borderId="102" xfId="41" applyFont="1" applyFill="1" applyBorder="1"/>
    <xf numFmtId="0" fontId="33" fillId="0" borderId="98" xfId="41" applyFont="1" applyFill="1" applyBorder="1"/>
    <xf numFmtId="0" fontId="33" fillId="0" borderId="47" xfId="41" applyFont="1" applyFill="1" applyBorder="1"/>
    <xf numFmtId="0" fontId="33" fillId="0" borderId="103" xfId="41" applyFont="1" applyBorder="1"/>
    <xf numFmtId="0" fontId="33" fillId="0" borderId="101" xfId="41" applyFont="1" applyBorder="1"/>
    <xf numFmtId="0" fontId="52" fillId="0" borderId="42" xfId="41" applyFont="1" applyBorder="1"/>
    <xf numFmtId="0" fontId="25" fillId="0" borderId="0" xfId="0" applyFont="1" applyFill="1" applyAlignment="1">
      <alignment horizontal="left"/>
    </xf>
    <xf numFmtId="0" fontId="52" fillId="0" borderId="0" xfId="41" applyFont="1"/>
    <xf numFmtId="0" fontId="53" fillId="0" borderId="0" xfId="41" applyFont="1"/>
    <xf numFmtId="0" fontId="26" fillId="0" borderId="0" xfId="41" applyFont="1" applyBorder="1"/>
    <xf numFmtId="0" fontId="24" fillId="0" borderId="0" xfId="0" applyFont="1" applyAlignment="1">
      <alignment horizontal="left" vertical="center"/>
    </xf>
    <xf numFmtId="0" fontId="26" fillId="0" borderId="0" xfId="0" applyFont="1" applyAlignment="1">
      <alignment horizontal="left" vertical="center" indent="1"/>
    </xf>
    <xf numFmtId="0" fontId="54" fillId="0" borderId="0" xfId="0" applyFont="1"/>
    <xf numFmtId="0" fontId="26" fillId="0" borderId="0" xfId="0" applyFont="1" applyAlignment="1">
      <alignment horizontal="left"/>
    </xf>
    <xf numFmtId="0" fontId="52" fillId="0" borderId="0" xfId="41" applyFont="1" applyAlignment="1">
      <alignment horizontal="center"/>
    </xf>
    <xf numFmtId="0" fontId="34" fillId="0" borderId="0" xfId="41" applyFont="1" applyBorder="1" applyAlignment="1">
      <alignment horizontal="center"/>
    </xf>
    <xf numFmtId="9" fontId="52" fillId="0" borderId="42" xfId="41" applyNumberFormat="1" applyFont="1" applyFill="1" applyBorder="1" applyAlignment="1">
      <alignment horizontal="center"/>
    </xf>
    <xf numFmtId="0" fontId="52" fillId="0" borderId="42" xfId="41" applyFont="1" applyFill="1" applyBorder="1"/>
    <xf numFmtId="3" fontId="52" fillId="0" borderId="42" xfId="41" applyNumberFormat="1" applyFont="1" applyBorder="1" applyAlignment="1">
      <alignment horizontal="center"/>
    </xf>
    <xf numFmtId="168" fontId="52" fillId="0" borderId="0" xfId="41" applyNumberFormat="1" applyFont="1" applyFill="1" applyBorder="1"/>
    <xf numFmtId="0" fontId="52" fillId="0" borderId="0" xfId="41" applyFont="1" applyFill="1"/>
    <xf numFmtId="164" fontId="52" fillId="0" borderId="0" xfId="44" applyNumberFormat="1" applyFont="1" applyFill="1" applyBorder="1"/>
    <xf numFmtId="0" fontId="52" fillId="0" borderId="0" xfId="41" applyNumberFormat="1" applyFont="1" applyFill="1" applyBorder="1"/>
    <xf numFmtId="0" fontId="52" fillId="0" borderId="0" xfId="41" applyFont="1" applyFill="1" applyAlignment="1">
      <alignment horizontal="right"/>
    </xf>
    <xf numFmtId="0" fontId="52" fillId="0" borderId="0" xfId="41" applyFont="1" applyFill="1" applyBorder="1"/>
    <xf numFmtId="0" fontId="52" fillId="0" borderId="0" xfId="41" applyFont="1" applyAlignment="1">
      <alignment wrapText="1"/>
    </xf>
    <xf numFmtId="0" fontId="52" fillId="0" borderId="27" xfId="41" applyFont="1" applyBorder="1"/>
    <xf numFmtId="0" fontId="52" fillId="0" borderId="43" xfId="41" applyFont="1" applyBorder="1"/>
    <xf numFmtId="0" fontId="52" fillId="0" borderId="44" xfId="41" applyFont="1" applyBorder="1"/>
    <xf numFmtId="0" fontId="34" fillId="0" borderId="45" xfId="41" applyFont="1" applyBorder="1" applyAlignment="1">
      <alignment horizontal="center"/>
    </xf>
    <xf numFmtId="0" fontId="34" fillId="0" borderId="46" xfId="41" applyFont="1" applyFill="1" applyBorder="1" applyAlignment="1">
      <alignment horizontal="center" wrapText="1"/>
    </xf>
    <xf numFmtId="0" fontId="34" fillId="0" borderId="52" xfId="41" applyFont="1" applyFill="1" applyBorder="1" applyAlignment="1">
      <alignment horizontal="center" wrapText="1"/>
    </xf>
    <xf numFmtId="0" fontId="34" fillId="0" borderId="50" xfId="41" applyFont="1" applyFill="1" applyBorder="1" applyAlignment="1">
      <alignment horizontal="center" wrapText="1"/>
    </xf>
    <xf numFmtId="0" fontId="34" fillId="0" borderId="110" xfId="41" applyFont="1" applyFill="1" applyBorder="1" applyAlignment="1">
      <alignment horizontal="right"/>
    </xf>
    <xf numFmtId="168" fontId="52" fillId="0" borderId="115" xfId="41" applyNumberFormat="1" applyFont="1" applyFill="1" applyBorder="1"/>
    <xf numFmtId="168" fontId="52" fillId="25" borderId="111" xfId="44" applyNumberFormat="1" applyFont="1" applyFill="1" applyBorder="1"/>
    <xf numFmtId="168" fontId="52" fillId="0" borderId="0" xfId="44" applyNumberFormat="1" applyFont="1" applyFill="1" applyBorder="1"/>
    <xf numFmtId="0" fontId="34" fillId="0" borderId="99" xfId="41" applyFont="1" applyFill="1" applyBorder="1" applyAlignment="1">
      <alignment horizontal="right"/>
    </xf>
    <xf numFmtId="168" fontId="52" fillId="0" borderId="42" xfId="41" applyNumberFormat="1" applyFont="1" applyFill="1" applyBorder="1"/>
    <xf numFmtId="168" fontId="52" fillId="0" borderId="48" xfId="44" applyNumberFormat="1" applyFont="1" applyFill="1" applyBorder="1"/>
    <xf numFmtId="3" fontId="52" fillId="0" borderId="0" xfId="41" applyNumberFormat="1" applyFont="1" applyFill="1" applyBorder="1"/>
    <xf numFmtId="0" fontId="34" fillId="0" borderId="100" xfId="41" applyFont="1" applyFill="1" applyBorder="1" applyAlignment="1">
      <alignment horizontal="right"/>
    </xf>
    <xf numFmtId="0" fontId="52" fillId="0" borderId="49" xfId="41" applyFont="1" applyFill="1" applyBorder="1"/>
    <xf numFmtId="0" fontId="52" fillId="0" borderId="100" xfId="41" applyFont="1" applyFill="1" applyBorder="1"/>
    <xf numFmtId="0" fontId="52" fillId="0" borderId="117" xfId="41" applyFont="1" applyFill="1" applyBorder="1"/>
    <xf numFmtId="168" fontId="52" fillId="0" borderId="117" xfId="41" applyNumberFormat="1" applyFont="1" applyFill="1" applyBorder="1"/>
    <xf numFmtId="168" fontId="52" fillId="0" borderId="49" xfId="44" applyNumberFormat="1" applyFont="1" applyFill="1" applyBorder="1"/>
    <xf numFmtId="0" fontId="52" fillId="0" borderId="0" xfId="41" applyFont="1" applyFill="1" applyBorder="1" applyAlignment="1">
      <alignment horizontal="left"/>
    </xf>
    <xf numFmtId="164" fontId="52" fillId="0" borderId="0" xfId="41" applyNumberFormat="1" applyFont="1" applyFill="1" applyBorder="1"/>
    <xf numFmtId="9" fontId="52" fillId="0" borderId="0" xfId="41" applyNumberFormat="1" applyFont="1" applyFill="1" applyBorder="1" applyAlignment="1">
      <alignment horizontal="center"/>
    </xf>
    <xf numFmtId="0" fontId="26" fillId="0" borderId="0" xfId="41" applyFont="1"/>
    <xf numFmtId="0" fontId="52" fillId="0" borderId="118" xfId="41" applyFont="1" applyBorder="1"/>
    <xf numFmtId="0" fontId="52" fillId="0" borderId="119" xfId="41" applyFont="1" applyBorder="1" applyAlignment="1">
      <alignment horizontal="right"/>
    </xf>
    <xf numFmtId="0" fontId="34" fillId="0" borderId="120" xfId="41" applyFont="1" applyBorder="1" applyAlignment="1">
      <alignment horizontal="center"/>
    </xf>
    <xf numFmtId="0" fontId="34" fillId="0" borderId="0" xfId="41" applyFont="1" applyAlignment="1">
      <alignment horizontal="center"/>
    </xf>
    <xf numFmtId="168" fontId="52" fillId="0" borderId="98" xfId="41" applyNumberFormat="1" applyFont="1" applyBorder="1"/>
    <xf numFmtId="168" fontId="52" fillId="0" borderId="125" xfId="41" applyNumberFormat="1" applyFont="1" applyBorder="1"/>
    <xf numFmtId="168" fontId="52" fillId="0" borderId="101" xfId="41" applyNumberFormat="1" applyFont="1" applyBorder="1"/>
    <xf numFmtId="168" fontId="52" fillId="0" borderId="47" xfId="41" applyNumberFormat="1" applyFont="1" applyBorder="1"/>
    <xf numFmtId="0" fontId="52" fillId="0" borderId="98" xfId="41" applyNumberFormat="1" applyFont="1" applyBorder="1" applyAlignment="1">
      <alignment horizontal="center"/>
    </xf>
    <xf numFmtId="0" fontId="52" fillId="0" borderId="125" xfId="41" applyNumberFormat="1" applyFont="1" applyBorder="1" applyAlignment="1">
      <alignment horizontal="center"/>
    </xf>
    <xf numFmtId="0" fontId="52" fillId="0" borderId="47" xfId="41" applyNumberFormat="1" applyFont="1" applyBorder="1" applyAlignment="1">
      <alignment horizontal="center"/>
    </xf>
    <xf numFmtId="164" fontId="52" fillId="0" borderId="98" xfId="44" applyNumberFormat="1" applyFont="1" applyBorder="1" applyAlignment="1">
      <alignment horizontal="center"/>
    </xf>
    <xf numFmtId="164" fontId="52" fillId="0" borderId="125" xfId="44" applyNumberFormat="1" applyFont="1" applyBorder="1" applyAlignment="1">
      <alignment horizontal="center"/>
    </xf>
    <xf numFmtId="164" fontId="52" fillId="0" borderId="47" xfId="44" applyNumberFormat="1" applyFont="1" applyBorder="1" applyAlignment="1">
      <alignment horizontal="center"/>
    </xf>
    <xf numFmtId="165" fontId="52" fillId="0" borderId="98" xfId="44" applyNumberFormat="1" applyFont="1" applyBorder="1" applyAlignment="1">
      <alignment horizontal="center"/>
    </xf>
    <xf numFmtId="165" fontId="52" fillId="0" borderId="125" xfId="44" applyNumberFormat="1" applyFont="1" applyBorder="1" applyAlignment="1">
      <alignment horizontal="center"/>
    </xf>
    <xf numFmtId="165" fontId="52" fillId="0" borderId="47" xfId="44" applyNumberFormat="1" applyFont="1" applyBorder="1" applyAlignment="1">
      <alignment horizontal="center"/>
    </xf>
    <xf numFmtId="0" fontId="52" fillId="0" borderId="104" xfId="41" applyFont="1" applyBorder="1" applyAlignment="1">
      <alignment horizontal="right"/>
    </xf>
    <xf numFmtId="168" fontId="52" fillId="0" borderId="99" xfId="41" applyNumberFormat="1" applyFont="1" applyBorder="1"/>
    <xf numFmtId="168" fontId="52" fillId="0" borderId="42" xfId="41" applyNumberFormat="1" applyFont="1" applyBorder="1"/>
    <xf numFmtId="168" fontId="52" fillId="0" borderId="77" xfId="41" applyNumberFormat="1" applyFont="1" applyBorder="1"/>
    <xf numFmtId="168" fontId="52" fillId="0" borderId="48" xfId="41" applyNumberFormat="1" applyFont="1" applyBorder="1"/>
    <xf numFmtId="0" fontId="52" fillId="0" borderId="99" xfId="41" applyNumberFormat="1" applyFont="1" applyBorder="1" applyAlignment="1">
      <alignment horizontal="center"/>
    </xf>
    <xf numFmtId="0" fontId="52" fillId="0" borderId="42" xfId="41" applyNumberFormat="1" applyFont="1" applyBorder="1" applyAlignment="1">
      <alignment horizontal="center"/>
    </xf>
    <xf numFmtId="0" fontId="52" fillId="0" borderId="48" xfId="41" applyNumberFormat="1" applyFont="1" applyBorder="1" applyAlignment="1">
      <alignment horizontal="center"/>
    </xf>
    <xf numFmtId="164" fontId="52" fillId="0" borderId="99" xfId="44" applyNumberFormat="1" applyFont="1" applyBorder="1" applyAlignment="1">
      <alignment horizontal="center"/>
    </xf>
    <xf numFmtId="164" fontId="52" fillId="0" borderId="42" xfId="44" applyNumberFormat="1" applyFont="1" applyBorder="1" applyAlignment="1">
      <alignment horizontal="center"/>
    </xf>
    <xf numFmtId="164" fontId="52" fillId="0" borderId="48" xfId="44" applyNumberFormat="1" applyFont="1" applyBorder="1" applyAlignment="1">
      <alignment horizontal="center"/>
    </xf>
    <xf numFmtId="165" fontId="52" fillId="0" borderId="99" xfId="44" applyNumberFormat="1" applyFont="1" applyBorder="1" applyAlignment="1">
      <alignment horizontal="center"/>
    </xf>
    <xf numFmtId="165" fontId="52" fillId="0" borderId="42" xfId="44" applyNumberFormat="1" applyFont="1" applyBorder="1" applyAlignment="1">
      <alignment horizontal="center"/>
    </xf>
    <xf numFmtId="165" fontId="52" fillId="0" borderId="48" xfId="44" applyNumberFormat="1" applyFont="1" applyBorder="1" applyAlignment="1">
      <alignment horizontal="center"/>
    </xf>
    <xf numFmtId="0" fontId="52" fillId="0" borderId="106" xfId="41" applyFont="1" applyBorder="1"/>
    <xf numFmtId="168" fontId="52" fillId="0" borderId="100" xfId="41" applyNumberFormat="1" applyFont="1" applyBorder="1"/>
    <xf numFmtId="168" fontId="52" fillId="0" borderId="117" xfId="41" applyNumberFormat="1" applyFont="1" applyBorder="1"/>
    <xf numFmtId="168" fontId="52" fillId="0" borderId="105" xfId="41" applyNumberFormat="1" applyFont="1" applyBorder="1"/>
    <xf numFmtId="168" fontId="52" fillId="0" borderId="49" xfId="41" applyNumberFormat="1" applyFont="1" applyBorder="1"/>
    <xf numFmtId="0" fontId="52" fillId="0" borderId="100" xfId="41" applyNumberFormat="1" applyFont="1" applyBorder="1" applyAlignment="1">
      <alignment horizontal="center"/>
    </xf>
    <xf numFmtId="0" fontId="52" fillId="0" borderId="117" xfId="41" applyNumberFormat="1" applyFont="1" applyBorder="1" applyAlignment="1">
      <alignment horizontal="center"/>
    </xf>
    <xf numFmtId="0" fontId="52" fillId="0" borderId="49" xfId="41" applyNumberFormat="1" applyFont="1" applyBorder="1" applyAlignment="1">
      <alignment horizontal="center"/>
    </xf>
    <xf numFmtId="164" fontId="52" fillId="0" borderId="100" xfId="44" applyNumberFormat="1" applyFont="1" applyBorder="1" applyAlignment="1">
      <alignment horizontal="center"/>
    </xf>
    <xf numFmtId="164" fontId="52" fillId="0" borderId="117" xfId="44" applyNumberFormat="1" applyFont="1" applyBorder="1" applyAlignment="1">
      <alignment horizontal="center"/>
    </xf>
    <xf numFmtId="164" fontId="52" fillId="0" borderId="49" xfId="44" applyNumberFormat="1" applyFont="1" applyBorder="1" applyAlignment="1">
      <alignment horizontal="center"/>
    </xf>
    <xf numFmtId="165" fontId="52" fillId="0" borderId="100" xfId="44" applyNumberFormat="1" applyFont="1" applyBorder="1" applyAlignment="1">
      <alignment horizontal="center"/>
    </xf>
    <xf numFmtId="165" fontId="52" fillId="0" borderId="117" xfId="44" applyNumberFormat="1" applyFont="1" applyBorder="1" applyAlignment="1">
      <alignment horizontal="center"/>
    </xf>
    <xf numFmtId="165" fontId="52" fillId="0" borderId="49" xfId="44" applyNumberFormat="1" applyFont="1" applyBorder="1" applyAlignment="1">
      <alignment horizontal="center"/>
    </xf>
    <xf numFmtId="0" fontId="52" fillId="0" borderId="102" xfId="41" applyFont="1" applyBorder="1"/>
    <xf numFmtId="0" fontId="52" fillId="0" borderId="104" xfId="41" applyFont="1" applyBorder="1"/>
    <xf numFmtId="0" fontId="52" fillId="0" borderId="130" xfId="41" applyFont="1" applyBorder="1"/>
    <xf numFmtId="164" fontId="52" fillId="0" borderId="36" xfId="44" applyNumberFormat="1" applyFont="1" applyBorder="1" applyAlignment="1">
      <alignment horizontal="center"/>
    </xf>
    <xf numFmtId="164" fontId="52" fillId="0" borderId="37" xfId="44" applyNumberFormat="1" applyFont="1" applyBorder="1" applyAlignment="1">
      <alignment horizontal="center"/>
    </xf>
    <xf numFmtId="164" fontId="52" fillId="0" borderId="35" xfId="44" applyNumberFormat="1" applyFont="1" applyBorder="1" applyAlignment="1">
      <alignment horizontal="center"/>
    </xf>
    <xf numFmtId="0" fontId="52" fillId="0" borderId="0" xfId="41" applyFont="1" applyAlignment="1">
      <alignment horizontal="left"/>
    </xf>
    <xf numFmtId="0" fontId="52" fillId="0" borderId="0" xfId="41" applyNumberFormat="1" applyFont="1"/>
    <xf numFmtId="0" fontId="52" fillId="0" borderId="28" xfId="41" applyFont="1" applyBorder="1"/>
    <xf numFmtId="0" fontId="52" fillId="0" borderId="132" xfId="41" applyFont="1" applyBorder="1"/>
    <xf numFmtId="0" fontId="52" fillId="0" borderId="124" xfId="41" applyFont="1" applyBorder="1" applyAlignment="1">
      <alignment horizontal="right"/>
    </xf>
    <xf numFmtId="0" fontId="52" fillId="0" borderId="126" xfId="41" applyFont="1" applyBorder="1" applyAlignment="1">
      <alignment horizontal="right"/>
    </xf>
    <xf numFmtId="0" fontId="52" fillId="0" borderId="127" xfId="41" applyFont="1" applyBorder="1"/>
    <xf numFmtId="0" fontId="52" fillId="0" borderId="73" xfId="41" applyFont="1" applyBorder="1"/>
    <xf numFmtId="0" fontId="52" fillId="0" borderId="126" xfId="41" applyFont="1" applyBorder="1"/>
    <xf numFmtId="0" fontId="53" fillId="0" borderId="28" xfId="41" applyFont="1" applyBorder="1"/>
    <xf numFmtId="0" fontId="53" fillId="0" borderId="50" xfId="41" applyFont="1" applyBorder="1"/>
    <xf numFmtId="0" fontId="1" fillId="0" borderId="27" xfId="41" applyFont="1" applyBorder="1"/>
    <xf numFmtId="0" fontId="53" fillId="0" borderId="26" xfId="41" applyFont="1" applyBorder="1"/>
    <xf numFmtId="0" fontId="53" fillId="0" borderId="102" xfId="41" applyFont="1" applyBorder="1"/>
    <xf numFmtId="164" fontId="53" fillId="0" borderId="111" xfId="44" applyNumberFormat="1" applyFont="1" applyBorder="1"/>
    <xf numFmtId="164" fontId="52" fillId="0" borderId="115" xfId="44" applyNumberFormat="1" applyFont="1" applyBorder="1" applyAlignment="1">
      <alignment horizontal="center"/>
    </xf>
    <xf numFmtId="0" fontId="53" fillId="0" borderId="133" xfId="41" applyFont="1" applyBorder="1" applyAlignment="1">
      <alignment horizontal="center"/>
    </xf>
    <xf numFmtId="0" fontId="53" fillId="0" borderId="134" xfId="41" applyFont="1" applyBorder="1" applyAlignment="1">
      <alignment horizontal="center"/>
    </xf>
    <xf numFmtId="10" fontId="53" fillId="0" borderId="135" xfId="44" applyNumberFormat="1" applyFont="1" applyBorder="1" applyAlignment="1">
      <alignment horizontal="center"/>
    </xf>
    <xf numFmtId="10" fontId="53" fillId="0" borderId="136" xfId="44" applyNumberFormat="1" applyFont="1" applyBorder="1" applyAlignment="1">
      <alignment horizontal="center"/>
    </xf>
    <xf numFmtId="164" fontId="52" fillId="0" borderId="137" xfId="44" applyNumberFormat="1" applyFont="1" applyBorder="1" applyAlignment="1">
      <alignment horizontal="center"/>
    </xf>
    <xf numFmtId="164" fontId="52" fillId="0" borderId="138" xfId="44" applyNumberFormat="1" applyFont="1" applyBorder="1" applyAlignment="1">
      <alignment horizontal="center"/>
    </xf>
    <xf numFmtId="164" fontId="52" fillId="0" borderId="139" xfId="44" applyNumberFormat="1" applyFont="1" applyBorder="1" applyAlignment="1">
      <alignment horizontal="center"/>
    </xf>
    <xf numFmtId="164" fontId="52" fillId="0" borderId="108" xfId="44" applyNumberFormat="1" applyFont="1" applyBorder="1" applyAlignment="1">
      <alignment horizontal="center"/>
    </xf>
    <xf numFmtId="164" fontId="52" fillId="0" borderId="140" xfId="44" applyNumberFormat="1" applyFont="1" applyBorder="1" applyAlignment="1">
      <alignment horizontal="center"/>
    </xf>
    <xf numFmtId="164" fontId="52" fillId="0" borderId="141" xfId="44" applyNumberFormat="1" applyFont="1" applyBorder="1" applyAlignment="1">
      <alignment horizontal="center"/>
    </xf>
    <xf numFmtId="0" fontId="53" fillId="0" borderId="73" xfId="41" applyFont="1" applyBorder="1"/>
    <xf numFmtId="1" fontId="52" fillId="0" borderId="115" xfId="41" applyNumberFormat="1" applyFont="1" applyFill="1" applyBorder="1"/>
    <xf numFmtId="1" fontId="52" fillId="0" borderId="42" xfId="41" applyNumberFormat="1" applyFont="1" applyFill="1" applyBorder="1"/>
    <xf numFmtId="1" fontId="52" fillId="0" borderId="117" xfId="41" applyNumberFormat="1" applyFont="1" applyFill="1" applyBorder="1"/>
    <xf numFmtId="10" fontId="53" fillId="0" borderId="26" xfId="41" applyNumberFormat="1" applyFont="1" applyBorder="1"/>
    <xf numFmtId="0" fontId="0" fillId="26" borderId="0" xfId="0" applyFill="1"/>
    <xf numFmtId="0" fontId="6" fillId="26" borderId="74" xfId="0" applyFont="1" applyFill="1" applyBorder="1" applyAlignment="1"/>
    <xf numFmtId="0" fontId="0" fillId="26" borderId="74" xfId="0" applyFill="1" applyBorder="1" applyAlignment="1"/>
    <xf numFmtId="0" fontId="57" fillId="0" borderId="77" xfId="0" applyFont="1" applyBorder="1"/>
    <xf numFmtId="0" fontId="0" fillId="0" borderId="79" xfId="0" applyBorder="1" applyAlignment="1">
      <alignment wrapText="1"/>
    </xf>
    <xf numFmtId="0" fontId="0" fillId="0" borderId="142" xfId="0" applyBorder="1" applyAlignment="1">
      <alignment vertical="top"/>
    </xf>
    <xf numFmtId="0" fontId="0" fillId="0" borderId="144" xfId="0" applyBorder="1" applyAlignment="1">
      <alignment vertical="top"/>
    </xf>
    <xf numFmtId="0" fontId="0" fillId="0" borderId="146" xfId="0" applyBorder="1" applyAlignment="1">
      <alignment vertical="top"/>
    </xf>
    <xf numFmtId="0" fontId="0" fillId="0" borderId="149" xfId="0" applyBorder="1" applyAlignment="1">
      <alignment vertical="top"/>
    </xf>
    <xf numFmtId="0" fontId="0" fillId="0" borderId="150" xfId="0" applyBorder="1" applyAlignment="1">
      <alignment wrapText="1"/>
    </xf>
    <xf numFmtId="0" fontId="0" fillId="0" borderId="151" xfId="0" applyBorder="1" applyAlignment="1">
      <alignment vertical="top"/>
    </xf>
    <xf numFmtId="0" fontId="6" fillId="0" borderId="150" xfId="0" applyFont="1" applyBorder="1" applyAlignment="1">
      <alignment wrapText="1"/>
    </xf>
    <xf numFmtId="0" fontId="6" fillId="0" borderId="148" xfId="0" applyFont="1" applyBorder="1" applyAlignment="1">
      <alignment wrapText="1"/>
    </xf>
    <xf numFmtId="0" fontId="0" fillId="0" borderId="152" xfId="0" applyBorder="1" applyAlignment="1">
      <alignment vertical="top"/>
    </xf>
    <xf numFmtId="0" fontId="0" fillId="26" borderId="0" xfId="0" applyFill="1" applyAlignment="1">
      <alignment wrapText="1"/>
    </xf>
    <xf numFmtId="0" fontId="20" fillId="25" borderId="146" xfId="0" applyFont="1" applyFill="1" applyBorder="1"/>
    <xf numFmtId="0" fontId="20" fillId="25" borderId="145" xfId="0" applyFont="1" applyFill="1" applyBorder="1" applyAlignment="1">
      <alignment wrapText="1"/>
    </xf>
    <xf numFmtId="0" fontId="0" fillId="0" borderId="152" xfId="0" applyBorder="1"/>
    <xf numFmtId="0" fontId="6" fillId="0" borderId="153" xfId="0" applyFont="1" applyBorder="1" applyAlignment="1">
      <alignment wrapText="1"/>
    </xf>
    <xf numFmtId="0" fontId="0" fillId="0" borderId="146" xfId="0" applyBorder="1"/>
    <xf numFmtId="0" fontId="0" fillId="0" borderId="153" xfId="0" applyBorder="1" applyAlignment="1">
      <alignment wrapText="1"/>
    </xf>
    <xf numFmtId="0" fontId="0" fillId="0" borderId="154" xfId="0" applyBorder="1" applyAlignment="1">
      <alignment wrapText="1"/>
    </xf>
    <xf numFmtId="0" fontId="0" fillId="0" borderId="145" xfId="0" applyBorder="1" applyAlignment="1">
      <alignment wrapText="1"/>
    </xf>
    <xf numFmtId="0" fontId="58" fillId="26" borderId="0" xfId="0" applyFont="1" applyFill="1"/>
    <xf numFmtId="0" fontId="53" fillId="0" borderId="155" xfId="41" applyFont="1" applyBorder="1" applyAlignment="1">
      <alignment horizontal="center"/>
    </xf>
    <xf numFmtId="10" fontId="53" fillId="0" borderId="156" xfId="44" applyNumberFormat="1" applyFont="1" applyBorder="1" applyAlignment="1">
      <alignment horizontal="center"/>
    </xf>
    <xf numFmtId="164" fontId="52" fillId="0" borderId="157" xfId="44" applyNumberFormat="1" applyFont="1" applyBorder="1" applyAlignment="1">
      <alignment horizontal="center"/>
    </xf>
    <xf numFmtId="164" fontId="52" fillId="0" borderId="109" xfId="44" applyNumberFormat="1" applyFont="1" applyBorder="1" applyAlignment="1">
      <alignment horizontal="center"/>
    </xf>
    <xf numFmtId="164" fontId="52" fillId="0" borderId="158" xfId="44" applyNumberFormat="1" applyFont="1" applyBorder="1" applyAlignment="1">
      <alignment horizontal="center"/>
    </xf>
    <xf numFmtId="0" fontId="52" fillId="0" borderId="10" xfId="41" applyFont="1" applyBorder="1"/>
    <xf numFmtId="0" fontId="53" fillId="0" borderId="45" xfId="41" applyFont="1" applyBorder="1"/>
    <xf numFmtId="164" fontId="53" fillId="0" borderId="110" xfId="44" applyNumberFormat="1" applyFont="1" applyBorder="1"/>
    <xf numFmtId="0" fontId="52" fillId="0" borderId="120" xfId="41" applyFont="1" applyBorder="1"/>
    <xf numFmtId="10" fontId="53" fillId="0" borderId="120" xfId="41" applyNumberFormat="1" applyFont="1" applyBorder="1"/>
    <xf numFmtId="164" fontId="52" fillId="0" borderId="110" xfId="44" applyNumberFormat="1" applyFont="1" applyBorder="1" applyAlignment="1">
      <alignment horizontal="center"/>
    </xf>
    <xf numFmtId="0" fontId="53" fillId="0" borderId="120" xfId="41" applyFont="1" applyBorder="1"/>
    <xf numFmtId="0" fontId="30" fillId="0" borderId="39" xfId="40" applyFont="1" applyBorder="1" applyAlignment="1">
      <alignment horizontal="center"/>
    </xf>
    <xf numFmtId="167" fontId="1" fillId="0" borderId="39" xfId="45" applyNumberFormat="1" applyFont="1" applyBorder="1"/>
    <xf numFmtId="0" fontId="30" fillId="0" borderId="41" xfId="40" applyFont="1" applyFill="1" applyBorder="1"/>
    <xf numFmtId="0" fontId="30" fillId="0" borderId="39" xfId="40" applyFont="1" applyFill="1" applyBorder="1" applyAlignment="1">
      <alignment horizontal="center"/>
    </xf>
    <xf numFmtId="0" fontId="30" fillId="0" borderId="40" xfId="40" applyFont="1" applyFill="1" applyBorder="1" applyAlignment="1">
      <alignment horizontal="center"/>
    </xf>
    <xf numFmtId="167" fontId="1" fillId="0" borderId="39" xfId="45" applyNumberFormat="1" applyFont="1" applyFill="1" applyBorder="1"/>
    <xf numFmtId="167" fontId="1" fillId="0" borderId="40" xfId="45" applyNumberFormat="1" applyFont="1" applyFill="1" applyBorder="1"/>
    <xf numFmtId="164" fontId="30" fillId="0" borderId="41" xfId="40" applyNumberFormat="1" applyFont="1" applyFill="1" applyBorder="1"/>
    <xf numFmtId="0" fontId="25" fillId="0" borderId="0" xfId="40" applyFont="1" applyFill="1"/>
    <xf numFmtId="0" fontId="25" fillId="0" borderId="0" xfId="40" applyFont="1" applyFill="1" applyBorder="1" applyAlignment="1">
      <alignment horizontal="center"/>
    </xf>
    <xf numFmtId="0" fontId="25" fillId="0" borderId="0" xfId="40" applyFont="1" applyFill="1" applyBorder="1"/>
    <xf numFmtId="0" fontId="30" fillId="0" borderId="27" xfId="40" applyFont="1" applyFill="1" applyBorder="1"/>
    <xf numFmtId="0" fontId="30" fillId="0" borderId="28" xfId="40" applyFont="1" applyFill="1" applyBorder="1"/>
    <xf numFmtId="0" fontId="30" fillId="0" borderId="73" xfId="40" applyFont="1" applyFill="1" applyBorder="1" applyAlignment="1">
      <alignment horizontal="center"/>
    </xf>
    <xf numFmtId="0" fontId="30" fillId="0" borderId="28" xfId="40" applyFont="1" applyFill="1" applyBorder="1" applyAlignment="1">
      <alignment horizontal="center"/>
    </xf>
    <xf numFmtId="0" fontId="30" fillId="0" borderId="34" xfId="40" applyFont="1" applyFill="1" applyBorder="1" applyAlignment="1">
      <alignment horizontal="center"/>
    </xf>
    <xf numFmtId="0" fontId="30" fillId="0" borderId="52" xfId="40" applyFont="1" applyFill="1" applyBorder="1" applyAlignment="1">
      <alignment horizontal="center"/>
    </xf>
    <xf numFmtId="0" fontId="0" fillId="0" borderId="150" xfId="0" applyBorder="1" applyAlignment="1">
      <alignment horizontal="left" wrapText="1" indent="1"/>
    </xf>
    <xf numFmtId="0" fontId="0" fillId="0" borderId="150" xfId="0" applyBorder="1" applyAlignment="1">
      <alignment horizontal="left" wrapText="1"/>
    </xf>
    <xf numFmtId="0" fontId="25" fillId="0" borderId="0" xfId="40" applyFont="1" applyFill="1" applyBorder="1" applyAlignment="1">
      <alignment horizontal="left"/>
    </xf>
    <xf numFmtId="0" fontId="6" fillId="0" borderId="145" xfId="0" applyFont="1" applyBorder="1" applyAlignment="1">
      <alignment horizontal="left" wrapText="1" indent="1"/>
    </xf>
    <xf numFmtId="0" fontId="29" fillId="0" borderId="52" xfId="0" applyFont="1" applyFill="1" applyBorder="1"/>
    <xf numFmtId="0" fontId="29" fillId="0" borderId="40" xfId="0" applyFont="1" applyFill="1" applyBorder="1" applyAlignment="1">
      <alignment horizontal="right"/>
    </xf>
    <xf numFmtId="3" fontId="29" fillId="0" borderId="99" xfId="0" applyNumberFormat="1" applyFont="1" applyFill="1" applyBorder="1" applyAlignment="1">
      <alignment horizontal="center"/>
    </xf>
    <xf numFmtId="164" fontId="29" fillId="0" borderId="48" xfId="44" applyNumberFormat="1" applyFont="1" applyFill="1" applyBorder="1" applyAlignment="1">
      <alignment horizontal="center"/>
    </xf>
    <xf numFmtId="164" fontId="29" fillId="0" borderId="123" xfId="44" applyNumberFormat="1" applyFont="1" applyFill="1" applyBorder="1" applyAlignment="1">
      <alignment horizontal="center"/>
    </xf>
    <xf numFmtId="164" fontId="48" fillId="0" borderId="51" xfId="44" applyNumberFormat="1" applyFont="1" applyFill="1" applyBorder="1" applyAlignment="1">
      <alignment horizontal="center"/>
    </xf>
    <xf numFmtId="2" fontId="48" fillId="0" borderId="51" xfId="0" applyNumberFormat="1" applyFont="1" applyFill="1" applyBorder="1" applyAlignment="1">
      <alignment horizontal="center"/>
    </xf>
    <xf numFmtId="0" fontId="30" fillId="0" borderId="26" xfId="40" applyFont="1" applyFill="1" applyBorder="1" applyAlignment="1">
      <alignment horizontal="center" wrapText="1"/>
    </xf>
    <xf numFmtId="0" fontId="30" fillId="0" borderId="50" xfId="40" applyFont="1" applyFill="1" applyBorder="1" applyAlignment="1">
      <alignment horizontal="center" wrapText="1"/>
    </xf>
    <xf numFmtId="0" fontId="30" fillId="0" borderId="45" xfId="40" applyFont="1" applyFill="1" applyBorder="1" applyAlignment="1">
      <alignment horizontal="center" wrapText="1"/>
    </xf>
    <xf numFmtId="164" fontId="30" fillId="0" borderId="164" xfId="44" applyNumberFormat="1" applyFont="1" applyFill="1" applyBorder="1" applyAlignment="1">
      <alignment horizontal="center"/>
    </xf>
    <xf numFmtId="164" fontId="30" fillId="0" borderId="165" xfId="44" applyNumberFormat="1" applyFont="1" applyFill="1" applyBorder="1" applyAlignment="1">
      <alignment horizontal="center"/>
    </xf>
    <xf numFmtId="164" fontId="30" fillId="0" borderId="168" xfId="44" applyNumberFormat="1" applyFont="1" applyFill="1" applyBorder="1" applyAlignment="1">
      <alignment horizontal="center"/>
    </xf>
    <xf numFmtId="164" fontId="30" fillId="0" borderId="22" xfId="44" applyNumberFormat="1" applyFont="1" applyFill="1" applyBorder="1" applyAlignment="1">
      <alignment horizontal="center"/>
    </xf>
    <xf numFmtId="164" fontId="30" fillId="0" borderId="15" xfId="44" applyNumberFormat="1" applyFont="1" applyFill="1" applyBorder="1" applyAlignment="1">
      <alignment horizontal="center"/>
    </xf>
    <xf numFmtId="164" fontId="30" fillId="0" borderId="24" xfId="44" applyNumberFormat="1" applyFont="1" applyFill="1" applyBorder="1" applyAlignment="1">
      <alignment horizontal="center"/>
    </xf>
    <xf numFmtId="164" fontId="30" fillId="0" borderId="159" xfId="44" applyNumberFormat="1" applyFont="1" applyFill="1" applyBorder="1" applyAlignment="1">
      <alignment horizontal="center"/>
    </xf>
    <xf numFmtId="164" fontId="30" fillId="0" borderId="160" xfId="44" applyNumberFormat="1" applyFont="1" applyFill="1" applyBorder="1" applyAlignment="1">
      <alignment horizontal="center"/>
    </xf>
    <xf numFmtId="164" fontId="30" fillId="0" borderId="162" xfId="44" applyNumberFormat="1" applyFont="1" applyFill="1" applyBorder="1" applyAlignment="1">
      <alignment horizontal="center"/>
    </xf>
    <xf numFmtId="0" fontId="30" fillId="0" borderId="169" xfId="40" applyFont="1" applyFill="1" applyBorder="1" applyAlignment="1">
      <alignment horizontal="center"/>
    </xf>
    <xf numFmtId="164" fontId="30" fillId="0" borderId="163" xfId="44" applyNumberFormat="1" applyFont="1" applyFill="1" applyBorder="1" applyAlignment="1">
      <alignment horizontal="center"/>
    </xf>
    <xf numFmtId="164" fontId="30" fillId="0" borderId="12" xfId="44" applyNumberFormat="1" applyFont="1" applyFill="1" applyBorder="1" applyAlignment="1">
      <alignment horizontal="center"/>
    </xf>
    <xf numFmtId="164" fontId="30" fillId="0" borderId="54" xfId="44" applyNumberFormat="1" applyFont="1" applyFill="1" applyBorder="1" applyAlignment="1">
      <alignment horizontal="center"/>
    </xf>
    <xf numFmtId="164" fontId="30" fillId="0" borderId="170" xfId="44" applyNumberFormat="1" applyFont="1" applyFill="1" applyBorder="1" applyAlignment="1">
      <alignment horizontal="center"/>
    </xf>
    <xf numFmtId="164" fontId="30" fillId="0" borderId="171" xfId="44" applyNumberFormat="1" applyFont="1" applyFill="1" applyBorder="1" applyAlignment="1">
      <alignment horizontal="center"/>
    </xf>
    <xf numFmtId="164" fontId="30" fillId="0" borderId="23" xfId="44" applyNumberFormat="1" applyFont="1" applyFill="1" applyBorder="1" applyAlignment="1">
      <alignment horizontal="center"/>
    </xf>
    <xf numFmtId="164" fontId="30" fillId="0" borderId="17" xfId="44" applyNumberFormat="1" applyFont="1" applyFill="1" applyBorder="1" applyAlignment="1">
      <alignment horizontal="center"/>
    </xf>
    <xf numFmtId="164" fontId="30" fillId="0" borderId="19" xfId="44" applyNumberFormat="1" applyFont="1" applyFill="1" applyBorder="1" applyAlignment="1">
      <alignment horizontal="center"/>
    </xf>
    <xf numFmtId="164" fontId="45" fillId="0" borderId="62" xfId="44" applyNumberFormat="1" applyFont="1" applyFill="1" applyBorder="1" applyAlignment="1">
      <alignment horizontal="center"/>
    </xf>
    <xf numFmtId="164" fontId="45" fillId="0" borderId="16" xfId="44" applyNumberFormat="1" applyFont="1" applyFill="1" applyBorder="1" applyAlignment="1">
      <alignment horizontal="center"/>
    </xf>
    <xf numFmtId="164" fontId="45" fillId="0" borderId="68" xfId="44" applyNumberFormat="1" applyFont="1" applyFill="1" applyBorder="1" applyAlignment="1">
      <alignment horizontal="center"/>
    </xf>
    <xf numFmtId="164" fontId="44" fillId="0" borderId="36" xfId="44" applyNumberFormat="1" applyFont="1" applyFill="1" applyBorder="1" applyAlignment="1">
      <alignment horizontal="center"/>
    </xf>
    <xf numFmtId="164" fontId="44" fillId="0" borderId="37" xfId="44" applyNumberFormat="1" applyFont="1" applyFill="1" applyBorder="1" applyAlignment="1">
      <alignment horizontal="center"/>
    </xf>
    <xf numFmtId="164" fontId="44" fillId="0" borderId="35" xfId="44" applyNumberFormat="1" applyFont="1" applyFill="1" applyBorder="1" applyAlignment="1">
      <alignment horizontal="center"/>
    </xf>
    <xf numFmtId="3" fontId="44" fillId="0" borderId="36" xfId="0" applyNumberFormat="1" applyFont="1" applyFill="1" applyBorder="1" applyAlignment="1">
      <alignment horizontal="center"/>
    </xf>
    <xf numFmtId="3" fontId="44" fillId="0" borderId="37" xfId="0" applyNumberFormat="1" applyFont="1" applyFill="1" applyBorder="1" applyAlignment="1">
      <alignment horizontal="center"/>
    </xf>
    <xf numFmtId="3" fontId="44" fillId="0" borderId="35" xfId="0" applyNumberFormat="1" applyFont="1" applyFill="1" applyBorder="1" applyAlignment="1">
      <alignment horizontal="center"/>
    </xf>
    <xf numFmtId="0" fontId="45" fillId="0" borderId="33" xfId="0" applyFont="1" applyBorder="1" applyAlignment="1">
      <alignment horizontal="right"/>
    </xf>
    <xf numFmtId="0" fontId="45" fillId="0" borderId="29" xfId="0" applyFont="1" applyBorder="1" applyAlignment="1">
      <alignment horizontal="right"/>
    </xf>
    <xf numFmtId="0" fontId="45" fillId="0" borderId="172" xfId="0" applyFont="1" applyBorder="1" applyAlignment="1">
      <alignment horizontal="right"/>
    </xf>
    <xf numFmtId="3" fontId="44" fillId="24" borderId="60" xfId="0" applyNumberFormat="1" applyFont="1" applyFill="1" applyBorder="1" applyAlignment="1"/>
    <xf numFmtId="3" fontId="45" fillId="0" borderId="56" xfId="0" applyNumberFormat="1" applyFont="1" applyBorder="1" applyAlignment="1">
      <alignment horizontal="right"/>
    </xf>
    <xf numFmtId="3" fontId="44" fillId="24" borderId="22" xfId="0" applyNumberFormat="1" applyFont="1" applyFill="1" applyBorder="1" applyAlignment="1"/>
    <xf numFmtId="3" fontId="45" fillId="0" borderId="24" xfId="0" applyNumberFormat="1" applyFont="1" applyBorder="1" applyAlignment="1">
      <alignment horizontal="right"/>
    </xf>
    <xf numFmtId="3" fontId="44" fillId="24" borderId="65" xfId="0" applyNumberFormat="1" applyFont="1" applyFill="1" applyBorder="1" applyAlignment="1"/>
    <xf numFmtId="3" fontId="45" fillId="0" borderId="66" xfId="0" applyNumberFormat="1" applyFont="1" applyBorder="1" applyAlignment="1">
      <alignment horizontal="right"/>
    </xf>
    <xf numFmtId="0" fontId="0" fillId="0" borderId="154" xfId="0" applyBorder="1" applyAlignment="1">
      <alignment horizontal="left" wrapText="1" indent="1"/>
    </xf>
    <xf numFmtId="3" fontId="30" fillId="0" borderId="164" xfId="44" applyNumberFormat="1" applyFont="1" applyFill="1" applyBorder="1" applyAlignment="1">
      <alignment horizontal="center"/>
    </xf>
    <xf numFmtId="3" fontId="30" fillId="0" borderId="165" xfId="44" applyNumberFormat="1" applyFont="1" applyFill="1" applyBorder="1" applyAlignment="1">
      <alignment horizontal="center"/>
    </xf>
    <xf numFmtId="3" fontId="30" fillId="0" borderId="168" xfId="44" applyNumberFormat="1" applyFont="1" applyFill="1" applyBorder="1" applyAlignment="1">
      <alignment horizontal="center"/>
    </xf>
    <xf numFmtId="3" fontId="30" fillId="0" borderId="22" xfId="44" applyNumberFormat="1" applyFont="1" applyFill="1" applyBorder="1" applyAlignment="1">
      <alignment horizontal="center"/>
    </xf>
    <xf numFmtId="3" fontId="30" fillId="0" borderId="15" xfId="44" applyNumberFormat="1" applyFont="1" applyFill="1" applyBorder="1" applyAlignment="1">
      <alignment horizontal="center"/>
    </xf>
    <xf numFmtId="3" fontId="30" fillId="0" borderId="24" xfId="44" applyNumberFormat="1" applyFont="1" applyFill="1" applyBorder="1" applyAlignment="1">
      <alignment horizontal="center"/>
    </xf>
    <xf numFmtId="3" fontId="30" fillId="0" borderId="159" xfId="44" applyNumberFormat="1" applyFont="1" applyFill="1" applyBorder="1" applyAlignment="1">
      <alignment horizontal="center"/>
    </xf>
    <xf numFmtId="3" fontId="30" fillId="0" borderId="160" xfId="44" applyNumberFormat="1" applyFont="1" applyFill="1" applyBorder="1" applyAlignment="1">
      <alignment horizontal="center"/>
    </xf>
    <xf numFmtId="3" fontId="30" fillId="0" borderId="162" xfId="44" applyNumberFormat="1" applyFont="1" applyFill="1" applyBorder="1" applyAlignment="1">
      <alignment horizontal="center"/>
    </xf>
    <xf numFmtId="3" fontId="30" fillId="0" borderId="163" xfId="44" applyNumberFormat="1" applyFont="1" applyFill="1" applyBorder="1" applyAlignment="1">
      <alignment horizontal="center"/>
    </xf>
    <xf numFmtId="3" fontId="30" fillId="0" borderId="12" xfId="44" applyNumberFormat="1" applyFont="1" applyFill="1" applyBorder="1" applyAlignment="1">
      <alignment horizontal="center"/>
    </xf>
    <xf numFmtId="3" fontId="30" fillId="0" borderId="170" xfId="44" applyNumberFormat="1" applyFont="1" applyFill="1" applyBorder="1" applyAlignment="1">
      <alignment horizontal="center"/>
    </xf>
    <xf numFmtId="3" fontId="30" fillId="0" borderId="171" xfId="44" applyNumberFormat="1" applyFont="1" applyFill="1" applyBorder="1" applyAlignment="1">
      <alignment horizontal="center"/>
    </xf>
    <xf numFmtId="3" fontId="30" fillId="0" borderId="23" xfId="44" applyNumberFormat="1" applyFont="1" applyFill="1" applyBorder="1" applyAlignment="1">
      <alignment horizontal="center"/>
    </xf>
    <xf numFmtId="3" fontId="30" fillId="0" borderId="17" xfId="44" applyNumberFormat="1" applyFont="1" applyFill="1" applyBorder="1" applyAlignment="1">
      <alignment horizontal="center"/>
    </xf>
    <xf numFmtId="3" fontId="30" fillId="0" borderId="19" xfId="44" applyNumberFormat="1" applyFont="1" applyFill="1" applyBorder="1" applyAlignment="1">
      <alignment horizontal="center"/>
    </xf>
    <xf numFmtId="0" fontId="25" fillId="0" borderId="0" xfId="40" applyFont="1" applyFill="1" applyBorder="1" applyAlignment="1">
      <alignment horizontal="left" indent="1"/>
    </xf>
    <xf numFmtId="0" fontId="25" fillId="27" borderId="0" xfId="0" applyFont="1" applyFill="1" applyBorder="1"/>
    <xf numFmtId="0" fontId="38" fillId="27" borderId="173" xfId="0" applyFont="1" applyFill="1" applyBorder="1"/>
    <xf numFmtId="0" fontId="25" fillId="27" borderId="57" xfId="0" applyFont="1" applyFill="1" applyBorder="1"/>
    <xf numFmtId="0" fontId="25" fillId="27" borderId="174" xfId="0" applyFont="1" applyFill="1" applyBorder="1"/>
    <xf numFmtId="0" fontId="25" fillId="27" borderId="40" xfId="0" applyFont="1" applyFill="1" applyBorder="1"/>
    <xf numFmtId="0" fontId="38" fillId="27" borderId="41" xfId="0" applyFont="1" applyFill="1" applyBorder="1"/>
    <xf numFmtId="0" fontId="25" fillId="27" borderId="40" xfId="0" applyFont="1" applyFill="1" applyBorder="1" applyAlignment="1"/>
    <xf numFmtId="0" fontId="25" fillId="27" borderId="0" xfId="0" applyFont="1" applyFill="1" applyBorder="1" applyAlignment="1">
      <alignment horizontal="right"/>
    </xf>
    <xf numFmtId="0" fontId="0" fillId="27" borderId="0" xfId="0" applyFill="1" applyBorder="1"/>
    <xf numFmtId="0" fontId="0" fillId="27" borderId="40" xfId="0" applyFill="1" applyBorder="1"/>
    <xf numFmtId="0" fontId="26" fillId="27" borderId="0" xfId="0" applyFont="1" applyFill="1" applyBorder="1"/>
    <xf numFmtId="0" fontId="1" fillId="28" borderId="42" xfId="41" applyFont="1" applyFill="1" applyBorder="1"/>
    <xf numFmtId="0" fontId="30" fillId="28" borderId="42" xfId="41" applyFont="1" applyFill="1" applyBorder="1"/>
    <xf numFmtId="0" fontId="25" fillId="0" borderId="22" xfId="0" applyFont="1" applyBorder="1" applyAlignment="1">
      <alignment horizontal="center"/>
    </xf>
    <xf numFmtId="0" fontId="25" fillId="29" borderId="22" xfId="0" applyFont="1" applyFill="1" applyBorder="1" applyAlignment="1">
      <alignment horizontal="center"/>
    </xf>
    <xf numFmtId="0" fontId="25" fillId="0" borderId="22" xfId="0" applyFont="1" applyFill="1" applyBorder="1" applyAlignment="1">
      <alignment horizontal="center"/>
    </xf>
    <xf numFmtId="0" fontId="25" fillId="0" borderId="0" xfId="0" applyFont="1" applyFill="1" applyBorder="1" applyAlignment="1">
      <alignment horizontal="center"/>
    </xf>
    <xf numFmtId="2" fontId="25" fillId="31" borderId="15" xfId="0" applyNumberFormat="1" applyFont="1" applyFill="1" applyBorder="1" applyAlignment="1">
      <alignment horizontal="center"/>
    </xf>
    <xf numFmtId="0" fontId="61" fillId="31" borderId="0" xfId="0" applyFont="1" applyFill="1" applyAlignment="1">
      <alignment horizontal="left"/>
    </xf>
    <xf numFmtId="0" fontId="25" fillId="31" borderId="0" xfId="0" applyFont="1" applyFill="1"/>
    <xf numFmtId="0" fontId="24" fillId="31" borderId="0" xfId="0" applyFont="1" applyFill="1" applyAlignment="1">
      <alignment horizontal="left"/>
    </xf>
    <xf numFmtId="0" fontId="39" fillId="31" borderId="0" xfId="0" applyFont="1" applyFill="1"/>
    <xf numFmtId="0" fontId="65" fillId="0" borderId="0" xfId="0" applyFont="1"/>
    <xf numFmtId="0" fontId="67" fillId="0" borderId="0" xfId="0" applyFont="1"/>
    <xf numFmtId="3" fontId="65" fillId="0" borderId="0" xfId="0" applyNumberFormat="1" applyFont="1"/>
    <xf numFmtId="3" fontId="68" fillId="0" borderId="0" xfId="0" applyNumberFormat="1" applyFont="1" applyAlignment="1"/>
    <xf numFmtId="0" fontId="69" fillId="0" borderId="0" xfId="0" applyFont="1"/>
    <xf numFmtId="168" fontId="65" fillId="0" borderId="0" xfId="0" applyNumberFormat="1" applyFont="1" applyFill="1" applyBorder="1"/>
    <xf numFmtId="0" fontId="70" fillId="0" borderId="27" xfId="0" applyFont="1" applyBorder="1"/>
    <xf numFmtId="0" fontId="70" fillId="0" borderId="43" xfId="0" applyFont="1" applyBorder="1"/>
    <xf numFmtId="0" fontId="70" fillId="0" borderId="44" xfId="0" applyFont="1" applyBorder="1"/>
    <xf numFmtId="0" fontId="72" fillId="0" borderId="45" xfId="0" applyFont="1" applyBorder="1" applyAlignment="1">
      <alignment horizontal="center"/>
    </xf>
    <xf numFmtId="0" fontId="73" fillId="0" borderId="51" xfId="0" applyFont="1" applyFill="1" applyBorder="1" applyAlignment="1">
      <alignment horizontal="center" wrapText="1"/>
    </xf>
    <xf numFmtId="0" fontId="73" fillId="0" borderId="46" xfId="0" applyFont="1" applyFill="1" applyBorder="1" applyAlignment="1">
      <alignment horizontal="center" wrapText="1"/>
    </xf>
    <xf numFmtId="0" fontId="73" fillId="0" borderId="52" xfId="0" applyFont="1" applyFill="1" applyBorder="1" applyAlignment="1">
      <alignment horizontal="center" wrapText="1"/>
    </xf>
    <xf numFmtId="0" fontId="73" fillId="0" borderId="50" xfId="0" applyFont="1" applyFill="1" applyBorder="1" applyAlignment="1">
      <alignment horizontal="center" wrapText="1"/>
    </xf>
    <xf numFmtId="0" fontId="73" fillId="0" borderId="0" xfId="0" applyFont="1" applyFill="1" applyBorder="1" applyAlignment="1">
      <alignment horizontal="center" wrapText="1"/>
    </xf>
    <xf numFmtId="0" fontId="71" fillId="0" borderId="98" xfId="41" applyFont="1" applyBorder="1" applyAlignment="1">
      <alignment horizontal="right"/>
    </xf>
    <xf numFmtId="0" fontId="74" fillId="0" borderId="102" xfId="41" applyFont="1" applyFill="1" applyBorder="1"/>
    <xf numFmtId="0" fontId="74" fillId="0" borderId="98" xfId="41" applyFont="1" applyFill="1" applyBorder="1"/>
    <xf numFmtId="0" fontId="74" fillId="0" borderId="47" xfId="41" applyFont="1" applyFill="1" applyBorder="1"/>
    <xf numFmtId="0" fontId="74" fillId="0" borderId="103" xfId="41" applyFont="1" applyBorder="1"/>
    <xf numFmtId="0" fontId="74" fillId="0" borderId="101" xfId="41" applyFont="1" applyBorder="1"/>
    <xf numFmtId="0" fontId="70" fillId="0" borderId="0" xfId="0" applyFont="1"/>
    <xf numFmtId="0" fontId="71" fillId="0" borderId="99" xfId="41" applyFont="1" applyBorder="1" applyAlignment="1">
      <alignment horizontal="right"/>
    </xf>
    <xf numFmtId="0" fontId="71" fillId="0" borderId="100" xfId="41" applyFont="1" applyBorder="1" applyAlignment="1">
      <alignment horizontal="right"/>
    </xf>
    <xf numFmtId="0" fontId="75" fillId="0" borderId="0" xfId="0" applyFont="1" applyAlignment="1">
      <alignment horizontal="left" vertical="center"/>
    </xf>
    <xf numFmtId="0" fontId="76" fillId="0" borderId="0" xfId="0" applyFont="1" applyAlignment="1">
      <alignment horizontal="centerContinuous"/>
    </xf>
    <xf numFmtId="0" fontId="76" fillId="0" borderId="0" xfId="0" applyFont="1" applyAlignment="1">
      <alignment horizontal="left" vertical="center" indent="1"/>
    </xf>
    <xf numFmtId="0" fontId="70" fillId="0" borderId="29" xfId="0" applyFont="1" applyBorder="1" applyAlignment="1">
      <alignment horizontal="center"/>
    </xf>
    <xf numFmtId="168" fontId="70" fillId="0" borderId="15" xfId="0" applyNumberFormat="1" applyFont="1" applyBorder="1" applyAlignment="1">
      <alignment horizontal="center"/>
    </xf>
    <xf numFmtId="0" fontId="70" fillId="0" borderId="30" xfId="0" applyFont="1" applyBorder="1" applyAlignment="1">
      <alignment horizontal="center"/>
    </xf>
    <xf numFmtId="168" fontId="70" fillId="0" borderId="17" xfId="0" applyNumberFormat="1" applyFont="1" applyBorder="1" applyAlignment="1">
      <alignment horizontal="center"/>
    </xf>
    <xf numFmtId="0" fontId="70" fillId="0" borderId="31" xfId="0" applyFont="1" applyBorder="1" applyAlignment="1">
      <alignment horizontal="center"/>
    </xf>
    <xf numFmtId="168" fontId="70" fillId="0" borderId="12" xfId="0" applyNumberFormat="1" applyFont="1" applyBorder="1" applyAlignment="1">
      <alignment horizontal="center"/>
    </xf>
    <xf numFmtId="168" fontId="70" fillId="0" borderId="15" xfId="0" applyNumberFormat="1" applyFont="1" applyFill="1" applyBorder="1" applyAlignment="1">
      <alignment horizontal="center"/>
    </xf>
    <xf numFmtId="0" fontId="70" fillId="0" borderId="32" xfId="0" applyFont="1" applyBorder="1" applyAlignment="1">
      <alignment horizontal="center"/>
    </xf>
    <xf numFmtId="168" fontId="70" fillId="0" borderId="20" xfId="0" applyNumberFormat="1" applyFont="1" applyBorder="1" applyAlignment="1">
      <alignment horizontal="center"/>
    </xf>
    <xf numFmtId="0" fontId="70" fillId="0" borderId="33" xfId="0" applyFont="1" applyBorder="1" applyAlignment="1">
      <alignment horizontal="center"/>
    </xf>
    <xf numFmtId="168" fontId="70" fillId="0" borderId="21" xfId="0" applyNumberFormat="1" applyFont="1" applyBorder="1" applyAlignment="1">
      <alignment horizontal="center"/>
    </xf>
    <xf numFmtId="0" fontId="65" fillId="0" borderId="0" xfId="0" applyFont="1" applyAlignment="1">
      <alignment horizontal="center"/>
    </xf>
    <xf numFmtId="3" fontId="65" fillId="0" borderId="0" xfId="0" applyNumberFormat="1" applyFont="1" applyAlignment="1">
      <alignment horizontal="center"/>
    </xf>
    <xf numFmtId="0" fontId="65" fillId="24" borderId="53" xfId="0" applyFont="1" applyFill="1" applyBorder="1"/>
    <xf numFmtId="0" fontId="65" fillId="0" borderId="0" xfId="0" quotePrefix="1" applyFont="1" applyBorder="1"/>
    <xf numFmtId="0" fontId="65" fillId="0" borderId="0" xfId="0" applyFont="1" applyBorder="1"/>
    <xf numFmtId="5" fontId="65" fillId="0" borderId="0" xfId="50" applyNumberFormat="1" applyFont="1"/>
    <xf numFmtId="164" fontId="52" fillId="0" borderId="0" xfId="41" applyNumberFormat="1" applyFont="1"/>
    <xf numFmtId="0" fontId="52" fillId="0" borderId="0" xfId="41" applyFont="1" applyFill="1" applyAlignment="1">
      <alignment horizontal="right"/>
    </xf>
    <xf numFmtId="0" fontId="71" fillId="0" borderId="10" xfId="41" applyFont="1" applyBorder="1" applyAlignment="1">
      <alignment horizontal="right"/>
    </xf>
    <xf numFmtId="0" fontId="34" fillId="0" borderId="10" xfId="41" applyFont="1" applyBorder="1" applyAlignment="1">
      <alignment horizontal="right"/>
    </xf>
    <xf numFmtId="2" fontId="25" fillId="0" borderId="42" xfId="0" applyNumberFormat="1" applyFont="1" applyFill="1" applyBorder="1"/>
    <xf numFmtId="2" fontId="25" fillId="29" borderId="42" xfId="0" applyNumberFormat="1" applyFont="1" applyFill="1" applyBorder="1"/>
    <xf numFmtId="171" fontId="24" fillId="0" borderId="176" xfId="0" applyNumberFormat="1" applyFont="1" applyFill="1" applyBorder="1" applyAlignment="1" applyProtection="1">
      <alignment horizontal="center"/>
    </xf>
    <xf numFmtId="2" fontId="25" fillId="0" borderId="183" xfId="0" applyNumberFormat="1" applyFont="1" applyFill="1" applyBorder="1"/>
    <xf numFmtId="2" fontId="25" fillId="0" borderId="177" xfId="0" applyNumberFormat="1" applyFont="1" applyFill="1" applyBorder="1"/>
    <xf numFmtId="171" fontId="24" fillId="0" borderId="99" xfId="0" applyNumberFormat="1" applyFont="1" applyFill="1" applyBorder="1" applyAlignment="1" applyProtection="1">
      <alignment horizontal="center"/>
    </xf>
    <xf numFmtId="2" fontId="25" fillId="0" borderId="48" xfId="0" applyNumberFormat="1" applyFont="1" applyFill="1" applyBorder="1"/>
    <xf numFmtId="171" fontId="24" fillId="29" borderId="99" xfId="0" applyNumberFormat="1" applyFont="1" applyFill="1" applyBorder="1" applyAlignment="1" applyProtection="1">
      <alignment horizontal="center"/>
    </xf>
    <xf numFmtId="2" fontId="25" fillId="29" borderId="48" xfId="0" applyNumberFormat="1" applyFont="1" applyFill="1" applyBorder="1"/>
    <xf numFmtId="171" fontId="24" fillId="29" borderId="100" xfId="0" applyNumberFormat="1" applyFont="1" applyFill="1" applyBorder="1" applyAlignment="1" applyProtection="1">
      <alignment horizontal="center"/>
    </xf>
    <xf numFmtId="2" fontId="25" fillId="29" borderId="117" xfId="0" applyNumberFormat="1" applyFont="1" applyFill="1" applyBorder="1"/>
    <xf numFmtId="2" fontId="25" fillId="29" borderId="49" xfId="0" applyNumberFormat="1" applyFont="1" applyFill="1" applyBorder="1"/>
    <xf numFmtId="0" fontId="25" fillId="0" borderId="163" xfId="0" applyFont="1" applyBorder="1" applyAlignment="1">
      <alignment horizontal="center"/>
    </xf>
    <xf numFmtId="0" fontId="25" fillId="0" borderId="176" xfId="0" quotePrefix="1" applyFont="1" applyBorder="1" applyAlignment="1">
      <alignment horizontal="left"/>
    </xf>
    <xf numFmtId="0" fontId="24" fillId="0" borderId="177" xfId="0" applyFont="1" applyFill="1" applyBorder="1" applyAlignment="1">
      <alignment horizontal="center"/>
    </xf>
    <xf numFmtId="0" fontId="25" fillId="0" borderId="99" xfId="0" applyFont="1" applyBorder="1"/>
    <xf numFmtId="0" fontId="41" fillId="0" borderId="48" xfId="0" applyFont="1" applyFill="1" applyBorder="1" applyAlignment="1">
      <alignment horizontal="center"/>
    </xf>
    <xf numFmtId="0" fontId="25" fillId="0" borderId="100" xfId="0" applyFont="1" applyBorder="1"/>
    <xf numFmtId="0" fontId="24" fillId="30" borderId="117" xfId="0" applyFont="1" applyFill="1" applyBorder="1" applyAlignment="1">
      <alignment horizontal="center" wrapText="1"/>
    </xf>
    <xf numFmtId="0" fontId="24" fillId="0" borderId="117" xfId="0" applyFont="1" applyBorder="1" applyAlignment="1">
      <alignment horizontal="center" wrapText="1"/>
    </xf>
    <xf numFmtId="2" fontId="25" fillId="31" borderId="17" xfId="0" applyNumberFormat="1" applyFont="1" applyFill="1" applyBorder="1" applyAlignment="1">
      <alignment horizontal="center"/>
    </xf>
    <xf numFmtId="0" fontId="24" fillId="0" borderId="11" xfId="0" applyFont="1" applyFill="1" applyBorder="1" applyAlignment="1">
      <alignment horizontal="center" wrapText="1"/>
    </xf>
    <xf numFmtId="0" fontId="24" fillId="0" borderId="11" xfId="0" applyFont="1" applyBorder="1" applyAlignment="1">
      <alignment horizontal="center" wrapText="1"/>
    </xf>
    <xf numFmtId="0" fontId="24" fillId="0" borderId="132" xfId="0" applyFont="1" applyBorder="1" applyAlignment="1">
      <alignment horizontal="center" wrapText="1"/>
    </xf>
    <xf numFmtId="170" fontId="77" fillId="0" borderId="12" xfId="0" applyNumberFormat="1" applyFont="1" applyFill="1" applyBorder="1" applyAlignment="1" applyProtection="1">
      <alignment horizontal="center"/>
    </xf>
    <xf numFmtId="170" fontId="77" fillId="0" borderId="15" xfId="0" applyNumberFormat="1" applyFont="1" applyFill="1" applyBorder="1" applyAlignment="1" applyProtection="1">
      <alignment horizontal="center"/>
    </xf>
    <xf numFmtId="2" fontId="77" fillId="0" borderId="15" xfId="0" applyNumberFormat="1" applyFont="1" applyFill="1" applyBorder="1" applyAlignment="1">
      <alignment horizontal="center"/>
    </xf>
    <xf numFmtId="0" fontId="12" fillId="0" borderId="0" xfId="36" applyAlignment="1" applyProtection="1"/>
    <xf numFmtId="0" fontId="34" fillId="0" borderId="0" xfId="41" applyFont="1" applyFill="1" applyBorder="1" applyAlignment="1">
      <alignment horizontal="center" wrapText="1"/>
    </xf>
    <xf numFmtId="0" fontId="34" fillId="0" borderId="41" xfId="41" applyFont="1" applyFill="1" applyBorder="1" applyAlignment="1">
      <alignment horizontal="center" wrapText="1"/>
    </xf>
    <xf numFmtId="0" fontId="34" fillId="0" borderId="28" xfId="41" applyFont="1" applyFill="1" applyBorder="1" applyAlignment="1">
      <alignment horizontal="center" wrapText="1"/>
    </xf>
    <xf numFmtId="0" fontId="34" fillId="0" borderId="26" xfId="41" applyFont="1" applyFill="1" applyBorder="1" applyAlignment="1">
      <alignment horizontal="center" wrapText="1"/>
    </xf>
    <xf numFmtId="0" fontId="52" fillId="25" borderId="183" xfId="41" applyFont="1" applyFill="1" applyBorder="1"/>
    <xf numFmtId="0" fontId="52" fillId="0" borderId="183" xfId="41" applyFont="1" applyFill="1" applyBorder="1"/>
    <xf numFmtId="168" fontId="52" fillId="0" borderId="183" xfId="41" applyNumberFormat="1" applyFont="1" applyFill="1" applyBorder="1"/>
    <xf numFmtId="168" fontId="52" fillId="25" borderId="177" xfId="44" applyNumberFormat="1" applyFont="1" applyFill="1" applyBorder="1"/>
    <xf numFmtId="0" fontId="52" fillId="0" borderId="34" xfId="41" applyFont="1" applyFill="1" applyBorder="1"/>
    <xf numFmtId="0" fontId="52" fillId="0" borderId="59" xfId="41" applyFont="1" applyFill="1" applyBorder="1"/>
    <xf numFmtId="0" fontId="52" fillId="0" borderId="70" xfId="41" applyFont="1" applyFill="1" applyBorder="1" applyAlignment="1"/>
    <xf numFmtId="0" fontId="52" fillId="0" borderId="71" xfId="41" applyFont="1" applyFill="1" applyBorder="1" applyAlignment="1"/>
    <xf numFmtId="0" fontId="52" fillId="0" borderId="73" xfId="41" applyFont="1" applyFill="1" applyBorder="1" applyAlignment="1"/>
    <xf numFmtId="0" fontId="52" fillId="0" borderId="74" xfId="41" applyFont="1" applyFill="1" applyBorder="1" applyAlignment="1"/>
    <xf numFmtId="0" fontId="52" fillId="0" borderId="73" xfId="41" applyFont="1" applyFill="1" applyBorder="1" applyAlignment="1">
      <alignment horizontal="left"/>
    </xf>
    <xf numFmtId="0" fontId="52" fillId="0" borderId="74" xfId="41" applyFont="1" applyFill="1" applyBorder="1" applyAlignment="1">
      <alignment horizontal="left"/>
    </xf>
    <xf numFmtId="0" fontId="34" fillId="0" borderId="130" xfId="41" applyFont="1" applyFill="1" applyBorder="1" applyAlignment="1">
      <alignment horizontal="right"/>
    </xf>
    <xf numFmtId="0" fontId="34" fillId="0" borderId="104" xfId="41" applyFont="1" applyFill="1" applyBorder="1" applyAlignment="1">
      <alignment horizontal="right"/>
    </xf>
    <xf numFmtId="0" fontId="34" fillId="0" borderId="106" xfId="41" applyFont="1" applyFill="1" applyBorder="1" applyAlignment="1">
      <alignment horizontal="right"/>
    </xf>
    <xf numFmtId="0" fontId="34" fillId="0" borderId="0" xfId="41" applyFont="1" applyBorder="1" applyAlignment="1"/>
    <xf numFmtId="0" fontId="52" fillId="0" borderId="77" xfId="41" applyNumberFormat="1" applyFont="1" applyBorder="1" applyAlignment="1">
      <alignment horizontal="center"/>
    </xf>
    <xf numFmtId="0" fontId="52" fillId="0" borderId="105" xfId="41" applyNumberFormat="1" applyFont="1" applyBorder="1" applyAlignment="1">
      <alignment horizontal="center"/>
    </xf>
    <xf numFmtId="165" fontId="52" fillId="0" borderId="103" xfId="44" applyNumberFormat="1" applyFont="1" applyBorder="1" applyAlignment="1">
      <alignment horizontal="center"/>
    </xf>
    <xf numFmtId="165" fontId="52" fillId="0" borderId="79" xfId="44" applyNumberFormat="1" applyFont="1" applyBorder="1" applyAlignment="1">
      <alignment horizontal="center"/>
    </xf>
    <xf numFmtId="165" fontId="52" fillId="0" borderId="107" xfId="44" applyNumberFormat="1" applyFont="1" applyBorder="1" applyAlignment="1">
      <alignment horizontal="center"/>
    </xf>
    <xf numFmtId="164" fontId="52" fillId="0" borderId="77" xfId="44" applyNumberFormat="1" applyFont="1" applyBorder="1" applyAlignment="1">
      <alignment horizontal="center"/>
    </xf>
    <xf numFmtId="165" fontId="52" fillId="0" borderId="77" xfId="44" applyNumberFormat="1" applyFont="1" applyBorder="1" applyAlignment="1">
      <alignment horizontal="center"/>
    </xf>
    <xf numFmtId="165" fontId="52" fillId="0" borderId="105" xfId="44" applyNumberFormat="1" applyFont="1" applyBorder="1" applyAlignment="1">
      <alignment horizontal="center"/>
    </xf>
    <xf numFmtId="0" fontId="69" fillId="0" borderId="51" xfId="0" applyFont="1" applyBorder="1" applyAlignment="1">
      <alignment wrapText="1"/>
    </xf>
    <xf numFmtId="0" fontId="69" fillId="0" borderId="95" xfId="0" applyFont="1" applyBorder="1" applyAlignment="1">
      <alignment wrapText="1"/>
    </xf>
    <xf numFmtId="0" fontId="69" fillId="0" borderId="46" xfId="0" applyFont="1" applyBorder="1" applyAlignment="1"/>
    <xf numFmtId="0" fontId="71" fillId="0" borderId="118" xfId="0" applyFont="1" applyBorder="1" applyAlignment="1"/>
    <xf numFmtId="0" fontId="71" fillId="0" borderId="121" xfId="0" applyFont="1" applyBorder="1" applyAlignment="1">
      <alignment horizontal="center" vertical="center"/>
    </xf>
    <xf numFmtId="0" fontId="71" fillId="0" borderId="46" xfId="0" applyFont="1" applyBorder="1" applyAlignment="1">
      <alignment horizontal="center" vertical="center" wrapText="1"/>
    </xf>
    <xf numFmtId="0" fontId="73" fillId="0" borderId="45" xfId="0" applyFont="1" applyBorder="1" applyAlignment="1">
      <alignment horizontal="center" vertical="center" wrapText="1"/>
    </xf>
    <xf numFmtId="0" fontId="73" fillId="0" borderId="50" xfId="0" applyFont="1" applyBorder="1" applyAlignment="1">
      <alignment horizontal="center" vertical="center" wrapText="1"/>
    </xf>
    <xf numFmtId="0" fontId="34" fillId="0" borderId="41" xfId="41" applyFont="1" applyBorder="1" applyAlignment="1"/>
    <xf numFmtId="0" fontId="52" fillId="0" borderId="102" xfId="41" applyFont="1" applyBorder="1" applyAlignment="1">
      <alignment horizontal="right"/>
    </xf>
    <xf numFmtId="0" fontId="52" fillId="0" borderId="101" xfId="41" applyNumberFormat="1" applyFont="1" applyBorder="1" applyAlignment="1">
      <alignment horizontal="center"/>
    </xf>
    <xf numFmtId="165" fontId="52" fillId="0" borderId="101" xfId="44" applyNumberFormat="1" applyFont="1" applyBorder="1" applyAlignment="1">
      <alignment horizontal="center"/>
    </xf>
    <xf numFmtId="0" fontId="78" fillId="0" borderId="0" xfId="0" applyFont="1"/>
    <xf numFmtId="0" fontId="18" fillId="0" borderId="70" xfId="41" applyFont="1" applyBorder="1" applyAlignment="1"/>
    <xf numFmtId="0" fontId="18" fillId="0" borderId="71" xfId="41" applyFont="1" applyBorder="1" applyAlignment="1"/>
    <xf numFmtId="0" fontId="18" fillId="0" borderId="72" xfId="41" applyFont="1" applyBorder="1" applyAlignment="1"/>
    <xf numFmtId="0" fontId="52" fillId="0" borderId="126" xfId="41" applyFont="1" applyBorder="1" applyAlignment="1"/>
    <xf numFmtId="0" fontId="52" fillId="0" borderId="78" xfId="41" applyFont="1" applyBorder="1" applyAlignment="1"/>
    <xf numFmtId="0" fontId="52" fillId="0" borderId="182" xfId="41" applyFont="1" applyBorder="1"/>
    <xf numFmtId="168" fontId="52" fillId="0" borderId="11" xfId="41" applyNumberFormat="1" applyFont="1" applyBorder="1"/>
    <xf numFmtId="168" fontId="52" fillId="0" borderId="173" xfId="41" applyNumberFormat="1" applyFont="1" applyBorder="1"/>
    <xf numFmtId="0" fontId="52" fillId="0" borderId="10" xfId="41" applyNumberFormat="1" applyFont="1" applyBorder="1" applyAlignment="1">
      <alignment horizontal="center"/>
    </xf>
    <xf numFmtId="0" fontId="52" fillId="0" borderId="11" xfId="41" applyNumberFormat="1" applyFont="1" applyBorder="1" applyAlignment="1">
      <alignment horizontal="center"/>
    </xf>
    <xf numFmtId="0" fontId="52" fillId="0" borderId="173" xfId="41" applyNumberFormat="1" applyFont="1" applyBorder="1" applyAlignment="1">
      <alignment horizontal="center"/>
    </xf>
    <xf numFmtId="164" fontId="52" fillId="0" borderId="10" xfId="44" applyNumberFormat="1" applyFont="1" applyBorder="1" applyAlignment="1">
      <alignment horizontal="center"/>
    </xf>
    <xf numFmtId="164" fontId="52" fillId="0" borderId="11" xfId="44" applyNumberFormat="1" applyFont="1" applyBorder="1" applyAlignment="1">
      <alignment horizontal="center"/>
    </xf>
    <xf numFmtId="164" fontId="52" fillId="0" borderId="132" xfId="44" applyNumberFormat="1" applyFont="1" applyBorder="1" applyAlignment="1">
      <alignment horizontal="center"/>
    </xf>
    <xf numFmtId="165" fontId="52" fillId="0" borderId="174" xfId="44" applyNumberFormat="1" applyFont="1" applyBorder="1" applyAlignment="1">
      <alignment horizontal="center"/>
    </xf>
    <xf numFmtId="165" fontId="52" fillId="0" borderId="11" xfId="44" applyNumberFormat="1" applyFont="1" applyBorder="1" applyAlignment="1">
      <alignment horizontal="center"/>
    </xf>
    <xf numFmtId="165" fontId="52" fillId="0" borderId="173" xfId="44" applyNumberFormat="1" applyFont="1" applyBorder="1" applyAlignment="1">
      <alignment horizontal="center"/>
    </xf>
    <xf numFmtId="165" fontId="52" fillId="0" borderId="10" xfId="44" applyNumberFormat="1" applyFont="1" applyBorder="1" applyAlignment="1">
      <alignment horizontal="center"/>
    </xf>
    <xf numFmtId="168" fontId="52" fillId="0" borderId="176" xfId="41" applyNumberFormat="1" applyFont="1" applyBorder="1"/>
    <xf numFmtId="168" fontId="52" fillId="0" borderId="183" xfId="41" applyNumberFormat="1" applyFont="1" applyBorder="1"/>
    <xf numFmtId="168" fontId="52" fillId="0" borderId="180" xfId="41" applyNumberFormat="1" applyFont="1" applyBorder="1"/>
    <xf numFmtId="0" fontId="52" fillId="0" borderId="176" xfId="41" applyNumberFormat="1" applyFont="1" applyBorder="1" applyAlignment="1">
      <alignment horizontal="center"/>
    </xf>
    <xf numFmtId="0" fontId="52" fillId="0" borderId="183" xfId="41" applyNumberFormat="1" applyFont="1" applyBorder="1" applyAlignment="1">
      <alignment horizontal="center"/>
    </xf>
    <xf numFmtId="0" fontId="52" fillId="0" borderId="180" xfId="41" applyNumberFormat="1" applyFont="1" applyBorder="1" applyAlignment="1">
      <alignment horizontal="center"/>
    </xf>
    <xf numFmtId="164" fontId="52" fillId="0" borderId="176" xfId="44" applyNumberFormat="1" applyFont="1" applyBorder="1" applyAlignment="1">
      <alignment horizontal="center"/>
    </xf>
    <xf numFmtId="164" fontId="52" fillId="0" borderId="183" xfId="44" applyNumberFormat="1" applyFont="1" applyBorder="1" applyAlignment="1">
      <alignment horizontal="center"/>
    </xf>
    <xf numFmtId="164" fontId="52" fillId="0" borderId="177" xfId="44" applyNumberFormat="1" applyFont="1" applyBorder="1" applyAlignment="1">
      <alignment horizontal="center"/>
    </xf>
    <xf numFmtId="165" fontId="52" fillId="0" borderId="184" xfId="44" applyNumberFormat="1" applyFont="1" applyBorder="1" applyAlignment="1">
      <alignment horizontal="center"/>
    </xf>
    <xf numFmtId="165" fontId="52" fillId="0" borderId="183" xfId="44" applyNumberFormat="1" applyFont="1" applyBorder="1" applyAlignment="1">
      <alignment horizontal="center"/>
    </xf>
    <xf numFmtId="165" fontId="52" fillId="0" borderId="180" xfId="44" applyNumberFormat="1" applyFont="1" applyBorder="1" applyAlignment="1">
      <alignment horizontal="center"/>
    </xf>
    <xf numFmtId="165" fontId="52" fillId="0" borderId="176" xfId="44" applyNumberFormat="1" applyFont="1" applyBorder="1" applyAlignment="1">
      <alignment horizontal="center"/>
    </xf>
    <xf numFmtId="164" fontId="52" fillId="0" borderId="101" xfId="44" applyNumberFormat="1" applyFont="1" applyBorder="1" applyAlignment="1">
      <alignment horizontal="center"/>
    </xf>
    <xf numFmtId="164" fontId="52" fillId="0" borderId="173" xfId="44" applyNumberFormat="1" applyFont="1" applyBorder="1" applyAlignment="1">
      <alignment horizontal="center"/>
    </xf>
    <xf numFmtId="0" fontId="34" fillId="0" borderId="46" xfId="41" applyFont="1" applyBorder="1" applyAlignment="1">
      <alignment horizontal="center" wrapText="1"/>
    </xf>
    <xf numFmtId="0" fontId="34" fillId="0" borderId="51" xfId="41" applyFont="1" applyBorder="1" applyAlignment="1">
      <alignment horizontal="center" wrapText="1"/>
    </xf>
    <xf numFmtId="0" fontId="30" fillId="0" borderId="28" xfId="40" applyFont="1" applyFill="1" applyBorder="1" applyAlignment="1">
      <alignment horizontal="center"/>
    </xf>
    <xf numFmtId="0" fontId="30" fillId="0" borderId="0" xfId="40" applyFont="1" applyFill="1" applyBorder="1" applyAlignment="1">
      <alignment horizontal="center"/>
    </xf>
    <xf numFmtId="0" fontId="30" fillId="0" borderId="14" xfId="40" applyFont="1" applyFill="1" applyBorder="1" applyAlignment="1">
      <alignment horizontal="center"/>
    </xf>
    <xf numFmtId="2" fontId="25" fillId="33" borderId="15" xfId="0" applyNumberFormat="1" applyFont="1" applyFill="1" applyBorder="1" applyAlignment="1">
      <alignment horizontal="center"/>
    </xf>
    <xf numFmtId="2" fontId="25" fillId="33" borderId="17" xfId="0" applyNumberFormat="1" applyFont="1" applyFill="1" applyBorder="1" applyAlignment="1">
      <alignment horizontal="center"/>
    </xf>
    <xf numFmtId="0" fontId="24" fillId="33" borderId="0" xfId="0" applyFont="1" applyFill="1" applyAlignment="1">
      <alignment horizontal="left"/>
    </xf>
    <xf numFmtId="0" fontId="25" fillId="33" borderId="0" xfId="0" applyFont="1" applyFill="1"/>
    <xf numFmtId="0" fontId="39" fillId="33" borderId="0" xfId="0" applyFont="1" applyFill="1"/>
    <xf numFmtId="164" fontId="30" fillId="0" borderId="185" xfId="44" applyNumberFormat="1" applyFont="1" applyFill="1" applyBorder="1" applyAlignment="1">
      <alignment horizontal="center"/>
    </xf>
    <xf numFmtId="164" fontId="30" fillId="0" borderId="83" xfId="44" applyNumberFormat="1" applyFont="1" applyFill="1" applyBorder="1" applyAlignment="1">
      <alignment horizontal="center"/>
    </xf>
    <xf numFmtId="164" fontId="30" fillId="0" borderId="186" xfId="44" applyNumberFormat="1" applyFont="1" applyFill="1" applyBorder="1" applyAlignment="1">
      <alignment horizontal="center"/>
    </xf>
    <xf numFmtId="164" fontId="30" fillId="0" borderId="187" xfId="44" applyNumberFormat="1" applyFont="1" applyFill="1" applyBorder="1" applyAlignment="1">
      <alignment horizontal="center"/>
    </xf>
    <xf numFmtId="164" fontId="30" fillId="0" borderId="188" xfId="44" applyNumberFormat="1" applyFont="1" applyFill="1" applyBorder="1" applyAlignment="1">
      <alignment horizontal="center"/>
    </xf>
    <xf numFmtId="164" fontId="30" fillId="0" borderId="84" xfId="44" applyNumberFormat="1" applyFont="1" applyFill="1" applyBorder="1" applyAlignment="1">
      <alignment horizontal="center"/>
    </xf>
    <xf numFmtId="164" fontId="30" fillId="0" borderId="189" xfId="44" applyNumberFormat="1" applyFont="1" applyFill="1" applyBorder="1" applyAlignment="1">
      <alignment horizontal="center"/>
    </xf>
    <xf numFmtId="164" fontId="30" fillId="0" borderId="190" xfId="44" applyNumberFormat="1" applyFont="1" applyFill="1" applyBorder="1" applyAlignment="1">
      <alignment horizontal="center"/>
    </xf>
    <xf numFmtId="164" fontId="30" fillId="0" borderId="191" xfId="44" applyNumberFormat="1" applyFont="1" applyFill="1" applyBorder="1" applyAlignment="1">
      <alignment horizontal="center"/>
    </xf>
    <xf numFmtId="0" fontId="30" fillId="0" borderId="95" xfId="40" applyFont="1" applyFill="1" applyBorder="1" applyAlignment="1">
      <alignment horizontal="center" wrapText="1"/>
    </xf>
    <xf numFmtId="164" fontId="30" fillId="0" borderId="82" xfId="44" applyNumberFormat="1" applyFont="1" applyFill="1" applyBorder="1" applyAlignment="1">
      <alignment horizontal="center"/>
    </xf>
    <xf numFmtId="0" fontId="30" fillId="0" borderId="42" xfId="40" applyFont="1" applyFill="1" applyBorder="1" applyAlignment="1">
      <alignment horizontal="center"/>
    </xf>
    <xf numFmtId="0" fontId="30" fillId="0" borderId="11" xfId="40" applyFont="1" applyFill="1" applyBorder="1" applyAlignment="1">
      <alignment horizontal="center" wrapText="1"/>
    </xf>
    <xf numFmtId="0" fontId="30" fillId="0" borderId="48" xfId="40" applyFont="1" applyFill="1" applyBorder="1" applyAlignment="1">
      <alignment horizontal="center"/>
    </xf>
    <xf numFmtId="0" fontId="30" fillId="0" borderId="99" xfId="40" applyFont="1" applyFill="1" applyBorder="1" applyAlignment="1">
      <alignment horizontal="center"/>
    </xf>
    <xf numFmtId="164" fontId="30" fillId="0" borderId="192" xfId="44" applyNumberFormat="1" applyFont="1" applyFill="1" applyBorder="1" applyAlignment="1">
      <alignment horizontal="center"/>
    </xf>
    <xf numFmtId="164" fontId="30" fillId="0" borderId="193" xfId="44" applyNumberFormat="1" applyFont="1" applyFill="1" applyBorder="1" applyAlignment="1">
      <alignment horizontal="center"/>
    </xf>
    <xf numFmtId="164" fontId="30" fillId="0" borderId="194" xfId="44" applyNumberFormat="1" applyFont="1" applyFill="1" applyBorder="1" applyAlignment="1">
      <alignment horizontal="center"/>
    </xf>
    <xf numFmtId="164" fontId="30" fillId="0" borderId="195" xfId="44" applyNumberFormat="1" applyFont="1" applyFill="1" applyBorder="1" applyAlignment="1">
      <alignment horizontal="center"/>
    </xf>
    <xf numFmtId="164" fontId="30" fillId="0" borderId="196" xfId="44" applyNumberFormat="1" applyFont="1" applyFill="1" applyBorder="1" applyAlignment="1">
      <alignment horizontal="center"/>
    </xf>
    <xf numFmtId="164" fontId="30" fillId="0" borderId="197" xfId="44" applyNumberFormat="1" applyFont="1" applyFill="1" applyBorder="1" applyAlignment="1">
      <alignment horizontal="center"/>
    </xf>
    <xf numFmtId="164" fontId="30" fillId="0" borderId="198" xfId="44" applyNumberFormat="1" applyFont="1" applyFill="1" applyBorder="1" applyAlignment="1">
      <alignment horizontal="center"/>
    </xf>
    <xf numFmtId="164" fontId="30" fillId="0" borderId="199" xfId="44" applyNumberFormat="1" applyFont="1" applyFill="1" applyBorder="1" applyAlignment="1">
      <alignment horizontal="center"/>
    </xf>
    <xf numFmtId="164" fontId="30" fillId="0" borderId="200" xfId="44" applyNumberFormat="1" applyFont="1" applyFill="1" applyBorder="1" applyAlignment="1">
      <alignment horizontal="center"/>
    </xf>
    <xf numFmtId="0" fontId="30" fillId="0" borderId="10" xfId="40" applyFont="1" applyFill="1" applyBorder="1" applyAlignment="1">
      <alignment horizontal="center"/>
    </xf>
    <xf numFmtId="0" fontId="30" fillId="0" borderId="132" xfId="40" applyFont="1" applyFill="1" applyBorder="1" applyAlignment="1">
      <alignment horizontal="center" wrapText="1"/>
    </xf>
    <xf numFmtId="164" fontId="30" fillId="0" borderId="201" xfId="44" applyNumberFormat="1" applyFont="1" applyFill="1" applyBorder="1" applyAlignment="1">
      <alignment horizontal="center"/>
    </xf>
    <xf numFmtId="164" fontId="30" fillId="0" borderId="202" xfId="44" applyNumberFormat="1" applyFont="1" applyFill="1" applyBorder="1" applyAlignment="1">
      <alignment horizontal="center"/>
    </xf>
    <xf numFmtId="164" fontId="30" fillId="0" borderId="203" xfId="44" applyNumberFormat="1" applyFont="1" applyFill="1" applyBorder="1" applyAlignment="1">
      <alignment horizontal="center"/>
    </xf>
    <xf numFmtId="164" fontId="30" fillId="0" borderId="204" xfId="44" applyNumberFormat="1" applyFont="1" applyFill="1" applyBorder="1" applyAlignment="1">
      <alignment horizontal="center"/>
    </xf>
    <xf numFmtId="164" fontId="30" fillId="0" borderId="205" xfId="44" applyNumberFormat="1" applyFont="1" applyFill="1" applyBorder="1" applyAlignment="1">
      <alignment horizontal="center"/>
    </xf>
    <xf numFmtId="164" fontId="30" fillId="0" borderId="206" xfId="44" applyNumberFormat="1" applyFont="1" applyFill="1" applyBorder="1" applyAlignment="1">
      <alignment horizontal="center"/>
    </xf>
    <xf numFmtId="3" fontId="30" fillId="0" borderId="185" xfId="44" applyNumberFormat="1" applyFont="1" applyFill="1" applyBorder="1" applyAlignment="1">
      <alignment horizontal="center"/>
    </xf>
    <xf numFmtId="3" fontId="30" fillId="0" borderId="83" xfId="44" applyNumberFormat="1" applyFont="1" applyFill="1" applyBorder="1" applyAlignment="1">
      <alignment horizontal="center"/>
    </xf>
    <xf numFmtId="3" fontId="30" fillId="0" borderId="186" xfId="44" applyNumberFormat="1" applyFont="1" applyFill="1" applyBorder="1" applyAlignment="1">
      <alignment horizontal="center"/>
    </xf>
    <xf numFmtId="3" fontId="30" fillId="0" borderId="187" xfId="44" applyNumberFormat="1" applyFont="1" applyFill="1" applyBorder="1" applyAlignment="1">
      <alignment horizontal="center"/>
    </xf>
    <xf numFmtId="3" fontId="30" fillId="0" borderId="188" xfId="44" applyNumberFormat="1" applyFont="1" applyFill="1" applyBorder="1" applyAlignment="1">
      <alignment horizontal="center"/>
    </xf>
    <xf numFmtId="3" fontId="30" fillId="0" borderId="166" xfId="44" applyNumberFormat="1" applyFont="1" applyFill="1" applyBorder="1" applyAlignment="1">
      <alignment horizontal="center"/>
    </xf>
    <xf numFmtId="3" fontId="30" fillId="0" borderId="16" xfId="44" applyNumberFormat="1" applyFont="1" applyFill="1" applyBorder="1" applyAlignment="1">
      <alignment horizontal="center"/>
    </xf>
    <xf numFmtId="3" fontId="30" fillId="0" borderId="161" xfId="44" applyNumberFormat="1" applyFont="1" applyFill="1" applyBorder="1" applyAlignment="1">
      <alignment horizontal="center"/>
    </xf>
    <xf numFmtId="3" fontId="30" fillId="0" borderId="13" xfId="44" applyNumberFormat="1" applyFont="1" applyFill="1" applyBorder="1" applyAlignment="1">
      <alignment horizontal="center"/>
    </xf>
    <xf numFmtId="3" fontId="30" fillId="0" borderId="18" xfId="44" applyNumberFormat="1" applyFont="1" applyFill="1" applyBorder="1" applyAlignment="1">
      <alignment horizontal="center"/>
    </xf>
    <xf numFmtId="164" fontId="30" fillId="0" borderId="166" xfId="44" applyNumberFormat="1" applyFont="1" applyFill="1" applyBorder="1" applyAlignment="1">
      <alignment horizontal="center"/>
    </xf>
    <xf numFmtId="164" fontId="30" fillId="0" borderId="16" xfId="44" applyNumberFormat="1" applyFont="1" applyFill="1" applyBorder="1" applyAlignment="1">
      <alignment horizontal="center"/>
    </xf>
    <xf numFmtId="164" fontId="30" fillId="0" borderId="161" xfId="44" applyNumberFormat="1" applyFont="1" applyFill="1" applyBorder="1" applyAlignment="1">
      <alignment horizontal="center"/>
    </xf>
    <xf numFmtId="164" fontId="30" fillId="0" borderId="13" xfId="44" applyNumberFormat="1" applyFont="1" applyFill="1" applyBorder="1" applyAlignment="1">
      <alignment horizontal="center"/>
    </xf>
    <xf numFmtId="164" fontId="30" fillId="0" borderId="18" xfId="44" applyNumberFormat="1" applyFont="1" applyFill="1" applyBorder="1" applyAlignment="1">
      <alignment horizontal="center"/>
    </xf>
    <xf numFmtId="164" fontId="30" fillId="0" borderId="207" xfId="44" applyNumberFormat="1" applyFont="1" applyFill="1" applyBorder="1" applyAlignment="1">
      <alignment horizontal="center"/>
    </xf>
    <xf numFmtId="164" fontId="30" fillId="0" borderId="63" xfId="44" applyNumberFormat="1" applyFont="1" applyFill="1" applyBorder="1" applyAlignment="1">
      <alignment horizontal="center"/>
    </xf>
    <xf numFmtId="164" fontId="30" fillId="0" borderId="208" xfId="44" applyNumberFormat="1" applyFont="1" applyFill="1" applyBorder="1" applyAlignment="1">
      <alignment horizontal="center"/>
    </xf>
    <xf numFmtId="164" fontId="30" fillId="0" borderId="209" xfId="44" applyNumberFormat="1" applyFont="1" applyFill="1" applyBorder="1" applyAlignment="1">
      <alignment horizontal="center"/>
    </xf>
    <xf numFmtId="164" fontId="30" fillId="0" borderId="210" xfId="44" applyNumberFormat="1" applyFont="1" applyFill="1" applyBorder="1" applyAlignment="1">
      <alignment horizontal="center"/>
    </xf>
    <xf numFmtId="168" fontId="52" fillId="0" borderId="42" xfId="50" applyNumberFormat="1" applyFont="1" applyFill="1" applyBorder="1"/>
    <xf numFmtId="168" fontId="52" fillId="0" borderId="48" xfId="50" applyNumberFormat="1" applyFont="1" applyFill="1" applyBorder="1"/>
    <xf numFmtId="168" fontId="52" fillId="0" borderId="117" xfId="50" applyNumberFormat="1" applyFont="1" applyFill="1" applyBorder="1"/>
    <xf numFmtId="168" fontId="52" fillId="0" borderId="49" xfId="50" applyNumberFormat="1" applyFont="1" applyFill="1" applyBorder="1"/>
    <xf numFmtId="0" fontId="34" fillId="0" borderId="51" xfId="41" applyFont="1" applyBorder="1" applyAlignment="1">
      <alignment wrapText="1"/>
    </xf>
    <xf numFmtId="0" fontId="34" fillId="0" borderId="95" xfId="41" applyFont="1" applyBorder="1" applyAlignment="1">
      <alignment wrapText="1"/>
    </xf>
    <xf numFmtId="0" fontId="34" fillId="0" borderId="118" xfId="0" applyFont="1" applyBorder="1" applyAlignment="1">
      <alignment wrapText="1"/>
    </xf>
    <xf numFmtId="0" fontId="34" fillId="0" borderId="121" xfId="0" applyFont="1" applyBorder="1" applyAlignment="1">
      <alignment wrapText="1"/>
    </xf>
    <xf numFmtId="0" fontId="18" fillId="0" borderId="51" xfId="0" applyFont="1" applyBorder="1" applyAlignment="1">
      <alignment wrapText="1"/>
    </xf>
    <xf numFmtId="0" fontId="18" fillId="0" borderId="95" xfId="0" applyFont="1" applyBorder="1" applyAlignment="1">
      <alignment wrapText="1"/>
    </xf>
    <xf numFmtId="0" fontId="18" fillId="0" borderId="46" xfId="0" applyFont="1" applyBorder="1" applyAlignment="1"/>
    <xf numFmtId="0" fontId="52" fillId="0" borderId="115" xfId="41" applyFont="1" applyFill="1" applyBorder="1"/>
    <xf numFmtId="0" fontId="52" fillId="25" borderId="115" xfId="41" applyFont="1" applyFill="1" applyBorder="1"/>
    <xf numFmtId="0" fontId="34" fillId="0" borderId="46" xfId="41" applyFont="1" applyBorder="1" applyAlignment="1"/>
    <xf numFmtId="0" fontId="52" fillId="0" borderId="120" xfId="41" applyNumberFormat="1" applyFont="1" applyBorder="1" applyAlignment="1">
      <alignment horizontal="center"/>
    </xf>
    <xf numFmtId="0" fontId="52" fillId="0" borderId="39" xfId="41" applyNumberFormat="1" applyFont="1" applyBorder="1" applyAlignment="1">
      <alignment horizontal="center"/>
    </xf>
    <xf numFmtId="0" fontId="52" fillId="0" borderId="99" xfId="41" applyFont="1" applyFill="1" applyBorder="1" applyAlignment="1"/>
    <xf numFmtId="0" fontId="52" fillId="0" borderId="48" xfId="41" applyFont="1" applyFill="1" applyBorder="1" applyAlignment="1"/>
    <xf numFmtId="0" fontId="52" fillId="0" borderId="99" xfId="41" applyFont="1" applyFill="1" applyBorder="1" applyAlignment="1">
      <alignment horizontal="left"/>
    </xf>
    <xf numFmtId="0" fontId="52" fillId="0" borderId="48" xfId="41" applyFont="1" applyFill="1" applyBorder="1" applyAlignment="1">
      <alignment horizontal="left"/>
    </xf>
    <xf numFmtId="0" fontId="52" fillId="0" borderId="47" xfId="41" applyFont="1" applyFill="1" applyBorder="1" applyAlignment="1"/>
    <xf numFmtId="0" fontId="52" fillId="0" borderId="58" xfId="41" applyFont="1" applyBorder="1"/>
    <xf numFmtId="0" fontId="34" fillId="0" borderId="34" xfId="41" applyFont="1" applyBorder="1" applyAlignment="1">
      <alignment horizontal="center" wrapText="1"/>
    </xf>
    <xf numFmtId="0" fontId="34" fillId="0" borderId="38" xfId="41" applyFont="1" applyBorder="1" applyAlignment="1">
      <alignment horizontal="center" wrapText="1"/>
    </xf>
    <xf numFmtId="168" fontId="52" fillId="0" borderId="103" xfId="41" applyNumberFormat="1" applyFont="1" applyBorder="1"/>
    <xf numFmtId="168" fontId="52" fillId="0" borderId="79" xfId="41" applyNumberFormat="1" applyFont="1" applyBorder="1"/>
    <xf numFmtId="168" fontId="52" fillId="0" borderId="174" xfId="41" applyNumberFormat="1" applyFont="1" applyBorder="1"/>
    <xf numFmtId="168" fontId="52" fillId="0" borderId="184" xfId="41" applyNumberFormat="1" applyFont="1" applyBorder="1"/>
    <xf numFmtId="168" fontId="52" fillId="0" borderId="107" xfId="41" applyNumberFormat="1" applyFont="1" applyBorder="1"/>
    <xf numFmtId="0" fontId="52" fillId="25" borderId="184" xfId="41" applyFont="1" applyFill="1" applyBorder="1"/>
    <xf numFmtId="0" fontId="52" fillId="0" borderId="79" xfId="41" applyFont="1" applyFill="1" applyBorder="1"/>
    <xf numFmtId="0" fontId="52" fillId="0" borderId="107" xfId="41" applyFont="1" applyFill="1" applyBorder="1"/>
    <xf numFmtId="0" fontId="34" fillId="0" borderId="119" xfId="41" applyFont="1" applyBorder="1" applyAlignment="1">
      <alignment horizontal="center" wrapText="1"/>
    </xf>
    <xf numFmtId="0" fontId="52" fillId="25" borderId="72" xfId="41" applyFont="1" applyFill="1" applyBorder="1"/>
    <xf numFmtId="0" fontId="52" fillId="0" borderId="129" xfId="41" applyFont="1" applyFill="1" applyBorder="1"/>
    <xf numFmtId="0" fontId="52" fillId="0" borderId="128" xfId="41" applyFont="1" applyFill="1" applyBorder="1"/>
    <xf numFmtId="168" fontId="52" fillId="0" borderId="177" xfId="41" applyNumberFormat="1" applyFont="1" applyBorder="1"/>
    <xf numFmtId="0" fontId="52" fillId="0" borderId="51" xfId="41" applyFont="1" applyBorder="1" applyAlignment="1">
      <alignment horizontal="right"/>
    </xf>
    <xf numFmtId="0" fontId="26" fillId="0" borderId="0" xfId="0" applyFont="1" applyBorder="1" applyAlignment="1">
      <alignment horizontal="left" vertical="center"/>
    </xf>
    <xf numFmtId="3" fontId="68" fillId="0" borderId="53" xfId="0" applyNumberFormat="1" applyFont="1" applyBorder="1" applyAlignment="1"/>
    <xf numFmtId="0" fontId="67" fillId="0" borderId="39" xfId="0" applyFont="1" applyBorder="1" applyAlignment="1">
      <alignment horizontal="center"/>
    </xf>
    <xf numFmtId="3" fontId="67" fillId="0" borderId="39" xfId="0" applyNumberFormat="1" applyFont="1" applyBorder="1" applyAlignment="1">
      <alignment horizontal="center"/>
    </xf>
    <xf numFmtId="0" fontId="67" fillId="0" borderId="88" xfId="0" applyFont="1" applyBorder="1" applyAlignment="1">
      <alignment horizontal="center"/>
    </xf>
    <xf numFmtId="3" fontId="67" fillId="0" borderId="88" xfId="0" applyNumberFormat="1" applyFont="1" applyBorder="1" applyAlignment="1">
      <alignment horizontal="center"/>
    </xf>
    <xf numFmtId="0" fontId="67" fillId="0" borderId="89" xfId="0" applyFont="1" applyBorder="1" applyAlignment="1">
      <alignment horizontal="center"/>
    </xf>
    <xf numFmtId="0" fontId="65" fillId="0" borderId="87" xfId="0" applyFont="1" applyBorder="1"/>
    <xf numFmtId="0" fontId="65" fillId="0" borderId="90" xfId="0" applyFont="1" applyBorder="1"/>
    <xf numFmtId="164" fontId="52" fillId="0" borderId="103" xfId="44" applyNumberFormat="1" applyFont="1" applyBorder="1" applyAlignment="1">
      <alignment horizontal="center"/>
    </xf>
    <xf numFmtId="164" fontId="52" fillId="0" borderId="79" xfId="44" applyNumberFormat="1" applyFont="1" applyBorder="1" applyAlignment="1">
      <alignment horizontal="center"/>
    </xf>
    <xf numFmtId="164" fontId="52" fillId="0" borderId="174" xfId="44" applyNumberFormat="1" applyFont="1" applyBorder="1" applyAlignment="1">
      <alignment horizontal="center"/>
    </xf>
    <xf numFmtId="164" fontId="52" fillId="0" borderId="105" xfId="44" applyNumberFormat="1" applyFont="1" applyBorder="1" applyAlignment="1">
      <alignment horizontal="center"/>
    </xf>
    <xf numFmtId="0" fontId="67" fillId="0" borderId="53" xfId="0" applyFont="1" applyBorder="1"/>
    <xf numFmtId="0" fontId="80" fillId="0" borderId="53" xfId="0" applyFont="1" applyBorder="1" applyAlignment="1">
      <alignment horizontal="center"/>
    </xf>
    <xf numFmtId="0" fontId="67" fillId="0" borderId="87" xfId="0" applyFont="1" applyBorder="1"/>
    <xf numFmtId="0" fontId="67" fillId="0" borderId="40" xfId="0" applyFont="1" applyBorder="1" applyAlignment="1">
      <alignment horizontal="center"/>
    </xf>
    <xf numFmtId="0" fontId="67" fillId="0" borderId="26" xfId="0" applyFont="1" applyBorder="1" applyAlignment="1">
      <alignment horizontal="center"/>
    </xf>
    <xf numFmtId="0" fontId="67" fillId="0" borderId="211" xfId="0" applyFont="1" applyBorder="1" applyAlignment="1">
      <alignment horizontal="center"/>
    </xf>
    <xf numFmtId="0" fontId="25" fillId="0" borderId="0" xfId="0" applyFont="1" applyAlignment="1">
      <alignment horizontal="right"/>
    </xf>
    <xf numFmtId="0" fontId="52" fillId="0" borderId="28" xfId="41" applyFont="1" applyBorder="1" applyAlignment="1">
      <alignment horizontal="right"/>
    </xf>
    <xf numFmtId="9" fontId="52" fillId="0" borderId="0" xfId="44" applyFont="1"/>
    <xf numFmtId="0" fontId="81" fillId="32" borderId="53" xfId="0" applyFont="1" applyFill="1" applyBorder="1" applyAlignment="1">
      <alignment horizontal="center"/>
    </xf>
    <xf numFmtId="0" fontId="65" fillId="0" borderId="0" xfId="0" applyFont="1" applyFill="1" applyBorder="1"/>
    <xf numFmtId="3" fontId="66" fillId="0" borderId="0" xfId="0" applyNumberFormat="1" applyFont="1" applyBorder="1" applyAlignment="1"/>
    <xf numFmtId="0" fontId="67" fillId="0" borderId="0" xfId="0" applyFont="1" applyBorder="1"/>
    <xf numFmtId="3" fontId="65" fillId="0" borderId="0" xfId="0" applyNumberFormat="1" applyFont="1" applyBorder="1"/>
    <xf numFmtId="0" fontId="52" fillId="0" borderId="167" xfId="41" applyFont="1" applyBorder="1" applyAlignment="1">
      <alignment horizontal="right"/>
    </xf>
    <xf numFmtId="168" fontId="52" fillId="0" borderId="120" xfId="41" applyNumberFormat="1" applyFont="1" applyBorder="1"/>
    <xf numFmtId="168" fontId="52" fillId="0" borderId="39" xfId="41" applyNumberFormat="1" applyFont="1" applyBorder="1"/>
    <xf numFmtId="168" fontId="52" fillId="0" borderId="26" xfId="41" applyNumberFormat="1" applyFont="1" applyBorder="1"/>
    <xf numFmtId="168" fontId="52" fillId="0" borderId="36" xfId="41" applyNumberFormat="1" applyFont="1" applyBorder="1"/>
    <xf numFmtId="168" fontId="52" fillId="0" borderId="37" xfId="41" applyNumberFormat="1" applyFont="1" applyBorder="1"/>
    <xf numFmtId="168" fontId="52" fillId="0" borderId="35" xfId="41" applyNumberFormat="1" applyFont="1" applyBorder="1"/>
    <xf numFmtId="9" fontId="52" fillId="0" borderId="98" xfId="44" applyFont="1" applyBorder="1" applyAlignment="1">
      <alignment horizontal="right"/>
    </xf>
    <xf numFmtId="9" fontId="52" fillId="0" borderId="125" xfId="44" applyFont="1" applyBorder="1" applyAlignment="1">
      <alignment horizontal="right"/>
    </xf>
    <xf numFmtId="9" fontId="52" fillId="0" borderId="47" xfId="44" applyFont="1" applyBorder="1" applyAlignment="1">
      <alignment horizontal="right"/>
    </xf>
    <xf numFmtId="168" fontId="52" fillId="0" borderId="0" xfId="41" applyNumberFormat="1" applyFont="1" applyFill="1"/>
    <xf numFmtId="0" fontId="52" fillId="0" borderId="0" xfId="41" applyFont="1" applyFill="1" applyAlignment="1">
      <alignment horizontal="left" indent="1"/>
    </xf>
    <xf numFmtId="0" fontId="82" fillId="0" borderId="0" xfId="41" applyFont="1" applyFill="1"/>
    <xf numFmtId="0" fontId="52" fillId="30" borderId="29" xfId="41" applyFont="1" applyFill="1" applyBorder="1"/>
    <xf numFmtId="0" fontId="52" fillId="30" borderId="83" xfId="41" applyFont="1" applyFill="1" applyBorder="1"/>
    <xf numFmtId="0" fontId="52" fillId="30" borderId="63" xfId="41" applyFont="1" applyFill="1" applyBorder="1"/>
    <xf numFmtId="0" fontId="52" fillId="30" borderId="30" xfId="41" applyFont="1" applyFill="1" applyBorder="1"/>
    <xf numFmtId="0" fontId="52" fillId="30" borderId="188" xfId="41" applyFont="1" applyFill="1" applyBorder="1"/>
    <xf numFmtId="0" fontId="52" fillId="30" borderId="210" xfId="41" applyFont="1" applyFill="1" applyBorder="1"/>
    <xf numFmtId="0" fontId="52" fillId="30" borderId="29" xfId="41" applyFont="1" applyFill="1" applyBorder="1" applyAlignment="1">
      <alignment horizontal="right"/>
    </xf>
    <xf numFmtId="0" fontId="52" fillId="30" borderId="83" xfId="41" applyFont="1" applyFill="1" applyBorder="1" applyAlignment="1">
      <alignment horizontal="right"/>
    </xf>
    <xf numFmtId="0" fontId="52" fillId="30" borderId="30" xfId="41" applyFont="1" applyFill="1" applyBorder="1" applyAlignment="1">
      <alignment horizontal="right"/>
    </xf>
    <xf numFmtId="0" fontId="52" fillId="30" borderId="188" xfId="41" applyNumberFormat="1" applyFont="1" applyFill="1" applyBorder="1"/>
    <xf numFmtId="0" fontId="52" fillId="30" borderId="83" xfId="41" applyFont="1" applyFill="1" applyBorder="1" applyAlignment="1">
      <alignment horizontal="left"/>
    </xf>
    <xf numFmtId="0" fontId="52" fillId="30" borderId="188" xfId="41" applyFont="1" applyFill="1" applyBorder="1" applyAlignment="1">
      <alignment horizontal="left"/>
    </xf>
    <xf numFmtId="0" fontId="52" fillId="30" borderId="83" xfId="41" applyFont="1" applyFill="1" applyBorder="1" applyAlignment="1">
      <alignment horizontal="center"/>
    </xf>
    <xf numFmtId="0" fontId="52" fillId="30" borderId="83" xfId="41" applyFont="1" applyFill="1" applyBorder="1" applyAlignment="1"/>
    <xf numFmtId="0" fontId="26" fillId="30" borderId="188" xfId="41" applyFont="1" applyFill="1" applyBorder="1"/>
    <xf numFmtId="0" fontId="34" fillId="30" borderId="30" xfId="41" applyFont="1" applyFill="1" applyBorder="1"/>
    <xf numFmtId="0" fontId="34" fillId="30" borderId="188" xfId="41" applyFont="1" applyFill="1" applyBorder="1"/>
    <xf numFmtId="0" fontId="34" fillId="30" borderId="188" xfId="41" applyFont="1" applyFill="1" applyBorder="1" applyAlignment="1">
      <alignment horizontal="left"/>
    </xf>
    <xf numFmtId="0" fontId="1" fillId="0" borderId="118" xfId="41" applyFont="1" applyBorder="1"/>
    <xf numFmtId="164" fontId="25" fillId="0" borderId="125" xfId="44" applyNumberFormat="1" applyFont="1" applyBorder="1" applyAlignment="1">
      <alignment horizontal="center"/>
    </xf>
    <xf numFmtId="164" fontId="25" fillId="0" borderId="47" xfId="44" applyNumberFormat="1" applyFont="1" applyBorder="1" applyAlignment="1">
      <alignment horizontal="center"/>
    </xf>
    <xf numFmtId="172" fontId="52" fillId="0" borderId="0" xfId="50" applyNumberFormat="1" applyFont="1"/>
    <xf numFmtId="172" fontId="52" fillId="0" borderId="115" xfId="50" applyNumberFormat="1" applyFont="1" applyBorder="1" applyAlignment="1">
      <alignment horizontal="right"/>
    </xf>
    <xf numFmtId="172" fontId="52" fillId="0" borderId="111" xfId="50" applyNumberFormat="1" applyFont="1" applyBorder="1" applyAlignment="1">
      <alignment horizontal="right"/>
    </xf>
    <xf numFmtId="172" fontId="52" fillId="0" borderId="99" xfId="50" applyNumberFormat="1" applyFont="1" applyBorder="1" applyAlignment="1">
      <alignment horizontal="right"/>
    </xf>
    <xf numFmtId="172" fontId="52" fillId="0" borderId="42" xfId="50" applyNumberFormat="1" applyFont="1" applyBorder="1" applyAlignment="1">
      <alignment horizontal="right"/>
    </xf>
    <xf numFmtId="172" fontId="52" fillId="0" borderId="48" xfId="50" applyNumberFormat="1" applyFont="1" applyBorder="1" applyAlignment="1">
      <alignment horizontal="right"/>
    </xf>
    <xf numFmtId="172" fontId="52" fillId="0" borderId="10" xfId="50" applyNumberFormat="1" applyFont="1" applyBorder="1"/>
    <xf numFmtId="172" fontId="52" fillId="0" borderId="11" xfId="50" applyNumberFormat="1" applyFont="1" applyBorder="1"/>
    <xf numFmtId="172" fontId="52" fillId="0" borderId="132" xfId="50" applyNumberFormat="1" applyFont="1" applyBorder="1"/>
    <xf numFmtId="172" fontId="52" fillId="0" borderId="176" xfId="50" applyNumberFormat="1" applyFont="1" applyBorder="1"/>
    <xf numFmtId="172" fontId="52" fillId="0" borderId="183" xfId="50" applyNumberFormat="1" applyFont="1" applyBorder="1"/>
    <xf numFmtId="172" fontId="52" fillId="0" borderId="177" xfId="50" applyNumberFormat="1" applyFont="1" applyBorder="1"/>
    <xf numFmtId="172" fontId="52" fillId="0" borderId="99" xfId="50" applyNumberFormat="1" applyFont="1" applyBorder="1"/>
    <xf numFmtId="172" fontId="52" fillId="0" borderId="42" xfId="50" applyNumberFormat="1" applyFont="1" applyBorder="1"/>
    <xf numFmtId="172" fontId="52" fillId="0" borderId="48" xfId="50" applyNumberFormat="1" applyFont="1" applyBorder="1"/>
    <xf numFmtId="172" fontId="52" fillId="0" borderId="100" xfId="50" applyNumberFormat="1" applyFont="1" applyBorder="1"/>
    <xf numFmtId="172" fontId="52" fillId="0" borderId="117" xfId="50" applyNumberFormat="1" applyFont="1" applyBorder="1"/>
    <xf numFmtId="172" fontId="52" fillId="0" borderId="49" xfId="50" applyNumberFormat="1" applyFont="1" applyBorder="1"/>
    <xf numFmtId="172" fontId="52" fillId="0" borderId="98" xfId="50" applyNumberFormat="1" applyFont="1" applyBorder="1"/>
    <xf numFmtId="172" fontId="52" fillId="0" borderId="125" xfId="50" applyNumberFormat="1" applyFont="1" applyBorder="1"/>
    <xf numFmtId="172" fontId="52" fillId="0" borderId="47" xfId="50" applyNumberFormat="1" applyFont="1" applyBorder="1"/>
    <xf numFmtId="0" fontId="52" fillId="0" borderId="0" xfId="41" applyFont="1" applyAlignment="1"/>
    <xf numFmtId="164" fontId="52" fillId="0" borderId="120" xfId="44" applyNumberFormat="1" applyFont="1" applyBorder="1" applyAlignment="1">
      <alignment horizontal="center"/>
    </xf>
    <xf numFmtId="164" fontId="52" fillId="0" borderId="39" xfId="44" applyNumberFormat="1" applyFont="1" applyBorder="1" applyAlignment="1">
      <alignment horizontal="center"/>
    </xf>
    <xf numFmtId="164" fontId="52" fillId="0" borderId="26" xfId="44" applyNumberFormat="1" applyFont="1" applyBorder="1" applyAlignment="1">
      <alignment horizontal="center"/>
    </xf>
    <xf numFmtId="0" fontId="26" fillId="0" borderId="0" xfId="0" applyFont="1" applyBorder="1" applyAlignment="1">
      <alignment horizontal="left" vertical="center"/>
    </xf>
    <xf numFmtId="0" fontId="70" fillId="0" borderId="118" xfId="0" applyFont="1" applyBorder="1"/>
    <xf numFmtId="0" fontId="71" fillId="0" borderId="121" xfId="0" applyFont="1" applyBorder="1" applyAlignment="1">
      <alignment horizontal="center" vertical="center" wrapText="1"/>
    </xf>
    <xf numFmtId="0" fontId="34" fillId="0" borderId="214" xfId="41" applyFont="1" applyBorder="1" applyAlignment="1">
      <alignment horizontal="center" wrapText="1"/>
    </xf>
    <xf numFmtId="0" fontId="38" fillId="30" borderId="101" xfId="0" applyFont="1" applyFill="1" applyBorder="1"/>
    <xf numFmtId="0" fontId="38" fillId="30" borderId="41" xfId="0" applyFont="1" applyFill="1" applyBorder="1"/>
    <xf numFmtId="0" fontId="25" fillId="30" borderId="40" xfId="0" applyFont="1" applyFill="1" applyBorder="1"/>
    <xf numFmtId="0" fontId="25" fillId="30" borderId="74" xfId="0" applyFont="1" applyFill="1" applyBorder="1"/>
    <xf numFmtId="0" fontId="25" fillId="30" borderId="103" xfId="0" applyFont="1" applyFill="1" applyBorder="1"/>
    <xf numFmtId="164" fontId="30" fillId="0" borderId="215" xfId="44" applyNumberFormat="1" applyFont="1" applyFill="1" applyBorder="1" applyAlignment="1">
      <alignment horizontal="center"/>
    </xf>
    <xf numFmtId="0" fontId="30" fillId="0" borderId="28" xfId="40" applyFont="1" applyFill="1" applyBorder="1" applyAlignment="1">
      <alignment vertical="center"/>
    </xf>
    <xf numFmtId="0" fontId="30" fillId="0" borderId="99" xfId="40" applyFont="1" applyFill="1" applyBorder="1" applyAlignment="1">
      <alignment horizontal="center" vertical="center" wrapText="1"/>
    </xf>
    <xf numFmtId="0" fontId="30" fillId="0" borderId="42" xfId="40" applyFont="1" applyFill="1" applyBorder="1" applyAlignment="1">
      <alignment horizontal="center" vertical="center" wrapText="1"/>
    </xf>
    <xf numFmtId="0" fontId="30" fillId="0" borderId="78" xfId="40" applyFont="1" applyFill="1" applyBorder="1" applyAlignment="1">
      <alignment horizontal="center" vertical="center" wrapText="1"/>
    </xf>
    <xf numFmtId="0" fontId="30" fillId="0" borderId="40" xfId="40" applyFont="1" applyFill="1" applyBorder="1" applyAlignment="1">
      <alignment horizontal="center" vertical="center" wrapText="1"/>
    </xf>
    <xf numFmtId="0" fontId="30" fillId="0" borderId="26" xfId="40" applyFont="1" applyFill="1" applyBorder="1" applyAlignment="1">
      <alignment horizontal="center" vertical="center" wrapText="1"/>
    </xf>
    <xf numFmtId="0" fontId="25" fillId="0" borderId="0" xfId="40" applyFont="1" applyFill="1" applyAlignment="1">
      <alignment vertical="center"/>
    </xf>
    <xf numFmtId="0" fontId="44" fillId="0" borderId="119" xfId="40" applyFont="1" applyFill="1" applyBorder="1" applyAlignment="1">
      <alignment wrapText="1"/>
    </xf>
    <xf numFmtId="0" fontId="30" fillId="0" borderId="77" xfId="40" applyFont="1" applyFill="1" applyBorder="1" applyAlignment="1">
      <alignment horizontal="center"/>
    </xf>
    <xf numFmtId="0" fontId="30" fillId="0" borderId="173" xfId="40" applyFont="1" applyFill="1" applyBorder="1" applyAlignment="1">
      <alignment horizontal="center" wrapText="1"/>
    </xf>
    <xf numFmtId="164" fontId="30" fillId="0" borderId="216" xfId="44" applyNumberFormat="1" applyFont="1" applyFill="1" applyBorder="1" applyAlignment="1">
      <alignment horizontal="center"/>
    </xf>
    <xf numFmtId="164" fontId="30" fillId="0" borderId="29" xfId="44" applyNumberFormat="1" applyFont="1" applyFill="1" applyBorder="1" applyAlignment="1">
      <alignment horizontal="center"/>
    </xf>
    <xf numFmtId="164" fontId="30" fillId="0" borderId="217" xfId="44" applyNumberFormat="1" applyFont="1" applyFill="1" applyBorder="1" applyAlignment="1">
      <alignment horizontal="center"/>
    </xf>
    <xf numFmtId="164" fontId="30" fillId="0" borderId="31" xfId="44" applyNumberFormat="1" applyFont="1" applyFill="1" applyBorder="1" applyAlignment="1">
      <alignment horizontal="center"/>
    </xf>
    <xf numFmtId="164" fontId="30" fillId="0" borderId="30" xfId="44" applyNumberFormat="1" applyFont="1" applyFill="1" applyBorder="1" applyAlignment="1">
      <alignment horizontal="center"/>
    </xf>
    <xf numFmtId="0" fontId="30" fillId="0" borderId="77" xfId="40" applyFont="1" applyFill="1" applyBorder="1" applyAlignment="1">
      <alignment horizontal="center" vertical="center" wrapText="1"/>
    </xf>
    <xf numFmtId="0" fontId="30" fillId="0" borderId="129" xfId="40" applyFont="1" applyFill="1" applyBorder="1" applyAlignment="1">
      <alignment horizontal="center" vertical="center" wrapText="1"/>
    </xf>
    <xf numFmtId="0" fontId="30" fillId="0" borderId="120" xfId="40" applyFont="1" applyFill="1" applyBorder="1" applyAlignment="1">
      <alignment horizontal="center" vertical="center" wrapText="1"/>
    </xf>
    <xf numFmtId="3" fontId="30" fillId="0" borderId="54" xfId="44" applyNumberFormat="1" applyFont="1" applyFill="1" applyBorder="1" applyAlignment="1">
      <alignment horizontal="center"/>
    </xf>
    <xf numFmtId="0" fontId="83" fillId="0" borderId="0" xfId="40" applyFont="1" applyFill="1"/>
    <xf numFmtId="0" fontId="52" fillId="30" borderId="114" xfId="41" applyFont="1" applyFill="1" applyBorder="1" applyAlignment="1"/>
    <xf numFmtId="0" fontId="52" fillId="30" borderId="112" xfId="41" applyFont="1" applyFill="1" applyBorder="1" applyAlignment="1"/>
    <xf numFmtId="0" fontId="52" fillId="30" borderId="113" xfId="41" applyFont="1" applyFill="1" applyBorder="1" applyAlignment="1"/>
    <xf numFmtId="0" fontId="52" fillId="30" borderId="77" xfId="41" applyFont="1" applyFill="1" applyBorder="1" applyAlignment="1"/>
    <xf numFmtId="0" fontId="52" fillId="30" borderId="78" xfId="41" applyFont="1" applyFill="1" applyBorder="1" applyAlignment="1"/>
    <xf numFmtId="0" fontId="52" fillId="30" borderId="79" xfId="41" applyFont="1" applyFill="1" applyBorder="1" applyAlignment="1"/>
    <xf numFmtId="0" fontId="52" fillId="30" borderId="77" xfId="41" applyFont="1" applyFill="1" applyBorder="1" applyAlignment="1">
      <alignment horizontal="left"/>
    </xf>
    <xf numFmtId="0" fontId="52" fillId="30" borderId="78" xfId="41" applyFont="1" applyFill="1" applyBorder="1" applyAlignment="1">
      <alignment horizontal="left"/>
    </xf>
    <xf numFmtId="0" fontId="52" fillId="30" borderId="79" xfId="41" applyFont="1" applyFill="1" applyBorder="1" applyAlignment="1">
      <alignment horizontal="left"/>
    </xf>
    <xf numFmtId="0" fontId="52" fillId="30" borderId="105" xfId="41" applyFont="1" applyFill="1" applyBorder="1" applyAlignment="1">
      <alignment horizontal="left"/>
    </xf>
    <xf numFmtId="0" fontId="52" fillId="30" borderId="116" xfId="41" applyFont="1" applyFill="1" applyBorder="1" applyAlignment="1">
      <alignment horizontal="left"/>
    </xf>
    <xf numFmtId="0" fontId="52" fillId="30" borderId="107" xfId="41" applyFont="1" applyFill="1" applyBorder="1" applyAlignment="1">
      <alignment horizontal="left"/>
    </xf>
    <xf numFmtId="0" fontId="52" fillId="0" borderId="115" xfId="41" applyFont="1" applyFill="1" applyBorder="1" applyAlignment="1"/>
    <xf numFmtId="0" fontId="52" fillId="0" borderId="42" xfId="41" applyFont="1" applyFill="1" applyBorder="1" applyAlignment="1"/>
    <xf numFmtId="0" fontId="52" fillId="0" borderId="125" xfId="41" applyFont="1" applyFill="1" applyBorder="1" applyAlignment="1"/>
    <xf numFmtId="0" fontId="52" fillId="0" borderId="42" xfId="41" applyFont="1" applyFill="1" applyBorder="1" applyAlignment="1">
      <alignment horizontal="left"/>
    </xf>
    <xf numFmtId="0" fontId="52" fillId="0" borderId="125" xfId="41" applyFont="1" applyFill="1" applyBorder="1" applyAlignment="1">
      <alignment horizontal="left"/>
    </xf>
    <xf numFmtId="0" fontId="52" fillId="0" borderId="117" xfId="41" applyFont="1" applyFill="1" applyBorder="1" applyAlignment="1">
      <alignment horizontal="left"/>
    </xf>
    <xf numFmtId="0" fontId="52" fillId="0" borderId="37" xfId="41" applyFont="1" applyFill="1" applyBorder="1" applyAlignment="1">
      <alignment horizontal="left"/>
    </xf>
    <xf numFmtId="164" fontId="52" fillId="0" borderId="111" xfId="44" applyNumberFormat="1" applyFont="1" applyBorder="1" applyAlignment="1">
      <alignment horizontal="center"/>
    </xf>
    <xf numFmtId="168" fontId="52" fillId="0" borderId="40" xfId="41" applyNumberFormat="1" applyFont="1" applyBorder="1"/>
    <xf numFmtId="168" fontId="52" fillId="0" borderId="131" xfId="41" applyNumberFormat="1" applyFont="1" applyBorder="1"/>
    <xf numFmtId="166" fontId="52" fillId="0" borderId="0" xfId="41" applyNumberFormat="1" applyFont="1"/>
    <xf numFmtId="0" fontId="52" fillId="0" borderId="75" xfId="41" applyFont="1" applyFill="1" applyBorder="1" applyAlignment="1">
      <alignment horizontal="center"/>
    </xf>
    <xf numFmtId="0" fontId="52" fillId="0" borderId="129" xfId="41" applyFont="1" applyFill="1" applyBorder="1" applyAlignment="1">
      <alignment horizontal="center"/>
    </xf>
    <xf numFmtId="0" fontId="52" fillId="0" borderId="128" xfId="41" applyFont="1" applyFill="1" applyBorder="1" applyAlignment="1">
      <alignment horizontal="center"/>
    </xf>
    <xf numFmtId="0" fontId="52" fillId="0" borderId="36" xfId="41" applyNumberFormat="1" applyFont="1" applyBorder="1" applyAlignment="1">
      <alignment horizontal="center"/>
    </xf>
    <xf numFmtId="0" fontId="52" fillId="0" borderId="37" xfId="41" applyNumberFormat="1" applyFont="1" applyBorder="1" applyAlignment="1">
      <alignment horizontal="center"/>
    </xf>
    <xf numFmtId="0" fontId="52" fillId="0" borderId="35" xfId="41" applyNumberFormat="1" applyFont="1" applyBorder="1" applyAlignment="1">
      <alignment horizontal="center"/>
    </xf>
    <xf numFmtId="0" fontId="52" fillId="0" borderId="26" xfId="41" applyNumberFormat="1" applyFont="1" applyBorder="1" applyAlignment="1">
      <alignment horizontal="center"/>
    </xf>
    <xf numFmtId="0" fontId="52" fillId="0" borderId="177" xfId="41" applyNumberFormat="1" applyFont="1" applyBorder="1" applyAlignment="1">
      <alignment horizontal="center"/>
    </xf>
    <xf numFmtId="0" fontId="74" fillId="30" borderId="102" xfId="41" applyFont="1" applyFill="1" applyBorder="1"/>
    <xf numFmtId="0" fontId="74" fillId="30" borderId="104" xfId="41" applyFont="1" applyFill="1" applyBorder="1"/>
    <xf numFmtId="0" fontId="74" fillId="30" borderId="182" xfId="41" applyFont="1" applyFill="1" applyBorder="1"/>
    <xf numFmtId="0" fontId="74" fillId="30" borderId="106" xfId="41" applyFont="1" applyFill="1" applyBorder="1"/>
    <xf numFmtId="0" fontId="52" fillId="0" borderId="115" xfId="41" applyFont="1" applyFill="1" applyBorder="1" applyAlignment="1">
      <alignment horizontal="center"/>
    </xf>
    <xf numFmtId="0" fontId="52" fillId="0" borderId="125" xfId="41" applyNumberFormat="1" applyFont="1" applyFill="1" applyBorder="1" applyAlignment="1">
      <alignment horizontal="center"/>
    </xf>
    <xf numFmtId="0" fontId="52" fillId="0" borderId="37" xfId="41" applyNumberFormat="1" applyFont="1" applyFill="1" applyBorder="1" applyAlignment="1">
      <alignment horizontal="center"/>
    </xf>
    <xf numFmtId="0" fontId="52" fillId="0" borderId="125" xfId="41" applyFont="1" applyFill="1" applyBorder="1" applyAlignment="1">
      <alignment horizontal="center"/>
    </xf>
    <xf numFmtId="0" fontId="65" fillId="34" borderId="53" xfId="0" applyFont="1" applyFill="1" applyBorder="1"/>
    <xf numFmtId="0" fontId="76" fillId="0" borderId="0" xfId="0" applyFont="1" applyFill="1" applyAlignment="1">
      <alignment horizontal="centerContinuous"/>
    </xf>
    <xf numFmtId="0" fontId="52" fillId="0" borderId="0" xfId="41" applyFont="1" applyAlignment="1">
      <alignment horizontal="right"/>
    </xf>
    <xf numFmtId="0" fontId="25" fillId="27" borderId="0" xfId="0" applyFont="1" applyFill="1" applyBorder="1" applyAlignment="1">
      <alignment vertical="center" wrapText="1"/>
    </xf>
    <xf numFmtId="0" fontId="25" fillId="30" borderId="0" xfId="0" applyFont="1" applyFill="1" applyBorder="1" applyAlignment="1">
      <alignment vertical="center" wrapText="1"/>
    </xf>
    <xf numFmtId="0" fontId="38" fillId="27" borderId="0" xfId="0" applyFont="1" applyFill="1" applyBorder="1"/>
    <xf numFmtId="0" fontId="25" fillId="30" borderId="0" xfId="0" applyFont="1" applyFill="1" applyBorder="1" applyAlignment="1">
      <alignment horizontal="right"/>
    </xf>
    <xf numFmtId="22" fontId="25" fillId="27" borderId="42" xfId="0" applyNumberFormat="1" applyFont="1" applyFill="1" applyBorder="1" applyAlignment="1">
      <alignment horizontal="center"/>
    </xf>
    <xf numFmtId="22" fontId="25" fillId="30" borderId="42" xfId="0" applyNumberFormat="1" applyFont="1" applyFill="1" applyBorder="1" applyAlignment="1">
      <alignment horizontal="center"/>
    </xf>
    <xf numFmtId="164" fontId="25" fillId="35" borderId="42" xfId="0" applyNumberFormat="1" applyFont="1" applyFill="1" applyBorder="1"/>
    <xf numFmtId="0" fontId="52" fillId="35" borderId="42" xfId="41" applyFont="1" applyFill="1" applyBorder="1" applyAlignment="1">
      <alignment horizontal="center"/>
    </xf>
    <xf numFmtId="0" fontId="25" fillId="36" borderId="0" xfId="0" applyFont="1" applyFill="1"/>
    <xf numFmtId="0" fontId="0" fillId="36" borderId="0" xfId="0" applyFill="1"/>
    <xf numFmtId="0" fontId="25" fillId="36" borderId="0" xfId="0" applyFont="1" applyFill="1" applyAlignment="1">
      <alignment horizontal="left" indent="1"/>
    </xf>
    <xf numFmtId="0" fontId="25" fillId="36" borderId="0" xfId="0" applyFont="1" applyFill="1" applyAlignment="1">
      <alignment horizontal="left" indent="2"/>
    </xf>
    <xf numFmtId="0" fontId="38" fillId="36" borderId="0" xfId="0" applyFont="1" applyFill="1"/>
    <xf numFmtId="0" fontId="85" fillId="27" borderId="41" xfId="0" applyFont="1" applyFill="1" applyBorder="1"/>
    <xf numFmtId="0" fontId="85" fillId="27" borderId="0" xfId="0" applyFont="1" applyFill="1" applyBorder="1"/>
    <xf numFmtId="0" fontId="86" fillId="27" borderId="0" xfId="0" applyFont="1" applyFill="1" applyBorder="1"/>
    <xf numFmtId="0" fontId="86" fillId="27" borderId="40" xfId="0" applyFont="1" applyFill="1" applyBorder="1"/>
    <xf numFmtId="0" fontId="86" fillId="36" borderId="0" xfId="0" applyFont="1" applyFill="1"/>
    <xf numFmtId="0" fontId="85" fillId="27" borderId="0" xfId="0" applyFont="1" applyFill="1" applyBorder="1" applyAlignment="1"/>
    <xf numFmtId="10" fontId="53" fillId="0" borderId="139" xfId="44" applyNumberFormat="1" applyFont="1" applyBorder="1" applyAlignment="1">
      <alignment horizontal="center"/>
    </xf>
    <xf numFmtId="10" fontId="53" fillId="0" borderId="108" xfId="44" applyNumberFormat="1" applyFont="1" applyBorder="1" applyAlignment="1">
      <alignment horizontal="center"/>
    </xf>
    <xf numFmtId="10" fontId="53" fillId="0" borderId="218" xfId="44" applyNumberFormat="1" applyFont="1" applyBorder="1" applyAlignment="1">
      <alignment horizontal="center"/>
    </xf>
    <xf numFmtId="0" fontId="53" fillId="0" borderId="98" xfId="41" applyFont="1" applyBorder="1"/>
    <xf numFmtId="0" fontId="53" fillId="0" borderId="47" xfId="41" applyFont="1" applyBorder="1"/>
    <xf numFmtId="10" fontId="53" fillId="0" borderId="137" xfId="44" applyNumberFormat="1" applyFont="1" applyBorder="1" applyAlignment="1">
      <alignment horizontal="center"/>
    </xf>
    <xf numFmtId="10" fontId="53" fillId="0" borderId="138" xfId="44" applyNumberFormat="1" applyFont="1" applyBorder="1" applyAlignment="1">
      <alignment horizontal="center"/>
    </xf>
    <xf numFmtId="10" fontId="53" fillId="0" borderId="157" xfId="44" applyNumberFormat="1" applyFont="1" applyBorder="1" applyAlignment="1">
      <alignment horizontal="center"/>
    </xf>
    <xf numFmtId="0" fontId="53" fillId="0" borderId="97" xfId="41" applyFont="1" applyBorder="1"/>
    <xf numFmtId="0" fontId="53" fillId="0" borderId="123" xfId="41" applyFont="1" applyBorder="1"/>
    <xf numFmtId="166" fontId="53" fillId="0" borderId="133" xfId="44" applyNumberFormat="1" applyFont="1" applyBorder="1" applyAlignment="1">
      <alignment horizontal="center"/>
    </xf>
    <xf numFmtId="166" fontId="53" fillId="0" borderId="134" xfId="44" applyNumberFormat="1" applyFont="1" applyBorder="1" applyAlignment="1">
      <alignment horizontal="center"/>
    </xf>
    <xf numFmtId="166" fontId="53" fillId="0" borderId="155" xfId="44" applyNumberFormat="1" applyFont="1" applyBorder="1" applyAlignment="1">
      <alignment horizontal="center"/>
    </xf>
    <xf numFmtId="10" fontId="52" fillId="0" borderId="0" xfId="41" applyNumberFormat="1" applyFont="1"/>
    <xf numFmtId="164" fontId="52" fillId="0" borderId="0" xfId="44" applyNumberFormat="1" applyFont="1"/>
    <xf numFmtId="10" fontId="53" fillId="0" borderId="219" xfId="44" applyNumberFormat="1" applyFont="1" applyBorder="1" applyAlignment="1">
      <alignment horizontal="center"/>
    </xf>
    <xf numFmtId="10" fontId="53" fillId="0" borderId="220" xfId="44" applyNumberFormat="1" applyFont="1" applyBorder="1" applyAlignment="1">
      <alignment horizontal="center"/>
    </xf>
    <xf numFmtId="10" fontId="53" fillId="0" borderId="221" xfId="44" applyNumberFormat="1" applyFont="1" applyBorder="1" applyAlignment="1">
      <alignment horizontal="center"/>
    </xf>
    <xf numFmtId="0" fontId="52" fillId="0" borderId="73" xfId="41" applyFont="1" applyBorder="1" applyAlignment="1">
      <alignment horizontal="right"/>
    </xf>
    <xf numFmtId="0" fontId="53" fillId="0" borderId="122" xfId="41" applyFont="1" applyBorder="1"/>
    <xf numFmtId="10" fontId="53" fillId="0" borderId="97" xfId="41" applyNumberFormat="1" applyFont="1" applyBorder="1"/>
    <xf numFmtId="0" fontId="52" fillId="0" borderId="0" xfId="41" applyFont="1" applyBorder="1"/>
    <xf numFmtId="0" fontId="52" fillId="0" borderId="139" xfId="41" applyFont="1" applyBorder="1" applyAlignment="1">
      <alignment horizontal="center"/>
    </xf>
    <xf numFmtId="0" fontId="52" fillId="0" borderId="108" xfId="41" applyFont="1" applyBorder="1" applyAlignment="1">
      <alignment horizontal="center"/>
    </xf>
    <xf numFmtId="0" fontId="52" fillId="0" borderId="218" xfId="41" applyFont="1" applyBorder="1" applyAlignment="1">
      <alignment horizontal="center"/>
    </xf>
    <xf numFmtId="164" fontId="52" fillId="0" borderId="139" xfId="44" applyNumberFormat="1" applyFont="1" applyBorder="1"/>
    <xf numFmtId="164" fontId="52" fillId="0" borderId="108" xfId="44" applyNumberFormat="1" applyFont="1" applyBorder="1"/>
    <xf numFmtId="164" fontId="52" fillId="0" borderId="140" xfId="44" applyNumberFormat="1" applyFont="1" applyBorder="1"/>
    <xf numFmtId="164" fontId="52" fillId="0" borderId="141" xfId="44" applyNumberFormat="1" applyFont="1" applyBorder="1"/>
    <xf numFmtId="0" fontId="24" fillId="0" borderId="183" xfId="0" applyFont="1" applyFill="1" applyBorder="1" applyAlignment="1">
      <alignment horizontal="center"/>
    </xf>
    <xf numFmtId="0" fontId="25" fillId="0" borderId="42" xfId="0" applyFont="1" applyFill="1" applyBorder="1" applyAlignment="1">
      <alignment horizontal="center"/>
    </xf>
    <xf numFmtId="0" fontId="52" fillId="0" borderId="0" xfId="41" applyFont="1" applyAlignment="1">
      <alignment horizontal="right"/>
    </xf>
    <xf numFmtId="174" fontId="44" fillId="25" borderId="81" xfId="0" applyNumberFormat="1" applyFont="1" applyFill="1" applyBorder="1"/>
    <xf numFmtId="174" fontId="44" fillId="25" borderId="83" xfId="0" applyNumberFormat="1" applyFont="1" applyFill="1" applyBorder="1"/>
    <xf numFmtId="174" fontId="44" fillId="25" borderId="85" xfId="0" applyNumberFormat="1" applyFont="1" applyFill="1" applyBorder="1"/>
    <xf numFmtId="0" fontId="29" fillId="25" borderId="78" xfId="0" applyFont="1" applyFill="1" applyBorder="1" applyAlignment="1">
      <alignment horizontal="center" wrapText="1"/>
    </xf>
    <xf numFmtId="0" fontId="25" fillId="0" borderId="98" xfId="0" quotePrefix="1" applyFont="1" applyBorder="1" applyAlignment="1">
      <alignment horizontal="left"/>
    </xf>
    <xf numFmtId="0" fontId="24" fillId="0" borderId="47" xfId="0" applyFont="1" applyFill="1" applyBorder="1" applyAlignment="1">
      <alignment horizontal="center"/>
    </xf>
    <xf numFmtId="0" fontId="25" fillId="0" borderId="60" xfId="0" applyFont="1" applyBorder="1" applyAlignment="1">
      <alignment horizontal="center"/>
    </xf>
    <xf numFmtId="170" fontId="77" fillId="0" borderId="21" xfId="0" applyNumberFormat="1" applyFont="1" applyFill="1" applyBorder="1" applyAlignment="1" applyProtection="1">
      <alignment horizontal="center"/>
    </xf>
    <xf numFmtId="171" fontId="25" fillId="0" borderId="22" xfId="0" applyNumberFormat="1" applyFont="1" applyFill="1" applyBorder="1" applyAlignment="1" applyProtection="1">
      <alignment horizontal="center"/>
    </xf>
    <xf numFmtId="171" fontId="25" fillId="29" borderId="22" xfId="0" applyNumberFormat="1" applyFont="1" applyFill="1" applyBorder="1" applyAlignment="1" applyProtection="1">
      <alignment horizontal="center"/>
    </xf>
    <xf numFmtId="171" fontId="25" fillId="29" borderId="23" xfId="0" applyNumberFormat="1" applyFont="1" applyFill="1" applyBorder="1" applyAlignment="1" applyProtection="1">
      <alignment horizontal="center"/>
    </xf>
    <xf numFmtId="0" fontId="25" fillId="0" borderId="226" xfId="0" applyFont="1" applyBorder="1"/>
    <xf numFmtId="0" fontId="25" fillId="0" borderId="227" xfId="0" applyFont="1" applyBorder="1"/>
    <xf numFmtId="0" fontId="25" fillId="0" borderId="228" xfId="0" applyFont="1" applyBorder="1"/>
    <xf numFmtId="0" fontId="29" fillId="0" borderId="0" xfId="0" applyFont="1" applyBorder="1" applyAlignment="1">
      <alignment horizontal="center"/>
    </xf>
    <xf numFmtId="0" fontId="24" fillId="0" borderId="0" xfId="0" applyFont="1" applyBorder="1" applyAlignment="1">
      <alignment horizontal="center" wrapText="1"/>
    </xf>
    <xf numFmtId="9" fontId="25" fillId="0" borderId="110" xfId="44" applyFont="1" applyBorder="1" applyAlignment="1"/>
    <xf numFmtId="9" fontId="25" fillId="0" borderId="115" xfId="44" applyFont="1" applyBorder="1" applyAlignment="1"/>
    <xf numFmtId="9" fontId="25" fillId="0" borderId="111" xfId="44" applyFont="1" applyBorder="1" applyAlignment="1"/>
    <xf numFmtId="9" fontId="25" fillId="0" borderId="99" xfId="44" applyFont="1" applyBorder="1" applyAlignment="1"/>
    <xf numFmtId="9" fontId="25" fillId="0" borderId="42" xfId="44" applyFont="1" applyBorder="1" applyAlignment="1"/>
    <xf numFmtId="9" fontId="25" fillId="0" borderId="48" xfId="44" applyFont="1" applyBorder="1" applyAlignment="1"/>
    <xf numFmtId="9" fontId="25" fillId="0" borderId="100" xfId="44" applyFont="1" applyFill="1" applyBorder="1"/>
    <xf numFmtId="9" fontId="25" fillId="0" borderId="117" xfId="44" applyFont="1" applyFill="1" applyBorder="1"/>
    <xf numFmtId="9" fontId="25" fillId="0" borderId="49" xfId="44" applyFont="1" applyFill="1" applyBorder="1"/>
    <xf numFmtId="9" fontId="25" fillId="0" borderId="98" xfId="44" applyFont="1" applyFill="1" applyBorder="1"/>
    <xf numFmtId="9" fontId="25" fillId="0" borderId="125" xfId="44" applyFont="1" applyFill="1" applyBorder="1"/>
    <xf numFmtId="9" fontId="25" fillId="0" borderId="47" xfId="44" applyFont="1" applyFill="1" applyBorder="1"/>
    <xf numFmtId="9" fontId="25" fillId="0" borderId="99" xfId="44" applyFont="1" applyFill="1" applyBorder="1"/>
    <xf numFmtId="9" fontId="25" fillId="0" borderId="42" xfId="44" applyFont="1" applyFill="1" applyBorder="1"/>
    <xf numFmtId="9" fontId="25" fillId="0" borderId="48" xfId="44" applyFont="1" applyFill="1" applyBorder="1"/>
    <xf numFmtId="0" fontId="52" fillId="0" borderId="77" xfId="41" applyFont="1" applyFill="1" applyBorder="1"/>
    <xf numFmtId="0" fontId="52" fillId="0" borderId="105" xfId="41" applyFont="1" applyFill="1" applyBorder="1"/>
    <xf numFmtId="0" fontId="52" fillId="25" borderId="176" xfId="41" applyFont="1" applyFill="1" applyBorder="1"/>
    <xf numFmtId="0" fontId="52" fillId="25" borderId="177" xfId="41" applyFont="1" applyFill="1" applyBorder="1"/>
    <xf numFmtId="0" fontId="52" fillId="0" borderId="99" xfId="41" applyFont="1" applyFill="1" applyBorder="1"/>
    <xf numFmtId="0" fontId="52" fillId="0" borderId="48" xfId="41" applyFont="1" applyFill="1" applyBorder="1"/>
    <xf numFmtId="0" fontId="52" fillId="0" borderId="184" xfId="41" applyFont="1" applyFill="1" applyBorder="1"/>
    <xf numFmtId="0" fontId="52" fillId="0" borderId="22" xfId="41" applyFont="1" applyBorder="1" applyAlignment="1">
      <alignment horizontal="center"/>
    </xf>
    <xf numFmtId="0" fontId="52" fillId="0" borderId="15" xfId="41" applyFont="1" applyBorder="1" applyAlignment="1">
      <alignment horizontal="center"/>
    </xf>
    <xf numFmtId="0" fontId="52" fillId="0" borderId="24" xfId="41" applyFont="1" applyBorder="1" applyAlignment="1">
      <alignment horizontal="center"/>
    </xf>
    <xf numFmtId="173" fontId="79" fillId="0" borderId="22" xfId="50" applyNumberFormat="1" applyFont="1" applyBorder="1" applyAlignment="1">
      <alignment horizontal="center"/>
    </xf>
    <xf numFmtId="173" fontId="79" fillId="0" borderId="15" xfId="50" applyNumberFormat="1" applyFont="1" applyBorder="1" applyAlignment="1">
      <alignment horizontal="center"/>
    </xf>
    <xf numFmtId="173" fontId="79" fillId="0" borderId="24" xfId="50" applyNumberFormat="1" applyFont="1" applyBorder="1" applyAlignment="1">
      <alignment horizontal="center"/>
    </xf>
    <xf numFmtId="173" fontId="79" fillId="0" borderId="65" xfId="50" applyNumberFormat="1" applyFont="1" applyBorder="1" applyAlignment="1">
      <alignment horizontal="center"/>
    </xf>
    <xf numFmtId="173" fontId="79" fillId="0" borderId="64" xfId="50" applyNumberFormat="1" applyFont="1" applyBorder="1" applyAlignment="1">
      <alignment horizontal="center"/>
    </xf>
    <xf numFmtId="173" fontId="79" fillId="0" borderId="66" xfId="50" applyNumberFormat="1" applyFont="1" applyBorder="1" applyAlignment="1">
      <alignment horizontal="center"/>
    </xf>
    <xf numFmtId="168" fontId="25" fillId="0" borderId="22" xfId="41" applyNumberFormat="1" applyFont="1" applyBorder="1"/>
    <xf numFmtId="168" fontId="25" fillId="0" borderId="15" xfId="41" applyNumberFormat="1" applyFont="1" applyBorder="1"/>
    <xf numFmtId="168" fontId="25" fillId="0" borderId="24" xfId="41" applyNumberFormat="1" applyFont="1" applyBorder="1"/>
    <xf numFmtId="168" fontId="55" fillId="0" borderId="65" xfId="41" applyNumberFormat="1" applyFont="1" applyBorder="1"/>
    <xf numFmtId="168" fontId="55" fillId="0" borderId="64" xfId="41" applyNumberFormat="1" applyFont="1" applyBorder="1"/>
    <xf numFmtId="168" fontId="55" fillId="0" borderId="66" xfId="41" applyNumberFormat="1" applyFont="1" applyBorder="1"/>
    <xf numFmtId="0" fontId="55" fillId="0" borderId="15" xfId="41" applyFont="1" applyBorder="1" applyAlignment="1">
      <alignment horizontal="center"/>
    </xf>
    <xf numFmtId="0" fontId="55" fillId="0" borderId="24" xfId="41" applyFont="1" applyBorder="1" applyAlignment="1">
      <alignment horizontal="center"/>
    </xf>
    <xf numFmtId="0" fontId="52" fillId="0" borderId="22" xfId="41" applyFont="1" applyBorder="1"/>
    <xf numFmtId="0" fontId="52" fillId="0" borderId="15" xfId="41" applyFont="1" applyBorder="1"/>
    <xf numFmtId="0" fontId="52" fillId="0" borderId="24" xfId="41" applyFont="1" applyBorder="1"/>
    <xf numFmtId="0" fontId="52" fillId="0" borderId="65" xfId="41" applyFont="1" applyBorder="1"/>
    <xf numFmtId="0" fontId="52" fillId="0" borderId="64" xfId="41" applyFont="1" applyBorder="1"/>
    <xf numFmtId="0" fontId="52" fillId="0" borderId="66" xfId="41" applyFont="1" applyBorder="1"/>
    <xf numFmtId="172" fontId="52" fillId="0" borderId="22" xfId="50" applyNumberFormat="1" applyFont="1" applyBorder="1" applyAlignment="1">
      <alignment horizontal="center"/>
    </xf>
    <xf numFmtId="172" fontId="52" fillId="0" borderId="15" xfId="50" applyNumberFormat="1" applyFont="1" applyBorder="1" applyAlignment="1">
      <alignment horizontal="center"/>
    </xf>
    <xf numFmtId="172" fontId="52" fillId="0" borderId="24" xfId="50" applyNumberFormat="1" applyFont="1" applyBorder="1" applyAlignment="1">
      <alignment horizontal="center"/>
    </xf>
    <xf numFmtId="168" fontId="52" fillId="0" borderId="15" xfId="41" applyNumberFormat="1" applyFont="1" applyBorder="1" applyAlignment="1">
      <alignment horizontal="center"/>
    </xf>
    <xf numFmtId="168" fontId="52" fillId="0" borderId="24" xfId="41" applyNumberFormat="1" applyFont="1" applyBorder="1" applyAlignment="1">
      <alignment horizontal="center"/>
    </xf>
    <xf numFmtId="0" fontId="52" fillId="0" borderId="65" xfId="41" applyFont="1" applyBorder="1" applyAlignment="1">
      <alignment horizontal="center"/>
    </xf>
    <xf numFmtId="168" fontId="52" fillId="0" borderId="64" xfId="41" applyNumberFormat="1" applyFont="1" applyBorder="1" applyAlignment="1">
      <alignment horizontal="center"/>
    </xf>
    <xf numFmtId="168" fontId="52" fillId="0" borderId="66" xfId="41" applyNumberFormat="1" applyFont="1" applyBorder="1" applyAlignment="1">
      <alignment horizontal="center"/>
    </xf>
    <xf numFmtId="0" fontId="52" fillId="0" borderId="64" xfId="41" applyFont="1" applyBorder="1" applyAlignment="1">
      <alignment horizontal="center"/>
    </xf>
    <xf numFmtId="0" fontId="52" fillId="0" borderId="66" xfId="41" applyFont="1" applyBorder="1" applyAlignment="1">
      <alignment horizontal="center"/>
    </xf>
    <xf numFmtId="0" fontId="52" fillId="0" borderId="22" xfId="41" applyFont="1" applyFill="1" applyBorder="1" applyAlignment="1">
      <alignment horizontal="center" wrapText="1"/>
    </xf>
    <xf numFmtId="0" fontId="52" fillId="0" borderId="27" xfId="41" applyFont="1" applyBorder="1" applyAlignment="1">
      <alignment wrapText="1"/>
    </xf>
    <xf numFmtId="0" fontId="52" fillId="0" borderId="43" xfId="41" applyFont="1" applyBorder="1" applyAlignment="1">
      <alignment wrapText="1"/>
    </xf>
    <xf numFmtId="0" fontId="52" fillId="0" borderId="44" xfId="41" applyFont="1" applyBorder="1" applyAlignment="1">
      <alignment wrapText="1"/>
    </xf>
    <xf numFmtId="164" fontId="52" fillId="0" borderId="0" xfId="44" applyNumberFormat="1" applyFont="1" applyFill="1" applyBorder="1" applyAlignment="1">
      <alignment wrapText="1"/>
    </xf>
    <xf numFmtId="0" fontId="52" fillId="0" borderId="0" xfId="41" applyNumberFormat="1" applyFont="1" applyFill="1" applyBorder="1" applyAlignment="1">
      <alignment wrapText="1"/>
    </xf>
    <xf numFmtId="0" fontId="52" fillId="0" borderId="0" xfId="41" applyFont="1" applyFill="1" applyAlignment="1">
      <alignment wrapText="1"/>
    </xf>
    <xf numFmtId="0" fontId="52" fillId="0" borderId="0" xfId="41" applyFont="1" applyFill="1" applyAlignment="1">
      <alignment horizontal="right" wrapText="1"/>
    </xf>
    <xf numFmtId="0" fontId="52" fillId="0" borderId="0" xfId="41" applyFont="1" applyFill="1" applyBorder="1" applyAlignment="1">
      <alignment wrapText="1"/>
    </xf>
    <xf numFmtId="0" fontId="52" fillId="25" borderId="114" xfId="41" applyFont="1" applyFill="1" applyBorder="1"/>
    <xf numFmtId="0" fontId="52" fillId="25" borderId="113" xfId="41" applyFont="1" applyFill="1" applyBorder="1"/>
    <xf numFmtId="0" fontId="34" fillId="0" borderId="163" xfId="41" applyFont="1" applyBorder="1" applyAlignment="1">
      <alignment horizontal="center"/>
    </xf>
    <xf numFmtId="0" fontId="34" fillId="0" borderId="12" xfId="41" applyFont="1" applyBorder="1" applyAlignment="1">
      <alignment horizontal="center"/>
    </xf>
    <xf numFmtId="0" fontId="55" fillId="0" borderId="22" xfId="41" applyFont="1" applyBorder="1" applyAlignment="1">
      <alignment horizontal="center"/>
    </xf>
    <xf numFmtId="0" fontId="55" fillId="0" borderId="65" xfId="41" applyFont="1" applyBorder="1" applyAlignment="1">
      <alignment horizontal="center"/>
    </xf>
    <xf numFmtId="0" fontId="55" fillId="0" borderId="64" xfId="41" applyFont="1" applyBorder="1" applyAlignment="1">
      <alignment horizontal="center"/>
    </xf>
    <xf numFmtId="0" fontId="55" fillId="0" borderId="66" xfId="41" applyFont="1" applyBorder="1" applyAlignment="1">
      <alignment horizontal="center"/>
    </xf>
    <xf numFmtId="0" fontId="34" fillId="0" borderId="163" xfId="41" applyFont="1" applyFill="1" applyBorder="1" applyAlignment="1">
      <alignment horizontal="center"/>
    </xf>
    <xf numFmtId="0" fontId="34" fillId="0" borderId="12" xfId="41" applyFont="1" applyFill="1" applyBorder="1" applyAlignment="1">
      <alignment horizontal="center"/>
    </xf>
    <xf numFmtId="0" fontId="25" fillId="0" borderId="15" xfId="41" applyNumberFormat="1" applyFont="1" applyBorder="1"/>
    <xf numFmtId="0" fontId="55" fillId="0" borderId="64" xfId="41" applyNumberFormat="1" applyFont="1" applyBorder="1"/>
    <xf numFmtId="0" fontId="34" fillId="0" borderId="22" xfId="41" applyFont="1" applyBorder="1" applyAlignment="1">
      <alignment horizontal="center"/>
    </xf>
    <xf numFmtId="0" fontId="34" fillId="0" borderId="15" xfId="41" applyFont="1" applyBorder="1" applyAlignment="1">
      <alignment horizontal="center"/>
    </xf>
    <xf numFmtId="0" fontId="34" fillId="0" borderId="24" xfId="41" applyFont="1" applyBorder="1" applyAlignment="1">
      <alignment horizontal="center"/>
    </xf>
    <xf numFmtId="168" fontId="52" fillId="0" borderId="22" xfId="41" applyNumberFormat="1" applyFont="1" applyBorder="1" applyAlignment="1">
      <alignment horizontal="center"/>
    </xf>
    <xf numFmtId="168" fontId="52" fillId="0" borderId="65" xfId="41" applyNumberFormat="1" applyFont="1" applyBorder="1" applyAlignment="1">
      <alignment horizontal="center"/>
    </xf>
    <xf numFmtId="0" fontId="52" fillId="0" borderId="22" xfId="41" applyNumberFormat="1" applyFont="1" applyBorder="1" applyAlignment="1">
      <alignment horizontal="center"/>
    </xf>
    <xf numFmtId="0" fontId="52" fillId="0" borderId="15" xfId="41" applyNumberFormat="1" applyFont="1" applyBorder="1" applyAlignment="1">
      <alignment horizontal="center"/>
    </xf>
    <xf numFmtId="0" fontId="52" fillId="0" borderId="24" xfId="41" applyNumberFormat="1" applyFont="1" applyBorder="1" applyAlignment="1">
      <alignment horizontal="center"/>
    </xf>
    <xf numFmtId="0" fontId="52" fillId="0" borderId="65" xfId="41" applyNumberFormat="1" applyFont="1" applyBorder="1" applyAlignment="1">
      <alignment horizontal="center"/>
    </xf>
    <xf numFmtId="0" fontId="52" fillId="0" borderId="64" xfId="41" applyNumberFormat="1" applyFont="1" applyBorder="1" applyAlignment="1">
      <alignment horizontal="center"/>
    </xf>
    <xf numFmtId="0" fontId="52" fillId="0" borderId="66" xfId="41" applyNumberFormat="1" applyFont="1" applyBorder="1" applyAlignment="1">
      <alignment horizontal="center"/>
    </xf>
    <xf numFmtId="0" fontId="34" fillId="0" borderId="22" xfId="41" applyFont="1" applyFill="1" applyBorder="1" applyAlignment="1">
      <alignment horizontal="center" wrapText="1"/>
    </xf>
    <xf numFmtId="0" fontId="52" fillId="0" borderId="27" xfId="41" applyFont="1" applyBorder="1" applyAlignment="1">
      <alignment vertical="center"/>
    </xf>
    <xf numFmtId="0" fontId="52" fillId="0" borderId="43" xfId="41" applyFont="1" applyBorder="1" applyAlignment="1">
      <alignment vertical="center"/>
    </xf>
    <xf numFmtId="0" fontId="52" fillId="0" borderId="44" xfId="41" applyFont="1" applyBorder="1" applyAlignment="1">
      <alignment vertical="center"/>
    </xf>
    <xf numFmtId="0" fontId="52" fillId="0" borderId="58" xfId="41" applyFont="1" applyBorder="1" applyAlignment="1">
      <alignment vertical="center"/>
    </xf>
    <xf numFmtId="0" fontId="52" fillId="0" borderId="118" xfId="41" applyFont="1" applyBorder="1" applyAlignment="1">
      <alignment vertical="center"/>
    </xf>
    <xf numFmtId="0" fontId="34" fillId="0" borderId="0" xfId="41" applyFont="1" applyBorder="1" applyAlignment="1">
      <alignment vertical="center"/>
    </xf>
    <xf numFmtId="164" fontId="52" fillId="0" borderId="0" xfId="44" applyNumberFormat="1" applyFont="1" applyFill="1" applyBorder="1" applyAlignment="1">
      <alignment vertical="center"/>
    </xf>
    <xf numFmtId="0" fontId="52" fillId="0" borderId="0" xfId="41" applyNumberFormat="1" applyFont="1" applyFill="1" applyBorder="1" applyAlignment="1">
      <alignment vertical="center"/>
    </xf>
    <xf numFmtId="0" fontId="52" fillId="0" borderId="0" xfId="41" applyFont="1" applyFill="1" applyAlignment="1">
      <alignment vertical="center"/>
    </xf>
    <xf numFmtId="0" fontId="52" fillId="0" borderId="0" xfId="41" applyFont="1" applyFill="1" applyAlignment="1">
      <alignment horizontal="left" vertical="center"/>
    </xf>
    <xf numFmtId="0" fontId="52" fillId="0" borderId="0" xfId="41" applyFont="1" applyFill="1" applyAlignment="1">
      <alignment horizontal="right" vertical="center"/>
    </xf>
    <xf numFmtId="0" fontId="52" fillId="0" borderId="0" xfId="41" applyFont="1" applyFill="1" applyBorder="1" applyAlignment="1">
      <alignment vertical="center"/>
    </xf>
    <xf numFmtId="0" fontId="52" fillId="0" borderId="0" xfId="41" applyFont="1" applyAlignment="1">
      <alignment vertical="center" wrapText="1"/>
    </xf>
    <xf numFmtId="0" fontId="52" fillId="0" borderId="22" xfId="41" applyFont="1" applyBorder="1" applyAlignment="1">
      <alignment horizontal="right"/>
    </xf>
    <xf numFmtId="0" fontId="52" fillId="0" borderId="15" xfId="41" applyFont="1" applyBorder="1" applyAlignment="1">
      <alignment horizontal="right"/>
    </xf>
    <xf numFmtId="0" fontId="52" fillId="0" borderId="24" xfId="41" applyFont="1" applyBorder="1" applyAlignment="1">
      <alignment horizontal="right"/>
    </xf>
    <xf numFmtId="0" fontId="52" fillId="0" borderId="65" xfId="41" applyFont="1" applyBorder="1" applyAlignment="1">
      <alignment horizontal="right"/>
    </xf>
    <xf numFmtId="0" fontId="52" fillId="0" borderId="64" xfId="41" applyFont="1" applyBorder="1" applyAlignment="1">
      <alignment horizontal="right"/>
    </xf>
    <xf numFmtId="0" fontId="52" fillId="0" borderId="66" xfId="41" applyFont="1" applyBorder="1" applyAlignment="1">
      <alignment horizontal="right"/>
    </xf>
    <xf numFmtId="0" fontId="52" fillId="0" borderId="22" xfId="41" applyFont="1" applyBorder="1" applyAlignment="1"/>
    <xf numFmtId="0" fontId="52" fillId="0" borderId="15" xfId="41" applyFont="1" applyBorder="1" applyAlignment="1"/>
    <xf numFmtId="0" fontId="52" fillId="0" borderId="24" xfId="41" applyFont="1" applyBorder="1" applyAlignment="1"/>
    <xf numFmtId="0" fontId="52" fillId="0" borderId="65" xfId="41" applyFont="1" applyBorder="1" applyAlignment="1"/>
    <xf numFmtId="0" fontId="52" fillId="0" borderId="64" xfId="41" applyFont="1" applyBorder="1" applyAlignment="1"/>
    <xf numFmtId="0" fontId="52" fillId="0" borderId="66" xfId="41" applyFont="1" applyBorder="1" applyAlignment="1"/>
    <xf numFmtId="0" fontId="34" fillId="0" borderId="54" xfId="41" applyFont="1" applyBorder="1" applyAlignment="1">
      <alignment horizontal="center"/>
    </xf>
    <xf numFmtId="0" fontId="25" fillId="30" borderId="22" xfId="41" applyFont="1" applyFill="1" applyBorder="1" applyAlignment="1"/>
    <xf numFmtId="0" fontId="25" fillId="30" borderId="15" xfId="41" applyFont="1" applyFill="1" applyBorder="1" applyAlignment="1"/>
    <xf numFmtId="0" fontId="25" fillId="30" borderId="24" xfId="41" applyFont="1" applyFill="1" applyBorder="1" applyAlignment="1"/>
    <xf numFmtId="0" fontId="25" fillId="30" borderId="65" xfId="41" applyFont="1" applyFill="1" applyBorder="1" applyAlignment="1"/>
    <xf numFmtId="0" fontId="25" fillId="30" borderId="64" xfId="41" applyFont="1" applyFill="1" applyBorder="1" applyAlignment="1"/>
    <xf numFmtId="0" fontId="25" fillId="30" borderId="66" xfId="41" applyFont="1" applyFill="1" applyBorder="1" applyAlignment="1"/>
    <xf numFmtId="0" fontId="52" fillId="30" borderId="22" xfId="41" applyFont="1" applyFill="1" applyBorder="1" applyAlignment="1"/>
    <xf numFmtId="0" fontId="52" fillId="30" borderId="15" xfId="41" applyFont="1" applyFill="1" applyBorder="1" applyAlignment="1"/>
    <xf numFmtId="0" fontId="52" fillId="30" borderId="24" xfId="41" applyFont="1" applyFill="1" applyBorder="1" applyAlignment="1"/>
    <xf numFmtId="0" fontId="52" fillId="30" borderId="65" xfId="41" applyFont="1" applyFill="1" applyBorder="1" applyAlignment="1"/>
    <xf numFmtId="0" fontId="52" fillId="30" borderId="64" xfId="41" applyFont="1" applyFill="1" applyBorder="1" applyAlignment="1"/>
    <xf numFmtId="0" fontId="52" fillId="30" borderId="66" xfId="41" applyFont="1" applyFill="1" applyBorder="1" applyAlignment="1"/>
    <xf numFmtId="0" fontId="24" fillId="0" borderId="163" xfId="41" applyFont="1" applyBorder="1" applyAlignment="1">
      <alignment horizontal="center"/>
    </xf>
    <xf numFmtId="0" fontId="24" fillId="0" borderId="12" xfId="41" applyFont="1" applyBorder="1" applyAlignment="1">
      <alignment horizontal="center"/>
    </xf>
    <xf numFmtId="0" fontId="24" fillId="0" borderId="54" xfId="41" applyFont="1" applyBorder="1" applyAlignment="1">
      <alignment horizontal="center"/>
    </xf>
    <xf numFmtId="0" fontId="30" fillId="0" borderId="170" xfId="40" applyFont="1" applyFill="1" applyBorder="1" applyAlignment="1">
      <alignment horizontal="center"/>
    </xf>
    <xf numFmtId="0" fontId="30" fillId="0" borderId="229" xfId="40" applyFont="1" applyFill="1" applyBorder="1" applyAlignment="1">
      <alignment horizontal="center"/>
    </xf>
    <xf numFmtId="0" fontId="30" fillId="0" borderId="171" xfId="40" applyFont="1" applyFill="1" applyBorder="1" applyAlignment="1">
      <alignment horizontal="center"/>
    </xf>
    <xf numFmtId="0" fontId="30" fillId="0" borderId="22" xfId="40" applyFont="1" applyFill="1" applyBorder="1" applyAlignment="1">
      <alignment horizontal="center" vertical="center" wrapText="1"/>
    </xf>
    <xf numFmtId="0" fontId="30" fillId="0" borderId="15" xfId="40" applyFont="1" applyFill="1" applyBorder="1" applyAlignment="1">
      <alignment horizontal="center" vertical="center" wrapText="1"/>
    </xf>
    <xf numFmtId="0" fontId="30" fillId="0" borderId="24" xfId="40" applyFont="1" applyFill="1" applyBorder="1" applyAlignment="1">
      <alignment horizontal="center" vertical="center" wrapText="1"/>
    </xf>
    <xf numFmtId="0" fontId="30" fillId="0" borderId="65" xfId="40" applyFont="1" applyFill="1" applyBorder="1" applyAlignment="1">
      <alignment horizontal="center"/>
    </xf>
    <xf numFmtId="0" fontId="30" fillId="0" borderId="64" xfId="40" applyFont="1" applyFill="1" applyBorder="1" applyAlignment="1">
      <alignment horizontal="center" wrapText="1"/>
    </xf>
    <xf numFmtId="0" fontId="30" fillId="0" borderId="66" xfId="40" applyFont="1" applyFill="1" applyBorder="1" applyAlignment="1">
      <alignment horizontal="center" wrapText="1"/>
    </xf>
    <xf numFmtId="0" fontId="30" fillId="0" borderId="65" xfId="40" applyFont="1" applyFill="1" applyBorder="1" applyAlignment="1">
      <alignment horizontal="center" wrapText="1"/>
    </xf>
    <xf numFmtId="0" fontId="30" fillId="0" borderId="22" xfId="40" applyFont="1" applyFill="1" applyBorder="1" applyAlignment="1">
      <alignment horizontal="center" wrapText="1"/>
    </xf>
    <xf numFmtId="0" fontId="30" fillId="0" borderId="15" xfId="40" applyFont="1" applyFill="1" applyBorder="1" applyAlignment="1">
      <alignment horizontal="center" wrapText="1"/>
    </xf>
    <xf numFmtId="0" fontId="30" fillId="0" borderId="24" xfId="40" applyFont="1" applyFill="1" applyBorder="1" applyAlignment="1">
      <alignment horizontal="center" wrapText="1"/>
    </xf>
    <xf numFmtId="0" fontId="71" fillId="0" borderId="45" xfId="0" applyFont="1" applyBorder="1" applyAlignment="1">
      <alignment horizontal="center" vertical="center" wrapText="1"/>
    </xf>
    <xf numFmtId="0" fontId="71" fillId="0" borderId="50" xfId="0" applyFont="1" applyBorder="1" applyAlignment="1">
      <alignment horizontal="center" vertical="center" wrapText="1"/>
    </xf>
    <xf numFmtId="0" fontId="65" fillId="0" borderId="0" xfId="0" applyFont="1" applyAlignment="1">
      <alignment horizontal="right"/>
    </xf>
    <xf numFmtId="175" fontId="20" fillId="0" borderId="0" xfId="28" applyNumberFormat="1" applyFont="1" applyFill="1" applyBorder="1" applyAlignment="1">
      <alignment horizontal="center"/>
    </xf>
    <xf numFmtId="175" fontId="6" fillId="0" borderId="0" xfId="28" applyNumberFormat="1" applyFont="1" applyFill="1" applyBorder="1" applyAlignment="1">
      <alignment horizontal="left"/>
    </xf>
    <xf numFmtId="175" fontId="6" fillId="0" borderId="0" xfId="28" quotePrefix="1" applyNumberFormat="1" applyFont="1" applyFill="1" applyBorder="1" applyAlignment="1">
      <alignment horizontal="left"/>
    </xf>
    <xf numFmtId="175" fontId="6" fillId="0" borderId="0" xfId="28" applyNumberFormat="1" applyFont="1" applyFill="1" applyBorder="1" applyAlignment="1">
      <alignment horizontal="left" wrapText="1"/>
    </xf>
    <xf numFmtId="175" fontId="6" fillId="0" borderId="0" xfId="28" applyNumberFormat="1" applyFont="1" applyFill="1" applyBorder="1" applyAlignment="1">
      <alignment wrapText="1"/>
    </xf>
    <xf numFmtId="175" fontId="6" fillId="0" borderId="0" xfId="28" applyNumberFormat="1" applyFont="1" applyFill="1" applyBorder="1"/>
    <xf numFmtId="175" fontId="65" fillId="0" borderId="0" xfId="0" applyNumberFormat="1" applyFont="1" applyBorder="1"/>
    <xf numFmtId="175" fontId="6" fillId="0" borderId="0" xfId="40" applyNumberFormat="1" applyFont="1" applyBorder="1" applyAlignment="1">
      <alignment horizontal="left"/>
    </xf>
    <xf numFmtId="175" fontId="6" fillId="0" borderId="0" xfId="28" applyNumberFormat="1" applyFont="1" applyFill="1" applyBorder="1" applyAlignment="1">
      <alignment horizontal="center" wrapText="1"/>
    </xf>
    <xf numFmtId="0" fontId="6" fillId="0" borderId="0" xfId="0" applyFont="1" applyBorder="1"/>
    <xf numFmtId="175" fontId="65" fillId="0" borderId="0" xfId="28" applyNumberFormat="1" applyFont="1" applyBorder="1"/>
    <xf numFmtId="0" fontId="65" fillId="0" borderId="28" xfId="0" applyFont="1" applyBorder="1"/>
    <xf numFmtId="0" fontId="65" fillId="0" borderId="14" xfId="0" applyFont="1" applyBorder="1"/>
    <xf numFmtId="0" fontId="65" fillId="0" borderId="34" xfId="0" applyFont="1" applyBorder="1"/>
    <xf numFmtId="0" fontId="65" fillId="0" borderId="38" xfId="0" applyFont="1" applyBorder="1"/>
    <xf numFmtId="0" fontId="65" fillId="0" borderId="41" xfId="0" applyFont="1" applyBorder="1"/>
    <xf numFmtId="0" fontId="65" fillId="0" borderId="41" xfId="0" applyFont="1" applyBorder="1" applyAlignment="1">
      <alignment horizontal="right"/>
    </xf>
    <xf numFmtId="175" fontId="20" fillId="0" borderId="41" xfId="28" applyNumberFormat="1" applyFont="1" applyFill="1" applyBorder="1" applyAlignment="1">
      <alignment horizontal="center"/>
    </xf>
    <xf numFmtId="1" fontId="6" fillId="0" borderId="41" xfId="28" applyNumberFormat="1" applyFont="1" applyFill="1" applyBorder="1" applyAlignment="1">
      <alignment horizontal="center"/>
    </xf>
    <xf numFmtId="0" fontId="0" fillId="0" borderId="41" xfId="0" applyBorder="1"/>
    <xf numFmtId="0" fontId="34" fillId="0" borderId="60" xfId="41" applyFont="1" applyFill="1" applyBorder="1" applyAlignment="1">
      <alignment horizontal="center"/>
    </xf>
    <xf numFmtId="0" fontId="34" fillId="0" borderId="21" xfId="41" applyFont="1" applyFill="1" applyBorder="1" applyAlignment="1">
      <alignment horizontal="center"/>
    </xf>
    <xf numFmtId="0" fontId="34" fillId="0" borderId="21" xfId="41" applyFont="1" applyBorder="1" applyAlignment="1">
      <alignment horizontal="center"/>
    </xf>
    <xf numFmtId="0" fontId="34" fillId="0" borderId="56" xfId="41" applyFont="1" applyBorder="1" applyAlignment="1">
      <alignment horizontal="center"/>
    </xf>
    <xf numFmtId="2" fontId="52" fillId="0" borderId="98" xfId="44" applyNumberFormat="1" applyFont="1" applyBorder="1" applyAlignment="1">
      <alignment horizontal="center"/>
    </xf>
    <xf numFmtId="2" fontId="52" fillId="0" borderId="125" xfId="44" applyNumberFormat="1" applyFont="1" applyBorder="1" applyAlignment="1">
      <alignment horizontal="center"/>
    </xf>
    <xf numFmtId="2" fontId="52" fillId="0" borderId="101" xfId="44" applyNumberFormat="1" applyFont="1" applyBorder="1" applyAlignment="1">
      <alignment horizontal="center"/>
    </xf>
    <xf numFmtId="2" fontId="52" fillId="0" borderId="99" xfId="44" applyNumberFormat="1" applyFont="1" applyBorder="1" applyAlignment="1">
      <alignment horizontal="center"/>
    </xf>
    <xf numFmtId="2" fontId="52" fillId="0" borderId="42" xfId="44" applyNumberFormat="1" applyFont="1" applyBorder="1" applyAlignment="1">
      <alignment horizontal="center"/>
    </xf>
    <xf numFmtId="2" fontId="52" fillId="0" borderId="77" xfId="44" applyNumberFormat="1" applyFont="1" applyBorder="1" applyAlignment="1">
      <alignment horizontal="center"/>
    </xf>
    <xf numFmtId="2" fontId="52" fillId="0" borderId="100" xfId="44" applyNumberFormat="1" applyFont="1" applyBorder="1" applyAlignment="1">
      <alignment horizontal="center"/>
    </xf>
    <xf numFmtId="2" fontId="52" fillId="0" borderId="117" xfId="44" applyNumberFormat="1" applyFont="1" applyBorder="1" applyAlignment="1">
      <alignment horizontal="center"/>
    </xf>
    <xf numFmtId="2" fontId="52" fillId="0" borderId="105" xfId="44" applyNumberFormat="1" applyFont="1" applyBorder="1" applyAlignment="1">
      <alignment horizontal="center"/>
    </xf>
    <xf numFmtId="2" fontId="52" fillId="0" borderId="176" xfId="44" applyNumberFormat="1" applyFont="1" applyBorder="1" applyAlignment="1">
      <alignment horizontal="center"/>
    </xf>
    <xf numFmtId="2" fontId="52" fillId="0" borderId="183" xfId="44" applyNumberFormat="1" applyFont="1" applyBorder="1" applyAlignment="1">
      <alignment horizontal="center"/>
    </xf>
    <xf numFmtId="2" fontId="52" fillId="0" borderId="177" xfId="44" applyNumberFormat="1" applyFont="1" applyBorder="1" applyAlignment="1">
      <alignment horizontal="center"/>
    </xf>
    <xf numFmtId="2" fontId="52" fillId="0" borderId="48" xfId="44" applyNumberFormat="1" applyFont="1" applyBorder="1" applyAlignment="1">
      <alignment horizontal="center"/>
    </xf>
    <xf numFmtId="2" fontId="52" fillId="0" borderId="49" xfId="44" applyNumberFormat="1" applyFont="1" applyBorder="1" applyAlignment="1">
      <alignment horizontal="center"/>
    </xf>
    <xf numFmtId="2" fontId="52" fillId="0" borderId="47" xfId="44" applyNumberFormat="1" applyFont="1" applyBorder="1" applyAlignment="1">
      <alignment horizontal="center"/>
    </xf>
    <xf numFmtId="2" fontId="52" fillId="0" borderId="10" xfId="44" applyNumberFormat="1" applyFont="1" applyBorder="1" applyAlignment="1">
      <alignment horizontal="center"/>
    </xf>
    <xf numFmtId="2" fontId="52" fillId="0" borderId="11" xfId="44" applyNumberFormat="1" applyFont="1" applyBorder="1" applyAlignment="1">
      <alignment horizontal="center"/>
    </xf>
    <xf numFmtId="2" fontId="52" fillId="0" borderId="132" xfId="44" applyNumberFormat="1" applyFont="1" applyBorder="1" applyAlignment="1">
      <alignment horizontal="center"/>
    </xf>
    <xf numFmtId="1" fontId="65" fillId="0" borderId="15" xfId="44" applyNumberFormat="1" applyFont="1" applyBorder="1"/>
    <xf numFmtId="1" fontId="65" fillId="0" borderId="17" xfId="44" applyNumberFormat="1" applyFont="1" applyBorder="1"/>
    <xf numFmtId="0" fontId="71" fillId="0" borderId="29" xfId="41" applyFont="1" applyBorder="1" applyAlignment="1">
      <alignment horizontal="right"/>
    </xf>
    <xf numFmtId="0" fontId="71" fillId="0" borderId="29" xfId="41" applyFont="1" applyBorder="1"/>
    <xf numFmtId="0" fontId="71" fillId="0" borderId="30" xfId="41" applyFont="1" applyBorder="1"/>
    <xf numFmtId="0" fontId="67" fillId="0" borderId="93" xfId="0" applyFont="1" applyBorder="1"/>
    <xf numFmtId="1" fontId="65" fillId="0" borderId="60" xfId="44" applyNumberFormat="1" applyFont="1" applyBorder="1"/>
    <xf numFmtId="1" fontId="65" fillId="0" borderId="21" xfId="44" applyNumberFormat="1" applyFont="1" applyBorder="1"/>
    <xf numFmtId="1" fontId="65" fillId="0" borderId="22" xfId="44" applyNumberFormat="1" applyFont="1" applyBorder="1"/>
    <xf numFmtId="1" fontId="65" fillId="0" borderId="23" xfId="44" applyNumberFormat="1" applyFont="1" applyBorder="1"/>
    <xf numFmtId="0" fontId="67" fillId="29" borderId="60" xfId="0" applyFont="1" applyFill="1" applyBorder="1"/>
    <xf numFmtId="176" fontId="52" fillId="0" borderId="0" xfId="41" applyNumberFormat="1" applyFont="1"/>
    <xf numFmtId="0" fontId="0" fillId="0" borderId="74" xfId="0" applyBorder="1"/>
    <xf numFmtId="176" fontId="0" fillId="0" borderId="0" xfId="0" applyNumberFormat="1"/>
    <xf numFmtId="164" fontId="52" fillId="0" borderId="41" xfId="44" applyNumberFormat="1" applyFont="1" applyBorder="1"/>
    <xf numFmtId="164" fontId="53" fillId="0" borderId="0" xfId="44" applyNumberFormat="1" applyFont="1"/>
    <xf numFmtId="164" fontId="53" fillId="0" borderId="101" xfId="44" applyNumberFormat="1" applyFont="1" applyBorder="1"/>
    <xf numFmtId="164" fontId="0" fillId="0" borderId="74" xfId="44" applyNumberFormat="1" applyFont="1" applyBorder="1"/>
    <xf numFmtId="0" fontId="87" fillId="0" borderId="0" xfId="0" applyFont="1"/>
    <xf numFmtId="0" fontId="87" fillId="0" borderId="27" xfId="40" applyFont="1" applyFill="1" applyBorder="1"/>
    <xf numFmtId="0" fontId="87" fillId="0" borderId="28" xfId="40" applyFont="1" applyFill="1" applyBorder="1"/>
    <xf numFmtId="0" fontId="87" fillId="0" borderId="170" xfId="40" applyFont="1" applyFill="1" applyBorder="1" applyAlignment="1">
      <alignment horizontal="center"/>
    </xf>
    <xf numFmtId="0" fontId="87" fillId="0" borderId="229" xfId="40" applyFont="1" applyFill="1" applyBorder="1" applyAlignment="1">
      <alignment horizontal="center"/>
    </xf>
    <xf numFmtId="0" fontId="87" fillId="0" borderId="171" xfId="40" applyFont="1" applyFill="1" applyBorder="1" applyAlignment="1">
      <alignment horizontal="center"/>
    </xf>
    <xf numFmtId="0" fontId="87" fillId="0" borderId="28" xfId="40" applyFont="1" applyFill="1" applyBorder="1" applyAlignment="1">
      <alignment vertical="center"/>
    </xf>
    <xf numFmtId="0" fontId="87" fillId="0" borderId="22" xfId="40" applyFont="1" applyFill="1" applyBorder="1" applyAlignment="1">
      <alignment horizontal="center" vertical="center" wrapText="1"/>
    </xf>
    <xf numFmtId="0" fontId="87" fillId="0" borderId="15" xfId="40" applyFont="1" applyFill="1" applyBorder="1" applyAlignment="1">
      <alignment horizontal="center" vertical="center" wrapText="1"/>
    </xf>
    <xf numFmtId="0" fontId="87" fillId="0" borderId="24" xfId="40" applyFont="1" applyFill="1" applyBorder="1" applyAlignment="1">
      <alignment horizontal="center" vertical="center" wrapText="1"/>
    </xf>
    <xf numFmtId="0" fontId="87" fillId="0" borderId="52" xfId="40" applyFont="1" applyFill="1" applyBorder="1" applyAlignment="1">
      <alignment horizontal="center"/>
    </xf>
    <xf numFmtId="0" fontId="87" fillId="0" borderId="65" xfId="40" applyFont="1" applyFill="1" applyBorder="1" applyAlignment="1">
      <alignment horizontal="center"/>
    </xf>
    <xf numFmtId="0" fontId="87" fillId="0" borderId="64" xfId="40" applyFont="1" applyFill="1" applyBorder="1" applyAlignment="1">
      <alignment horizontal="center" wrapText="1"/>
    </xf>
    <xf numFmtId="0" fontId="87" fillId="0" borderId="66" xfId="40" applyFont="1" applyFill="1" applyBorder="1" applyAlignment="1">
      <alignment horizontal="center" wrapText="1"/>
    </xf>
    <xf numFmtId="0" fontId="87" fillId="0" borderId="65" xfId="40" applyFont="1" applyFill="1" applyBorder="1" applyAlignment="1">
      <alignment horizontal="center" wrapText="1"/>
    </xf>
    <xf numFmtId="0" fontId="87" fillId="0" borderId="28" xfId="40" applyFont="1" applyFill="1" applyBorder="1" applyAlignment="1">
      <alignment horizontal="center"/>
    </xf>
    <xf numFmtId="164" fontId="87" fillId="0" borderId="192" xfId="44" applyNumberFormat="1" applyFont="1" applyFill="1" applyBorder="1" applyAlignment="1">
      <alignment horizontal="center"/>
    </xf>
    <xf numFmtId="164" fontId="87" fillId="0" borderId="193" xfId="44" applyNumberFormat="1" applyFont="1" applyFill="1" applyBorder="1" applyAlignment="1">
      <alignment horizontal="center"/>
    </xf>
    <xf numFmtId="164" fontId="87" fillId="0" borderId="195" xfId="44" applyNumberFormat="1" applyFont="1" applyFill="1" applyBorder="1" applyAlignment="1">
      <alignment horizontal="center"/>
    </xf>
    <xf numFmtId="164" fontId="87" fillId="0" borderId="196" xfId="44" applyNumberFormat="1" applyFont="1" applyFill="1" applyBorder="1" applyAlignment="1">
      <alignment horizontal="center"/>
    </xf>
    <xf numFmtId="164" fontId="87" fillId="0" borderId="197" xfId="44" applyNumberFormat="1" applyFont="1" applyFill="1" applyBorder="1" applyAlignment="1">
      <alignment horizontal="center"/>
    </xf>
    <xf numFmtId="0" fontId="87" fillId="0" borderId="73" xfId="40" applyFont="1" applyFill="1" applyBorder="1" applyAlignment="1">
      <alignment horizontal="center"/>
    </xf>
    <xf numFmtId="164" fontId="87" fillId="0" borderId="198" xfId="44" applyNumberFormat="1" applyFont="1" applyFill="1" applyBorder="1" applyAlignment="1">
      <alignment horizontal="center"/>
    </xf>
    <xf numFmtId="164" fontId="87" fillId="0" borderId="199" xfId="44" applyNumberFormat="1" applyFont="1" applyFill="1" applyBorder="1" applyAlignment="1">
      <alignment horizontal="center"/>
    </xf>
    <xf numFmtId="164" fontId="87" fillId="0" borderId="200" xfId="44" applyNumberFormat="1" applyFont="1" applyFill="1" applyBorder="1" applyAlignment="1">
      <alignment horizontal="center"/>
    </xf>
    <xf numFmtId="164" fontId="87" fillId="0" borderId="201" xfId="44" applyNumberFormat="1" applyFont="1" applyFill="1" applyBorder="1" applyAlignment="1">
      <alignment horizontal="center"/>
    </xf>
    <xf numFmtId="164" fontId="87" fillId="0" borderId="202" xfId="44" applyNumberFormat="1" applyFont="1" applyFill="1" applyBorder="1" applyAlignment="1">
      <alignment horizontal="center"/>
    </xf>
    <xf numFmtId="164" fontId="87" fillId="0" borderId="203" xfId="44" applyNumberFormat="1" applyFont="1" applyFill="1" applyBorder="1" applyAlignment="1">
      <alignment horizontal="center"/>
    </xf>
    <xf numFmtId="0" fontId="87" fillId="0" borderId="34" xfId="40" applyFont="1" applyFill="1" applyBorder="1" applyAlignment="1">
      <alignment horizontal="center"/>
    </xf>
    <xf numFmtId="164" fontId="87" fillId="0" borderId="204" xfId="44" applyNumberFormat="1" applyFont="1" applyFill="1" applyBorder="1" applyAlignment="1">
      <alignment horizontal="center"/>
    </xf>
    <xf numFmtId="164" fontId="87" fillId="0" borderId="205" xfId="44" applyNumberFormat="1" applyFont="1" applyFill="1" applyBorder="1" applyAlignment="1">
      <alignment horizontal="center"/>
    </xf>
    <xf numFmtId="164" fontId="87" fillId="0" borderId="206" xfId="44" applyNumberFormat="1" applyFont="1" applyFill="1" applyBorder="1" applyAlignment="1">
      <alignment horizontal="center"/>
    </xf>
    <xf numFmtId="0" fontId="68" fillId="0" borderId="0" xfId="0" applyFont="1"/>
    <xf numFmtId="10" fontId="53" fillId="0" borderId="230" xfId="44" applyNumberFormat="1" applyFont="1" applyBorder="1" applyAlignment="1">
      <alignment horizontal="center"/>
    </xf>
    <xf numFmtId="10" fontId="53" fillId="0" borderId="109" xfId="44" applyNumberFormat="1" applyFont="1" applyBorder="1" applyAlignment="1">
      <alignment horizontal="center"/>
    </xf>
    <xf numFmtId="0" fontId="53" fillId="0" borderId="99" xfId="41" applyFont="1" applyBorder="1"/>
    <xf numFmtId="0" fontId="53" fillId="0" borderId="48" xfId="41" applyFont="1" applyBorder="1"/>
    <xf numFmtId="166" fontId="53" fillId="0" borderId="231" xfId="44" applyNumberFormat="1" applyFont="1" applyBorder="1" applyAlignment="1">
      <alignment horizontal="center"/>
    </xf>
    <xf numFmtId="0" fontId="52" fillId="0" borderId="110" xfId="41" applyFont="1" applyBorder="1"/>
    <xf numFmtId="0" fontId="53" fillId="0" borderId="111" xfId="41" applyFont="1" applyBorder="1"/>
    <xf numFmtId="10" fontId="53" fillId="0" borderId="111" xfId="41" applyNumberFormat="1" applyFont="1" applyBorder="1"/>
    <xf numFmtId="10" fontId="53" fillId="0" borderId="99" xfId="41" applyNumberFormat="1" applyFont="1" applyBorder="1"/>
    <xf numFmtId="164" fontId="87" fillId="0" borderId="232" xfId="44" applyNumberFormat="1" applyFont="1" applyFill="1" applyBorder="1" applyAlignment="1">
      <alignment horizontal="center"/>
    </xf>
    <xf numFmtId="164" fontId="87" fillId="0" borderId="194" xfId="44" applyNumberFormat="1" applyFont="1" applyFill="1" applyBorder="1" applyAlignment="1">
      <alignment horizontal="center"/>
    </xf>
    <xf numFmtId="164" fontId="87" fillId="0" borderId="233" xfId="44" applyNumberFormat="1" applyFont="1" applyFill="1" applyBorder="1" applyAlignment="1">
      <alignment horizontal="center"/>
    </xf>
    <xf numFmtId="164" fontId="87" fillId="0" borderId="234" xfId="44" applyNumberFormat="1" applyFont="1" applyFill="1" applyBorder="1" applyAlignment="1">
      <alignment horizontal="center"/>
    </xf>
    <xf numFmtId="164" fontId="87" fillId="0" borderId="235" xfId="44" applyNumberFormat="1" applyFont="1" applyFill="1" applyBorder="1" applyAlignment="1">
      <alignment horizontal="center"/>
    </xf>
    <xf numFmtId="0" fontId="87" fillId="0" borderId="25" xfId="40" applyFont="1" applyFill="1" applyBorder="1" applyAlignment="1">
      <alignment horizontal="center" vertical="center" wrapText="1"/>
    </xf>
    <xf numFmtId="0" fontId="87" fillId="0" borderId="20" xfId="40" applyFont="1" applyFill="1" applyBorder="1" applyAlignment="1">
      <alignment horizontal="center" vertical="center" wrapText="1"/>
    </xf>
    <xf numFmtId="0" fontId="87" fillId="0" borderId="55" xfId="40" applyFont="1" applyFill="1" applyBorder="1" applyAlignment="1">
      <alignment horizontal="center" vertical="center" wrapText="1"/>
    </xf>
    <xf numFmtId="164" fontId="52" fillId="0" borderId="218" xfId="44" applyNumberFormat="1" applyFont="1" applyBorder="1"/>
    <xf numFmtId="164" fontId="52" fillId="0" borderId="225" xfId="44" applyNumberFormat="1" applyFont="1" applyBorder="1"/>
    <xf numFmtId="0" fontId="53" fillId="0" borderId="180" xfId="41" applyFont="1" applyBorder="1"/>
    <xf numFmtId="0" fontId="0" fillId="0" borderId="72" xfId="0" applyBorder="1"/>
    <xf numFmtId="164" fontId="52" fillId="0" borderId="28" xfId="44" applyNumberFormat="1" applyFont="1" applyBorder="1"/>
    <xf numFmtId="164" fontId="52" fillId="0" borderId="0" xfId="44" applyNumberFormat="1" applyFont="1" applyBorder="1"/>
    <xf numFmtId="164" fontId="52" fillId="0" borderId="14" xfId="44" applyNumberFormat="1" applyFont="1" applyBorder="1"/>
    <xf numFmtId="164" fontId="52" fillId="0" borderId="34" xfId="44" applyNumberFormat="1" applyFont="1" applyBorder="1"/>
    <xf numFmtId="164" fontId="52" fillId="0" borderId="59" xfId="44" applyNumberFormat="1" applyFont="1" applyBorder="1"/>
    <xf numFmtId="164" fontId="52" fillId="0" borderId="236" xfId="44" applyNumberFormat="1" applyFont="1" applyBorder="1"/>
    <xf numFmtId="164" fontId="52" fillId="0" borderId="38" xfId="44" applyNumberFormat="1" applyFont="1" applyBorder="1"/>
    <xf numFmtId="0" fontId="53" fillId="0" borderId="70" xfId="41" applyFont="1" applyBorder="1"/>
    <xf numFmtId="0" fontId="53" fillId="0" borderId="71" xfId="41" applyFont="1" applyBorder="1"/>
    <xf numFmtId="0" fontId="52" fillId="0" borderId="78" xfId="41" applyFont="1" applyBorder="1"/>
    <xf numFmtId="0" fontId="52" fillId="0" borderId="77" xfId="41" applyFont="1" applyBorder="1"/>
    <xf numFmtId="0" fontId="52" fillId="0" borderId="129" xfId="41" applyFont="1" applyBorder="1"/>
    <xf numFmtId="2" fontId="87" fillId="0" borderId="193" xfId="44" applyNumberFormat="1" applyFont="1" applyFill="1" applyBorder="1" applyAlignment="1">
      <alignment horizontal="center"/>
    </xf>
    <xf numFmtId="2" fontId="87" fillId="0" borderId="232" xfId="44" applyNumberFormat="1" applyFont="1" applyFill="1" applyBorder="1" applyAlignment="1">
      <alignment horizontal="center"/>
    </xf>
    <xf numFmtId="2" fontId="87" fillId="0" borderId="194" xfId="44" applyNumberFormat="1" applyFont="1" applyFill="1" applyBorder="1" applyAlignment="1">
      <alignment horizontal="center"/>
    </xf>
    <xf numFmtId="2" fontId="87" fillId="0" borderId="195" xfId="44" applyNumberFormat="1" applyFont="1" applyFill="1" applyBorder="1" applyAlignment="1">
      <alignment horizontal="center"/>
    </xf>
    <xf numFmtId="2" fontId="87" fillId="0" borderId="196" xfId="44" applyNumberFormat="1" applyFont="1" applyFill="1" applyBorder="1" applyAlignment="1">
      <alignment horizontal="center"/>
    </xf>
    <xf numFmtId="2" fontId="87" fillId="0" borderId="197" xfId="44" applyNumberFormat="1" applyFont="1" applyFill="1" applyBorder="1" applyAlignment="1">
      <alignment horizontal="center"/>
    </xf>
    <xf numFmtId="2" fontId="87" fillId="0" borderId="198" xfId="44" applyNumberFormat="1" applyFont="1" applyFill="1" applyBorder="1" applyAlignment="1">
      <alignment horizontal="center"/>
    </xf>
    <xf numFmtId="2" fontId="87" fillId="0" borderId="199" xfId="44" applyNumberFormat="1" applyFont="1" applyFill="1" applyBorder="1" applyAlignment="1">
      <alignment horizontal="center"/>
    </xf>
    <xf numFmtId="2" fontId="87" fillId="0" borderId="200" xfId="44" applyNumberFormat="1" applyFont="1" applyFill="1" applyBorder="1" applyAlignment="1">
      <alignment horizontal="center"/>
    </xf>
    <xf numFmtId="2" fontId="87" fillId="0" borderId="201" xfId="44" applyNumberFormat="1" applyFont="1" applyFill="1" applyBorder="1" applyAlignment="1">
      <alignment horizontal="center"/>
    </xf>
    <xf numFmtId="2" fontId="87" fillId="0" borderId="202" xfId="44" applyNumberFormat="1" applyFont="1" applyFill="1" applyBorder="1" applyAlignment="1">
      <alignment horizontal="center"/>
    </xf>
    <xf numFmtId="2" fontId="87" fillId="0" borderId="203" xfId="44" applyNumberFormat="1" applyFont="1" applyFill="1" applyBorder="1" applyAlignment="1">
      <alignment horizontal="center"/>
    </xf>
    <xf numFmtId="2" fontId="87" fillId="0" borderId="233" xfId="44" applyNumberFormat="1" applyFont="1" applyFill="1" applyBorder="1" applyAlignment="1">
      <alignment horizontal="center"/>
    </xf>
    <xf numFmtId="2" fontId="87" fillId="0" borderId="234" xfId="44" applyNumberFormat="1" applyFont="1" applyFill="1" applyBorder="1" applyAlignment="1">
      <alignment horizontal="center"/>
    </xf>
    <xf numFmtId="2" fontId="87" fillId="0" borderId="235" xfId="44" applyNumberFormat="1" applyFont="1" applyFill="1" applyBorder="1" applyAlignment="1">
      <alignment horizontal="center"/>
    </xf>
    <xf numFmtId="2" fontId="87" fillId="0" borderId="204" xfId="44" applyNumberFormat="1" applyFont="1" applyFill="1" applyBorder="1" applyAlignment="1">
      <alignment horizontal="center"/>
    </xf>
    <xf numFmtId="2" fontId="87" fillId="0" borderId="205" xfId="44" applyNumberFormat="1" applyFont="1" applyFill="1" applyBorder="1" applyAlignment="1">
      <alignment horizontal="center"/>
    </xf>
    <xf numFmtId="2" fontId="87" fillId="0" borderId="206" xfId="44" applyNumberFormat="1" applyFont="1" applyFill="1" applyBorder="1" applyAlignment="1">
      <alignment horizontal="center"/>
    </xf>
    <xf numFmtId="0" fontId="25" fillId="0" borderId="99" xfId="41" applyFont="1" applyFill="1" applyBorder="1"/>
    <xf numFmtId="0" fontId="83" fillId="0" borderId="0" xfId="0" applyFont="1"/>
    <xf numFmtId="168" fontId="87" fillId="0" borderId="195" xfId="44" applyNumberFormat="1" applyFont="1" applyFill="1" applyBorder="1" applyAlignment="1">
      <alignment horizontal="center"/>
    </xf>
    <xf numFmtId="168" fontId="87" fillId="0" borderId="193" xfId="44" applyNumberFormat="1" applyFont="1" applyFill="1" applyBorder="1" applyAlignment="1">
      <alignment horizontal="center"/>
    </xf>
    <xf numFmtId="168" fontId="87" fillId="0" borderId="232" xfId="44" applyNumberFormat="1" applyFont="1" applyFill="1" applyBorder="1" applyAlignment="1">
      <alignment horizontal="center"/>
    </xf>
    <xf numFmtId="168" fontId="87" fillId="0" borderId="196" xfId="44" applyNumberFormat="1" applyFont="1" applyFill="1" applyBorder="1" applyAlignment="1">
      <alignment horizontal="center"/>
    </xf>
    <xf numFmtId="168" fontId="87" fillId="0" borderId="197" xfId="44" applyNumberFormat="1" applyFont="1" applyFill="1" applyBorder="1" applyAlignment="1">
      <alignment horizontal="center"/>
    </xf>
    <xf numFmtId="168" fontId="87" fillId="0" borderId="198" xfId="44" applyNumberFormat="1" applyFont="1" applyFill="1" applyBorder="1" applyAlignment="1">
      <alignment horizontal="center"/>
    </xf>
    <xf numFmtId="168" fontId="87" fillId="0" borderId="199" xfId="44" applyNumberFormat="1" applyFont="1" applyFill="1" applyBorder="1" applyAlignment="1">
      <alignment horizontal="center"/>
    </xf>
    <xf numFmtId="168" fontId="87" fillId="0" borderId="200" xfId="44" applyNumberFormat="1" applyFont="1" applyFill="1" applyBorder="1" applyAlignment="1">
      <alignment horizontal="center"/>
    </xf>
    <xf numFmtId="168" fontId="87" fillId="0" borderId="201" xfId="44" applyNumberFormat="1" applyFont="1" applyFill="1" applyBorder="1" applyAlignment="1">
      <alignment horizontal="center"/>
    </xf>
    <xf numFmtId="168" fontId="87" fillId="0" borderId="202" xfId="44" applyNumberFormat="1" applyFont="1" applyFill="1" applyBorder="1" applyAlignment="1">
      <alignment horizontal="center"/>
    </xf>
    <xf numFmtId="168" fontId="87" fillId="0" borderId="203" xfId="44" applyNumberFormat="1" applyFont="1" applyFill="1" applyBorder="1" applyAlignment="1">
      <alignment horizontal="center"/>
    </xf>
    <xf numFmtId="168" fontId="87" fillId="0" borderId="204" xfId="44" applyNumberFormat="1" applyFont="1" applyFill="1" applyBorder="1" applyAlignment="1">
      <alignment horizontal="center"/>
    </xf>
    <xf numFmtId="168" fontId="87" fillId="0" borderId="205" xfId="44" applyNumberFormat="1" applyFont="1" applyFill="1" applyBorder="1" applyAlignment="1">
      <alignment horizontal="center"/>
    </xf>
    <xf numFmtId="168" fontId="87" fillId="0" borderId="206" xfId="44" applyNumberFormat="1" applyFont="1" applyFill="1" applyBorder="1" applyAlignment="1">
      <alignment horizontal="center"/>
    </xf>
    <xf numFmtId="168" fontId="87" fillId="0" borderId="233" xfId="44" applyNumberFormat="1" applyFont="1" applyFill="1" applyBorder="1" applyAlignment="1">
      <alignment horizontal="center"/>
    </xf>
    <xf numFmtId="168" fontId="87" fillId="0" borderId="234" xfId="44" applyNumberFormat="1" applyFont="1" applyFill="1" applyBorder="1" applyAlignment="1">
      <alignment horizontal="center"/>
    </xf>
    <xf numFmtId="168" fontId="87" fillId="0" borderId="235" xfId="44" applyNumberFormat="1" applyFont="1" applyFill="1" applyBorder="1" applyAlignment="1">
      <alignment horizontal="center"/>
    </xf>
    <xf numFmtId="0" fontId="0" fillId="0" borderId="59" xfId="0" applyFill="1" applyBorder="1" applyAlignment="1"/>
    <xf numFmtId="0" fontId="89" fillId="0" borderId="71" xfId="0" applyFont="1" applyFill="1" applyBorder="1" applyAlignment="1">
      <alignment horizontal="center"/>
    </xf>
    <xf numFmtId="0" fontId="0" fillId="0" borderId="0" xfId="0" applyFill="1" applyBorder="1" applyAlignment="1"/>
    <xf numFmtId="0" fontId="89" fillId="0" borderId="71" xfId="0" applyFont="1" applyFill="1" applyBorder="1" applyAlignment="1">
      <alignment horizontal="centerContinuous"/>
    </xf>
    <xf numFmtId="0" fontId="67" fillId="0" borderId="175" xfId="0" applyFont="1" applyBorder="1" applyAlignment="1">
      <alignment horizontal="center"/>
    </xf>
    <xf numFmtId="164" fontId="25" fillId="0" borderId="0" xfId="40" applyNumberFormat="1" applyFont="1" applyFill="1"/>
    <xf numFmtId="0" fontId="25" fillId="0" borderId="60" xfId="0" applyFont="1" applyFill="1" applyBorder="1" applyAlignment="1">
      <alignment horizontal="center"/>
    </xf>
    <xf numFmtId="171" fontId="25" fillId="0" borderId="23" xfId="0" applyNumberFormat="1" applyFont="1" applyFill="1" applyBorder="1" applyAlignment="1" applyProtection="1">
      <alignment horizontal="center"/>
    </xf>
    <xf numFmtId="9" fontId="65" fillId="0" borderId="0" xfId="44" applyFont="1"/>
    <xf numFmtId="0" fontId="24" fillId="0" borderId="34" xfId="0" quotePrefix="1" applyFont="1" applyBorder="1" applyAlignment="1">
      <alignment horizontal="center" vertical="center"/>
    </xf>
    <xf numFmtId="0" fontId="24" fillId="0" borderId="36" xfId="0" applyFont="1" applyBorder="1" applyAlignment="1">
      <alignment horizontal="center" vertical="center"/>
    </xf>
    <xf numFmtId="0" fontId="24" fillId="0" borderId="37" xfId="0" applyFont="1" applyBorder="1" applyAlignment="1">
      <alignment horizontal="center" vertical="center" wrapText="1"/>
    </xf>
    <xf numFmtId="0" fontId="24" fillId="0" borderId="37" xfId="0" applyFont="1" applyBorder="1" applyAlignment="1">
      <alignment horizontal="center" vertical="center"/>
    </xf>
    <xf numFmtId="0" fontId="24" fillId="0" borderId="35" xfId="0" applyFont="1" applyBorder="1" applyAlignment="1">
      <alignment horizontal="center" vertical="center" wrapText="1"/>
    </xf>
    <xf numFmtId="0" fontId="25" fillId="0" borderId="0" xfId="0" applyFont="1" applyAlignment="1">
      <alignment vertical="center"/>
    </xf>
    <xf numFmtId="0" fontId="24" fillId="0" borderId="59" xfId="0" applyFont="1" applyBorder="1" applyAlignment="1">
      <alignment horizontal="center" vertical="center"/>
    </xf>
    <xf numFmtId="0" fontId="24" fillId="0" borderId="59" xfId="0" applyFont="1" applyBorder="1" applyAlignment="1">
      <alignment horizontal="center" vertical="center" wrapText="1"/>
    </xf>
    <xf numFmtId="0" fontId="24" fillId="0" borderId="34" xfId="0" applyFont="1" applyBorder="1" applyAlignment="1">
      <alignment horizontal="center" vertical="center"/>
    </xf>
    <xf numFmtId="0" fontId="24" fillId="0" borderId="38" xfId="0" applyFont="1" applyBorder="1" applyAlignment="1">
      <alignment horizontal="center" vertical="center"/>
    </xf>
    <xf numFmtId="0" fontId="24" fillId="0" borderId="38" xfId="0" applyFont="1" applyBorder="1" applyAlignment="1">
      <alignment horizontal="center" vertical="center" wrapText="1"/>
    </xf>
    <xf numFmtId="0" fontId="25" fillId="0" borderId="0" xfId="0" applyFont="1" applyFill="1" applyAlignment="1">
      <alignment vertical="center"/>
    </xf>
    <xf numFmtId="0" fontId="25" fillId="37" borderId="0" xfId="0" applyFont="1" applyFill="1"/>
    <xf numFmtId="164" fontId="65" fillId="0" borderId="0" xfId="44" applyNumberFormat="1" applyFont="1"/>
    <xf numFmtId="9" fontId="65" fillId="0" borderId="0" xfId="44" applyNumberFormat="1" applyFont="1"/>
    <xf numFmtId="0" fontId="75" fillId="0" borderId="0" xfId="0" applyFont="1"/>
    <xf numFmtId="10" fontId="65" fillId="0" borderId="21" xfId="44" applyNumberFormat="1" applyFont="1" applyBorder="1"/>
    <xf numFmtId="10" fontId="65" fillId="0" borderId="56" xfId="44" applyNumberFormat="1" applyFont="1" applyBorder="1"/>
    <xf numFmtId="10" fontId="65" fillId="0" borderId="15" xfId="44" applyNumberFormat="1" applyFont="1" applyBorder="1"/>
    <xf numFmtId="10" fontId="65" fillId="0" borderId="24" xfId="44" applyNumberFormat="1" applyFont="1" applyBorder="1"/>
    <xf numFmtId="10" fontId="65" fillId="0" borderId="17" xfId="44" applyNumberFormat="1" applyFont="1" applyBorder="1"/>
    <xf numFmtId="10" fontId="65" fillId="0" borderId="19" xfId="44" applyNumberFormat="1" applyFont="1" applyBorder="1"/>
    <xf numFmtId="2" fontId="25" fillId="33" borderId="56" xfId="0" applyNumberFormat="1" applyFont="1" applyFill="1" applyBorder="1" applyAlignment="1">
      <alignment horizontal="center"/>
    </xf>
    <xf numFmtId="2" fontId="25" fillId="33" borderId="24" xfId="0" applyNumberFormat="1" applyFont="1" applyFill="1" applyBorder="1" applyAlignment="1">
      <alignment horizontal="center"/>
    </xf>
    <xf numFmtId="2" fontId="25" fillId="33" borderId="19" xfId="0" applyNumberFormat="1" applyFont="1" applyFill="1" applyBorder="1" applyAlignment="1">
      <alignment horizontal="center"/>
    </xf>
    <xf numFmtId="0" fontId="6" fillId="0" borderId="143" xfId="0" applyFont="1" applyBorder="1" applyAlignment="1">
      <alignment vertical="center" wrapText="1"/>
    </xf>
    <xf numFmtId="0" fontId="6" fillId="0" borderId="145" xfId="0" applyFont="1" applyBorder="1" applyAlignment="1">
      <alignment vertical="center" wrapText="1"/>
    </xf>
    <xf numFmtId="0" fontId="0" fillId="0" borderId="147" xfId="0" applyBorder="1" applyAlignment="1">
      <alignment vertical="center" wrapText="1"/>
    </xf>
    <xf numFmtId="0" fontId="6" fillId="0" borderId="150" xfId="0" applyFont="1" applyBorder="1" applyAlignment="1">
      <alignment vertical="center" wrapText="1"/>
    </xf>
    <xf numFmtId="0" fontId="6" fillId="0" borderId="148" xfId="0" applyFont="1" applyBorder="1" applyAlignment="1">
      <alignment vertical="center" wrapText="1"/>
    </xf>
    <xf numFmtId="0" fontId="12" fillId="0" borderId="153" xfId="36" applyBorder="1" applyAlignment="1" applyProtection="1">
      <alignment vertical="center" wrapText="1"/>
    </xf>
    <xf numFmtId="0" fontId="87" fillId="0" borderId="41" xfId="0" applyFont="1" applyBorder="1"/>
    <xf numFmtId="0" fontId="87" fillId="0" borderId="0" xfId="0" applyFont="1" applyBorder="1"/>
    <xf numFmtId="0" fontId="87" fillId="0" borderId="40" xfId="0" applyFont="1" applyBorder="1"/>
    <xf numFmtId="2" fontId="87" fillId="0" borderId="41" xfId="0" applyNumberFormat="1" applyFont="1" applyBorder="1"/>
    <xf numFmtId="2" fontId="87" fillId="0" borderId="0" xfId="0" applyNumberFormat="1" applyFont="1" applyBorder="1"/>
    <xf numFmtId="2" fontId="87" fillId="0" borderId="101" xfId="0" applyNumberFormat="1" applyFont="1" applyBorder="1"/>
    <xf numFmtId="2" fontId="87" fillId="0" borderId="74" xfId="0" applyNumberFormat="1" applyFont="1" applyBorder="1"/>
    <xf numFmtId="16" fontId="87" fillId="0" borderId="40" xfId="0" applyNumberFormat="1" applyFont="1" applyBorder="1"/>
    <xf numFmtId="2" fontId="87" fillId="0" borderId="40" xfId="0" applyNumberFormat="1" applyFont="1" applyBorder="1"/>
    <xf numFmtId="2" fontId="75" fillId="0" borderId="41" xfId="0" applyNumberFormat="1" applyFont="1" applyBorder="1"/>
    <xf numFmtId="2" fontId="75" fillId="0" borderId="0" xfId="0" applyNumberFormat="1" applyFont="1" applyBorder="1"/>
    <xf numFmtId="2" fontId="75" fillId="0" borderId="40" xfId="0" applyNumberFormat="1" applyFont="1" applyBorder="1"/>
    <xf numFmtId="2" fontId="75" fillId="0" borderId="101" xfId="0" applyNumberFormat="1" applyFont="1" applyBorder="1"/>
    <xf numFmtId="2" fontId="75" fillId="0" borderId="74" xfId="0" applyNumberFormat="1" applyFont="1" applyBorder="1"/>
    <xf numFmtId="2" fontId="75" fillId="0" borderId="103" xfId="0" applyNumberFormat="1" applyFont="1" applyBorder="1"/>
    <xf numFmtId="2" fontId="87" fillId="0" borderId="103" xfId="0" applyNumberFormat="1" applyFont="1" applyBorder="1"/>
    <xf numFmtId="0" fontId="87" fillId="0" borderId="0" xfId="0" applyFont="1" applyBorder="1" applyAlignment="1">
      <alignment vertical="center" wrapText="1"/>
    </xf>
    <xf numFmtId="16" fontId="87" fillId="0" borderId="0" xfId="0" applyNumberFormat="1" applyFont="1" applyBorder="1"/>
    <xf numFmtId="0" fontId="6" fillId="0" borderId="0" xfId="0" applyFont="1" applyAlignment="1">
      <alignment horizontal="left" vertical="center"/>
    </xf>
    <xf numFmtId="0" fontId="6" fillId="0" borderId="0" xfId="0" applyFont="1" applyAlignment="1">
      <alignment horizontal="left" vertical="center" wrapText="1"/>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horizontal="left" vertical="center" wrapText="1"/>
    </xf>
    <xf numFmtId="168" fontId="52" fillId="0" borderId="98" xfId="41" applyNumberFormat="1" applyFont="1" applyFill="1" applyBorder="1"/>
    <xf numFmtId="168" fontId="52" fillId="0" borderId="125" xfId="41" applyNumberFormat="1" applyFont="1" applyFill="1" applyBorder="1"/>
    <xf numFmtId="168" fontId="52" fillId="0" borderId="47" xfId="41" applyNumberFormat="1" applyFont="1" applyFill="1" applyBorder="1"/>
    <xf numFmtId="168" fontId="52" fillId="0" borderId="99" xfId="41" applyNumberFormat="1" applyFont="1" applyFill="1" applyBorder="1"/>
    <xf numFmtId="168" fontId="52" fillId="0" borderId="48" xfId="41" applyNumberFormat="1" applyFont="1" applyFill="1" applyBorder="1"/>
    <xf numFmtId="168" fontId="52" fillId="0" borderId="100" xfId="41" applyNumberFormat="1" applyFont="1" applyFill="1" applyBorder="1"/>
    <xf numFmtId="168" fontId="52" fillId="0" borderId="49" xfId="41" applyNumberFormat="1" applyFont="1" applyFill="1" applyBorder="1"/>
    <xf numFmtId="0" fontId="1" fillId="0" borderId="0" xfId="41" applyFont="1" applyAlignment="1">
      <alignment wrapText="1"/>
    </xf>
    <xf numFmtId="170" fontId="25" fillId="0" borderId="15" xfId="0" applyNumberFormat="1" applyFont="1" applyFill="1" applyBorder="1" applyAlignment="1" applyProtection="1">
      <alignment horizontal="center"/>
    </xf>
    <xf numFmtId="175" fontId="20" fillId="0" borderId="39" xfId="28" applyNumberFormat="1" applyFont="1" applyFill="1" applyBorder="1" applyAlignment="1">
      <alignment horizontal="center"/>
    </xf>
    <xf numFmtId="0" fontId="18" fillId="0" borderId="0" xfId="41" applyFont="1" applyBorder="1" applyAlignment="1">
      <alignment horizontal="center" wrapText="1"/>
    </xf>
    <xf numFmtId="2" fontId="30" fillId="0" borderId="0" xfId="44" applyNumberFormat="1" applyFont="1" applyBorder="1"/>
    <xf numFmtId="0" fontId="6" fillId="0" borderId="41" xfId="0" applyFont="1" applyBorder="1"/>
    <xf numFmtId="0" fontId="20" fillId="0" borderId="0" xfId="0" applyFont="1" applyAlignment="1">
      <alignment wrapText="1"/>
    </xf>
    <xf numFmtId="165" fontId="0" fillId="0" borderId="0" xfId="0" applyNumberFormat="1"/>
    <xf numFmtId="0" fontId="93" fillId="0" borderId="0" xfId="0" applyFont="1"/>
    <xf numFmtId="168" fontId="70" fillId="0" borderId="190" xfId="0" applyNumberFormat="1" applyFont="1" applyBorder="1" applyAlignment="1">
      <alignment horizontal="center"/>
    </xf>
    <xf numFmtId="168" fontId="70" fillId="0" borderId="84" xfId="0" applyNumberFormat="1" applyFont="1" applyBorder="1" applyAlignment="1">
      <alignment horizontal="center"/>
    </xf>
    <xf numFmtId="168" fontId="70" fillId="0" borderId="191" xfId="0" applyNumberFormat="1" applyFont="1" applyBorder="1" applyAlignment="1">
      <alignment horizontal="center"/>
    </xf>
    <xf numFmtId="168" fontId="70" fillId="0" borderId="237" xfId="0" applyNumberFormat="1" applyFont="1" applyBorder="1" applyAlignment="1">
      <alignment horizontal="center"/>
    </xf>
    <xf numFmtId="168" fontId="70" fillId="0" borderId="238" xfId="0" applyNumberFormat="1" applyFont="1" applyBorder="1" applyAlignment="1">
      <alignment horizontal="center"/>
    </xf>
    <xf numFmtId="168" fontId="70" fillId="0" borderId="13" xfId="0" applyNumberFormat="1" applyFont="1" applyBorder="1" applyAlignment="1">
      <alignment horizontal="center"/>
    </xf>
    <xf numFmtId="168" fontId="70" fillId="0" borderId="16" xfId="0" applyNumberFormat="1" applyFont="1" applyBorder="1" applyAlignment="1">
      <alignment horizontal="center"/>
    </xf>
    <xf numFmtId="168" fontId="70" fillId="0" borderId="18" xfId="0" applyNumberFormat="1" applyFont="1" applyBorder="1" applyAlignment="1">
      <alignment horizontal="center"/>
    </xf>
    <xf numFmtId="168" fontId="70" fillId="0" borderId="239" xfId="0" applyNumberFormat="1" applyFont="1" applyBorder="1" applyAlignment="1">
      <alignment horizontal="center"/>
    </xf>
    <xf numFmtId="168" fontId="70" fillId="0" borderId="62" xfId="0" applyNumberFormat="1" applyFont="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94" fillId="0" borderId="0" xfId="0" applyFont="1"/>
    <xf numFmtId="2" fontId="25" fillId="0" borderId="15" xfId="0" applyNumberFormat="1" applyFont="1" applyFill="1" applyBorder="1" applyAlignment="1">
      <alignment horizontal="center"/>
    </xf>
    <xf numFmtId="0" fontId="25" fillId="0" borderId="0" xfId="0" applyFont="1" applyAlignment="1">
      <alignment horizontal="center" wrapText="1"/>
    </xf>
    <xf numFmtId="170" fontId="25" fillId="0" borderId="21" xfId="0" applyNumberFormat="1" applyFont="1" applyFill="1" applyBorder="1" applyAlignment="1" applyProtection="1">
      <alignment horizontal="center"/>
    </xf>
    <xf numFmtId="0" fontId="25" fillId="35" borderId="42" xfId="0" applyFont="1" applyFill="1" applyBorder="1"/>
    <xf numFmtId="2" fontId="65" fillId="35" borderId="0" xfId="0" applyNumberFormat="1" applyFont="1" applyFill="1"/>
    <xf numFmtId="2" fontId="65" fillId="35" borderId="41" xfId="0" applyNumberFormat="1" applyFont="1" applyFill="1" applyBorder="1"/>
    <xf numFmtId="0" fontId="96" fillId="0" borderId="74" xfId="0" applyFont="1" applyBorder="1"/>
    <xf numFmtId="0" fontId="25" fillId="0" borderId="0" xfId="0" applyFont="1" applyBorder="1" applyAlignment="1">
      <alignment horizontal="right"/>
    </xf>
    <xf numFmtId="0" fontId="97" fillId="35" borderId="42" xfId="0" applyFont="1" applyFill="1" applyBorder="1"/>
    <xf numFmtId="0" fontId="65" fillId="35" borderId="42" xfId="0" applyFont="1" applyFill="1" applyBorder="1"/>
    <xf numFmtId="0" fontId="74" fillId="35" borderId="114" xfId="41" applyFont="1" applyFill="1" applyBorder="1" applyAlignment="1">
      <alignment horizontal="left"/>
    </xf>
    <xf numFmtId="0" fontId="74" fillId="35" borderId="112" xfId="41" applyFont="1" applyFill="1" applyBorder="1" applyAlignment="1">
      <alignment horizontal="left"/>
    </xf>
    <xf numFmtId="0" fontId="74" fillId="35" borderId="113" xfId="41" applyFont="1" applyFill="1" applyBorder="1" applyAlignment="1">
      <alignment horizontal="left"/>
    </xf>
    <xf numFmtId="0" fontId="74" fillId="35" borderId="101" xfId="41" applyFont="1" applyFill="1" applyBorder="1"/>
    <xf numFmtId="0" fontId="74" fillId="35" borderId="77" xfId="41" applyFont="1" applyFill="1" applyBorder="1" applyAlignment="1">
      <alignment horizontal="left"/>
    </xf>
    <xf numFmtId="0" fontId="74" fillId="35" borderId="78" xfId="41" applyFont="1" applyFill="1" applyBorder="1" applyAlignment="1">
      <alignment horizontal="left"/>
    </xf>
    <xf numFmtId="0" fontId="74" fillId="35" borderId="79" xfId="41" applyFont="1" applyFill="1" applyBorder="1" applyAlignment="1">
      <alignment horizontal="left"/>
    </xf>
    <xf numFmtId="0" fontId="74" fillId="35" borderId="77" xfId="41" applyFont="1" applyFill="1" applyBorder="1"/>
    <xf numFmtId="0" fontId="74" fillId="35" borderId="78" xfId="41" applyFont="1" applyFill="1" applyBorder="1" applyAlignment="1">
      <alignment horizontal="center"/>
    </xf>
    <xf numFmtId="0" fontId="74" fillId="35" borderId="79" xfId="41" applyFont="1" applyFill="1" applyBorder="1" applyAlignment="1">
      <alignment horizontal="center"/>
    </xf>
    <xf numFmtId="0" fontId="74" fillId="35" borderId="173" xfId="41" applyFont="1" applyFill="1" applyBorder="1"/>
    <xf numFmtId="0" fontId="74" fillId="35" borderId="105" xfId="41" applyFont="1" applyFill="1" applyBorder="1" applyAlignment="1">
      <alignment horizontal="left"/>
    </xf>
    <xf numFmtId="0" fontId="74" fillId="35" borderId="116" xfId="41" applyFont="1" applyFill="1" applyBorder="1" applyAlignment="1">
      <alignment horizontal="left"/>
    </xf>
    <xf numFmtId="0" fontId="74" fillId="35" borderId="107" xfId="41" applyFont="1" applyFill="1" applyBorder="1" applyAlignment="1">
      <alignment horizontal="left"/>
    </xf>
    <xf numFmtId="0" fontId="74" fillId="35" borderId="105" xfId="41" applyFont="1" applyFill="1" applyBorder="1"/>
    <xf numFmtId="0" fontId="74" fillId="35" borderId="104" xfId="41" applyFont="1" applyFill="1" applyBorder="1"/>
    <xf numFmtId="0" fontId="74" fillId="35" borderId="99" xfId="41" applyFont="1" applyFill="1" applyBorder="1"/>
    <xf numFmtId="0" fontId="74" fillId="35" borderId="48" xfId="41" applyFont="1" applyFill="1" applyBorder="1"/>
    <xf numFmtId="168" fontId="74" fillId="35" borderId="79" xfId="41" applyNumberFormat="1" applyFont="1" applyFill="1" applyBorder="1"/>
    <xf numFmtId="168" fontId="74" fillId="35" borderId="77" xfId="41" applyNumberFormat="1" applyFont="1" applyFill="1" applyBorder="1"/>
    <xf numFmtId="168" fontId="74" fillId="35" borderId="99" xfId="41" applyNumberFormat="1" applyFont="1" applyFill="1" applyBorder="1"/>
    <xf numFmtId="1" fontId="74" fillId="35" borderId="48" xfId="44" applyNumberFormat="1" applyFont="1" applyFill="1" applyBorder="1"/>
    <xf numFmtId="0" fontId="74" fillId="35" borderId="132" xfId="41" applyFont="1" applyFill="1" applyBorder="1"/>
    <xf numFmtId="168" fontId="74" fillId="35" borderId="174" xfId="41" applyNumberFormat="1" applyFont="1" applyFill="1" applyBorder="1"/>
    <xf numFmtId="168" fontId="74" fillId="35" borderId="173" xfId="41" applyNumberFormat="1" applyFont="1" applyFill="1" applyBorder="1"/>
    <xf numFmtId="168" fontId="74" fillId="35" borderId="10" xfId="41" applyNumberFormat="1" applyFont="1" applyFill="1" applyBorder="1"/>
    <xf numFmtId="1" fontId="74" fillId="35" borderId="132" xfId="44" applyNumberFormat="1" applyFont="1" applyFill="1" applyBorder="1"/>
    <xf numFmtId="0" fontId="74" fillId="35" borderId="106" xfId="41" applyFont="1" applyFill="1" applyBorder="1"/>
    <xf numFmtId="0" fontId="74" fillId="35" borderId="100" xfId="41" applyFont="1" applyFill="1" applyBorder="1"/>
    <xf numFmtId="0" fontId="74" fillId="35" borderId="49" xfId="41" applyFont="1" applyFill="1" applyBorder="1"/>
    <xf numFmtId="168" fontId="74" fillId="35" borderId="107" xfId="41" applyNumberFormat="1" applyFont="1" applyFill="1" applyBorder="1"/>
    <xf numFmtId="168" fontId="74" fillId="35" borderId="105" xfId="41" applyNumberFormat="1" applyFont="1" applyFill="1" applyBorder="1"/>
    <xf numFmtId="168" fontId="74" fillId="35" borderId="100" xfId="41" applyNumberFormat="1" applyFont="1" applyFill="1" applyBorder="1"/>
    <xf numFmtId="1" fontId="74" fillId="35" borderId="49" xfId="44" applyNumberFormat="1" applyFont="1" applyFill="1" applyBorder="1"/>
    <xf numFmtId="168" fontId="74" fillId="35" borderId="98" xfId="41" applyNumberFormat="1" applyFont="1" applyFill="1" applyBorder="1"/>
    <xf numFmtId="1" fontId="74" fillId="35" borderId="47" xfId="44" applyNumberFormat="1" applyFont="1" applyFill="1" applyBorder="1"/>
    <xf numFmtId="168" fontId="70" fillId="35" borderId="60" xfId="0" applyNumberFormat="1" applyFont="1" applyFill="1" applyBorder="1" applyAlignment="1">
      <alignment horizontal="center"/>
    </xf>
    <xf numFmtId="168" fontId="70" fillId="35" borderId="21" xfId="0" applyNumberFormat="1" applyFont="1" applyFill="1" applyBorder="1" applyAlignment="1">
      <alignment horizontal="center"/>
    </xf>
    <xf numFmtId="168" fontId="70" fillId="35" borderId="56" xfId="0" applyNumberFormat="1" applyFont="1" applyFill="1" applyBorder="1" applyAlignment="1">
      <alignment horizontal="center"/>
    </xf>
    <xf numFmtId="168" fontId="70" fillId="35" borderId="22" xfId="0" applyNumberFormat="1" applyFont="1" applyFill="1" applyBorder="1" applyAlignment="1">
      <alignment horizontal="center"/>
    </xf>
    <xf numFmtId="168" fontId="70" fillId="35" borderId="15" xfId="0" applyNumberFormat="1" applyFont="1" applyFill="1" applyBorder="1" applyAlignment="1">
      <alignment horizontal="center"/>
    </xf>
    <xf numFmtId="168" fontId="70" fillId="35" borderId="24" xfId="0" applyNumberFormat="1" applyFont="1" applyFill="1" applyBorder="1" applyAlignment="1">
      <alignment horizontal="center"/>
    </xf>
    <xf numFmtId="168" fontId="70" fillId="35" borderId="23" xfId="0" applyNumberFormat="1" applyFont="1" applyFill="1" applyBorder="1" applyAlignment="1">
      <alignment horizontal="center"/>
    </xf>
    <xf numFmtId="168" fontId="70" fillId="35" borderId="17" xfId="0" applyNumberFormat="1" applyFont="1" applyFill="1" applyBorder="1" applyAlignment="1">
      <alignment horizontal="center"/>
    </xf>
    <xf numFmtId="168" fontId="70" fillId="35" borderId="19" xfId="0" applyNumberFormat="1" applyFont="1" applyFill="1" applyBorder="1" applyAlignment="1">
      <alignment horizontal="center"/>
    </xf>
    <xf numFmtId="168" fontId="70" fillId="35" borderId="163" xfId="0" applyNumberFormat="1" applyFont="1" applyFill="1" applyBorder="1" applyAlignment="1">
      <alignment horizontal="center"/>
    </xf>
    <xf numFmtId="168" fontId="70" fillId="35" borderId="12" xfId="0" applyNumberFormat="1" applyFont="1" applyFill="1" applyBorder="1" applyAlignment="1">
      <alignment horizontal="center"/>
    </xf>
    <xf numFmtId="168" fontId="70" fillId="35" borderId="54" xfId="0" applyNumberFormat="1" applyFont="1" applyFill="1" applyBorder="1" applyAlignment="1">
      <alignment horizontal="center"/>
    </xf>
    <xf numFmtId="168" fontId="70" fillId="35" borderId="25" xfId="0" applyNumberFormat="1" applyFont="1" applyFill="1" applyBorder="1" applyAlignment="1">
      <alignment horizontal="center"/>
    </xf>
    <xf numFmtId="168" fontId="70" fillId="35" borderId="20" xfId="0" applyNumberFormat="1" applyFont="1" applyFill="1" applyBorder="1" applyAlignment="1">
      <alignment horizontal="center"/>
    </xf>
    <xf numFmtId="168" fontId="70" fillId="35" borderId="55" xfId="0" applyNumberFormat="1" applyFont="1" applyFill="1" applyBorder="1" applyAlignment="1">
      <alignment horizontal="center"/>
    </xf>
    <xf numFmtId="9" fontId="65" fillId="35" borderId="175" xfId="44" applyFont="1" applyFill="1" applyBorder="1" applyAlignment="1">
      <alignment horizontal="center"/>
    </xf>
    <xf numFmtId="9" fontId="65" fillId="35" borderId="88" xfId="44" applyFont="1" applyFill="1" applyBorder="1" applyAlignment="1">
      <alignment horizontal="center"/>
    </xf>
    <xf numFmtId="9" fontId="65" fillId="35" borderId="89" xfId="44" applyFont="1" applyFill="1" applyBorder="1" applyAlignment="1">
      <alignment horizontal="center"/>
    </xf>
    <xf numFmtId="177" fontId="70" fillId="35" borderId="60" xfId="0" applyNumberFormat="1" applyFont="1" applyFill="1" applyBorder="1" applyAlignment="1">
      <alignment horizontal="center"/>
    </xf>
    <xf numFmtId="165" fontId="70" fillId="35" borderId="21" xfId="0" applyNumberFormat="1" applyFont="1" applyFill="1" applyBorder="1" applyAlignment="1">
      <alignment horizontal="center"/>
    </xf>
    <xf numFmtId="165" fontId="70" fillId="35" borderId="56" xfId="0" applyNumberFormat="1" applyFont="1" applyFill="1" applyBorder="1" applyAlignment="1">
      <alignment horizontal="center"/>
    </xf>
    <xf numFmtId="4" fontId="70" fillId="35" borderId="60" xfId="0" applyNumberFormat="1" applyFont="1" applyFill="1" applyBorder="1" applyAlignment="1">
      <alignment horizontal="center"/>
    </xf>
    <xf numFmtId="4" fontId="70" fillId="35" borderId="21" xfId="0" applyNumberFormat="1" applyFont="1" applyFill="1" applyBorder="1" applyAlignment="1">
      <alignment horizontal="center"/>
    </xf>
    <xf numFmtId="4" fontId="70" fillId="35" borderId="56" xfId="0" applyNumberFormat="1" applyFont="1" applyFill="1" applyBorder="1" applyAlignment="1">
      <alignment horizontal="center"/>
    </xf>
    <xf numFmtId="177" fontId="70" fillId="35" borderId="22" xfId="0" applyNumberFormat="1" applyFont="1" applyFill="1" applyBorder="1" applyAlignment="1">
      <alignment horizontal="center"/>
    </xf>
    <xf numFmtId="165" fontId="70" fillId="35" borderId="15" xfId="0" applyNumberFormat="1" applyFont="1" applyFill="1" applyBorder="1" applyAlignment="1">
      <alignment horizontal="center"/>
    </xf>
    <xf numFmtId="165" fontId="70" fillId="35" borderId="24" xfId="0" applyNumberFormat="1" applyFont="1" applyFill="1" applyBorder="1" applyAlignment="1">
      <alignment horizontal="center"/>
    </xf>
    <xf numFmtId="4" fontId="70" fillId="35" borderId="22" xfId="0" applyNumberFormat="1" applyFont="1" applyFill="1" applyBorder="1" applyAlignment="1">
      <alignment horizontal="center"/>
    </xf>
    <xf numFmtId="4" fontId="70" fillId="35" borderId="15" xfId="0" applyNumberFormat="1" applyFont="1" applyFill="1" applyBorder="1" applyAlignment="1">
      <alignment horizontal="center"/>
    </xf>
    <xf numFmtId="4" fontId="70" fillId="35" borderId="24" xfId="0" applyNumberFormat="1" applyFont="1" applyFill="1" applyBorder="1" applyAlignment="1">
      <alignment horizontal="center"/>
    </xf>
    <xf numFmtId="177" fontId="70" fillId="35" borderId="23" xfId="0" applyNumberFormat="1" applyFont="1" applyFill="1" applyBorder="1" applyAlignment="1">
      <alignment horizontal="center"/>
    </xf>
    <xf numFmtId="165" fontId="70" fillId="35" borderId="17" xfId="0" applyNumberFormat="1" applyFont="1" applyFill="1" applyBorder="1" applyAlignment="1">
      <alignment horizontal="center"/>
    </xf>
    <xf numFmtId="165" fontId="70" fillId="35" borderId="19" xfId="0" applyNumberFormat="1" applyFont="1" applyFill="1" applyBorder="1" applyAlignment="1">
      <alignment horizontal="center"/>
    </xf>
    <xf numFmtId="4" fontId="70" fillId="35" borderId="23" xfId="0" applyNumberFormat="1" applyFont="1" applyFill="1" applyBorder="1" applyAlignment="1">
      <alignment horizontal="center"/>
    </xf>
    <xf numFmtId="4" fontId="70" fillId="35" borderId="17" xfId="0" applyNumberFormat="1" applyFont="1" applyFill="1" applyBorder="1" applyAlignment="1">
      <alignment horizontal="center"/>
    </xf>
    <xf numFmtId="4" fontId="70" fillId="35" borderId="19" xfId="0" applyNumberFormat="1" applyFont="1" applyFill="1" applyBorder="1" applyAlignment="1">
      <alignment horizontal="center"/>
    </xf>
    <xf numFmtId="177" fontId="70" fillId="35" borderId="163" xfId="0" applyNumberFormat="1" applyFont="1" applyFill="1" applyBorder="1" applyAlignment="1">
      <alignment horizontal="center"/>
    </xf>
    <xf numFmtId="165" fontId="70" fillId="35" borderId="12" xfId="0" applyNumberFormat="1" applyFont="1" applyFill="1" applyBorder="1" applyAlignment="1">
      <alignment horizontal="center"/>
    </xf>
    <xf numFmtId="165" fontId="70" fillId="35" borderId="54" xfId="0" applyNumberFormat="1" applyFont="1" applyFill="1" applyBorder="1" applyAlignment="1">
      <alignment horizontal="center"/>
    </xf>
    <xf numFmtId="4" fontId="70" fillId="35" borderId="163" xfId="0" applyNumberFormat="1" applyFont="1" applyFill="1" applyBorder="1" applyAlignment="1">
      <alignment horizontal="center"/>
    </xf>
    <xf numFmtId="4" fontId="70" fillId="35" borderId="12" xfId="0" applyNumberFormat="1" applyFont="1" applyFill="1" applyBorder="1" applyAlignment="1">
      <alignment horizontal="center"/>
    </xf>
    <xf numFmtId="4" fontId="70" fillId="35" borderId="54" xfId="0" applyNumberFormat="1" applyFont="1" applyFill="1" applyBorder="1" applyAlignment="1">
      <alignment horizontal="center"/>
    </xf>
    <xf numFmtId="169" fontId="70" fillId="35" borderId="17" xfId="0" applyNumberFormat="1" applyFont="1" applyFill="1" applyBorder="1" applyAlignment="1">
      <alignment horizontal="center"/>
    </xf>
    <xf numFmtId="169" fontId="70" fillId="35" borderId="19" xfId="0" applyNumberFormat="1" applyFont="1" applyFill="1" applyBorder="1" applyAlignment="1">
      <alignment horizontal="center"/>
    </xf>
    <xf numFmtId="169" fontId="70" fillId="35" borderId="12" xfId="0" applyNumberFormat="1" applyFont="1" applyFill="1" applyBorder="1" applyAlignment="1">
      <alignment horizontal="center"/>
    </xf>
    <xf numFmtId="169" fontId="70" fillId="35" borderId="54" xfId="0" applyNumberFormat="1" applyFont="1" applyFill="1" applyBorder="1" applyAlignment="1">
      <alignment horizontal="center"/>
    </xf>
    <xf numFmtId="169" fontId="70" fillId="35" borderId="15" xfId="0" applyNumberFormat="1" applyFont="1" applyFill="1" applyBorder="1" applyAlignment="1">
      <alignment horizontal="center"/>
    </xf>
    <xf numFmtId="169" fontId="70" fillId="35" borderId="24" xfId="0" applyNumberFormat="1" applyFont="1" applyFill="1" applyBorder="1" applyAlignment="1">
      <alignment horizontal="center"/>
    </xf>
    <xf numFmtId="177" fontId="70" fillId="35" borderId="25" xfId="0" applyNumberFormat="1" applyFont="1" applyFill="1" applyBorder="1" applyAlignment="1">
      <alignment horizontal="center"/>
    </xf>
    <xf numFmtId="4" fontId="70" fillId="35" borderId="25" xfId="0" applyNumberFormat="1" applyFont="1" applyFill="1" applyBorder="1" applyAlignment="1">
      <alignment horizontal="center"/>
    </xf>
    <xf numFmtId="4" fontId="70" fillId="35" borderId="20" xfId="0" applyNumberFormat="1" applyFont="1" applyFill="1" applyBorder="1" applyAlignment="1">
      <alignment horizontal="center"/>
    </xf>
    <xf numFmtId="4" fontId="70" fillId="35" borderId="55" xfId="0" applyNumberFormat="1" applyFont="1" applyFill="1" applyBorder="1" applyAlignment="1">
      <alignment horizontal="center"/>
    </xf>
    <xf numFmtId="169" fontId="70" fillId="35" borderId="21" xfId="0" applyNumberFormat="1" applyFont="1" applyFill="1" applyBorder="1" applyAlignment="1">
      <alignment horizontal="center"/>
    </xf>
    <xf numFmtId="169" fontId="70" fillId="35" borderId="56" xfId="0" applyNumberFormat="1" applyFont="1" applyFill="1" applyBorder="1" applyAlignment="1">
      <alignment horizontal="center"/>
    </xf>
    <xf numFmtId="0" fontId="65" fillId="35" borderId="53" xfId="0" applyFont="1" applyFill="1" applyBorder="1"/>
    <xf numFmtId="0" fontId="33" fillId="35" borderId="114" xfId="41" applyFont="1" applyFill="1" applyBorder="1" applyAlignment="1"/>
    <xf numFmtId="0" fontId="33" fillId="35" borderId="112" xfId="41" applyFont="1" applyFill="1" applyBorder="1" applyAlignment="1"/>
    <xf numFmtId="0" fontId="33" fillId="35" borderId="113" xfId="41" applyFont="1" applyFill="1" applyBorder="1" applyAlignment="1"/>
    <xf numFmtId="0" fontId="33" fillId="35" borderId="101" xfId="41" applyFont="1" applyFill="1" applyBorder="1"/>
    <xf numFmtId="0" fontId="74" fillId="35" borderId="77" xfId="41" applyFont="1" applyFill="1" applyBorder="1" applyAlignment="1"/>
    <xf numFmtId="0" fontId="74" fillId="35" borderId="78" xfId="41" applyFont="1" applyFill="1" applyBorder="1" applyAlignment="1"/>
    <xf numFmtId="0" fontId="74" fillId="35" borderId="79" xfId="41" applyFont="1" applyFill="1" applyBorder="1" applyAlignment="1"/>
    <xf numFmtId="0" fontId="33" fillId="35" borderId="77" xfId="41" applyFont="1" applyFill="1" applyBorder="1"/>
    <xf numFmtId="0" fontId="74" fillId="35" borderId="173" xfId="41" applyFont="1" applyFill="1" applyBorder="1" applyAlignment="1"/>
    <xf numFmtId="0" fontId="74" fillId="35" borderId="57" xfId="41" applyFont="1" applyFill="1" applyBorder="1" applyAlignment="1"/>
    <xf numFmtId="0" fontId="74" fillId="35" borderId="174" xfId="41" applyFont="1" applyFill="1" applyBorder="1" applyAlignment="1"/>
    <xf numFmtId="0" fontId="33" fillId="35" borderId="173" xfId="41" applyFont="1" applyFill="1" applyBorder="1"/>
    <xf numFmtId="0" fontId="33" fillId="35" borderId="105" xfId="41" applyFont="1" applyFill="1" applyBorder="1" applyAlignment="1"/>
    <xf numFmtId="0" fontId="33" fillId="35" borderId="116" xfId="41" applyFont="1" applyFill="1" applyBorder="1" applyAlignment="1"/>
    <xf numFmtId="0" fontId="33" fillId="35" borderId="107" xfId="41" applyFont="1" applyFill="1" applyBorder="1" applyAlignment="1"/>
    <xf numFmtId="0" fontId="33" fillId="35" borderId="105" xfId="41" applyFont="1" applyFill="1" applyBorder="1"/>
    <xf numFmtId="0" fontId="33" fillId="35" borderId="99" xfId="41" applyFont="1" applyFill="1" applyBorder="1"/>
    <xf numFmtId="0" fontId="33" fillId="35" borderId="48" xfId="41" applyFont="1" applyFill="1" applyBorder="1"/>
    <xf numFmtId="168" fontId="33" fillId="35" borderId="79" xfId="41" applyNumberFormat="1" applyFont="1" applyFill="1" applyBorder="1"/>
    <xf numFmtId="168" fontId="33" fillId="35" borderId="77" xfId="41" applyNumberFormat="1" applyFont="1" applyFill="1" applyBorder="1"/>
    <xf numFmtId="168" fontId="33" fillId="35" borderId="99" xfId="41" applyNumberFormat="1" applyFont="1" applyFill="1" applyBorder="1"/>
    <xf numFmtId="1" fontId="33" fillId="35" borderId="48" xfId="44" applyNumberFormat="1" applyFont="1" applyFill="1" applyBorder="1"/>
    <xf numFmtId="0" fontId="33" fillId="35" borderId="10" xfId="41" applyFont="1" applyFill="1" applyBorder="1"/>
    <xf numFmtId="168" fontId="33" fillId="35" borderId="174" xfId="41" applyNumberFormat="1" applyFont="1" applyFill="1" applyBorder="1"/>
    <xf numFmtId="168" fontId="33" fillId="35" borderId="173" xfId="41" applyNumberFormat="1" applyFont="1" applyFill="1" applyBorder="1"/>
    <xf numFmtId="168" fontId="33" fillId="35" borderId="10" xfId="41" applyNumberFormat="1" applyFont="1" applyFill="1" applyBorder="1"/>
    <xf numFmtId="1" fontId="33" fillId="35" borderId="132" xfId="44" applyNumberFormat="1" applyFont="1" applyFill="1" applyBorder="1"/>
    <xf numFmtId="0" fontId="33" fillId="35" borderId="100" xfId="41" applyFont="1" applyFill="1" applyBorder="1"/>
    <xf numFmtId="168" fontId="33" fillId="35" borderId="107" xfId="41" applyNumberFormat="1" applyFont="1" applyFill="1" applyBorder="1"/>
    <xf numFmtId="168" fontId="33" fillId="35" borderId="105" xfId="41" applyNumberFormat="1" applyFont="1" applyFill="1" applyBorder="1"/>
    <xf numFmtId="168" fontId="33" fillId="35" borderId="100" xfId="41" applyNumberFormat="1" applyFont="1" applyFill="1" applyBorder="1"/>
    <xf numFmtId="1" fontId="33" fillId="35" borderId="49" xfId="44" applyNumberFormat="1" applyFont="1" applyFill="1" applyBorder="1"/>
    <xf numFmtId="168" fontId="33" fillId="35" borderId="98" xfId="41" applyNumberFormat="1" applyFont="1" applyFill="1" applyBorder="1"/>
    <xf numFmtId="1" fontId="33" fillId="35" borderId="47" xfId="44" applyNumberFormat="1" applyFont="1" applyFill="1" applyBorder="1"/>
    <xf numFmtId="168" fontId="80" fillId="35" borderId="23" xfId="0" applyNumberFormat="1" applyFont="1" applyFill="1" applyBorder="1" applyAlignment="1">
      <alignment horizontal="center"/>
    </xf>
    <xf numFmtId="169" fontId="70" fillId="35" borderId="60" xfId="0" applyNumberFormat="1" applyFont="1" applyFill="1" applyBorder="1" applyAlignment="1">
      <alignment horizontal="center"/>
    </xf>
    <xf numFmtId="169" fontId="70" fillId="35" borderId="22" xfId="0" applyNumberFormat="1" applyFont="1" applyFill="1" applyBorder="1" applyAlignment="1">
      <alignment horizontal="center"/>
    </xf>
    <xf numFmtId="169" fontId="70" fillId="35" borderId="23" xfId="0" applyNumberFormat="1" applyFont="1" applyFill="1" applyBorder="1" applyAlignment="1">
      <alignment horizontal="center"/>
    </xf>
    <xf numFmtId="169" fontId="70" fillId="35" borderId="163" xfId="0" applyNumberFormat="1" applyFont="1" applyFill="1" applyBorder="1" applyAlignment="1">
      <alignment horizontal="center"/>
    </xf>
    <xf numFmtId="169" fontId="70" fillId="35" borderId="25" xfId="0" applyNumberFormat="1" applyFont="1" applyFill="1" applyBorder="1" applyAlignment="1">
      <alignment horizontal="center"/>
    </xf>
    <xf numFmtId="0" fontId="25" fillId="35" borderId="53" xfId="0" applyFont="1" applyFill="1" applyBorder="1"/>
    <xf numFmtId="0" fontId="74" fillId="35" borderId="10" xfId="41" applyFont="1" applyFill="1" applyBorder="1"/>
    <xf numFmtId="168" fontId="91" fillId="35" borderId="17" xfId="0" applyNumberFormat="1" applyFont="1" applyFill="1" applyBorder="1" applyAlignment="1">
      <alignment horizontal="center"/>
    </xf>
    <xf numFmtId="168" fontId="91" fillId="35" borderId="21" xfId="0" applyNumberFormat="1" applyFont="1" applyFill="1" applyBorder="1" applyAlignment="1">
      <alignment horizontal="center"/>
    </xf>
    <xf numFmtId="0" fontId="65" fillId="0" borderId="88" xfId="0" applyFont="1" applyBorder="1" applyAlignment="1">
      <alignment horizontal="center"/>
    </xf>
    <xf numFmtId="0" fontId="65" fillId="0" borderId="89" xfId="0" applyFont="1" applyBorder="1" applyAlignment="1">
      <alignment horizontal="center"/>
    </xf>
    <xf numFmtId="14" fontId="6" fillId="0" borderId="0" xfId="0" applyNumberFormat="1" applyFont="1" applyAlignment="1">
      <alignment horizontal="left" vertical="center"/>
    </xf>
    <xf numFmtId="0" fontId="67" fillId="0" borderId="39" xfId="0" applyFont="1" applyBorder="1"/>
    <xf numFmtId="0" fontId="67" fillId="0" borderId="26" xfId="0" applyFont="1" applyBorder="1"/>
    <xf numFmtId="0" fontId="67" fillId="35" borderId="41" xfId="0" applyFont="1" applyFill="1" applyBorder="1" applyAlignment="1">
      <alignment horizontal="center" wrapText="1"/>
    </xf>
    <xf numFmtId="0" fontId="56" fillId="26" borderId="0" xfId="0" applyFont="1" applyFill="1" applyAlignment="1">
      <alignment horizontal="center"/>
    </xf>
    <xf numFmtId="0" fontId="6" fillId="26" borderId="0" xfId="0" applyFont="1" applyFill="1" applyBorder="1" applyAlignment="1">
      <alignment horizontal="center" vertical="center"/>
    </xf>
    <xf numFmtId="0" fontId="0" fillId="26" borderId="0" xfId="0" applyFill="1" applyBorder="1" applyAlignment="1">
      <alignment horizontal="center" vertical="center"/>
    </xf>
    <xf numFmtId="0" fontId="25" fillId="35" borderId="77" xfId="0" applyFont="1" applyFill="1" applyBorder="1" applyAlignment="1">
      <alignment horizontal="left"/>
    </xf>
    <xf numFmtId="0" fontId="25" fillId="35" borderId="78" xfId="0" applyFont="1" applyFill="1" applyBorder="1" applyAlignment="1">
      <alignment horizontal="left"/>
    </xf>
    <xf numFmtId="0" fontId="25" fillId="35" borderId="79" xfId="0" applyFont="1" applyFill="1" applyBorder="1" applyAlignment="1">
      <alignment horizontal="left"/>
    </xf>
    <xf numFmtId="0" fontId="71" fillId="0" borderId="27" xfId="0" applyFont="1" applyBorder="1" applyAlignment="1">
      <alignment horizontal="center" wrapText="1"/>
    </xf>
    <xf numFmtId="0" fontId="71" fillId="0" borderId="58" xfId="0" applyFont="1" applyBorder="1" applyAlignment="1">
      <alignment horizontal="center" wrapText="1"/>
    </xf>
    <xf numFmtId="0" fontId="75" fillId="0" borderId="211" xfId="0" applyFont="1" applyBorder="1" applyAlignment="1">
      <alignment horizontal="center"/>
    </xf>
    <xf numFmtId="0" fontId="75" fillId="0" borderId="88" xfId="0" applyFont="1" applyBorder="1" applyAlignment="1">
      <alignment horizontal="center"/>
    </xf>
    <xf numFmtId="0" fontId="75" fillId="0" borderId="212" xfId="0" applyFont="1" applyBorder="1" applyAlignment="1">
      <alignment horizontal="center"/>
    </xf>
    <xf numFmtId="0" fontId="75" fillId="0" borderId="27" xfId="0" applyFont="1" applyBorder="1" applyAlignment="1">
      <alignment horizontal="center"/>
    </xf>
    <xf numFmtId="0" fontId="75" fillId="0" borderId="44" xfId="0" applyFont="1" applyBorder="1" applyAlignment="1">
      <alignment horizontal="center"/>
    </xf>
    <xf numFmtId="0" fontId="75" fillId="0" borderId="58" xfId="0" applyFont="1" applyBorder="1" applyAlignment="1">
      <alignment horizontal="center"/>
    </xf>
    <xf numFmtId="0" fontId="71" fillId="0" borderId="44" xfId="0" applyFont="1" applyBorder="1" applyAlignment="1">
      <alignment horizontal="center" wrapText="1"/>
    </xf>
    <xf numFmtId="0" fontId="71" fillId="0" borderId="27" xfId="0" applyFont="1" applyBorder="1" applyAlignment="1">
      <alignment horizontal="center" vertical="center" wrapText="1"/>
    </xf>
    <xf numFmtId="0" fontId="71" fillId="0" borderId="58" xfId="0" applyFont="1" applyBorder="1" applyAlignment="1">
      <alignment horizontal="center" vertical="center" wrapText="1"/>
    </xf>
    <xf numFmtId="0" fontId="34" fillId="0" borderId="27" xfId="0" applyFont="1" applyBorder="1" applyAlignment="1">
      <alignment horizontal="center" wrapText="1"/>
    </xf>
    <xf numFmtId="0" fontId="34" fillId="0" borderId="58" xfId="0" applyFont="1" applyBorder="1" applyAlignment="1">
      <alignment horizontal="center" wrapText="1"/>
    </xf>
    <xf numFmtId="0" fontId="26" fillId="0" borderId="0" xfId="0" applyFont="1" applyBorder="1" applyAlignment="1">
      <alignment horizontal="left" vertical="center"/>
    </xf>
    <xf numFmtId="0" fontId="29" fillId="0" borderId="87" xfId="0" applyFont="1" applyBorder="1" applyAlignment="1">
      <alignment horizontal="center"/>
    </xf>
    <xf numFmtId="0" fontId="29" fillId="0" borderId="90" xfId="0" applyFont="1" applyBorder="1" applyAlignment="1">
      <alignment horizontal="center"/>
    </xf>
    <xf numFmtId="0" fontId="29" fillId="0" borderId="91" xfId="0" applyFont="1" applyBorder="1" applyAlignment="1">
      <alignment horizontal="center"/>
    </xf>
    <xf numFmtId="0" fontId="24" fillId="0" borderId="183" xfId="0" applyFont="1" applyFill="1" applyBorder="1" applyAlignment="1">
      <alignment horizontal="center"/>
    </xf>
    <xf numFmtId="0" fontId="24" fillId="0" borderId="125" xfId="0" applyFont="1" applyFill="1" applyBorder="1" applyAlignment="1">
      <alignment horizontal="center"/>
    </xf>
    <xf numFmtId="0" fontId="25" fillId="0" borderId="42" xfId="0" applyFont="1" applyFill="1" applyBorder="1" applyAlignment="1">
      <alignment horizontal="center"/>
    </xf>
    <xf numFmtId="0" fontId="41" fillId="0" borderId="42" xfId="0" applyFont="1" applyFill="1" applyBorder="1" applyAlignment="1">
      <alignment horizontal="center"/>
    </xf>
    <xf numFmtId="0" fontId="52" fillId="0" borderId="77" xfId="41" applyFont="1" applyBorder="1" applyAlignment="1">
      <alignment horizontal="left"/>
    </xf>
    <xf numFmtId="0" fontId="52" fillId="0" borderId="78" xfId="41" applyFont="1" applyBorder="1" applyAlignment="1">
      <alignment horizontal="left"/>
    </xf>
    <xf numFmtId="0" fontId="52" fillId="0" borderId="79" xfId="41" applyFont="1" applyBorder="1" applyAlignment="1">
      <alignment horizontal="left"/>
    </xf>
    <xf numFmtId="0" fontId="52" fillId="0" borderId="126" xfId="41" applyFont="1" applyBorder="1" applyAlignment="1">
      <alignment horizontal="center"/>
    </xf>
    <xf numFmtId="0" fontId="52" fillId="0" borderId="78" xfId="41" applyFont="1" applyBorder="1" applyAlignment="1">
      <alignment horizontal="center"/>
    </xf>
    <xf numFmtId="0" fontId="52" fillId="0" borderId="129" xfId="41" applyFont="1" applyBorder="1" applyAlignment="1">
      <alignment horizontal="center"/>
    </xf>
    <xf numFmtId="0" fontId="18" fillId="0" borderId="70" xfId="41" applyFont="1" applyBorder="1" applyAlignment="1">
      <alignment horizontal="center"/>
    </xf>
    <xf numFmtId="0" fontId="18" fillId="0" borderId="71" xfId="41" applyFont="1" applyBorder="1" applyAlignment="1">
      <alignment horizontal="center"/>
    </xf>
    <xf numFmtId="0" fontId="18" fillId="0" borderId="72" xfId="41" applyFont="1" applyBorder="1" applyAlignment="1">
      <alignment horizontal="center"/>
    </xf>
    <xf numFmtId="0" fontId="34" fillId="0" borderId="27" xfId="41" applyFont="1" applyBorder="1" applyAlignment="1">
      <alignment horizontal="center"/>
    </xf>
    <xf numFmtId="0" fontId="34" fillId="0" borderId="58" xfId="41" applyFont="1" applyBorder="1" applyAlignment="1">
      <alignment horizontal="center"/>
    </xf>
    <xf numFmtId="0" fontId="18" fillId="0" borderId="87" xfId="41" applyFont="1" applyBorder="1" applyAlignment="1">
      <alignment horizontal="center"/>
    </xf>
    <xf numFmtId="0" fontId="18" fillId="0" borderId="90" xfId="41" applyFont="1" applyBorder="1" applyAlignment="1">
      <alignment horizontal="center"/>
    </xf>
    <xf numFmtId="0" fontId="18" fillId="0" borderId="91" xfId="41" applyFont="1" applyBorder="1" applyAlignment="1">
      <alignment horizontal="center"/>
    </xf>
    <xf numFmtId="22" fontId="52" fillId="0" borderId="77" xfId="41" applyNumberFormat="1" applyFont="1" applyBorder="1" applyAlignment="1">
      <alignment horizontal="left"/>
    </xf>
    <xf numFmtId="0" fontId="34" fillId="0" borderId="90" xfId="41" applyFont="1" applyBorder="1" applyAlignment="1">
      <alignment horizontal="center"/>
    </xf>
    <xf numFmtId="0" fontId="34" fillId="0" borderId="91" xfId="41" applyFont="1" applyBorder="1" applyAlignment="1">
      <alignment horizontal="center"/>
    </xf>
    <xf numFmtId="0" fontId="52" fillId="0" borderId="0" xfId="41" applyFont="1" applyAlignment="1">
      <alignment horizontal="right"/>
    </xf>
    <xf numFmtId="0" fontId="52" fillId="0" borderId="40" xfId="41" applyFont="1" applyBorder="1" applyAlignment="1">
      <alignment horizontal="right"/>
    </xf>
    <xf numFmtId="0" fontId="52" fillId="0" borderId="222" xfId="41" applyFont="1" applyBorder="1" applyAlignment="1">
      <alignment horizontal="left"/>
    </xf>
    <xf numFmtId="0" fontId="52" fillId="0" borderId="223" xfId="41" applyFont="1" applyBorder="1" applyAlignment="1">
      <alignment horizontal="left"/>
    </xf>
    <xf numFmtId="0" fontId="52" fillId="0" borderId="224" xfId="41" applyFont="1" applyBorder="1" applyAlignment="1">
      <alignment horizontal="left"/>
    </xf>
    <xf numFmtId="0" fontId="25" fillId="0" borderId="29" xfId="41" applyFont="1" applyBorder="1" applyAlignment="1">
      <alignment horizontal="center"/>
    </xf>
    <xf numFmtId="0" fontId="25" fillId="0" borderId="83" xfId="41" applyFont="1" applyBorder="1" applyAlignment="1">
      <alignment horizontal="center"/>
    </xf>
    <xf numFmtId="0" fontId="25" fillId="0" borderId="63" xfId="41" applyFont="1" applyBorder="1" applyAlignment="1">
      <alignment horizontal="center"/>
    </xf>
    <xf numFmtId="0" fontId="24" fillId="0" borderId="29" xfId="41" applyFont="1" applyBorder="1" applyAlignment="1">
      <alignment horizontal="center"/>
    </xf>
    <xf numFmtId="0" fontId="24" fillId="0" borderId="83" xfId="41" applyFont="1" applyBorder="1" applyAlignment="1">
      <alignment horizontal="center"/>
    </xf>
    <xf numFmtId="0" fontId="24" fillId="0" borderId="63" xfId="41" applyFont="1" applyBorder="1" applyAlignment="1">
      <alignment horizontal="center"/>
    </xf>
    <xf numFmtId="0" fontId="34" fillId="0" borderId="44" xfId="41" applyFont="1" applyBorder="1" applyAlignment="1">
      <alignment horizontal="center" wrapText="1"/>
    </xf>
    <xf numFmtId="0" fontId="34" fillId="0" borderId="27" xfId="41" applyFont="1" applyBorder="1" applyAlignment="1">
      <alignment horizontal="center" wrapText="1"/>
    </xf>
    <xf numFmtId="0" fontId="34" fillId="0" borderId="58" xfId="41" applyFont="1" applyBorder="1" applyAlignment="1">
      <alignment horizontal="center" wrapText="1"/>
    </xf>
    <xf numFmtId="0" fontId="28" fillId="0" borderId="87" xfId="41" applyFont="1" applyBorder="1" applyAlignment="1">
      <alignment horizontal="center"/>
    </xf>
    <xf numFmtId="0" fontId="28" fillId="0" borderId="90" xfId="41" applyFont="1" applyBorder="1" applyAlignment="1">
      <alignment horizontal="center"/>
    </xf>
    <xf numFmtId="0" fontId="28" fillId="0" borderId="91" xfId="41" applyFont="1" applyBorder="1" applyAlignment="1">
      <alignment horizontal="center"/>
    </xf>
    <xf numFmtId="0" fontId="34" fillId="0" borderId="33" xfId="41" applyFont="1" applyBorder="1" applyAlignment="1">
      <alignment horizontal="center" vertical="center"/>
    </xf>
    <xf numFmtId="0" fontId="34" fillId="0" borderId="61" xfId="41" applyFont="1" applyBorder="1" applyAlignment="1">
      <alignment horizontal="center" vertical="center"/>
    </xf>
    <xf numFmtId="0" fontId="34" fillId="0" borderId="213" xfId="41" applyFont="1" applyBorder="1" applyAlignment="1">
      <alignment horizontal="center" vertical="center"/>
    </xf>
    <xf numFmtId="0" fontId="30" fillId="0" borderId="28" xfId="40" applyFont="1" applyFill="1" applyBorder="1" applyAlignment="1">
      <alignment horizontal="center"/>
    </xf>
    <xf numFmtId="0" fontId="30" fillId="0" borderId="14" xfId="40" applyFont="1" applyFill="1" applyBorder="1" applyAlignment="1">
      <alignment horizontal="center"/>
    </xf>
    <xf numFmtId="0" fontId="28" fillId="0" borderId="27" xfId="40" applyFont="1" applyFill="1" applyBorder="1" applyAlignment="1">
      <alignment horizontal="center"/>
    </xf>
    <xf numFmtId="0" fontId="28" fillId="0" borderId="58" xfId="40" applyFont="1" applyFill="1" applyBorder="1" applyAlignment="1">
      <alignment horizontal="center"/>
    </xf>
    <xf numFmtId="0" fontId="44" fillId="0" borderId="87" xfId="40" applyFont="1" applyFill="1" applyBorder="1" applyAlignment="1">
      <alignment horizontal="center"/>
    </xf>
    <xf numFmtId="0" fontId="44" fillId="0" borderId="90" xfId="40" applyFont="1" applyFill="1" applyBorder="1" applyAlignment="1">
      <alignment horizontal="center"/>
    </xf>
    <xf numFmtId="0" fontId="44" fillId="0" borderId="91" xfId="40" applyFont="1" applyFill="1" applyBorder="1" applyAlignment="1">
      <alignment horizontal="center"/>
    </xf>
    <xf numFmtId="0" fontId="44" fillId="0" borderId="87" xfId="40" applyFont="1" applyFill="1" applyBorder="1" applyAlignment="1">
      <alignment horizontal="center" wrapText="1"/>
    </xf>
    <xf numFmtId="0" fontId="44" fillId="0" borderId="90" xfId="40" applyFont="1" applyFill="1" applyBorder="1" applyAlignment="1">
      <alignment horizontal="center" wrapText="1"/>
    </xf>
    <xf numFmtId="0" fontId="44" fillId="0" borderId="91" xfId="40" applyFont="1" applyFill="1" applyBorder="1" applyAlignment="1">
      <alignment horizontal="center" wrapText="1"/>
    </xf>
    <xf numFmtId="0" fontId="30" fillId="0" borderId="73" xfId="40" applyFont="1" applyFill="1" applyBorder="1" applyAlignment="1">
      <alignment horizontal="center"/>
    </xf>
    <xf numFmtId="0" fontId="30" fillId="0" borderId="74" xfId="40" applyFont="1" applyFill="1" applyBorder="1" applyAlignment="1">
      <alignment horizontal="center"/>
    </xf>
    <xf numFmtId="0" fontId="30" fillId="0" borderId="75" xfId="40" applyFont="1" applyFill="1" applyBorder="1" applyAlignment="1">
      <alignment horizontal="center"/>
    </xf>
    <xf numFmtId="0" fontId="28" fillId="0" borderId="44" xfId="40" applyFont="1" applyFill="1" applyBorder="1" applyAlignment="1">
      <alignment horizontal="center"/>
    </xf>
    <xf numFmtId="0" fontId="44" fillId="0" borderId="34" xfId="40" applyFont="1" applyFill="1" applyBorder="1" applyAlignment="1">
      <alignment horizontal="center"/>
    </xf>
    <xf numFmtId="0" fontId="44" fillId="0" borderId="59" xfId="40" applyFont="1" applyFill="1" applyBorder="1" applyAlignment="1">
      <alignment horizontal="center"/>
    </xf>
    <xf numFmtId="0" fontId="28" fillId="0" borderId="70" xfId="40" applyFont="1" applyFill="1" applyBorder="1" applyAlignment="1">
      <alignment horizontal="center"/>
    </xf>
    <xf numFmtId="0" fontId="28" fillId="0" borderId="71" xfId="40" applyFont="1" applyFill="1" applyBorder="1" applyAlignment="1">
      <alignment horizontal="center"/>
    </xf>
    <xf numFmtId="0" fontId="28" fillId="0" borderId="72" xfId="40" applyFont="1" applyFill="1" applyBorder="1" applyAlignment="1">
      <alignment horizontal="center"/>
    </xf>
    <xf numFmtId="0" fontId="30" fillId="0" borderId="126" xfId="40" applyFont="1" applyFill="1" applyBorder="1" applyAlignment="1">
      <alignment horizontal="center"/>
    </xf>
    <xf numFmtId="0" fontId="30" fillId="0" borderId="78" xfId="40" applyFont="1" applyFill="1" applyBorder="1" applyAlignment="1">
      <alignment horizontal="center"/>
    </xf>
    <xf numFmtId="0" fontId="30" fillId="0" borderId="129" xfId="40" applyFont="1" applyFill="1" applyBorder="1" applyAlignment="1">
      <alignment horizontal="center"/>
    </xf>
    <xf numFmtId="0" fontId="30" fillId="0" borderId="0" xfId="40" applyFont="1" applyFill="1" applyBorder="1" applyAlignment="1">
      <alignment horizontal="center"/>
    </xf>
    <xf numFmtId="0" fontId="28" fillId="0" borderId="44" xfId="40" quotePrefix="1" applyFont="1" applyFill="1" applyBorder="1" applyAlignment="1">
      <alignment horizontal="center"/>
    </xf>
    <xf numFmtId="0" fontId="28" fillId="0" borderId="58" xfId="40" quotePrefix="1" applyFont="1" applyFill="1" applyBorder="1" applyAlignment="1">
      <alignment horizontal="center"/>
    </xf>
    <xf numFmtId="0" fontId="28" fillId="0" borderId="27" xfId="40" quotePrefix="1" applyFont="1" applyFill="1" applyBorder="1" applyAlignment="1">
      <alignment horizontal="center"/>
    </xf>
    <xf numFmtId="0" fontId="75" fillId="0" borderId="70" xfId="40" applyFont="1" applyFill="1" applyBorder="1" applyAlignment="1">
      <alignment horizontal="center"/>
    </xf>
    <xf numFmtId="0" fontId="75" fillId="0" borderId="71" xfId="40" applyFont="1" applyFill="1" applyBorder="1" applyAlignment="1">
      <alignment horizontal="center"/>
    </xf>
    <xf numFmtId="0" fontId="75" fillId="0" borderId="72" xfId="40" applyFont="1" applyFill="1" applyBorder="1" applyAlignment="1">
      <alignment horizontal="center"/>
    </xf>
    <xf numFmtId="0" fontId="87" fillId="0" borderId="126" xfId="40" applyFont="1" applyFill="1" applyBorder="1" applyAlignment="1">
      <alignment horizontal="center"/>
    </xf>
    <xf numFmtId="0" fontId="87" fillId="0" borderId="78" xfId="40" applyFont="1" applyFill="1" applyBorder="1" applyAlignment="1">
      <alignment horizontal="center"/>
    </xf>
    <xf numFmtId="0" fontId="87" fillId="0" borderId="129" xfId="40" applyFont="1" applyFill="1" applyBorder="1" applyAlignment="1">
      <alignment horizontal="center"/>
    </xf>
    <xf numFmtId="164" fontId="75" fillId="0" borderId="126" xfId="44" applyNumberFormat="1" applyFont="1" applyFill="1" applyBorder="1" applyAlignment="1">
      <alignment horizontal="center"/>
    </xf>
    <xf numFmtId="164" fontId="75" fillId="0" borderId="78" xfId="44" applyNumberFormat="1" applyFont="1" applyFill="1" applyBorder="1" applyAlignment="1">
      <alignment horizontal="center"/>
    </xf>
    <xf numFmtId="164" fontId="75" fillId="0" borderId="129" xfId="44" applyNumberFormat="1" applyFont="1" applyFill="1" applyBorder="1" applyAlignment="1">
      <alignment horizontal="center"/>
    </xf>
    <xf numFmtId="0" fontId="87" fillId="0" borderId="173" xfId="0" applyFont="1" applyBorder="1" applyAlignment="1">
      <alignment horizontal="center" vertical="center" wrapText="1"/>
    </xf>
    <xf numFmtId="0" fontId="87" fillId="0" borderId="57" xfId="0" applyFont="1" applyBorder="1" applyAlignment="1">
      <alignment horizontal="center" vertical="center" wrapText="1"/>
    </xf>
    <xf numFmtId="0" fontId="87" fillId="0" borderId="174" xfId="0" applyFont="1" applyBorder="1" applyAlignment="1">
      <alignment horizontal="center" vertical="center" wrapText="1"/>
    </xf>
    <xf numFmtId="0" fontId="65" fillId="0" borderId="27" xfId="0" applyFont="1" applyBorder="1" applyAlignment="1">
      <alignment horizontal="center" wrapText="1"/>
    </xf>
    <xf numFmtId="0" fontId="65" fillId="0" borderId="58" xfId="0" applyFont="1" applyBorder="1" applyAlignment="1">
      <alignment horizontal="center" wrapText="1"/>
    </xf>
    <xf numFmtId="0" fontId="65" fillId="0" borderId="28" xfId="0" applyFont="1" applyBorder="1" applyAlignment="1">
      <alignment horizontal="center" wrapText="1"/>
    </xf>
    <xf numFmtId="0" fontId="65" fillId="0" borderId="14" xfId="0" applyFont="1" applyBorder="1" applyAlignment="1">
      <alignment horizontal="center" wrapText="1"/>
    </xf>
    <xf numFmtId="0" fontId="44" fillId="0" borderId="44" xfId="0" applyFont="1" applyFill="1" applyBorder="1" applyAlignment="1">
      <alignment horizontal="center"/>
    </xf>
    <xf numFmtId="0" fontId="44" fillId="0" borderId="27" xfId="0" applyFont="1" applyFill="1" applyBorder="1" applyAlignment="1">
      <alignment horizontal="center"/>
    </xf>
    <xf numFmtId="0" fontId="44" fillId="0" borderId="58" xfId="0" applyFont="1" applyFill="1" applyBorder="1" applyAlignment="1">
      <alignment horizontal="center"/>
    </xf>
    <xf numFmtId="0" fontId="51" fillId="0" borderId="27" xfId="0" quotePrefix="1" applyFont="1" applyFill="1" applyBorder="1" applyAlignment="1">
      <alignment horizontal="center" wrapText="1"/>
    </xf>
    <xf numFmtId="0" fontId="51" fillId="0" borderId="58" xfId="0" quotePrefix="1" applyFont="1" applyFill="1" applyBorder="1" applyAlignment="1">
      <alignment horizontal="center" wrapText="1"/>
    </xf>
    <xf numFmtId="0" fontId="51" fillId="0" borderId="34" xfId="0" quotePrefix="1" applyFont="1" applyFill="1" applyBorder="1" applyAlignment="1">
      <alignment horizontal="center" wrapText="1"/>
    </xf>
    <xf numFmtId="0" fontId="51" fillId="0" borderId="38" xfId="0" quotePrefix="1" applyFont="1" applyFill="1" applyBorder="1" applyAlignment="1">
      <alignment horizontal="center" wrapText="1"/>
    </xf>
    <xf numFmtId="0" fontId="51" fillId="0" borderId="87" xfId="0" quotePrefix="1" applyFont="1" applyFill="1" applyBorder="1" applyAlignment="1">
      <alignment horizontal="center" wrapText="1"/>
    </xf>
    <xf numFmtId="0" fontId="51" fillId="0" borderId="90" xfId="0" quotePrefix="1" applyFont="1" applyFill="1" applyBorder="1" applyAlignment="1">
      <alignment horizontal="center" wrapText="1"/>
    </xf>
    <xf numFmtId="0" fontId="51" fillId="0" borderId="91" xfId="0" quotePrefix="1" applyFont="1" applyFill="1" applyBorder="1" applyAlignment="1">
      <alignment horizontal="center" wrapText="1"/>
    </xf>
    <xf numFmtId="0" fontId="29" fillId="0" borderId="87" xfId="0" applyFont="1" applyFill="1" applyBorder="1" applyAlignment="1">
      <alignment horizontal="center" wrapText="1"/>
    </xf>
    <xf numFmtId="0" fontId="29" fillId="0" borderId="175" xfId="0" applyFont="1" applyFill="1" applyBorder="1" applyAlignment="1">
      <alignment horizontal="center" wrapText="1"/>
    </xf>
    <xf numFmtId="0" fontId="29" fillId="0" borderId="98" xfId="0" applyFont="1" applyFill="1" applyBorder="1" applyAlignment="1">
      <alignment horizontal="center"/>
    </xf>
    <xf numFmtId="0" fontId="29" fillId="0" borderId="47" xfId="0" applyFont="1" applyFill="1" applyBorder="1" applyAlignment="1">
      <alignment horizontal="center"/>
    </xf>
    <xf numFmtId="0" fontId="37" fillId="0" borderId="176" xfId="0" applyFont="1" applyFill="1" applyBorder="1" applyAlignment="1">
      <alignment horizontal="center"/>
    </xf>
    <xf numFmtId="0" fontId="37" fillId="0" borderId="177" xfId="0" applyFont="1" applyFill="1" applyBorder="1" applyAlignment="1">
      <alignment horizontal="center"/>
    </xf>
    <xf numFmtId="0" fontId="29" fillId="0" borderId="178" xfId="0" applyFont="1" applyFill="1" applyBorder="1" applyAlignment="1">
      <alignment horizontal="right"/>
    </xf>
    <xf numFmtId="0" fontId="29" fillId="0" borderId="179" xfId="0" applyFont="1" applyFill="1" applyBorder="1" applyAlignment="1">
      <alignment horizontal="right"/>
    </xf>
    <xf numFmtId="0" fontId="29" fillId="0" borderId="99" xfId="0" applyFont="1" applyFill="1" applyBorder="1" applyAlignment="1">
      <alignment horizontal="right"/>
    </xf>
    <xf numFmtId="0" fontId="29" fillId="0" borderId="48" xfId="0" applyFont="1" applyFill="1" applyBorder="1" applyAlignment="1">
      <alignment horizontal="right"/>
    </xf>
    <xf numFmtId="0" fontId="29" fillId="0" borderId="97" xfId="0" applyFont="1" applyFill="1" applyBorder="1" applyAlignment="1">
      <alignment horizontal="right"/>
    </xf>
    <xf numFmtId="0" fontId="29" fillId="0" borderId="123" xfId="0" applyFont="1" applyFill="1" applyBorder="1" applyAlignment="1">
      <alignment horizontal="right"/>
    </xf>
    <xf numFmtId="0" fontId="29" fillId="0" borderId="36" xfId="0" applyFont="1" applyFill="1" applyBorder="1" applyAlignment="1">
      <alignment horizontal="right"/>
    </xf>
    <xf numFmtId="0" fontId="29" fillId="0" borderId="35" xfId="0" applyFont="1" applyFill="1" applyBorder="1" applyAlignment="1">
      <alignment horizontal="right"/>
    </xf>
    <xf numFmtId="0" fontId="37" fillId="0" borderId="180" xfId="0" applyFont="1" applyFill="1" applyBorder="1" applyAlignment="1">
      <alignment horizontal="center"/>
    </xf>
    <xf numFmtId="0" fontId="29" fillId="0" borderId="176" xfId="0" applyFont="1" applyFill="1" applyBorder="1" applyAlignment="1">
      <alignment horizontal="center"/>
    </xf>
    <xf numFmtId="0" fontId="29" fillId="0" borderId="177" xfId="0" applyFont="1" applyFill="1" applyBorder="1" applyAlignment="1">
      <alignment horizontal="center"/>
    </xf>
    <xf numFmtId="0" fontId="29" fillId="0" borderId="87" xfId="0" applyFont="1" applyFill="1" applyBorder="1" applyAlignment="1">
      <alignment horizontal="right"/>
    </xf>
    <xf numFmtId="0" fontId="29" fillId="0" borderId="175" xfId="0" applyFont="1" applyFill="1" applyBorder="1" applyAlignment="1">
      <alignment horizontal="right"/>
    </xf>
  </cellXfs>
  <cellStyles count="56">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Body: normal cell" xfId="49" xr:uid="{00000000-0005-0000-0000-000019000000}"/>
    <cellStyle name="Calculation" xfId="26" builtinId="22" customBuiltin="1"/>
    <cellStyle name="Check Cell" xfId="27" builtinId="23" customBuiltin="1"/>
    <cellStyle name="Comma" xfId="28" builtinId="3"/>
    <cellStyle name="Comma 2" xfId="29" xr:uid="{00000000-0005-0000-0000-00001D000000}"/>
    <cellStyle name="Currency" xfId="50" builtinId="4"/>
    <cellStyle name="Currency 2" xfId="51" xr:uid="{00000000-0005-0000-0000-00001F000000}"/>
    <cellStyle name="Currency 3" xfId="54" xr:uid="{041FD346-0AF6-43EF-87EF-29C1CCA6C361}"/>
    <cellStyle name="Explanatory Text" xfId="30" builtinId="53" customBuiltin="1"/>
    <cellStyle name="Good" xfId="31" builtinId="26" customBuiltin="1"/>
    <cellStyle name="Heading 1" xfId="32" builtinId="16" customBuiltin="1"/>
    <cellStyle name="Heading 2" xfId="33" builtinId="17" customBuiltin="1"/>
    <cellStyle name="Heading 3" xfId="34" builtinId="18" customBuiltin="1"/>
    <cellStyle name="Heading 4" xfId="35" builtinId="19" customBuiltin="1"/>
    <cellStyle name="Hyperlink" xfId="36" builtinId="8"/>
    <cellStyle name="Input" xfId="37" builtinId="20" customBuiltin="1"/>
    <cellStyle name="Linked Cell" xfId="38" builtinId="24" customBuiltin="1"/>
    <cellStyle name="Neutral" xfId="39" builtinId="28" customBuiltin="1"/>
    <cellStyle name="Normal" xfId="0" builtinId="0"/>
    <cellStyle name="Normal 2" xfId="40" xr:uid="{00000000-0005-0000-0000-00002B000000}"/>
    <cellStyle name="Normal 3" xfId="52" xr:uid="{4D1AFD1A-CC67-4284-B337-5C948445C7AB}"/>
    <cellStyle name="Normal 4" xfId="55" xr:uid="{3B8EBF6F-5D91-4C8E-831C-F8C38D076E28}"/>
    <cellStyle name="Normal_NewAlgorithms 2011-09-15" xfId="41" xr:uid="{00000000-0005-0000-0000-00002C000000}"/>
    <cellStyle name="Note" xfId="42" builtinId="10" customBuiltin="1"/>
    <cellStyle name="Output" xfId="43" builtinId="21" customBuiltin="1"/>
    <cellStyle name="Percent" xfId="44" builtinId="5"/>
    <cellStyle name="Percent 2" xfId="45" xr:uid="{00000000-0005-0000-0000-000030000000}"/>
    <cellStyle name="Percent 3" xfId="53" xr:uid="{9FC8954B-2BEC-434C-9C05-D3DB5D6855D7}"/>
    <cellStyle name="Title" xfId="46" builtinId="15" customBuiltin="1"/>
    <cellStyle name="Total" xfId="47" builtinId="25" customBuiltin="1"/>
    <cellStyle name="Warning Text" xfId="48" builtinId="11" customBuiltin="1"/>
  </cellStyles>
  <dxfs count="109">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Calibri"/>
        <scheme val="minor"/>
      </font>
      <numFmt numFmtId="175" formatCode="_(* #,##0_);_(* \(#,##0\);_(* &quot;-&quot;??_);_(@_)"/>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strike val="0"/>
        <outline val="0"/>
        <shadow val="0"/>
        <u val="none"/>
        <vertAlign val="baseline"/>
        <sz val="10"/>
        <color auto="1"/>
      </font>
    </dxf>
    <dxf>
      <font>
        <b val="0"/>
        <i val="0"/>
        <strike val="0"/>
        <condense val="0"/>
        <extend val="0"/>
        <outline val="0"/>
        <shadow val="0"/>
        <u val="none"/>
        <vertAlign val="baseline"/>
        <sz val="10"/>
        <color auto="1"/>
        <name val="Arial"/>
        <scheme val="none"/>
      </font>
      <numFmt numFmtId="1" formatCode="0"/>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top/>
        <bottom/>
        <vertical/>
        <horizontal/>
      </border>
    </dxf>
    <dxf>
      <font>
        <strike val="0"/>
        <outline val="0"/>
        <shadow val="0"/>
        <u val="none"/>
        <vertAlign val="baseline"/>
        <sz val="10"/>
        <color auto="1"/>
      </font>
    </dxf>
    <dxf>
      <font>
        <b/>
        <i val="0"/>
        <strike val="0"/>
        <condense val="0"/>
        <extend val="0"/>
        <outline val="0"/>
        <shadow val="0"/>
        <u val="none"/>
        <vertAlign val="baseline"/>
        <sz val="10"/>
        <color auto="1"/>
        <name val="Arial"/>
        <scheme val="none"/>
      </font>
      <numFmt numFmtId="175" formatCode="_(* #,##0_);_(* \(#,##0\);_(* &quot;-&quot;??_);_(@_)"/>
      <fill>
        <patternFill patternType="none">
          <fgColor indexed="64"/>
          <bgColor indexed="65"/>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
      <font>
        <color auto="1"/>
      </font>
      <fill>
        <patternFill>
          <bgColor theme="3" tint="0.59996337778862885"/>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b/>
        <i val="0"/>
        <color theme="2"/>
      </font>
      <fill>
        <patternFill>
          <bgColor rgb="FFFF0000"/>
        </patternFill>
      </fill>
    </dxf>
  </dxfs>
  <tableStyles count="0" defaultTableStyle="TableStyleMedium2" defaultPivotStyle="PivotStyleLight16"/>
  <colors>
    <mruColors>
      <color rgb="FFFFFFCC"/>
      <color rgb="FFFFFF99"/>
      <color rgb="FF008000"/>
      <color rgb="FF00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9.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30.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31.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2.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3.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SU'!$D$21</c:f>
              <c:strCache>
                <c:ptCount val="1"/>
                <c:pt idx="0">
                  <c:v>Adv Conv</c:v>
                </c:pt>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SU'!$D$36:$D$65</c:f>
              <c:numCache>
                <c:formatCode>"$"#,##0</c:formatCode>
                <c:ptCount val="30"/>
                <c:pt idx="0">
                  <c:v>840.46527088408766</c:v>
                </c:pt>
                <c:pt idx="1">
                  <c:v>1680.9305417681753</c:v>
                </c:pt>
                <c:pt idx="2">
                  <c:v>2521.395812652263</c:v>
                </c:pt>
                <c:pt idx="3">
                  <c:v>3361.8610835363506</c:v>
                </c:pt>
                <c:pt idx="4">
                  <c:v>4202.3263544204674</c:v>
                </c:pt>
                <c:pt idx="5">
                  <c:v>4373.8152336049534</c:v>
                </c:pt>
                <c:pt idx="6">
                  <c:v>4545.3041127894394</c:v>
                </c:pt>
                <c:pt idx="7">
                  <c:v>4716.7929919739254</c:v>
                </c:pt>
                <c:pt idx="8">
                  <c:v>4888.2818711584114</c:v>
                </c:pt>
                <c:pt idx="9">
                  <c:v>5059.7707503429119</c:v>
                </c:pt>
                <c:pt idx="10">
                  <c:v>5059.7707503429119</c:v>
                </c:pt>
                <c:pt idx="11">
                  <c:v>5059.7707503429119</c:v>
                </c:pt>
                <c:pt idx="12">
                  <c:v>5059.7707503429119</c:v>
                </c:pt>
                <c:pt idx="13">
                  <c:v>5059.7707503429119</c:v>
                </c:pt>
                <c:pt idx="14">
                  <c:v>5059.7707503429119</c:v>
                </c:pt>
                <c:pt idx="15">
                  <c:v>5059.7707503429119</c:v>
                </c:pt>
                <c:pt idx="16">
                  <c:v>5059.7707503429119</c:v>
                </c:pt>
                <c:pt idx="17">
                  <c:v>5059.7707503429119</c:v>
                </c:pt>
                <c:pt idx="18">
                  <c:v>5059.7707503429119</c:v>
                </c:pt>
                <c:pt idx="19">
                  <c:v>5059.7707503429119</c:v>
                </c:pt>
                <c:pt idx="20">
                  <c:v>5059.7707503429119</c:v>
                </c:pt>
                <c:pt idx="21">
                  <c:v>5059.7707503429119</c:v>
                </c:pt>
                <c:pt idx="22">
                  <c:v>5059.7707503429119</c:v>
                </c:pt>
                <c:pt idx="23">
                  <c:v>5059.7707503429119</c:v>
                </c:pt>
                <c:pt idx="24">
                  <c:v>5059.7707503429119</c:v>
                </c:pt>
                <c:pt idx="25">
                  <c:v>5059.7707503429119</c:v>
                </c:pt>
                <c:pt idx="26">
                  <c:v>5059.7707503429119</c:v>
                </c:pt>
                <c:pt idx="27">
                  <c:v>5059.7707503429119</c:v>
                </c:pt>
                <c:pt idx="28">
                  <c:v>5059.7707503429119</c:v>
                </c:pt>
                <c:pt idx="29">
                  <c:v>5059.7707503429119</c:v>
                </c:pt>
              </c:numCache>
            </c:numRef>
          </c:yVal>
          <c:smooth val="0"/>
          <c:extLst>
            <c:ext xmlns:c16="http://schemas.microsoft.com/office/drawing/2014/chart" uri="{C3380CC4-5D6E-409C-BE32-E72D297353CC}">
              <c16:uniqueId val="{00000000-E069-4324-A1F7-60B83BC9BBFD}"/>
            </c:ext>
          </c:extLst>
        </c:ser>
        <c:ser>
          <c:idx val="1"/>
          <c:order val="1"/>
          <c:tx>
            <c:strRef>
              <c:f>'Inputs 7&amp;8 SU'!$E$21</c:f>
              <c:strCache>
                <c:ptCount val="1"/>
                <c:pt idx="0">
                  <c:v>ISG</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SU'!$E$36:$E$65</c:f>
              <c:numCache>
                <c:formatCode>"$"#,##0</c:formatCode>
                <c:ptCount val="30"/>
                <c:pt idx="0">
                  <c:v>1666.4794172293186</c:v>
                </c:pt>
                <c:pt idx="1">
                  <c:v>2360.5513691763335</c:v>
                </c:pt>
                <c:pt idx="2">
                  <c:v>3054.6233211233484</c:v>
                </c:pt>
                <c:pt idx="3">
                  <c:v>3748.6952730703633</c:v>
                </c:pt>
                <c:pt idx="4">
                  <c:v>4442.7672250173928</c:v>
                </c:pt>
                <c:pt idx="5">
                  <c:v>4579.0086429013609</c:v>
                </c:pt>
                <c:pt idx="6">
                  <c:v>4715.250060785329</c:v>
                </c:pt>
                <c:pt idx="7">
                  <c:v>4851.4914786692971</c:v>
                </c:pt>
                <c:pt idx="8">
                  <c:v>4987.7328965532652</c:v>
                </c:pt>
                <c:pt idx="9">
                  <c:v>5123.9743144372333</c:v>
                </c:pt>
                <c:pt idx="10">
                  <c:v>5123.9743144372333</c:v>
                </c:pt>
                <c:pt idx="11">
                  <c:v>5123.9743144372333</c:v>
                </c:pt>
                <c:pt idx="12">
                  <c:v>5123.9743144372333</c:v>
                </c:pt>
                <c:pt idx="13">
                  <c:v>5123.9743144372333</c:v>
                </c:pt>
                <c:pt idx="14">
                  <c:v>5123.9743144372333</c:v>
                </c:pt>
                <c:pt idx="15">
                  <c:v>5123.9743144372333</c:v>
                </c:pt>
                <c:pt idx="16">
                  <c:v>5123.9743144372333</c:v>
                </c:pt>
                <c:pt idx="17">
                  <c:v>5123.9743144372333</c:v>
                </c:pt>
                <c:pt idx="18">
                  <c:v>5123.9743144372333</c:v>
                </c:pt>
                <c:pt idx="19">
                  <c:v>5123.9743144372333</c:v>
                </c:pt>
                <c:pt idx="20">
                  <c:v>5123.9743144372333</c:v>
                </c:pt>
                <c:pt idx="21">
                  <c:v>5123.9743144372333</c:v>
                </c:pt>
                <c:pt idx="22">
                  <c:v>5123.9743144372333</c:v>
                </c:pt>
                <c:pt idx="23">
                  <c:v>5123.9743144372333</c:v>
                </c:pt>
                <c:pt idx="24">
                  <c:v>5123.9743144372333</c:v>
                </c:pt>
                <c:pt idx="25">
                  <c:v>5123.9743144372333</c:v>
                </c:pt>
                <c:pt idx="26">
                  <c:v>5123.9743144372333</c:v>
                </c:pt>
                <c:pt idx="27">
                  <c:v>5123.9743144372333</c:v>
                </c:pt>
                <c:pt idx="28">
                  <c:v>5123.9743144372333</c:v>
                </c:pt>
                <c:pt idx="29">
                  <c:v>5123.9743144372333</c:v>
                </c:pt>
              </c:numCache>
            </c:numRef>
          </c:yVal>
          <c:smooth val="0"/>
          <c:extLst>
            <c:ext xmlns:c16="http://schemas.microsoft.com/office/drawing/2014/chart" uri="{C3380CC4-5D6E-409C-BE32-E72D297353CC}">
              <c16:uniqueId val="{00000001-E069-4324-A1F7-60B83BC9BBFD}"/>
            </c:ext>
          </c:extLst>
        </c:ser>
        <c:ser>
          <c:idx val="2"/>
          <c:order val="2"/>
          <c:tx>
            <c:strRef>
              <c:f>'Inputs 7&amp;8 SU'!$F$21</c:f>
              <c:strCache>
                <c:ptCount val="1"/>
                <c:pt idx="0">
                  <c:v>HEV</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SU'!$F$36:$F$65</c:f>
              <c:numCache>
                <c:formatCode>"$"#,##0</c:formatCode>
                <c:ptCount val="30"/>
                <c:pt idx="0">
                  <c:v>13109.729877727412</c:v>
                </c:pt>
                <c:pt idx="1">
                  <c:v>12471.3290793755</c:v>
                </c:pt>
                <c:pt idx="2">
                  <c:v>11832.928281023589</c:v>
                </c:pt>
                <c:pt idx="3">
                  <c:v>11194.527482671678</c:v>
                </c:pt>
                <c:pt idx="4">
                  <c:v>10556.126684319781</c:v>
                </c:pt>
                <c:pt idx="5">
                  <c:v>10405.351335317668</c:v>
                </c:pt>
                <c:pt idx="6">
                  <c:v>10254.575986315554</c:v>
                </c:pt>
                <c:pt idx="7">
                  <c:v>10103.800637313441</c:v>
                </c:pt>
                <c:pt idx="8">
                  <c:v>9953.025288311328</c:v>
                </c:pt>
                <c:pt idx="9">
                  <c:v>9802.2499393092439</c:v>
                </c:pt>
                <c:pt idx="10">
                  <c:v>10076.401732986604</c:v>
                </c:pt>
                <c:pt idx="11">
                  <c:v>10350.553526663964</c:v>
                </c:pt>
                <c:pt idx="12">
                  <c:v>10624.705320341323</c:v>
                </c:pt>
                <c:pt idx="13">
                  <c:v>10898.857114018683</c:v>
                </c:pt>
                <c:pt idx="14">
                  <c:v>11173.008907696058</c:v>
                </c:pt>
                <c:pt idx="15">
                  <c:v>11472.423184880303</c:v>
                </c:pt>
                <c:pt idx="16">
                  <c:v>11472.423184880303</c:v>
                </c:pt>
                <c:pt idx="17">
                  <c:v>11472.423184880303</c:v>
                </c:pt>
                <c:pt idx="18">
                  <c:v>11472.423184880303</c:v>
                </c:pt>
                <c:pt idx="19">
                  <c:v>11472.423184880303</c:v>
                </c:pt>
                <c:pt idx="20">
                  <c:v>11472.423184880303</c:v>
                </c:pt>
                <c:pt idx="21">
                  <c:v>11472.423184880303</c:v>
                </c:pt>
                <c:pt idx="22">
                  <c:v>11472.423184880303</c:v>
                </c:pt>
                <c:pt idx="23">
                  <c:v>11472.423184880303</c:v>
                </c:pt>
                <c:pt idx="24">
                  <c:v>11472.423184880303</c:v>
                </c:pt>
                <c:pt idx="25">
                  <c:v>11472.423184880303</c:v>
                </c:pt>
                <c:pt idx="26">
                  <c:v>11472.423184880303</c:v>
                </c:pt>
                <c:pt idx="27">
                  <c:v>11472.423184880303</c:v>
                </c:pt>
                <c:pt idx="28">
                  <c:v>11472.423184880303</c:v>
                </c:pt>
                <c:pt idx="29">
                  <c:v>11472.423184880303</c:v>
                </c:pt>
              </c:numCache>
            </c:numRef>
          </c:yVal>
          <c:smooth val="0"/>
          <c:extLst>
            <c:ext xmlns:c16="http://schemas.microsoft.com/office/drawing/2014/chart" uri="{C3380CC4-5D6E-409C-BE32-E72D297353CC}">
              <c16:uniqueId val="{00000002-E069-4324-A1F7-60B83BC9BBFD}"/>
            </c:ext>
          </c:extLst>
        </c:ser>
        <c:ser>
          <c:idx val="3"/>
          <c:order val="3"/>
          <c:tx>
            <c:strRef>
              <c:f>'Inputs 7&amp;8 SU'!$G$21</c:f>
              <c:strCache>
                <c:ptCount val="1"/>
                <c:pt idx="0">
                  <c:v>PHEV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SU'!$G$36:$G$65</c:f>
              <c:numCache>
                <c:formatCode>"$"#,##0</c:formatCode>
                <c:ptCount val="30"/>
                <c:pt idx="0">
                  <c:v>144164.79851970976</c:v>
                </c:pt>
                <c:pt idx="1">
                  <c:v>122356.24341838573</c:v>
                </c:pt>
                <c:pt idx="2">
                  <c:v>100547.68831706169</c:v>
                </c:pt>
                <c:pt idx="3">
                  <c:v>78739.13321573766</c:v>
                </c:pt>
                <c:pt idx="4">
                  <c:v>56930.578114413584</c:v>
                </c:pt>
                <c:pt idx="5">
                  <c:v>52011.723754359904</c:v>
                </c:pt>
                <c:pt idx="6">
                  <c:v>47092.869394306224</c:v>
                </c:pt>
                <c:pt idx="7">
                  <c:v>42174.015034252545</c:v>
                </c:pt>
                <c:pt idx="8">
                  <c:v>37255.160674198865</c:v>
                </c:pt>
                <c:pt idx="9">
                  <c:v>32336.306314145273</c:v>
                </c:pt>
                <c:pt idx="10">
                  <c:v>30465.139959469729</c:v>
                </c:pt>
                <c:pt idx="11">
                  <c:v>28593.973604794184</c:v>
                </c:pt>
                <c:pt idx="12">
                  <c:v>26722.80725011864</c:v>
                </c:pt>
                <c:pt idx="13">
                  <c:v>24851.640895443095</c:v>
                </c:pt>
                <c:pt idx="14">
                  <c:v>22980.474540767522</c:v>
                </c:pt>
                <c:pt idx="15">
                  <c:v>22995.141953531071</c:v>
                </c:pt>
                <c:pt idx="16">
                  <c:v>23009.809366294619</c:v>
                </c:pt>
                <c:pt idx="17">
                  <c:v>23024.476779058168</c:v>
                </c:pt>
                <c:pt idx="18">
                  <c:v>23039.144191821717</c:v>
                </c:pt>
                <c:pt idx="19">
                  <c:v>23053.811604585266</c:v>
                </c:pt>
                <c:pt idx="20">
                  <c:v>23068.479017348815</c:v>
                </c:pt>
                <c:pt idx="21">
                  <c:v>23083.146430112363</c:v>
                </c:pt>
                <c:pt idx="22">
                  <c:v>23097.813842875912</c:v>
                </c:pt>
                <c:pt idx="23">
                  <c:v>23112.481255639461</c:v>
                </c:pt>
                <c:pt idx="24">
                  <c:v>23127.14866840301</c:v>
                </c:pt>
                <c:pt idx="25">
                  <c:v>23141.816081166558</c:v>
                </c:pt>
                <c:pt idx="26">
                  <c:v>23156.483493930107</c:v>
                </c:pt>
                <c:pt idx="27">
                  <c:v>23171.150906693656</c:v>
                </c:pt>
                <c:pt idx="28">
                  <c:v>23185.818319457205</c:v>
                </c:pt>
                <c:pt idx="29">
                  <c:v>23200.485732220724</c:v>
                </c:pt>
              </c:numCache>
            </c:numRef>
          </c:yVal>
          <c:smooth val="0"/>
          <c:extLst>
            <c:ext xmlns:c16="http://schemas.microsoft.com/office/drawing/2014/chart" uri="{C3380CC4-5D6E-409C-BE32-E72D297353CC}">
              <c16:uniqueId val="{00000003-E069-4324-A1F7-60B83BC9BBFD}"/>
            </c:ext>
          </c:extLst>
        </c:ser>
        <c:ser>
          <c:idx val="4"/>
          <c:order val="4"/>
          <c:tx>
            <c:strRef>
              <c:f>'Inputs 7&amp;8 SU'!$H$21</c:f>
              <c:strCache>
                <c:ptCount val="1"/>
                <c:pt idx="0">
                  <c:v>BEV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SU'!$H$36:$H$65</c:f>
              <c:numCache>
                <c:formatCode>"$"#,##0</c:formatCode>
                <c:ptCount val="30"/>
                <c:pt idx="0">
                  <c:v>254951.09746535946</c:v>
                </c:pt>
                <c:pt idx="1">
                  <c:v>215138.05970907584</c:v>
                </c:pt>
                <c:pt idx="2">
                  <c:v>175325.02195279219</c:v>
                </c:pt>
                <c:pt idx="3">
                  <c:v>135511.98419650859</c:v>
                </c:pt>
                <c:pt idx="4">
                  <c:v>95698.946440225016</c:v>
                </c:pt>
                <c:pt idx="5">
                  <c:v>86083.468857967993</c:v>
                </c:pt>
                <c:pt idx="6">
                  <c:v>76467.991275710971</c:v>
                </c:pt>
                <c:pt idx="7">
                  <c:v>66852.513693453948</c:v>
                </c:pt>
                <c:pt idx="8">
                  <c:v>57237.036111196925</c:v>
                </c:pt>
                <c:pt idx="9">
                  <c:v>47621.558528939873</c:v>
                </c:pt>
                <c:pt idx="10">
                  <c:v>43697.808657362766</c:v>
                </c:pt>
                <c:pt idx="11">
                  <c:v>39774.058785785659</c:v>
                </c:pt>
                <c:pt idx="12">
                  <c:v>35850.308914208552</c:v>
                </c:pt>
                <c:pt idx="13">
                  <c:v>31926.559042631445</c:v>
                </c:pt>
                <c:pt idx="14">
                  <c:v>28002.809171054396</c:v>
                </c:pt>
                <c:pt idx="15">
                  <c:v>27642.703353960344</c:v>
                </c:pt>
                <c:pt idx="16">
                  <c:v>27282.597536866291</c:v>
                </c:pt>
                <c:pt idx="17">
                  <c:v>26922.491719772239</c:v>
                </c:pt>
                <c:pt idx="18">
                  <c:v>26562.385902678187</c:v>
                </c:pt>
                <c:pt idx="19">
                  <c:v>26202.280085584134</c:v>
                </c:pt>
                <c:pt idx="20">
                  <c:v>25842.174268490082</c:v>
                </c:pt>
                <c:pt idx="21">
                  <c:v>25482.06845139603</c:v>
                </c:pt>
                <c:pt idx="22">
                  <c:v>25121.962634301977</c:v>
                </c:pt>
                <c:pt idx="23">
                  <c:v>24761.856817207925</c:v>
                </c:pt>
                <c:pt idx="24">
                  <c:v>24401.751000113873</c:v>
                </c:pt>
                <c:pt idx="25">
                  <c:v>24041.64518301982</c:v>
                </c:pt>
                <c:pt idx="26">
                  <c:v>23681.539365925768</c:v>
                </c:pt>
                <c:pt idx="27">
                  <c:v>23321.433548831716</c:v>
                </c:pt>
                <c:pt idx="28">
                  <c:v>22961.327731737663</c:v>
                </c:pt>
                <c:pt idx="29">
                  <c:v>22601.221914643567</c:v>
                </c:pt>
              </c:numCache>
            </c:numRef>
          </c:yVal>
          <c:smooth val="0"/>
          <c:extLst>
            <c:ext xmlns:c16="http://schemas.microsoft.com/office/drawing/2014/chart" uri="{C3380CC4-5D6E-409C-BE32-E72D297353CC}">
              <c16:uniqueId val="{00000004-E069-4324-A1F7-60B83BC9BBFD}"/>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quot;$&quot;#,##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'Inputs 7&amp;8 SU'!$N$21</c:f>
              <c:strCache>
                <c:ptCount val="1"/>
              </c:strCache>
            </c:strRef>
          </c:tx>
          <c:spPr>
            <a:ln w="19050" cap="rnd">
              <a:solidFill>
                <a:schemeClr val="accent1"/>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SU'!$N$36:$N$65</c:f>
              <c:numCache>
                <c:formatCode>#,##0.000</c:formatCode>
                <c:ptCount val="30"/>
                <c:pt idx="0">
                  <c:v>7.1066946066856191</c:v>
                </c:pt>
                <c:pt idx="1">
                  <c:v>7.2549468572317179</c:v>
                </c:pt>
                <c:pt idx="2">
                  <c:v>7.3952245468405886</c:v>
                </c:pt>
                <c:pt idx="3">
                  <c:v>7.5444330920738185</c:v>
                </c:pt>
                <c:pt idx="4">
                  <c:v>7.6904954072333691</c:v>
                </c:pt>
                <c:pt idx="5">
                  <c:v>7.8796174660298455</c:v>
                </c:pt>
                <c:pt idx="6">
                  <c:v>8.0838815874836101</c:v>
                </c:pt>
                <c:pt idx="7">
                  <c:v>8.1579983898762283</c:v>
                </c:pt>
                <c:pt idx="8">
                  <c:v>8.3204018705413638</c:v>
                </c:pt>
                <c:pt idx="9">
                  <c:v>8.4596513418802797</c:v>
                </c:pt>
                <c:pt idx="10">
                  <c:v>8.4765855799556995</c:v>
                </c:pt>
                <c:pt idx="11">
                  <c:v>8.4935198180311193</c:v>
                </c:pt>
                <c:pt idx="12">
                  <c:v>8.5104540561065392</c:v>
                </c:pt>
                <c:pt idx="13">
                  <c:v>8.5273882941819608</c:v>
                </c:pt>
                <c:pt idx="14">
                  <c:v>8.5443225322573806</c:v>
                </c:pt>
                <c:pt idx="15">
                  <c:v>8.5444945413697049</c:v>
                </c:pt>
                <c:pt idx="16">
                  <c:v>8.5450857966197695</c:v>
                </c:pt>
                <c:pt idx="17">
                  <c:v>8.5458752554962878</c:v>
                </c:pt>
                <c:pt idx="18">
                  <c:v>8.5469273081410861</c:v>
                </c:pt>
                <c:pt idx="19">
                  <c:v>8.5484593706521306</c:v>
                </c:pt>
                <c:pt idx="20">
                  <c:v>8.5501630690723598</c:v>
                </c:pt>
                <c:pt idx="21">
                  <c:v>8.552006775413572</c:v>
                </c:pt>
                <c:pt idx="22">
                  <c:v>8.5541625159132924</c:v>
                </c:pt>
                <c:pt idx="23">
                  <c:v>8.5564345191960758</c:v>
                </c:pt>
                <c:pt idx="24">
                  <c:v>8.5588402101966423</c:v>
                </c:pt>
                <c:pt idx="25">
                  <c:v>8.5606020112770658</c:v>
                </c:pt>
                <c:pt idx="26">
                  <c:v>8.5625313997551658</c:v>
                </c:pt>
                <c:pt idx="27">
                  <c:v>8.562689035627594</c:v>
                </c:pt>
                <c:pt idx="28">
                  <c:v>8.5628466715000222</c:v>
                </c:pt>
                <c:pt idx="29">
                  <c:v>8.5630043073724504</c:v>
                </c:pt>
              </c:numCache>
            </c:numRef>
          </c:yVal>
          <c:smooth val="0"/>
          <c:extLst>
            <c:ext xmlns:c16="http://schemas.microsoft.com/office/drawing/2014/chart" uri="{C3380CC4-5D6E-409C-BE32-E72D297353CC}">
              <c16:uniqueId val="{00000000-5B1B-4415-B94E-B717A407CAEA}"/>
            </c:ext>
          </c:extLst>
        </c:ser>
        <c:ser>
          <c:idx val="1"/>
          <c:order val="1"/>
          <c:tx>
            <c:strRef>
              <c:f>'Inputs 7&amp;8 SU'!$O$21</c:f>
              <c:strCache>
                <c:ptCount val="1"/>
                <c:pt idx="0">
                  <c:v>Adv Conv</c:v>
                </c:pt>
              </c:strCache>
            </c:strRef>
          </c:tx>
          <c:spPr>
            <a:ln w="19050" cap="rnd">
              <a:solidFill>
                <a:schemeClr val="accent2"/>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SU'!$O$36:$O$65</c:f>
              <c:numCache>
                <c:formatCode>0.000</c:formatCode>
                <c:ptCount val="30"/>
                <c:pt idx="0">
                  <c:v>7.2514618381519949</c:v>
                </c:pt>
                <c:pt idx="1">
                  <c:v>7.5470263474657688</c:v>
                </c:pt>
                <c:pt idx="2">
                  <c:v>7.8365961510935715</c:v>
                </c:pt>
                <c:pt idx="3">
                  <c:v>8.1378673626194438</c:v>
                </c:pt>
                <c:pt idx="4">
                  <c:v>8.438014936260716</c:v>
                </c:pt>
                <c:pt idx="5">
                  <c:v>8.7883235625922929</c:v>
                </c:pt>
                <c:pt idx="6">
                  <c:v>9.1593786749555619</c:v>
                </c:pt>
                <c:pt idx="7">
                  <c:v>9.3847120142735569</c:v>
                </c:pt>
                <c:pt idx="8">
                  <c:v>9.7125571365681882</c:v>
                </c:pt>
                <c:pt idx="9">
                  <c:v>10.015389114320127</c:v>
                </c:pt>
                <c:pt idx="10">
                  <c:v>10.035437574572883</c:v>
                </c:pt>
                <c:pt idx="11">
                  <c:v>10.055486034825639</c:v>
                </c:pt>
                <c:pt idx="12">
                  <c:v>10.075534495078395</c:v>
                </c:pt>
                <c:pt idx="13">
                  <c:v>10.095582955331153</c:v>
                </c:pt>
                <c:pt idx="14">
                  <c:v>10.115631415583909</c:v>
                </c:pt>
                <c:pt idx="15">
                  <c:v>10.115835057332429</c:v>
                </c:pt>
                <c:pt idx="16">
                  <c:v>10.116535044974469</c:v>
                </c:pt>
                <c:pt idx="17">
                  <c:v>10.11746968607474</c:v>
                </c:pt>
                <c:pt idx="18">
                  <c:v>10.118715212182209</c:v>
                </c:pt>
                <c:pt idx="19">
                  <c:v>10.120529022418053</c:v>
                </c:pt>
                <c:pt idx="20">
                  <c:v>10.122546032566872</c:v>
                </c:pt>
                <c:pt idx="21">
                  <c:v>10.124728798223934</c:v>
                </c:pt>
                <c:pt idx="22">
                  <c:v>10.127280981412301</c:v>
                </c:pt>
                <c:pt idx="23">
                  <c:v>10.12997080821798</c:v>
                </c:pt>
                <c:pt idx="24">
                  <c:v>10.132818908037438</c:v>
                </c:pt>
                <c:pt idx="25">
                  <c:v>10.134904705979856</c:v>
                </c:pt>
                <c:pt idx="26">
                  <c:v>10.137188910798701</c:v>
                </c:pt>
                <c:pt idx="27">
                  <c:v>10.137375536055101</c:v>
                </c:pt>
                <c:pt idx="28">
                  <c:v>10.137562161311502</c:v>
                </c:pt>
                <c:pt idx="29">
                  <c:v>10.137748786567903</c:v>
                </c:pt>
              </c:numCache>
            </c:numRef>
          </c:yVal>
          <c:smooth val="0"/>
          <c:extLst>
            <c:ext xmlns:c16="http://schemas.microsoft.com/office/drawing/2014/chart" uri="{C3380CC4-5D6E-409C-BE32-E72D297353CC}">
              <c16:uniqueId val="{00000001-5B1B-4415-B94E-B717A407CAEA}"/>
            </c:ext>
          </c:extLst>
        </c:ser>
        <c:ser>
          <c:idx val="2"/>
          <c:order val="2"/>
          <c:tx>
            <c:strRef>
              <c:f>'Inputs 7&amp;8 SU'!$P$21</c:f>
              <c:strCache>
                <c:ptCount val="1"/>
                <c:pt idx="0">
                  <c:v>ISG</c:v>
                </c:pt>
              </c:strCache>
            </c:strRef>
          </c:tx>
          <c:spPr>
            <a:ln w="19050" cap="rnd">
              <a:solidFill>
                <a:schemeClr val="accent3"/>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SU'!$P$36:$P$65</c:f>
              <c:numCache>
                <c:formatCode>0.000</c:formatCode>
                <c:ptCount val="30"/>
                <c:pt idx="0">
                  <c:v>7.642758539201461</c:v>
                </c:pt>
                <c:pt idx="1">
                  <c:v>7.9604767491506108</c:v>
                </c:pt>
                <c:pt idx="2">
                  <c:v>8.2719688938604357</c:v>
                </c:pt>
                <c:pt idx="3">
                  <c:v>8.5959051807146825</c:v>
                </c:pt>
                <c:pt idx="4">
                  <c:v>8.9187469265359489</c:v>
                </c:pt>
                <c:pt idx="5">
                  <c:v>9.2947241149660904</c:v>
                </c:pt>
                <c:pt idx="6">
                  <c:v>9.6927950245681878</c:v>
                </c:pt>
                <c:pt idx="7">
                  <c:v>9.9367251422608067</c:v>
                </c:pt>
                <c:pt idx="8">
                  <c:v>10.289233048717541</c:v>
                </c:pt>
                <c:pt idx="9">
                  <c:v>10.615318411461462</c:v>
                </c:pt>
                <c:pt idx="10">
                  <c:v>10.636567789474968</c:v>
                </c:pt>
                <c:pt idx="11">
                  <c:v>10.657817167488474</c:v>
                </c:pt>
                <c:pt idx="12">
                  <c:v>10.67906654550198</c:v>
                </c:pt>
                <c:pt idx="13">
                  <c:v>10.700315923515488</c:v>
                </c:pt>
                <c:pt idx="14">
                  <c:v>10.721565301528994</c:v>
                </c:pt>
                <c:pt idx="15">
                  <c:v>10.721781141570528</c:v>
                </c:pt>
                <c:pt idx="16">
                  <c:v>10.722523058995755</c:v>
                </c:pt>
                <c:pt idx="17">
                  <c:v>10.723513685796828</c:v>
                </c:pt>
                <c:pt idx="18">
                  <c:v>10.724833819849501</c:v>
                </c:pt>
                <c:pt idx="19">
                  <c:v>10.726756278674783</c:v>
                </c:pt>
                <c:pt idx="20">
                  <c:v>10.728894109239773</c:v>
                </c:pt>
                <c:pt idx="21">
                  <c:v>10.731207624191898</c:v>
                </c:pt>
                <c:pt idx="22">
                  <c:v>10.733912685061691</c:v>
                </c:pt>
                <c:pt idx="23">
                  <c:v>10.736763634504399</c:v>
                </c:pt>
                <c:pt idx="24">
                  <c:v>10.739782337632763</c:v>
                </c:pt>
                <c:pt idx="25">
                  <c:v>10.741993076431626</c:v>
                </c:pt>
                <c:pt idx="26">
                  <c:v>10.744414106827175</c:v>
                </c:pt>
                <c:pt idx="27">
                  <c:v>10.744611911075987</c:v>
                </c:pt>
                <c:pt idx="28">
                  <c:v>10.7448097153248</c:v>
                </c:pt>
                <c:pt idx="29">
                  <c:v>10.745007519573612</c:v>
                </c:pt>
              </c:numCache>
            </c:numRef>
          </c:yVal>
          <c:smooth val="0"/>
          <c:extLst>
            <c:ext xmlns:c16="http://schemas.microsoft.com/office/drawing/2014/chart" uri="{C3380CC4-5D6E-409C-BE32-E72D297353CC}">
              <c16:uniqueId val="{00000002-5B1B-4415-B94E-B717A407CAEA}"/>
            </c:ext>
          </c:extLst>
        </c:ser>
        <c:ser>
          <c:idx val="3"/>
          <c:order val="3"/>
          <c:tx>
            <c:strRef>
              <c:f>'Inputs 7&amp;8 SU'!$Q$21</c:f>
              <c:strCache>
                <c:ptCount val="1"/>
                <c:pt idx="0">
                  <c:v>HEV</c:v>
                </c:pt>
              </c:strCache>
            </c:strRef>
          </c:tx>
          <c:spPr>
            <a:ln w="19050" cap="rnd">
              <a:solidFill>
                <a:schemeClr val="accent4"/>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SU'!$Q$36:$Q$65</c:f>
              <c:numCache>
                <c:formatCode>#,##0.000</c:formatCode>
                <c:ptCount val="30"/>
                <c:pt idx="0">
                  <c:v>8.252103623726434</c:v>
                </c:pt>
                <c:pt idx="1">
                  <c:v>8.5867009582406837</c:v>
                </c:pt>
                <c:pt idx="2">
                  <c:v>8.9144503459649904</c:v>
                </c:pt>
                <c:pt idx="3">
                  <c:v>9.2554843966218385</c:v>
                </c:pt>
                <c:pt idx="4">
                  <c:v>9.5952144109461681</c:v>
                </c:pt>
                <c:pt idx="5">
                  <c:v>9.9919516873462335</c:v>
                </c:pt>
                <c:pt idx="6">
                  <c:v>10.412233966282747</c:v>
                </c:pt>
                <c:pt idx="7">
                  <c:v>10.666843043707351</c:v>
                </c:pt>
                <c:pt idx="8">
                  <c:v>11.037958743380047</c:v>
                </c:pt>
                <c:pt idx="9">
                  <c:v>11.380626544197902</c:v>
                </c:pt>
                <c:pt idx="10">
                  <c:v>11.517968900373031</c:v>
                </c:pt>
                <c:pt idx="11">
                  <c:v>11.655768988830102</c:v>
                </c:pt>
                <c:pt idx="12">
                  <c:v>11.794026809569115</c:v>
                </c:pt>
                <c:pt idx="13">
                  <c:v>11.932742362590075</c:v>
                </c:pt>
                <c:pt idx="14">
                  <c:v>12.071915647892972</c:v>
                </c:pt>
                <c:pt idx="15">
                  <c:v>12.072158672367623</c:v>
                </c:pt>
                <c:pt idx="16">
                  <c:v>12.072994032161008</c:v>
                </c:pt>
                <c:pt idx="17">
                  <c:v>12.074109425561577</c:v>
                </c:pt>
                <c:pt idx="18">
                  <c:v>12.075595826705401</c:v>
                </c:pt>
                <c:pt idx="19">
                  <c:v>12.077760413696447</c:v>
                </c:pt>
                <c:pt idx="20" formatCode="0.000">
                  <c:v>12.080167497879049</c:v>
                </c:pt>
                <c:pt idx="21" formatCode="0.000">
                  <c:v>12.082772393392599</c:v>
                </c:pt>
                <c:pt idx="22" formatCode="0.000">
                  <c:v>12.085818148907226</c:v>
                </c:pt>
                <c:pt idx="23" formatCode="0.000">
                  <c:v>12.089028167241382</c:v>
                </c:pt>
                <c:pt idx="24" formatCode="0.000">
                  <c:v>12.092427067355944</c:v>
                </c:pt>
                <c:pt idx="25" formatCode="0.000">
                  <c:v>12.094916242355009</c:v>
                </c:pt>
                <c:pt idx="26" formatCode="0.000">
                  <c:v>12.097642194573186</c:v>
                </c:pt>
                <c:pt idx="27" formatCode="0.000">
                  <c:v>12.097864911698839</c:v>
                </c:pt>
                <c:pt idx="28" formatCode="0.000">
                  <c:v>12.098087628824493</c:v>
                </c:pt>
                <c:pt idx="29">
                  <c:v>12.098310345950145</c:v>
                </c:pt>
              </c:numCache>
            </c:numRef>
          </c:yVal>
          <c:smooth val="0"/>
          <c:extLst>
            <c:ext xmlns:c16="http://schemas.microsoft.com/office/drawing/2014/chart" uri="{C3380CC4-5D6E-409C-BE32-E72D297353CC}">
              <c16:uniqueId val="{00000003-5B1B-4415-B94E-B717A407CAEA}"/>
            </c:ext>
          </c:extLst>
        </c:ser>
        <c:ser>
          <c:idx val="4"/>
          <c:order val="4"/>
          <c:tx>
            <c:strRef>
              <c:f>'Inputs 7&amp;8 SU'!$R$21</c:f>
              <c:strCache>
                <c:ptCount val="1"/>
                <c:pt idx="0">
                  <c:v>PHEV</c:v>
                </c:pt>
              </c:strCache>
            </c:strRef>
          </c:tx>
          <c:spPr>
            <a:ln w="19050" cap="rnd">
              <a:solidFill>
                <a:schemeClr val="accent5"/>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SU'!$R$36:$R$65</c:f>
              <c:numCache>
                <c:formatCode>#,##0.000</c:formatCode>
                <c:ptCount val="30"/>
                <c:pt idx="0">
                  <c:v>7.3375200040858592</c:v>
                </c:pt>
                <c:pt idx="1">
                  <c:v>7.7492075439830908</c:v>
                </c:pt>
                <c:pt idx="2">
                  <c:v>8.1565012303305213</c:v>
                </c:pt>
                <c:pt idx="3">
                  <c:v>8.577655530394896</c:v>
                </c:pt>
                <c:pt idx="4">
                  <c:v>8.9993014444510671</c:v>
                </c:pt>
                <c:pt idx="5">
                  <c:v>9.4765614577954143</c:v>
                </c:pt>
                <c:pt idx="6">
                  <c:v>9.9789475009735593</c:v>
                </c:pt>
                <c:pt idx="7">
                  <c:v>10.3237961938114</c:v>
                </c:pt>
                <c:pt idx="8">
                  <c:v>10.782071844137519</c:v>
                </c:pt>
                <c:pt idx="9">
                  <c:v>11.213954622667076</c:v>
                </c:pt>
                <c:pt idx="10">
                  <c:v>11.42376443404703</c:v>
                </c:pt>
                <c:pt idx="11">
                  <c:v>11.634322856868829</c:v>
                </c:pt>
                <c:pt idx="12">
                  <c:v>11.845629891132475</c:v>
                </c:pt>
                <c:pt idx="13">
                  <c:v>12.057685536837971</c:v>
                </c:pt>
                <c:pt idx="14">
                  <c:v>12.270489793985307</c:v>
                </c:pt>
                <c:pt idx="15">
                  <c:v>12.341382408440833</c:v>
                </c:pt>
                <c:pt idx="16">
                  <c:v>12.412886878652932</c:v>
                </c:pt>
                <c:pt idx="17">
                  <c:v>12.484690681998952</c:v>
                </c:pt>
                <c:pt idx="18">
                  <c:v>12.556893334797435</c:v>
                </c:pt>
                <c:pt idx="19">
                  <c:v>12.629822569300575</c:v>
                </c:pt>
                <c:pt idx="20" formatCode="0.000">
                  <c:v>12.703032138457624</c:v>
                </c:pt>
                <c:pt idx="21" formatCode="0.000">
                  <c:v>12.77647904810412</c:v>
                </c:pt>
                <c:pt idx="22" formatCode="0.000">
                  <c:v>12.850425196081595</c:v>
                </c:pt>
                <c:pt idx="23" formatCode="0.000">
                  <c:v>12.924582607371574</c:v>
                </c:pt>
                <c:pt idx="24" formatCode="0.000">
                  <c:v>12.998980630356771</c:v>
                </c:pt>
                <c:pt idx="25" formatCode="0.000">
                  <c:v>13.072435183999087</c:v>
                </c:pt>
                <c:pt idx="26" formatCode="0.000">
                  <c:v>13.146176169978935</c:v>
                </c:pt>
                <c:pt idx="27" formatCode="0.000">
                  <c:v>13.217214214445622</c:v>
                </c:pt>
                <c:pt idx="28" formatCode="0.000">
                  <c:v>13.288254865568454</c:v>
                </c:pt>
                <c:pt idx="29">
                  <c:v>13.359298123347438</c:v>
                </c:pt>
              </c:numCache>
            </c:numRef>
          </c:yVal>
          <c:smooth val="0"/>
          <c:extLst>
            <c:ext xmlns:c16="http://schemas.microsoft.com/office/drawing/2014/chart" uri="{C3380CC4-5D6E-409C-BE32-E72D297353CC}">
              <c16:uniqueId val="{00000004-5B1B-4415-B94E-B717A407CAEA}"/>
            </c:ext>
          </c:extLst>
        </c:ser>
        <c:ser>
          <c:idx val="5"/>
          <c:order val="5"/>
          <c:tx>
            <c:strRef>
              <c:f>'Inputs 7&amp;8 SU'!$S$21</c:f>
              <c:strCache>
                <c:ptCount val="1"/>
                <c:pt idx="0">
                  <c:v>BEV</c:v>
                </c:pt>
              </c:strCache>
            </c:strRef>
          </c:tx>
          <c:spPr>
            <a:ln w="19050" cap="rnd">
              <a:solidFill>
                <a:schemeClr val="accent6"/>
              </a:solidFill>
              <a:round/>
            </a:ln>
            <a:effectLst/>
          </c:spPr>
          <c:marker>
            <c:symbol val="none"/>
          </c:marker>
          <c:xVal>
            <c:numRef>
              <c:f>'Inputs 7&amp;8 SU'!$B$36:$B$65</c:f>
              <c:numCache>
                <c:formatCode>General</c:formatCode>
                <c:ptCount val="30"/>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pt idx="15">
                  <c:v>2036</c:v>
                </c:pt>
                <c:pt idx="16">
                  <c:v>2037</c:v>
                </c:pt>
                <c:pt idx="17">
                  <c:v>2038</c:v>
                </c:pt>
                <c:pt idx="18">
                  <c:v>2039</c:v>
                </c:pt>
                <c:pt idx="19">
                  <c:v>2040</c:v>
                </c:pt>
                <c:pt idx="20">
                  <c:v>2041</c:v>
                </c:pt>
                <c:pt idx="21">
                  <c:v>2042</c:v>
                </c:pt>
                <c:pt idx="22">
                  <c:v>2043</c:v>
                </c:pt>
                <c:pt idx="23">
                  <c:v>2044</c:v>
                </c:pt>
                <c:pt idx="24">
                  <c:v>2045</c:v>
                </c:pt>
                <c:pt idx="25">
                  <c:v>2046</c:v>
                </c:pt>
                <c:pt idx="26">
                  <c:v>2047</c:v>
                </c:pt>
                <c:pt idx="27">
                  <c:v>2048</c:v>
                </c:pt>
                <c:pt idx="28">
                  <c:v>2049</c:v>
                </c:pt>
                <c:pt idx="29">
                  <c:v>2050</c:v>
                </c:pt>
              </c:numCache>
            </c:numRef>
          </c:xVal>
          <c:yVal>
            <c:numRef>
              <c:f>'Inputs 7&amp;8 SU'!$S$36:$S$65</c:f>
              <c:numCache>
                <c:formatCode>#,##0.000</c:formatCode>
                <c:ptCount val="30"/>
                <c:pt idx="0">
                  <c:v>19.338612344170912</c:v>
                </c:pt>
                <c:pt idx="1">
                  <c:v>20.10703473654937</c:v>
                </c:pt>
                <c:pt idx="2">
                  <c:v>20.85917604808748</c:v>
                </c:pt>
                <c:pt idx="3">
                  <c:v>21.642168020992671</c:v>
                </c:pt>
                <c:pt idx="4">
                  <c:v>22.421876989082108</c:v>
                </c:pt>
                <c:pt idx="5">
                  <c:v>23.334503972412637</c:v>
                </c:pt>
                <c:pt idx="6">
                  <c:v>24.301731930902008</c:v>
                </c:pt>
                <c:pt idx="7">
                  <c:v>24.882114628625285</c:v>
                </c:pt>
                <c:pt idx="8">
                  <c:v>25.734175887171379</c:v>
                </c:pt>
                <c:pt idx="9">
                  <c:v>26.51972111238014</c:v>
                </c:pt>
                <c:pt idx="10">
                  <c:v>26.785155926023332</c:v>
                </c:pt>
                <c:pt idx="11">
                  <c:v>27.051439185278891</c:v>
                </c:pt>
                <c:pt idx="12">
                  <c:v>27.318570890146823</c:v>
                </c:pt>
                <c:pt idx="13">
                  <c:v>27.586551040627128</c:v>
                </c:pt>
                <c:pt idx="14">
                  <c:v>27.855379636719789</c:v>
                </c:pt>
                <c:pt idx="15">
                  <c:v>27.952689269003422</c:v>
                </c:pt>
                <c:pt idx="16">
                  <c:v>28.05137907678122</c:v>
                </c:pt>
                <c:pt idx="17">
                  <c:v>28.150735171236917</c:v>
                </c:pt>
                <c:pt idx="18">
                  <c:v>28.250977120018931</c:v>
                </c:pt>
                <c:pt idx="19">
                  <c:v>28.352834951169029</c:v>
                </c:pt>
                <c:pt idx="20" formatCode="0.000">
                  <c:v>28.455298688698463</c:v>
                </c:pt>
                <c:pt idx="21" formatCode="0.000">
                  <c:v>28.558268545496833</c:v>
                </c:pt>
                <c:pt idx="22" formatCode="0.000">
                  <c:v>28.662325683640393</c:v>
                </c:pt>
                <c:pt idx="23" formatCode="0.000">
                  <c:v>28.766822517152743</c:v>
                </c:pt>
                <c:pt idx="24" formatCode="0.000">
                  <c:v>28.871821775460866</c:v>
                </c:pt>
                <c:pt idx="25" formatCode="0.000">
                  <c:v>28.974696166673027</c:v>
                </c:pt>
                <c:pt idx="26" formatCode="0.000">
                  <c:v>29.078179578785281</c:v>
                </c:pt>
                <c:pt idx="27" formatCode="0.000">
                  <c:v>29.175669786952263</c:v>
                </c:pt>
                <c:pt idx="28" formatCode="0.000">
                  <c:v>29.273163564924715</c:v>
                </c:pt>
                <c:pt idx="29">
                  <c:v>29.37066091270264</c:v>
                </c:pt>
              </c:numCache>
            </c:numRef>
          </c:yVal>
          <c:smooth val="0"/>
          <c:extLst>
            <c:ext xmlns:c16="http://schemas.microsoft.com/office/drawing/2014/chart" uri="{C3380CC4-5D6E-409C-BE32-E72D297353CC}">
              <c16:uniqueId val="{00000005-5B1B-4415-B94E-B717A407CAEA}"/>
            </c:ext>
          </c:extLst>
        </c:ser>
        <c:dLbls>
          <c:showLegendKey val="0"/>
          <c:showVal val="0"/>
          <c:showCatName val="0"/>
          <c:showSerName val="0"/>
          <c:showPercent val="0"/>
          <c:showBubbleSize val="0"/>
        </c:dLbls>
        <c:axId val="1240216248"/>
        <c:axId val="1240213624"/>
      </c:scatterChart>
      <c:valAx>
        <c:axId val="12402162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3624"/>
        <c:crosses val="autoZero"/>
        <c:crossBetween val="midCat"/>
      </c:valAx>
      <c:valAx>
        <c:axId val="1240213624"/>
        <c:scaling>
          <c:orientation val="minMax"/>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240216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Public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Prices'!$L$10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Prices'!$L$20:$L$54</c:f>
              <c:numCache>
                <c:formatCode>0.00</c:formatCode>
                <c:ptCount val="35"/>
                <c:pt idx="0">
                  <c:v>2.4607750383</c:v>
                </c:pt>
                <c:pt idx="1">
                  <c:v>2.6483203237999997</c:v>
                </c:pt>
                <c:pt idx="2">
                  <c:v>2.4982517782999998</c:v>
                </c:pt>
                <c:pt idx="3">
                  <c:v>2.3072631266000001</c:v>
                </c:pt>
                <c:pt idx="4">
                  <c:v>2.1581926662999997</c:v>
                </c:pt>
                <c:pt idx="5">
                  <c:v>2.2220753897000001</c:v>
                </c:pt>
                <c:pt idx="6">
                  <c:v>2.3180440002</c:v>
                </c:pt>
                <c:pt idx="7">
                  <c:v>2.3789120790999996</c:v>
                </c:pt>
                <c:pt idx="8">
                  <c:v>2.4462025227999997</c:v>
                </c:pt>
                <c:pt idx="9">
                  <c:v>2.5423436760999998</c:v>
                </c:pt>
                <c:pt idx="10">
                  <c:v>2.6351098423000003</c:v>
                </c:pt>
                <c:pt idx="11">
                  <c:v>2.6814202466000001</c:v>
                </c:pt>
                <c:pt idx="12">
                  <c:v>2.7092284870000003</c:v>
                </c:pt>
                <c:pt idx="13">
                  <c:v>2.7218504644000001</c:v>
                </c:pt>
                <c:pt idx="14">
                  <c:v>2.7875235273999999</c:v>
                </c:pt>
                <c:pt idx="15">
                  <c:v>2.7886107967</c:v>
                </c:pt>
                <c:pt idx="16">
                  <c:v>2.7989653065000004</c:v>
                </c:pt>
                <c:pt idx="17">
                  <c:v>2.8426743922999997</c:v>
                </c:pt>
                <c:pt idx="18">
                  <c:v>2.8718464697999999</c:v>
                </c:pt>
                <c:pt idx="19">
                  <c:v>2.9020944431999998</c:v>
                </c:pt>
                <c:pt idx="20">
                  <c:v>2.9367464189999999</c:v>
                </c:pt>
                <c:pt idx="21">
                  <c:v>2.9738664226</c:v>
                </c:pt>
                <c:pt idx="22">
                  <c:v>3.0082705415</c:v>
                </c:pt>
                <c:pt idx="23">
                  <c:v>3.0392608373000001</c:v>
                </c:pt>
                <c:pt idx="24">
                  <c:v>3.0655303399</c:v>
                </c:pt>
                <c:pt idx="25">
                  <c:v>3.0901154696999997</c:v>
                </c:pt>
                <c:pt idx="26">
                  <c:v>3.1309375150000003</c:v>
                </c:pt>
                <c:pt idx="27">
                  <c:v>3.1604148712000004</c:v>
                </c:pt>
                <c:pt idx="28">
                  <c:v>3.1896047023</c:v>
                </c:pt>
                <c:pt idx="29">
                  <c:v>3.2189538996999998</c:v>
                </c:pt>
                <c:pt idx="30">
                  <c:v>3.2471061161000003</c:v>
                </c:pt>
                <c:pt idx="31">
                  <c:v>3.2848652493000001</c:v>
                </c:pt>
                <c:pt idx="32">
                  <c:v>3.3233626826</c:v>
                </c:pt>
                <c:pt idx="33">
                  <c:v>3.352030863</c:v>
                </c:pt>
                <c:pt idx="34">
                  <c:v>3.3791730659999999</c:v>
                </c:pt>
              </c:numCache>
            </c:numRef>
          </c:yVal>
          <c:smooth val="0"/>
          <c:extLst>
            <c:ext xmlns:c16="http://schemas.microsoft.com/office/drawing/2014/chart" uri="{C3380CC4-5D6E-409C-BE32-E72D297353CC}">
              <c16:uniqueId val="{00000000-4541-4D22-B6C9-430A005C3FBE}"/>
            </c:ext>
          </c:extLst>
        </c:ser>
        <c:ser>
          <c:idx val="1"/>
          <c:order val="1"/>
          <c:tx>
            <c:strRef>
              <c:f>'Fuel Prices'!$M$10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Prices'!$M$20:$M$54</c:f>
              <c:numCache>
                <c:formatCode>0.00</c:formatCode>
                <c:ptCount val="35"/>
                <c:pt idx="0">
                  <c:v>2.8866715579999997</c:v>
                </c:pt>
                <c:pt idx="1">
                  <c:v>3.0717348069999999</c:v>
                </c:pt>
                <c:pt idx="2">
                  <c:v>4.0546080845000008</c:v>
                </c:pt>
                <c:pt idx="3">
                  <c:v>3.4034132489000002</c:v>
                </c:pt>
                <c:pt idx="4">
                  <c:v>3.3626239367999999</c:v>
                </c:pt>
                <c:pt idx="5">
                  <c:v>4.1484497305000003</c:v>
                </c:pt>
                <c:pt idx="6">
                  <c:v>3.9427928603</c:v>
                </c:pt>
                <c:pt idx="7">
                  <c:v>3.9693303313000001</c:v>
                </c:pt>
                <c:pt idx="8">
                  <c:v>3.9557344024999996</c:v>
                </c:pt>
                <c:pt idx="9">
                  <c:v>3.8645553803999997</c:v>
                </c:pt>
                <c:pt idx="10">
                  <c:v>3.8748079457000002</c:v>
                </c:pt>
                <c:pt idx="11">
                  <c:v>3.906070787</c:v>
                </c:pt>
                <c:pt idx="12">
                  <c:v>3.9425590120999998</c:v>
                </c:pt>
                <c:pt idx="13">
                  <c:v>3.9825774296000001</c:v>
                </c:pt>
                <c:pt idx="14">
                  <c:v>4.1690301751999996</c:v>
                </c:pt>
                <c:pt idx="15">
                  <c:v>4.2148440334999995</c:v>
                </c:pt>
                <c:pt idx="16">
                  <c:v>4.2371157860000004</c:v>
                </c:pt>
                <c:pt idx="17">
                  <c:v>4.3286236657999995</c:v>
                </c:pt>
                <c:pt idx="18">
                  <c:v>4.3961668208999995</c:v>
                </c:pt>
                <c:pt idx="19">
                  <c:v>4.5460403541999996</c:v>
                </c:pt>
                <c:pt idx="20">
                  <c:v>4.5301583720000007</c:v>
                </c:pt>
                <c:pt idx="21">
                  <c:v>4.5541910596999999</c:v>
                </c:pt>
                <c:pt idx="22">
                  <c:v>4.6833720787000006</c:v>
                </c:pt>
                <c:pt idx="23">
                  <c:v>4.8228482439000002</c:v>
                </c:pt>
                <c:pt idx="24">
                  <c:v>4.9389298800999999</c:v>
                </c:pt>
                <c:pt idx="25">
                  <c:v>4.9815619604000005</c:v>
                </c:pt>
                <c:pt idx="26">
                  <c:v>5.1984468730000009</c:v>
                </c:pt>
                <c:pt idx="27">
                  <c:v>5.2616254165000003</c:v>
                </c:pt>
                <c:pt idx="28">
                  <c:v>5.3186230719000003</c:v>
                </c:pt>
                <c:pt idx="29">
                  <c:v>5.3775811130999998</c:v>
                </c:pt>
                <c:pt idx="30">
                  <c:v>5.4459231802000003</c:v>
                </c:pt>
                <c:pt idx="31">
                  <c:v>5.8892092123999999</c:v>
                </c:pt>
                <c:pt idx="32">
                  <c:v>6.0396134119000005</c:v>
                </c:pt>
                <c:pt idx="33">
                  <c:v>6.0461980557000006</c:v>
                </c:pt>
                <c:pt idx="34">
                  <c:v>6.0878223418000008</c:v>
                </c:pt>
              </c:numCache>
            </c:numRef>
          </c:yVal>
          <c:smooth val="0"/>
          <c:extLst>
            <c:ext xmlns:c16="http://schemas.microsoft.com/office/drawing/2014/chart" uri="{C3380CC4-5D6E-409C-BE32-E72D297353CC}">
              <c16:uniqueId val="{00000001-4541-4D22-B6C9-430A005C3FBE}"/>
            </c:ext>
          </c:extLst>
        </c:ser>
        <c:ser>
          <c:idx val="2"/>
          <c:order val="2"/>
          <c:tx>
            <c:strRef>
              <c:f>'Fuel Prices'!$N$10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Prices'!$N$20:$N$54</c:f>
              <c:numCache>
                <c:formatCode>0.00</c:formatCode>
                <c:ptCount val="35"/>
                <c:pt idx="0">
                  <c:v>2.3764717027073621</c:v>
                </c:pt>
                <c:pt idx="1">
                  <c:v>2.7192177228680126</c:v>
                </c:pt>
                <c:pt idx="2">
                  <c:v>3.1539051953725492</c:v>
                </c:pt>
                <c:pt idx="3">
                  <c:v>3.0750999464</c:v>
                </c:pt>
                <c:pt idx="4">
                  <c:v>3.0450786087999999</c:v>
                </c:pt>
                <c:pt idx="5">
                  <c:v>3.0484153147000002</c:v>
                </c:pt>
                <c:pt idx="6">
                  <c:v>3.049122546</c:v>
                </c:pt>
                <c:pt idx="7">
                  <c:v>3.0368191624999996</c:v>
                </c:pt>
                <c:pt idx="8">
                  <c:v>2.9963287488999999</c:v>
                </c:pt>
                <c:pt idx="9">
                  <c:v>3.0301893025000002</c:v>
                </c:pt>
                <c:pt idx="10">
                  <c:v>3.0557904098000002</c:v>
                </c:pt>
                <c:pt idx="11">
                  <c:v>3.0930660348000001</c:v>
                </c:pt>
                <c:pt idx="12">
                  <c:v>3.1085611826999999</c:v>
                </c:pt>
                <c:pt idx="13">
                  <c:v>3.1495392654999996</c:v>
                </c:pt>
                <c:pt idx="14">
                  <c:v>3.2470346856000001</c:v>
                </c:pt>
                <c:pt idx="15">
                  <c:v>3.2696197614</c:v>
                </c:pt>
                <c:pt idx="16">
                  <c:v>3.2985170742000003</c:v>
                </c:pt>
                <c:pt idx="17">
                  <c:v>3.3571509735000005</c:v>
                </c:pt>
                <c:pt idx="18">
                  <c:v>3.4109461846000002</c:v>
                </c:pt>
                <c:pt idx="19">
                  <c:v>3.4464768249000004</c:v>
                </c:pt>
                <c:pt idx="20">
                  <c:v>3.4876880623999997</c:v>
                </c:pt>
                <c:pt idx="21">
                  <c:v>3.4984045792000003</c:v>
                </c:pt>
                <c:pt idx="22">
                  <c:v>3.5367266957000001</c:v>
                </c:pt>
                <c:pt idx="23">
                  <c:v>3.5841453130000001</c:v>
                </c:pt>
                <c:pt idx="24">
                  <c:v>3.5969122319000002</c:v>
                </c:pt>
                <c:pt idx="25">
                  <c:v>3.6225756155000002</c:v>
                </c:pt>
                <c:pt idx="26">
                  <c:v>3.6784767087000003</c:v>
                </c:pt>
                <c:pt idx="27">
                  <c:v>3.7083321611</c:v>
                </c:pt>
                <c:pt idx="28">
                  <c:v>3.7374068712000006</c:v>
                </c:pt>
                <c:pt idx="29">
                  <c:v>3.7855228720999996</c:v>
                </c:pt>
                <c:pt idx="30">
                  <c:v>3.7972923992999998</c:v>
                </c:pt>
                <c:pt idx="31">
                  <c:v>3.8634043091000003</c:v>
                </c:pt>
                <c:pt idx="32">
                  <c:v>3.9080202155000006</c:v>
                </c:pt>
                <c:pt idx="33">
                  <c:v>3.9420429093999996</c:v>
                </c:pt>
                <c:pt idx="34">
                  <c:v>3.9710414731999997</c:v>
                </c:pt>
              </c:numCache>
            </c:numRef>
          </c:yVal>
          <c:smooth val="0"/>
          <c:extLst>
            <c:ext xmlns:c16="http://schemas.microsoft.com/office/drawing/2014/chart" uri="{C3380CC4-5D6E-409C-BE32-E72D297353CC}">
              <c16:uniqueId val="{00000002-4541-4D22-B6C9-430A005C3FBE}"/>
            </c:ext>
          </c:extLst>
        </c:ser>
        <c:ser>
          <c:idx val="3"/>
          <c:order val="3"/>
          <c:tx>
            <c:strRef>
              <c:f>'Fuel Prices'!$O$10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Prices'!$O$20:$O$54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4541-4D22-B6C9-430A005C3FBE}"/>
            </c:ext>
          </c:extLst>
        </c:ser>
        <c:ser>
          <c:idx val="4"/>
          <c:order val="4"/>
          <c:tx>
            <c:strRef>
              <c:f>'Fuel Prices'!$P$10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Prices'!$P$20:$P$54</c:f>
              <c:numCache>
                <c:formatCode>0.00</c:formatCode>
                <c:ptCount val="35"/>
                <c:pt idx="0">
                  <c:v>2.1630814994688117</c:v>
                </c:pt>
                <c:pt idx="1">
                  <c:v>2.5410077401730158</c:v>
                </c:pt>
                <c:pt idx="2">
                  <c:v>3.1215686750645015</c:v>
                </c:pt>
                <c:pt idx="3">
                  <c:v>3.0667662955999999</c:v>
                </c:pt>
                <c:pt idx="4">
                  <c:v>2.9604023974999998</c:v>
                </c:pt>
                <c:pt idx="5">
                  <c:v>2.9759791010000001</c:v>
                </c:pt>
                <c:pt idx="6">
                  <c:v>3.0226090701000001</c:v>
                </c:pt>
                <c:pt idx="7">
                  <c:v>3.0399664042000003</c:v>
                </c:pt>
                <c:pt idx="8">
                  <c:v>3.0947866083000006</c:v>
                </c:pt>
                <c:pt idx="9">
                  <c:v>3.1132364822999996</c:v>
                </c:pt>
                <c:pt idx="10">
                  <c:v>3.1703064004000003</c:v>
                </c:pt>
                <c:pt idx="11">
                  <c:v>3.1782780441999998</c:v>
                </c:pt>
                <c:pt idx="12">
                  <c:v>3.2270252688000003</c:v>
                </c:pt>
                <c:pt idx="13">
                  <c:v>3.2571352357000003</c:v>
                </c:pt>
                <c:pt idx="14">
                  <c:v>3.3250624511</c:v>
                </c:pt>
                <c:pt idx="15">
                  <c:v>3.3623350247000001</c:v>
                </c:pt>
                <c:pt idx="16">
                  <c:v>3.3867238939999997</c:v>
                </c:pt>
                <c:pt idx="17">
                  <c:v>3.4412127438</c:v>
                </c:pt>
                <c:pt idx="18">
                  <c:v>3.4689811772999999</c:v>
                </c:pt>
                <c:pt idx="19">
                  <c:v>3.5000631538000002</c:v>
                </c:pt>
                <c:pt idx="20">
                  <c:v>3.5356003130000002</c:v>
                </c:pt>
                <c:pt idx="21">
                  <c:v>3.5596248174</c:v>
                </c:pt>
                <c:pt idx="22">
                  <c:v>3.5897074603999997</c:v>
                </c:pt>
                <c:pt idx="23">
                  <c:v>3.6205475440999995</c:v>
                </c:pt>
                <c:pt idx="24">
                  <c:v>3.6207084361000001</c:v>
                </c:pt>
                <c:pt idx="25">
                  <c:v>3.6438585756999999</c:v>
                </c:pt>
                <c:pt idx="26">
                  <c:v>3.6971650080000003</c:v>
                </c:pt>
                <c:pt idx="27">
                  <c:v>3.7195882209</c:v>
                </c:pt>
                <c:pt idx="28">
                  <c:v>3.7486809619999999</c:v>
                </c:pt>
                <c:pt idx="29">
                  <c:v>3.8001622410000002</c:v>
                </c:pt>
                <c:pt idx="30">
                  <c:v>3.8024309569000003</c:v>
                </c:pt>
                <c:pt idx="31">
                  <c:v>3.8379313605999998</c:v>
                </c:pt>
                <c:pt idx="32">
                  <c:v>3.8705042234000002</c:v>
                </c:pt>
                <c:pt idx="33">
                  <c:v>3.8942058342000001</c:v>
                </c:pt>
                <c:pt idx="34">
                  <c:v>3.9160477553999997</c:v>
                </c:pt>
              </c:numCache>
            </c:numRef>
          </c:yVal>
          <c:smooth val="0"/>
          <c:extLst>
            <c:ext xmlns:c16="http://schemas.microsoft.com/office/drawing/2014/chart" uri="{C3380CC4-5D6E-409C-BE32-E72D297353CC}">
              <c16:uniqueId val="{00000004-4541-4D22-B6C9-430A005C3FBE}"/>
            </c:ext>
          </c:extLst>
        </c:ser>
        <c:ser>
          <c:idx val="5"/>
          <c:order val="5"/>
          <c:tx>
            <c:strRef>
              <c:f>'Fuel Prices'!$Q$10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Prices'!$Q$20:$Q$54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4541-4D22-B6C9-430A005C3FBE}"/>
            </c:ext>
          </c:extLst>
        </c:ser>
        <c:ser>
          <c:idx val="6"/>
          <c:order val="6"/>
          <c:tx>
            <c:strRef>
              <c:f>'Fuel Prices'!$R$10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Prices'!$R$20:$R$54</c:f>
              <c:numCache>
                <c:formatCode>0.00</c:formatCode>
                <c:ptCount val="35"/>
                <c:pt idx="0">
                  <c:v>1.9804923068000002</c:v>
                </c:pt>
                <c:pt idx="1">
                  <c:v>2.0450301102999999</c:v>
                </c:pt>
                <c:pt idx="2">
                  <c:v>1.9962652707999997</c:v>
                </c:pt>
                <c:pt idx="3">
                  <c:v>1.8999955426000001</c:v>
                </c:pt>
                <c:pt idx="4">
                  <c:v>1.8427490594</c:v>
                </c:pt>
                <c:pt idx="5">
                  <c:v>1.7557410236999997</c:v>
                </c:pt>
                <c:pt idx="6">
                  <c:v>1.7220682699000001</c:v>
                </c:pt>
                <c:pt idx="7">
                  <c:v>1.7235798225000001</c:v>
                </c:pt>
                <c:pt idx="8">
                  <c:v>1.7061753304</c:v>
                </c:pt>
                <c:pt idx="9">
                  <c:v>1.7074268204999998</c:v>
                </c:pt>
                <c:pt idx="10">
                  <c:v>1.7011875397</c:v>
                </c:pt>
                <c:pt idx="11">
                  <c:v>1.6843683616</c:v>
                </c:pt>
                <c:pt idx="12">
                  <c:v>1.6564777334</c:v>
                </c:pt>
                <c:pt idx="13">
                  <c:v>1.6192083499000001</c:v>
                </c:pt>
                <c:pt idx="14">
                  <c:v>1.677856674</c:v>
                </c:pt>
                <c:pt idx="15">
                  <c:v>1.6401003148</c:v>
                </c:pt>
                <c:pt idx="16">
                  <c:v>1.6165575155</c:v>
                </c:pt>
                <c:pt idx="17">
                  <c:v>1.6161251876</c:v>
                </c:pt>
                <c:pt idx="18">
                  <c:v>1.6037445481999999</c:v>
                </c:pt>
                <c:pt idx="19">
                  <c:v>1.5888370722</c:v>
                </c:pt>
                <c:pt idx="20">
                  <c:v>1.5765260602</c:v>
                </c:pt>
                <c:pt idx="21">
                  <c:v>1.5735329142000001</c:v>
                </c:pt>
                <c:pt idx="22">
                  <c:v>1.5687870162999999</c:v>
                </c:pt>
                <c:pt idx="23">
                  <c:v>1.5631330495</c:v>
                </c:pt>
                <c:pt idx="24">
                  <c:v>1.5565119276000001</c:v>
                </c:pt>
                <c:pt idx="25">
                  <c:v>1.5498526632</c:v>
                </c:pt>
                <c:pt idx="26">
                  <c:v>1.5479304199000001</c:v>
                </c:pt>
                <c:pt idx="27">
                  <c:v>1.5455116305999999</c:v>
                </c:pt>
                <c:pt idx="28">
                  <c:v>1.5443081307000002</c:v>
                </c:pt>
                <c:pt idx="29">
                  <c:v>1.5433963169</c:v>
                </c:pt>
                <c:pt idx="30">
                  <c:v>1.5468521661000001</c:v>
                </c:pt>
                <c:pt idx="31">
                  <c:v>1.5521216565</c:v>
                </c:pt>
                <c:pt idx="32">
                  <c:v>1.5548082754999999</c:v>
                </c:pt>
                <c:pt idx="33">
                  <c:v>1.5578132109999998</c:v>
                </c:pt>
                <c:pt idx="34">
                  <c:v>1.5641831472000001</c:v>
                </c:pt>
              </c:numCache>
            </c:numRef>
          </c:yVal>
          <c:smooth val="0"/>
          <c:extLst>
            <c:ext xmlns:c16="http://schemas.microsoft.com/office/drawing/2014/chart" uri="{C3380CC4-5D6E-409C-BE32-E72D297353CC}">
              <c16:uniqueId val="{00000006-4541-4D22-B6C9-430A005C3FBE}"/>
            </c:ext>
          </c:extLst>
        </c:ser>
        <c:ser>
          <c:idx val="7"/>
          <c:order val="7"/>
          <c:tx>
            <c:strRef>
              <c:f>'Fuel Prices'!$S$10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Prices'!$S$20:$S$54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4541-4D22-B6C9-430A005C3FBE}"/>
            </c:ext>
          </c:extLst>
        </c:ser>
        <c:ser>
          <c:idx val="8"/>
          <c:order val="8"/>
          <c:tx>
            <c:strRef>
              <c:f>'Fuel Prices'!$T$10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Prices'!$T$20:$T$54</c:f>
              <c:numCache>
                <c:formatCode>0.00</c:formatCode>
                <c:ptCount val="35"/>
                <c:pt idx="0">
                  <c:v>1.0648565759602588</c:v>
                </c:pt>
                <c:pt idx="1">
                  <c:v>1.0648565759602588</c:v>
                </c:pt>
                <c:pt idx="2">
                  <c:v>1.0648565759602588</c:v>
                </c:pt>
                <c:pt idx="3">
                  <c:v>1.0648565759602588</c:v>
                </c:pt>
                <c:pt idx="4">
                  <c:v>1.0648565759602588</c:v>
                </c:pt>
                <c:pt idx="5">
                  <c:v>1.0648565759602588</c:v>
                </c:pt>
                <c:pt idx="6">
                  <c:v>1.0648565759602588</c:v>
                </c:pt>
                <c:pt idx="7">
                  <c:v>1.0648565759602588</c:v>
                </c:pt>
                <c:pt idx="8">
                  <c:v>1.0648565759602588</c:v>
                </c:pt>
                <c:pt idx="9">
                  <c:v>1.0648565759602588</c:v>
                </c:pt>
                <c:pt idx="10">
                  <c:v>1.0648565759602588</c:v>
                </c:pt>
                <c:pt idx="11">
                  <c:v>1.0648565759602588</c:v>
                </c:pt>
                <c:pt idx="12">
                  <c:v>1.0648565759602588</c:v>
                </c:pt>
                <c:pt idx="13">
                  <c:v>1.0648565759602588</c:v>
                </c:pt>
                <c:pt idx="14">
                  <c:v>1.0648565759602588</c:v>
                </c:pt>
                <c:pt idx="15">
                  <c:v>1.0648565759602588</c:v>
                </c:pt>
                <c:pt idx="16">
                  <c:v>1.0648565759602588</c:v>
                </c:pt>
                <c:pt idx="17">
                  <c:v>1.0648565759602588</c:v>
                </c:pt>
                <c:pt idx="18">
                  <c:v>1.0648565759602588</c:v>
                </c:pt>
                <c:pt idx="19">
                  <c:v>1.0648565759602588</c:v>
                </c:pt>
                <c:pt idx="20">
                  <c:v>1.0648565759602588</c:v>
                </c:pt>
                <c:pt idx="21">
                  <c:v>1.0648565759602588</c:v>
                </c:pt>
                <c:pt idx="22">
                  <c:v>1.0648565759602588</c:v>
                </c:pt>
                <c:pt idx="23">
                  <c:v>1.0648565759602588</c:v>
                </c:pt>
                <c:pt idx="24">
                  <c:v>1.0648565759602588</c:v>
                </c:pt>
                <c:pt idx="25">
                  <c:v>1.0648565759602588</c:v>
                </c:pt>
                <c:pt idx="26">
                  <c:v>1.0648565759602588</c:v>
                </c:pt>
                <c:pt idx="27">
                  <c:v>1.0648565759602588</c:v>
                </c:pt>
                <c:pt idx="28">
                  <c:v>1.0648565759602588</c:v>
                </c:pt>
                <c:pt idx="29">
                  <c:v>1.0648565759602588</c:v>
                </c:pt>
                <c:pt idx="30">
                  <c:v>1.0648565759602588</c:v>
                </c:pt>
                <c:pt idx="31">
                  <c:v>1.0648565759602588</c:v>
                </c:pt>
                <c:pt idx="32">
                  <c:v>1.0648565759602588</c:v>
                </c:pt>
                <c:pt idx="33">
                  <c:v>1.0648565759602588</c:v>
                </c:pt>
                <c:pt idx="34">
                  <c:v>1.0648565759602588</c:v>
                </c:pt>
              </c:numCache>
            </c:numRef>
          </c:yVal>
          <c:smooth val="0"/>
          <c:extLst>
            <c:ext xmlns:c16="http://schemas.microsoft.com/office/drawing/2014/chart" uri="{C3380CC4-5D6E-409C-BE32-E72D297353CC}">
              <c16:uniqueId val="{00000008-4541-4D22-B6C9-430A005C3FBE}"/>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Private Fuel Price, 2019$/dge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'Fuel Prices'!$AH$10</c:f>
              <c:strCache>
                <c:ptCount val="1"/>
                <c:pt idx="0">
                  <c:v>LPG</c:v>
                </c:pt>
              </c:strCache>
            </c:strRef>
          </c:tx>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Prices'!$AH$20:$AH$54</c:f>
              <c:numCache>
                <c:formatCode>0.00</c:formatCode>
                <c:ptCount val="35"/>
                <c:pt idx="0">
                  <c:v>1.9273203097174829</c:v>
                </c:pt>
                <c:pt idx="1">
                  <c:v>2.0742089249342661</c:v>
                </c:pt>
                <c:pt idx="2">
                  <c:v>1.9566727214657342</c:v>
                </c:pt>
                <c:pt idx="3">
                  <c:v>1.8070872040503498</c:v>
                </c:pt>
                <c:pt idx="4">
                  <c:v>1.6903327176615386</c:v>
                </c:pt>
                <c:pt idx="5">
                  <c:v>1.7403667387860142</c:v>
                </c:pt>
                <c:pt idx="6">
                  <c:v>1.8155309651916085</c:v>
                </c:pt>
                <c:pt idx="7">
                  <c:v>1.863203866148252</c:v>
                </c:pt>
                <c:pt idx="8">
                  <c:v>1.9159068710041964</c:v>
                </c:pt>
                <c:pt idx="9">
                  <c:v>1.9912062358265736</c:v>
                </c:pt>
                <c:pt idx="10">
                  <c:v>2.0638622541090914</c:v>
                </c:pt>
                <c:pt idx="11">
                  <c:v>2.100133339994406</c:v>
                </c:pt>
                <c:pt idx="12">
                  <c:v>2.1219132205874129</c:v>
                </c:pt>
                <c:pt idx="13">
                  <c:v>2.1317989651244758</c:v>
                </c:pt>
                <c:pt idx="14">
                  <c:v>2.1832352102713291</c:v>
                </c:pt>
                <c:pt idx="15">
                  <c:v>2.1840867778349655</c:v>
                </c:pt>
                <c:pt idx="16">
                  <c:v>2.1921966036923086</c:v>
                </c:pt>
                <c:pt idx="17">
                  <c:v>2.2264302932699302</c:v>
                </c:pt>
                <c:pt idx="18">
                  <c:v>2.2492783539692311</c:v>
                </c:pt>
                <c:pt idx="19">
                  <c:v>2.272969074394406</c:v>
                </c:pt>
                <c:pt idx="20">
                  <c:v>2.3001090834125875</c:v>
                </c:pt>
                <c:pt idx="21">
                  <c:v>2.329182093225175</c:v>
                </c:pt>
                <c:pt idx="22">
                  <c:v>2.3561279765594407</c:v>
                </c:pt>
                <c:pt idx="23">
                  <c:v>2.3804000963468539</c:v>
                </c:pt>
                <c:pt idx="24">
                  <c:v>2.400974811669931</c:v>
                </c:pt>
                <c:pt idx="25">
                  <c:v>2.4202302979468535</c:v>
                </c:pt>
                <c:pt idx="26">
                  <c:v>2.452202808951049</c:v>
                </c:pt>
                <c:pt idx="27">
                  <c:v>2.4752899690517487</c:v>
                </c:pt>
                <c:pt idx="28">
                  <c:v>2.4981519346685315</c:v>
                </c:pt>
                <c:pt idx="29">
                  <c:v>2.5211387186461538</c:v>
                </c:pt>
                <c:pt idx="30">
                  <c:v>2.5431880070153854</c:v>
                </c:pt>
                <c:pt idx="31">
                  <c:v>2.5727615938573427</c:v>
                </c:pt>
                <c:pt idx="32">
                  <c:v>2.6029134297286718</c:v>
                </c:pt>
                <c:pt idx="33">
                  <c:v>2.6253668297622381</c:v>
                </c:pt>
                <c:pt idx="34">
                  <c:v>2.6466250586853155</c:v>
                </c:pt>
              </c:numCache>
            </c:numRef>
          </c:yVal>
          <c:smooth val="0"/>
          <c:extLst>
            <c:ext xmlns:c16="http://schemas.microsoft.com/office/drawing/2014/chart" uri="{C3380CC4-5D6E-409C-BE32-E72D297353CC}">
              <c16:uniqueId val="{00000000-2885-41ED-88DC-8D510D19064A}"/>
            </c:ext>
          </c:extLst>
        </c:ser>
        <c:ser>
          <c:idx val="1"/>
          <c:order val="1"/>
          <c:tx>
            <c:strRef>
              <c:f>'Fuel Prices'!$AI$10</c:f>
              <c:strCache>
                <c:ptCount val="1"/>
                <c:pt idx="0">
                  <c:v>E85</c:v>
                </c:pt>
              </c:strCache>
            </c:strRef>
          </c:tx>
          <c:spPr>
            <a:ln w="19050" cap="rnd">
              <a:solidFill>
                <a:schemeClr val="accent2"/>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Prices'!$AI$20:$AI$54</c:f>
              <c:numCache>
                <c:formatCode>0.00</c:formatCode>
                <c:ptCount val="35"/>
                <c:pt idx="0">
                  <c:v>3.0703688389636361</c:v>
                </c:pt>
                <c:pt idx="1">
                  <c:v>3.2672088401727266</c:v>
                </c:pt>
                <c:pt idx="2">
                  <c:v>4.3126285989681818</c:v>
                </c:pt>
                <c:pt idx="3">
                  <c:v>3.6199940920118174</c:v>
                </c:pt>
                <c:pt idx="4">
                  <c:v>3.5766090964145447</c:v>
                </c:pt>
                <c:pt idx="5">
                  <c:v>4.4124419860772726</c:v>
                </c:pt>
                <c:pt idx="6">
                  <c:v>4.1936978605009081</c:v>
                </c:pt>
                <c:pt idx="7">
                  <c:v>4.2219240796554542</c:v>
                </c:pt>
                <c:pt idx="8">
                  <c:v>4.2074629553863634</c:v>
                </c:pt>
                <c:pt idx="9">
                  <c:v>4.110481631879999</c:v>
                </c:pt>
                <c:pt idx="10">
                  <c:v>4.1213866331536355</c:v>
                </c:pt>
                <c:pt idx="11">
                  <c:v>4.1546389279909084</c:v>
                </c:pt>
                <c:pt idx="12">
                  <c:v>4.1934491310518176</c:v>
                </c:pt>
                <c:pt idx="13">
                  <c:v>4.2360141751200002</c:v>
                </c:pt>
                <c:pt idx="14">
                  <c:v>4.4343320954399994</c:v>
                </c:pt>
                <c:pt idx="15">
                  <c:v>4.4830613810863627</c:v>
                </c:pt>
                <c:pt idx="16">
                  <c:v>4.5067504269272725</c:v>
                </c:pt>
                <c:pt idx="17">
                  <c:v>4.6040815354418179</c:v>
                </c:pt>
                <c:pt idx="18">
                  <c:v>4.6759228913209085</c:v>
                </c:pt>
                <c:pt idx="19">
                  <c:v>4.8353338312854541</c:v>
                </c:pt>
                <c:pt idx="20">
                  <c:v>4.8184411774909091</c:v>
                </c:pt>
                <c:pt idx="21">
                  <c:v>4.8440032180445458</c:v>
                </c:pt>
                <c:pt idx="22">
                  <c:v>4.9814048473445451</c:v>
                </c:pt>
                <c:pt idx="23">
                  <c:v>5.1297567685118182</c:v>
                </c:pt>
                <c:pt idx="24">
                  <c:v>5.2532254179245434</c:v>
                </c:pt>
                <c:pt idx="25">
                  <c:v>5.2985704487890901</c:v>
                </c:pt>
                <c:pt idx="26">
                  <c:v>5.5292571285545451</c:v>
                </c:pt>
                <c:pt idx="27">
                  <c:v>5.5964561248227271</c:v>
                </c:pt>
                <c:pt idx="28">
                  <c:v>5.6570809037481808</c:v>
                </c:pt>
                <c:pt idx="29">
                  <c:v>5.7197908202972716</c:v>
                </c:pt>
                <c:pt idx="30">
                  <c:v>5.7924819280309094</c:v>
                </c:pt>
                <c:pt idx="31">
                  <c:v>6.263977071370908</c:v>
                </c:pt>
                <c:pt idx="32">
                  <c:v>6.4239524472027263</c:v>
                </c:pt>
                <c:pt idx="33">
                  <c:v>6.4309561137899998</c:v>
                </c:pt>
                <c:pt idx="34">
                  <c:v>6.4752292180963638</c:v>
                </c:pt>
              </c:numCache>
            </c:numRef>
          </c:yVal>
          <c:smooth val="0"/>
          <c:extLst>
            <c:ext xmlns:c16="http://schemas.microsoft.com/office/drawing/2014/chart" uri="{C3380CC4-5D6E-409C-BE32-E72D297353CC}">
              <c16:uniqueId val="{00000001-2885-41ED-88DC-8D510D19064A}"/>
            </c:ext>
          </c:extLst>
        </c:ser>
        <c:ser>
          <c:idx val="2"/>
          <c:order val="2"/>
          <c:tx>
            <c:strRef>
              <c:f>'Fuel Prices'!$AJ$10</c:f>
              <c:strCache>
                <c:ptCount val="1"/>
                <c:pt idx="0">
                  <c:v>Gasoline</c:v>
                </c:pt>
              </c:strCache>
            </c:strRef>
          </c:tx>
          <c:spPr>
            <a:ln w="19050" cap="rnd">
              <a:solidFill>
                <a:schemeClr val="accent3"/>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Prices'!$AJ$20:$AJ$54</c:f>
              <c:numCache>
                <c:formatCode>0.00</c:formatCode>
                <c:ptCount val="35"/>
                <c:pt idx="0">
                  <c:v>2.2667390667777352</c:v>
                </c:pt>
                <c:pt idx="1">
                  <c:v>2.5936589257416123</c:v>
                </c:pt>
                <c:pt idx="2">
                  <c:v>3.0082748770455523</c:v>
                </c:pt>
                <c:pt idx="3">
                  <c:v>2.9331084291094283</c:v>
                </c:pt>
                <c:pt idx="4">
                  <c:v>2.9044733148358954</c:v>
                </c:pt>
                <c:pt idx="5">
                  <c:v>2.9076559496677179</c:v>
                </c:pt>
                <c:pt idx="6">
                  <c:v>2.9083305248436533</c:v>
                </c:pt>
                <c:pt idx="7">
                  <c:v>2.8965952451846415</c:v>
                </c:pt>
                <c:pt idx="8">
                  <c:v>2.8579744603326489</c:v>
                </c:pt>
                <c:pt idx="9">
                  <c:v>2.8902715163339479</c:v>
                </c:pt>
                <c:pt idx="10">
                  <c:v>2.9146905026839924</c:v>
                </c:pt>
                <c:pt idx="11">
                  <c:v>2.950244940521312</c:v>
                </c:pt>
                <c:pt idx="12">
                  <c:v>2.9650246061282761</c:v>
                </c:pt>
                <c:pt idx="13">
                  <c:v>3.0041105422488674</c:v>
                </c:pt>
                <c:pt idx="14">
                  <c:v>3.097104150092298</c:v>
                </c:pt>
                <c:pt idx="15">
                  <c:v>3.1186463689976081</c:v>
                </c:pt>
                <c:pt idx="16">
                  <c:v>3.1462093598693417</c:v>
                </c:pt>
                <c:pt idx="17">
                  <c:v>3.2021358621834271</c:v>
                </c:pt>
                <c:pt idx="18">
                  <c:v>3.2534471008011674</c:v>
                </c:pt>
                <c:pt idx="19">
                  <c:v>3.2873371279131609</c:v>
                </c:pt>
                <c:pt idx="20">
                  <c:v>3.3266454529081866</c:v>
                </c:pt>
                <c:pt idx="21">
                  <c:v>3.3368671388060949</c:v>
                </c:pt>
                <c:pt idx="22">
                  <c:v>3.3734197468145117</c:v>
                </c:pt>
                <c:pt idx="23">
                  <c:v>3.4186488283154786</c:v>
                </c:pt>
                <c:pt idx="24">
                  <c:v>3.4308262398117075</c:v>
                </c:pt>
                <c:pt idx="25">
                  <c:v>3.4553046268783629</c:v>
                </c:pt>
                <c:pt idx="26">
                  <c:v>3.5086245093274862</c:v>
                </c:pt>
                <c:pt idx="27">
                  <c:v>3.5371013980841686</c:v>
                </c:pt>
                <c:pt idx="28">
                  <c:v>3.5648335950061125</c:v>
                </c:pt>
                <c:pt idx="29">
                  <c:v>3.6107278586966456</c:v>
                </c:pt>
                <c:pt idx="30">
                  <c:v>3.6219539326580357</c:v>
                </c:pt>
                <c:pt idx="31">
                  <c:v>3.6850131513107223</c:v>
                </c:pt>
                <c:pt idx="32">
                  <c:v>3.7275689359730708</c:v>
                </c:pt>
                <c:pt idx="33">
                  <c:v>3.7600206455104876</c:v>
                </c:pt>
                <c:pt idx="34">
                  <c:v>3.7876802121575563</c:v>
                </c:pt>
              </c:numCache>
            </c:numRef>
          </c:yVal>
          <c:smooth val="0"/>
          <c:extLst>
            <c:ext xmlns:c16="http://schemas.microsoft.com/office/drawing/2014/chart" uri="{C3380CC4-5D6E-409C-BE32-E72D297353CC}">
              <c16:uniqueId val="{00000002-2885-41ED-88DC-8D510D19064A}"/>
            </c:ext>
          </c:extLst>
        </c:ser>
        <c:ser>
          <c:idx val="3"/>
          <c:order val="3"/>
          <c:tx>
            <c:strRef>
              <c:f>'Fuel Prices'!$AK$10</c:f>
              <c:strCache>
                <c:ptCount val="1"/>
                <c:pt idx="0">
                  <c:v>Jet Fuel</c:v>
                </c:pt>
              </c:strCache>
            </c:strRef>
          </c:tx>
          <c:spPr>
            <a:ln w="19050" cap="rnd">
              <a:solidFill>
                <a:schemeClr val="accent4"/>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Prices'!$AK$20:$AK$54</c:f>
              <c:numCache>
                <c:formatCode>0.00</c:formatCode>
                <c:ptCount val="35"/>
                <c:pt idx="0">
                  <c:v>1.3843602616000001</c:v>
                </c:pt>
                <c:pt idx="1">
                  <c:v>1.7146668217999999</c:v>
                </c:pt>
                <c:pt idx="2">
                  <c:v>2.2408887964000002</c:v>
                </c:pt>
                <c:pt idx="3">
                  <c:v>2.0307133575999998</c:v>
                </c:pt>
                <c:pt idx="4">
                  <c:v>2.0041387150000003</c:v>
                </c:pt>
                <c:pt idx="5">
                  <c:v>2.0069772105000001</c:v>
                </c:pt>
                <c:pt idx="6">
                  <c:v>2.0358268105000001</c:v>
                </c:pt>
                <c:pt idx="7">
                  <c:v>2.0505862935999999</c:v>
                </c:pt>
                <c:pt idx="8">
                  <c:v>2.1057403485999999</c:v>
                </c:pt>
                <c:pt idx="9">
                  <c:v>2.1157678037999998</c:v>
                </c:pt>
                <c:pt idx="10">
                  <c:v>2.1790435759999998</c:v>
                </c:pt>
                <c:pt idx="11">
                  <c:v>2.1830743366999998</c:v>
                </c:pt>
                <c:pt idx="12">
                  <c:v>2.2489723710999998</c:v>
                </c:pt>
                <c:pt idx="13">
                  <c:v>2.2781989576999995</c:v>
                </c:pt>
                <c:pt idx="14">
                  <c:v>2.3114105340000002</c:v>
                </c:pt>
                <c:pt idx="15">
                  <c:v>2.3596811853999999</c:v>
                </c:pt>
                <c:pt idx="16">
                  <c:v>2.3838951540000002</c:v>
                </c:pt>
                <c:pt idx="17">
                  <c:v>2.4388784693000001</c:v>
                </c:pt>
                <c:pt idx="18">
                  <c:v>2.4783321003999998</c:v>
                </c:pt>
                <c:pt idx="19">
                  <c:v>2.5157891449999998</c:v>
                </c:pt>
                <c:pt idx="20">
                  <c:v>2.5497344442999994</c:v>
                </c:pt>
                <c:pt idx="21">
                  <c:v>2.5831890229999996</c:v>
                </c:pt>
                <c:pt idx="22">
                  <c:v>2.6117279350000002</c:v>
                </c:pt>
                <c:pt idx="23">
                  <c:v>2.6501123278000001</c:v>
                </c:pt>
                <c:pt idx="24">
                  <c:v>2.6627546940999998</c:v>
                </c:pt>
                <c:pt idx="25">
                  <c:v>2.6977426013000003</c:v>
                </c:pt>
                <c:pt idx="26">
                  <c:v>2.7510554138000001</c:v>
                </c:pt>
                <c:pt idx="27">
                  <c:v>2.7796610404999997</c:v>
                </c:pt>
                <c:pt idx="28">
                  <c:v>2.8123207295000006</c:v>
                </c:pt>
                <c:pt idx="29">
                  <c:v>2.8711662850000002</c:v>
                </c:pt>
                <c:pt idx="30">
                  <c:v>2.8784363842</c:v>
                </c:pt>
                <c:pt idx="31">
                  <c:v>2.9370202127999998</c:v>
                </c:pt>
                <c:pt idx="32">
                  <c:v>2.9846296812999999</c:v>
                </c:pt>
                <c:pt idx="33">
                  <c:v>3.0190385160000002</c:v>
                </c:pt>
                <c:pt idx="34">
                  <c:v>3.0318090410999998</c:v>
                </c:pt>
              </c:numCache>
            </c:numRef>
          </c:yVal>
          <c:smooth val="0"/>
          <c:extLst>
            <c:ext xmlns:c16="http://schemas.microsoft.com/office/drawing/2014/chart" uri="{C3380CC4-5D6E-409C-BE32-E72D297353CC}">
              <c16:uniqueId val="{00000003-2885-41ED-88DC-8D510D19064A}"/>
            </c:ext>
          </c:extLst>
        </c:ser>
        <c:ser>
          <c:idx val="4"/>
          <c:order val="4"/>
          <c:tx>
            <c:strRef>
              <c:f>'Fuel Prices'!$AL$10</c:f>
              <c:strCache>
                <c:ptCount val="1"/>
                <c:pt idx="0">
                  <c:v>Diesel</c:v>
                </c:pt>
              </c:strCache>
            </c:strRef>
          </c:tx>
          <c:spPr>
            <a:ln w="19050" cap="rnd">
              <a:solidFill>
                <a:schemeClr val="accent5"/>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Prices'!$AL$20:$AL$54</c:f>
              <c:numCache>
                <c:formatCode>0.00</c:formatCode>
                <c:ptCount val="35"/>
                <c:pt idx="0">
                  <c:v>2.0651854990812004</c:v>
                </c:pt>
                <c:pt idx="1">
                  <c:v>2.4260076836434825</c:v>
                </c:pt>
                <c:pt idx="2">
                  <c:v>2.9802937909239304</c:v>
                </c:pt>
                <c:pt idx="3">
                  <c:v>2.9279716387474974</c:v>
                </c:pt>
                <c:pt idx="4">
                  <c:v>2.8264215214561177</c:v>
                </c:pt>
                <c:pt idx="5">
                  <c:v>2.841293259853209</c:v>
                </c:pt>
                <c:pt idx="6">
                  <c:v>2.8858128658096058</c:v>
                </c:pt>
                <c:pt idx="7">
                  <c:v>2.9023846476379052</c:v>
                </c:pt>
                <c:pt idx="8">
                  <c:v>2.9547238177485986</c:v>
                </c:pt>
                <c:pt idx="9">
                  <c:v>2.9723386936809351</c:v>
                </c:pt>
                <c:pt idx="10">
                  <c:v>3.0268257610072542</c:v>
                </c:pt>
                <c:pt idx="11">
                  <c:v>3.0344366268870848</c:v>
                </c:pt>
                <c:pt idx="12">
                  <c:v>3.080977666320456</c:v>
                </c:pt>
                <c:pt idx="13">
                  <c:v>3.1097249266686982</c:v>
                </c:pt>
                <c:pt idx="14">
                  <c:v>3.1745779154587619</c:v>
                </c:pt>
                <c:pt idx="15">
                  <c:v>3.2101636197103396</c:v>
                </c:pt>
                <c:pt idx="16">
                  <c:v>3.2334487059309533</c:v>
                </c:pt>
                <c:pt idx="17">
                  <c:v>3.2854715180608745</c:v>
                </c:pt>
                <c:pt idx="18">
                  <c:v>3.3119832173243942</c:v>
                </c:pt>
                <c:pt idx="19">
                  <c:v>3.3416584963956391</c:v>
                </c:pt>
                <c:pt idx="20">
                  <c:v>3.3755873270367416</c:v>
                </c:pt>
                <c:pt idx="21">
                  <c:v>3.3985245386589931</c:v>
                </c:pt>
                <c:pt idx="22">
                  <c:v>3.427245711722926</c:v>
                </c:pt>
                <c:pt idx="23">
                  <c:v>3.4566900454955234</c:v>
                </c:pt>
                <c:pt idx="24">
                  <c:v>3.4568436559005873</c:v>
                </c:pt>
                <c:pt idx="25">
                  <c:v>3.4789460744249774</c:v>
                </c:pt>
                <c:pt idx="26">
                  <c:v>3.5298399825004463</c:v>
                </c:pt>
                <c:pt idx="27">
                  <c:v>3.5512483733240297</c:v>
                </c:pt>
                <c:pt idx="28">
                  <c:v>3.5790244451285353</c:v>
                </c:pt>
                <c:pt idx="29">
                  <c:v>3.6281758020658783</c:v>
                </c:pt>
                <c:pt idx="30">
                  <c:v>3.6303418412000323</c:v>
                </c:pt>
                <c:pt idx="31">
                  <c:v>3.6642355798089441</c:v>
                </c:pt>
                <c:pt idx="32">
                  <c:v>3.6953342711595201</c:v>
                </c:pt>
                <c:pt idx="33">
                  <c:v>3.7179632025895408</c:v>
                </c:pt>
                <c:pt idx="34">
                  <c:v>3.7388166096134512</c:v>
                </c:pt>
              </c:numCache>
            </c:numRef>
          </c:yVal>
          <c:smooth val="0"/>
          <c:extLst>
            <c:ext xmlns:c16="http://schemas.microsoft.com/office/drawing/2014/chart" uri="{C3380CC4-5D6E-409C-BE32-E72D297353CC}">
              <c16:uniqueId val="{00000004-2885-41ED-88DC-8D510D19064A}"/>
            </c:ext>
          </c:extLst>
        </c:ser>
        <c:ser>
          <c:idx val="5"/>
          <c:order val="5"/>
          <c:tx>
            <c:strRef>
              <c:f>'Fuel Prices'!$AM$10</c:f>
              <c:strCache>
                <c:ptCount val="1"/>
                <c:pt idx="0">
                  <c:v>Residual Fuel Oil</c:v>
                </c:pt>
              </c:strCache>
            </c:strRef>
          </c:tx>
          <c:spPr>
            <a:ln w="19050" cap="rnd">
              <a:solidFill>
                <a:schemeClr val="accent6"/>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Prices'!$AM$20:$AM$54</c:f>
              <c:numCache>
                <c:formatCode>0.00</c:formatCode>
                <c:ptCount val="35"/>
                <c:pt idx="0">
                  <c:v>0.86787058859999988</c:v>
                </c:pt>
                <c:pt idx="1">
                  <c:v>1.1987634336999999</c:v>
                </c:pt>
                <c:pt idx="2">
                  <c:v>1.5171469257999999</c:v>
                </c:pt>
                <c:pt idx="3">
                  <c:v>1.3284583362</c:v>
                </c:pt>
                <c:pt idx="4">
                  <c:v>1.4659266802000002</c:v>
                </c:pt>
                <c:pt idx="5">
                  <c:v>1.4452153026999999</c:v>
                </c:pt>
                <c:pt idx="6">
                  <c:v>1.4131364893</c:v>
                </c:pt>
                <c:pt idx="7">
                  <c:v>1.2364117456000001</c:v>
                </c:pt>
                <c:pt idx="8">
                  <c:v>1.2773455831</c:v>
                </c:pt>
                <c:pt idx="9">
                  <c:v>1.3117164139999999</c:v>
                </c:pt>
                <c:pt idx="10">
                  <c:v>1.4015302120000002</c:v>
                </c:pt>
                <c:pt idx="11">
                  <c:v>1.5137547399</c:v>
                </c:pt>
                <c:pt idx="12">
                  <c:v>1.5659772316999998</c:v>
                </c:pt>
                <c:pt idx="13">
                  <c:v>1.6054505582</c:v>
                </c:pt>
                <c:pt idx="14">
                  <c:v>1.5279623356999998</c:v>
                </c:pt>
                <c:pt idx="15">
                  <c:v>1.5587246087</c:v>
                </c:pt>
                <c:pt idx="16">
                  <c:v>1.5678279058</c:v>
                </c:pt>
                <c:pt idx="17">
                  <c:v>1.6033360767</c:v>
                </c:pt>
                <c:pt idx="18">
                  <c:v>1.6218493366</c:v>
                </c:pt>
                <c:pt idx="19">
                  <c:v>1.7187727578999998</c:v>
                </c:pt>
                <c:pt idx="20">
                  <c:v>1.7791244567</c:v>
                </c:pt>
                <c:pt idx="21">
                  <c:v>1.7922282778999998</c:v>
                </c:pt>
                <c:pt idx="22">
                  <c:v>1.8712792332999999</c:v>
                </c:pt>
                <c:pt idx="23">
                  <c:v>1.8935344805000001</c:v>
                </c:pt>
                <c:pt idx="24">
                  <c:v>1.9181130914</c:v>
                </c:pt>
                <c:pt idx="25">
                  <c:v>1.9338201729000002</c:v>
                </c:pt>
                <c:pt idx="26">
                  <c:v>1.9373808793000002</c:v>
                </c:pt>
                <c:pt idx="27">
                  <c:v>2.0269128389</c:v>
                </c:pt>
                <c:pt idx="28">
                  <c:v>2.0623628945000001</c:v>
                </c:pt>
                <c:pt idx="29">
                  <c:v>2.0660392766999998</c:v>
                </c:pt>
                <c:pt idx="30">
                  <c:v>2.1535290174999999</c:v>
                </c:pt>
                <c:pt idx="31">
                  <c:v>2.1948888027</c:v>
                </c:pt>
                <c:pt idx="32">
                  <c:v>2.2234489358</c:v>
                </c:pt>
                <c:pt idx="33">
                  <c:v>2.2502266351999998</c:v>
                </c:pt>
                <c:pt idx="34">
                  <c:v>2.1721174528000002</c:v>
                </c:pt>
              </c:numCache>
            </c:numRef>
          </c:yVal>
          <c:smooth val="0"/>
          <c:extLst>
            <c:ext xmlns:c16="http://schemas.microsoft.com/office/drawing/2014/chart" uri="{C3380CC4-5D6E-409C-BE32-E72D297353CC}">
              <c16:uniqueId val="{00000005-2885-41ED-88DC-8D510D19064A}"/>
            </c:ext>
          </c:extLst>
        </c:ser>
        <c:ser>
          <c:idx val="6"/>
          <c:order val="6"/>
          <c:tx>
            <c:strRef>
              <c:f>'Fuel Prices'!$AN$10</c:f>
              <c:strCache>
                <c:ptCount val="1"/>
                <c:pt idx="0">
                  <c:v>CNG</c:v>
                </c:pt>
              </c:strCache>
            </c:strRef>
          </c:tx>
          <c:spPr>
            <a:ln w="19050" cap="rnd">
              <a:solidFill>
                <a:schemeClr val="accent1">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Prices'!$AN$20:$AN$54</c:f>
              <c:numCache>
                <c:formatCode>0.00</c:formatCode>
                <c:ptCount val="35"/>
                <c:pt idx="0">
                  <c:v>1.714058364181166</c:v>
                </c:pt>
                <c:pt idx="1">
                  <c:v>1.7699139519636768</c:v>
                </c:pt>
                <c:pt idx="2">
                  <c:v>1.7277094047730939</c:v>
                </c:pt>
                <c:pt idx="3">
                  <c:v>1.6443907610843049</c:v>
                </c:pt>
                <c:pt idx="4">
                  <c:v>1.5948455984941705</c:v>
                </c:pt>
                <c:pt idx="5">
                  <c:v>1.519542679704484</c:v>
                </c:pt>
                <c:pt idx="6">
                  <c:v>1.4903998927834079</c:v>
                </c:pt>
                <c:pt idx="7">
                  <c:v>1.4917080974999997</c:v>
                </c:pt>
                <c:pt idx="8">
                  <c:v>1.4766450168932734</c:v>
                </c:pt>
                <c:pt idx="9">
                  <c:v>1.4777281450964124</c:v>
                </c:pt>
                <c:pt idx="10">
                  <c:v>1.472328229426457</c:v>
                </c:pt>
                <c:pt idx="11">
                  <c:v>1.4577717210260088</c:v>
                </c:pt>
                <c:pt idx="12">
                  <c:v>1.4336331952744397</c:v>
                </c:pt>
                <c:pt idx="13">
                  <c:v>1.4013776301825112</c:v>
                </c:pt>
                <c:pt idx="14">
                  <c:v>1.4521360452107621</c:v>
                </c:pt>
                <c:pt idx="15">
                  <c:v>1.4194590168448429</c:v>
                </c:pt>
                <c:pt idx="16">
                  <c:v>1.3990834102757848</c:v>
                </c:pt>
                <c:pt idx="17">
                  <c:v>1.3987092430798207</c:v>
                </c:pt>
                <c:pt idx="18">
                  <c:v>1.3879941605497756</c:v>
                </c:pt>
                <c:pt idx="19">
                  <c:v>1.3750921745946187</c:v>
                </c:pt>
                <c:pt idx="20">
                  <c:v>1.3644373525497757</c:v>
                </c:pt>
                <c:pt idx="21">
                  <c:v>1.3618468719309416</c:v>
                </c:pt>
                <c:pt idx="22">
                  <c:v>1.3577394356318384</c:v>
                </c:pt>
                <c:pt idx="23">
                  <c:v>1.3528460921681613</c:v>
                </c:pt>
                <c:pt idx="24">
                  <c:v>1.347115704156054</c:v>
                </c:pt>
                <c:pt idx="25">
                  <c:v>1.3413523049219731</c:v>
                </c:pt>
                <c:pt idx="26">
                  <c:v>1.3396886593753363</c:v>
                </c:pt>
                <c:pt idx="27">
                  <c:v>1.3375952677390133</c:v>
                </c:pt>
                <c:pt idx="28">
                  <c:v>1.3365536736551569</c:v>
                </c:pt>
                <c:pt idx="29">
                  <c:v>1.3357645253887891</c:v>
                </c:pt>
                <c:pt idx="30">
                  <c:v>1.3387554621403586</c:v>
                </c:pt>
                <c:pt idx="31">
                  <c:v>1.3433160524865471</c:v>
                </c:pt>
                <c:pt idx="32">
                  <c:v>1.3456412429215248</c:v>
                </c:pt>
                <c:pt idx="33">
                  <c:v>1.3482419270089685</c:v>
                </c:pt>
                <c:pt idx="34">
                  <c:v>1.3537549211192825</c:v>
                </c:pt>
              </c:numCache>
            </c:numRef>
          </c:yVal>
          <c:smooth val="0"/>
          <c:extLst>
            <c:ext xmlns:c16="http://schemas.microsoft.com/office/drawing/2014/chart" uri="{C3380CC4-5D6E-409C-BE32-E72D297353CC}">
              <c16:uniqueId val="{00000006-2885-41ED-88DC-8D510D19064A}"/>
            </c:ext>
          </c:extLst>
        </c:ser>
        <c:ser>
          <c:idx val="7"/>
          <c:order val="7"/>
          <c:tx>
            <c:strRef>
              <c:f>'Fuel Prices'!$AO$10</c:f>
              <c:strCache>
                <c:ptCount val="1"/>
                <c:pt idx="0">
                  <c:v>Electricity</c:v>
                </c:pt>
              </c:strCache>
            </c:strRef>
          </c:tx>
          <c:spPr>
            <a:ln w="19050" cap="rnd">
              <a:solidFill>
                <a:schemeClr val="accent2">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Prices'!$AO$20:$AO$54</c:f>
              <c:numCache>
                <c:formatCode>0.00</c:formatCode>
                <c:ptCount val="35"/>
                <c:pt idx="0">
                  <c:v>8.0128132887999985</c:v>
                </c:pt>
                <c:pt idx="1">
                  <c:v>8.0727427847999991</c:v>
                </c:pt>
                <c:pt idx="2">
                  <c:v>9.2339447327999995</c:v>
                </c:pt>
                <c:pt idx="3">
                  <c:v>9.2242706852000005</c:v>
                </c:pt>
                <c:pt idx="4">
                  <c:v>9.407406559</c:v>
                </c:pt>
                <c:pt idx="5">
                  <c:v>9.4237110214000008</c:v>
                </c:pt>
                <c:pt idx="6">
                  <c:v>9.5316462517999998</c:v>
                </c:pt>
                <c:pt idx="7">
                  <c:v>9.6805970139999999</c:v>
                </c:pt>
                <c:pt idx="8">
                  <c:v>9.8160969276000003</c:v>
                </c:pt>
                <c:pt idx="9">
                  <c:v>10.024830441199999</c:v>
                </c:pt>
                <c:pt idx="10">
                  <c:v>10.196769618799999</c:v>
                </c:pt>
                <c:pt idx="11">
                  <c:v>10.2716506974</c:v>
                </c:pt>
                <c:pt idx="12">
                  <c:v>10.258342987199999</c:v>
                </c:pt>
                <c:pt idx="13">
                  <c:v>10.222717614800001</c:v>
                </c:pt>
                <c:pt idx="14">
                  <c:v>10.181428844000001</c:v>
                </c:pt>
                <c:pt idx="15">
                  <c:v>10.1662861328</c:v>
                </c:pt>
                <c:pt idx="16">
                  <c:v>10.1611156742</c:v>
                </c:pt>
                <c:pt idx="17">
                  <c:v>10.216654205600001</c:v>
                </c:pt>
                <c:pt idx="18">
                  <c:v>10.239288935999999</c:v>
                </c:pt>
                <c:pt idx="19">
                  <c:v>10.145019539199998</c:v>
                </c:pt>
                <c:pt idx="20">
                  <c:v>10.069103147044721</c:v>
                </c:pt>
                <c:pt idx="21">
                  <c:v>10.013076452965333</c:v>
                </c:pt>
                <c:pt idx="22">
                  <c:v>9.932570095649</c:v>
                </c:pt>
                <c:pt idx="23">
                  <c:v>9.7493645962684727</c:v>
                </c:pt>
                <c:pt idx="24">
                  <c:v>9.4302687920638633</c:v>
                </c:pt>
                <c:pt idx="25">
                  <c:v>8.9456616685473076</c:v>
                </c:pt>
                <c:pt idx="26">
                  <c:v>8.2809104833630194</c:v>
                </c:pt>
                <c:pt idx="27">
                  <c:v>7.4503429550494946</c:v>
                </c:pt>
                <c:pt idx="28">
                  <c:v>6.6041169790355356</c:v>
                </c:pt>
                <c:pt idx="29">
                  <c:v>5.8572057614843391</c:v>
                </c:pt>
                <c:pt idx="30">
                  <c:v>5.3061595847833702</c:v>
                </c:pt>
                <c:pt idx="31">
                  <c:v>4.9757761880547049</c:v>
                </c:pt>
                <c:pt idx="32">
                  <c:v>4.8126445337971857</c:v>
                </c:pt>
                <c:pt idx="33">
                  <c:v>4.7309044396005095</c:v>
                </c:pt>
                <c:pt idx="34">
                  <c:v>4.6872794878531119</c:v>
                </c:pt>
              </c:numCache>
            </c:numRef>
          </c:yVal>
          <c:smooth val="0"/>
          <c:extLst>
            <c:ext xmlns:c16="http://schemas.microsoft.com/office/drawing/2014/chart" uri="{C3380CC4-5D6E-409C-BE32-E72D297353CC}">
              <c16:uniqueId val="{00000007-2885-41ED-88DC-8D510D19064A}"/>
            </c:ext>
          </c:extLst>
        </c:ser>
        <c:ser>
          <c:idx val="8"/>
          <c:order val="8"/>
          <c:tx>
            <c:strRef>
              <c:f>'Fuel Prices'!$AP$10</c:f>
              <c:strCache>
                <c:ptCount val="1"/>
                <c:pt idx="0">
                  <c:v>Hydrogen</c:v>
                </c:pt>
              </c:strCache>
            </c:strRef>
          </c:tx>
          <c:spPr>
            <a:ln w="19050" cap="rnd">
              <a:solidFill>
                <a:schemeClr val="accent3">
                  <a:lumMod val="60000"/>
                </a:schemeClr>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Prices'!$AP$20:$AP$54</c:f>
              <c:numCache>
                <c:formatCode>0.00</c:formatCode>
                <c:ptCount val="35"/>
                <c:pt idx="0">
                  <c:v>1.0648565759602588</c:v>
                </c:pt>
                <c:pt idx="1">
                  <c:v>1.0648565759602588</c:v>
                </c:pt>
                <c:pt idx="2">
                  <c:v>1.0648565759602588</c:v>
                </c:pt>
                <c:pt idx="3">
                  <c:v>1.0648565759602588</c:v>
                </c:pt>
                <c:pt idx="4">
                  <c:v>1.0648565759602588</c:v>
                </c:pt>
                <c:pt idx="5">
                  <c:v>1.0648565759602588</c:v>
                </c:pt>
                <c:pt idx="6">
                  <c:v>1.0648565759602588</c:v>
                </c:pt>
                <c:pt idx="7">
                  <c:v>1.0648565759602588</c:v>
                </c:pt>
                <c:pt idx="8">
                  <c:v>1.0648565759602588</c:v>
                </c:pt>
                <c:pt idx="9">
                  <c:v>1.0648565759602588</c:v>
                </c:pt>
                <c:pt idx="10">
                  <c:v>1.0648565759602588</c:v>
                </c:pt>
                <c:pt idx="11">
                  <c:v>1.0648565759602588</c:v>
                </c:pt>
                <c:pt idx="12">
                  <c:v>1.0648565759602588</c:v>
                </c:pt>
                <c:pt idx="13">
                  <c:v>1.0648565759602588</c:v>
                </c:pt>
                <c:pt idx="14">
                  <c:v>1.0648565759602588</c:v>
                </c:pt>
                <c:pt idx="15">
                  <c:v>1.0648565759602588</c:v>
                </c:pt>
                <c:pt idx="16">
                  <c:v>1.0648565759602588</c:v>
                </c:pt>
                <c:pt idx="17">
                  <c:v>1.0648565759602588</c:v>
                </c:pt>
                <c:pt idx="18">
                  <c:v>1.0648565759602588</c:v>
                </c:pt>
                <c:pt idx="19">
                  <c:v>1.0648565759602588</c:v>
                </c:pt>
                <c:pt idx="20">
                  <c:v>1.0648565759602588</c:v>
                </c:pt>
                <c:pt idx="21">
                  <c:v>1.0648565759602588</c:v>
                </c:pt>
                <c:pt idx="22">
                  <c:v>1.0648565759602588</c:v>
                </c:pt>
                <c:pt idx="23">
                  <c:v>1.0648565759602588</c:v>
                </c:pt>
                <c:pt idx="24">
                  <c:v>1.0648565759602588</c:v>
                </c:pt>
                <c:pt idx="25">
                  <c:v>1.0648565759602588</c:v>
                </c:pt>
                <c:pt idx="26">
                  <c:v>1.0648565759602588</c:v>
                </c:pt>
                <c:pt idx="27">
                  <c:v>1.0648565759602588</c:v>
                </c:pt>
                <c:pt idx="28">
                  <c:v>1.0648565759602588</c:v>
                </c:pt>
                <c:pt idx="29">
                  <c:v>1.0648565759602588</c:v>
                </c:pt>
                <c:pt idx="30">
                  <c:v>1.0648565759602588</c:v>
                </c:pt>
                <c:pt idx="31">
                  <c:v>1.0648565759602588</c:v>
                </c:pt>
                <c:pt idx="32">
                  <c:v>1.0648565759602588</c:v>
                </c:pt>
                <c:pt idx="33">
                  <c:v>1.0648565759602588</c:v>
                </c:pt>
                <c:pt idx="34">
                  <c:v>1.0648565759602588</c:v>
                </c:pt>
              </c:numCache>
            </c:numRef>
          </c:yVal>
          <c:smooth val="0"/>
          <c:extLst>
            <c:ext xmlns:c16="http://schemas.microsoft.com/office/drawing/2014/chart" uri="{C3380CC4-5D6E-409C-BE32-E72D297353CC}">
              <c16:uniqueId val="{00000008-2885-41ED-88DC-8D510D19064A}"/>
            </c:ext>
          </c:extLst>
        </c:ser>
        <c:dLbls>
          <c:showLegendKey val="0"/>
          <c:showVal val="0"/>
          <c:showCatName val="0"/>
          <c:showSerName val="0"/>
          <c:showPercent val="0"/>
          <c:showBubbleSize val="0"/>
        </c:dLbls>
        <c:axId val="865729592"/>
        <c:axId val="865721720"/>
      </c:scatterChart>
      <c:valAx>
        <c:axId val="865729592"/>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1720"/>
        <c:crosses val="autoZero"/>
        <c:crossBetween val="midCat"/>
      </c:valAx>
      <c:valAx>
        <c:axId val="8657217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65729592"/>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Electricity Price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 Prices'!$K$20:$K$54</c:f>
              <c:numCache>
                <c:formatCode>0_)</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xVal>
          <c:yVal>
            <c:numRef>
              <c:f>'Fuel Prices'!$U$20:$U$54</c:f>
              <c:numCache>
                <c:formatCode>0.00</c:formatCode>
                <c:ptCount val="35"/>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2</c:v>
                </c:pt>
                <c:pt idx="17">
                  <c:v>2</c:v>
                </c:pt>
                <c:pt idx="18">
                  <c:v>2</c:v>
                </c:pt>
                <c:pt idx="19">
                  <c:v>2</c:v>
                </c:pt>
                <c:pt idx="20">
                  <c:v>1.9998475958244206</c:v>
                </c:pt>
                <c:pt idx="21">
                  <c:v>1.997564318453297</c:v>
                </c:pt>
                <c:pt idx="22">
                  <c:v>1.9877302162356105</c:v>
                </c:pt>
                <c:pt idx="23">
                  <c:v>1.9617329724046002</c:v>
                </c:pt>
                <c:pt idx="24">
                  <c:v>1.9091366474068348</c:v>
                </c:pt>
                <c:pt idx="25">
                  <c:v>1.8207548082982679</c:v>
                </c:pt>
                <c:pt idx="26">
                  <c:v>1.6935372605193146</c:v>
                </c:pt>
                <c:pt idx="27">
                  <c:v>1.5356388796484046</c:v>
                </c:pt>
                <c:pt idx="28">
                  <c:v>1.3678794411714423</c:v>
                </c:pt>
                <c:pt idx="29">
                  <c:v>1.2178043921390924</c:v>
                </c:pt>
                <c:pt idx="30">
                  <c:v>1.1073651555863839</c:v>
                </c:pt>
                <c:pt idx="31">
                  <c:v>1.0424047952694926</c:v>
                </c:pt>
                <c:pt idx="32">
                  <c:v>1.0128662537190456</c:v>
                </c:pt>
                <c:pt idx="33">
                  <c:v>1.0028649482287073</c:v>
                </c:pt>
                <c:pt idx="34">
                  <c:v>1.000445617595592</c:v>
                </c:pt>
              </c:numCache>
            </c:numRef>
          </c:yVal>
          <c:smooth val="0"/>
          <c:extLst>
            <c:ext xmlns:c16="http://schemas.microsoft.com/office/drawing/2014/chart" uri="{C3380CC4-5D6E-409C-BE32-E72D297353CC}">
              <c16:uniqueId val="{00000000-CB58-468D-A673-9176F6A4250D}"/>
            </c:ext>
          </c:extLst>
        </c:ser>
        <c:dLbls>
          <c:showLegendKey val="0"/>
          <c:showVal val="0"/>
          <c:showCatName val="0"/>
          <c:showSerName val="0"/>
          <c:showPercent val="0"/>
          <c:showBubbleSize val="0"/>
        </c:dLbls>
        <c:axId val="998521840"/>
        <c:axId val="998524136"/>
      </c:scatterChart>
      <c:valAx>
        <c:axId val="998521840"/>
        <c:scaling>
          <c:orientation val="minMax"/>
          <c:max val="2050"/>
          <c:min val="2015"/>
        </c:scaling>
        <c:delete val="0"/>
        <c:axPos val="b"/>
        <c:majorGridlines>
          <c:spPr>
            <a:ln w="9525" cap="flat" cmpd="sng" algn="ctr">
              <a:solidFill>
                <a:schemeClr val="tx1">
                  <a:lumMod val="15000"/>
                  <a:lumOff val="85000"/>
                </a:schemeClr>
              </a:solidFill>
              <a:round/>
            </a:ln>
            <a:effectLst/>
          </c:spPr>
        </c:majorGridlines>
        <c:numFmt formatCode="0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4136"/>
        <c:crosses val="autoZero"/>
        <c:crossBetween val="midCat"/>
      </c:valAx>
      <c:valAx>
        <c:axId val="998524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521840"/>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Veh-Mi'!$C$18:$C$52</c:f>
              <c:numCache>
                <c:formatCode>0.0%</c:formatCode>
                <c:ptCount val="35"/>
                <c:pt idx="0">
                  <c:v>0</c:v>
                </c:pt>
                <c:pt idx="1">
                  <c:v>0</c:v>
                </c:pt>
                <c:pt idx="2">
                  <c:v>0</c:v>
                </c:pt>
                <c:pt idx="3">
                  <c:v>0</c:v>
                </c:pt>
                <c:pt idx="4">
                  <c:v>0</c:v>
                </c:pt>
                <c:pt idx="5">
                  <c:v>0</c:v>
                </c:pt>
                <c:pt idx="6">
                  <c:v>1.5928931240959662E-2</c:v>
                </c:pt>
                <c:pt idx="7">
                  <c:v>3.8506518821436485E-2</c:v>
                </c:pt>
                <c:pt idx="8">
                  <c:v>9.1397921213851346E-2</c:v>
                </c:pt>
                <c:pt idx="9">
                  <c:v>0.18410656562789671</c:v>
                </c:pt>
                <c:pt idx="10">
                  <c:v>0.22489262946611011</c:v>
                </c:pt>
                <c:pt idx="11">
                  <c:v>0.28083845692270154</c:v>
                </c:pt>
                <c:pt idx="12">
                  <c:v>0.29276057644526754</c:v>
                </c:pt>
                <c:pt idx="13">
                  <c:v>0.30692085019144022</c:v>
                </c:pt>
                <c:pt idx="14">
                  <c:v>0.30018362719385988</c:v>
                </c:pt>
                <c:pt idx="15">
                  <c:v>0.29458940799379474</c:v>
                </c:pt>
                <c:pt idx="16">
                  <c:v>0.2889263980489466</c:v>
                </c:pt>
                <c:pt idx="17">
                  <c:v>0.2764426782503826</c:v>
                </c:pt>
                <c:pt idx="18">
                  <c:v>0.27582637756335704</c:v>
                </c:pt>
                <c:pt idx="19">
                  <c:v>0.27400486324740425</c:v>
                </c:pt>
                <c:pt idx="20">
                  <c:v>0.21913461720827299</c:v>
                </c:pt>
                <c:pt idx="21">
                  <c:v>0.20429912891693064</c:v>
                </c:pt>
                <c:pt idx="22">
                  <c:v>0.24182327651210453</c:v>
                </c:pt>
                <c:pt idx="23">
                  <c:v>0.29041562794972592</c:v>
                </c:pt>
                <c:pt idx="24">
                  <c:v>0.32718663432259237</c:v>
                </c:pt>
                <c:pt idx="25">
                  <c:v>0.3520341054494357</c:v>
                </c:pt>
                <c:pt idx="26">
                  <c:v>0.36683570749533823</c:v>
                </c:pt>
                <c:pt idx="27">
                  <c:v>0.370824673206192</c:v>
                </c:pt>
                <c:pt idx="28">
                  <c:v>0.36946290744104177</c:v>
                </c:pt>
                <c:pt idx="29">
                  <c:v>0.36802435587783366</c:v>
                </c:pt>
                <c:pt idx="30">
                  <c:v>0.36283695714761266</c:v>
                </c:pt>
                <c:pt idx="31">
                  <c:v>0.35691139316353138</c:v>
                </c:pt>
                <c:pt idx="32">
                  <c:v>0.34544354797661919</c:v>
                </c:pt>
                <c:pt idx="33">
                  <c:v>0.32692353791740225</c:v>
                </c:pt>
                <c:pt idx="34">
                  <c:v>0.3030986653860574</c:v>
                </c:pt>
              </c:numCache>
            </c:numRef>
          </c:val>
          <c:extLst>
            <c:ext xmlns:c16="http://schemas.microsoft.com/office/drawing/2014/chart" uri="{C3380CC4-5D6E-409C-BE32-E72D297353CC}">
              <c16:uniqueId val="{00000000-B798-447A-B702-D61116D89017}"/>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Veh-Mi'!$D$18:$D$52</c:f>
              <c:numCache>
                <c:formatCode>0.0%</c:formatCode>
                <c:ptCount val="35"/>
                <c:pt idx="0">
                  <c:v>0</c:v>
                </c:pt>
                <c:pt idx="1">
                  <c:v>0</c:v>
                </c:pt>
                <c:pt idx="2">
                  <c:v>0</c:v>
                </c:pt>
                <c:pt idx="3">
                  <c:v>0</c:v>
                </c:pt>
                <c:pt idx="4">
                  <c:v>0</c:v>
                </c:pt>
                <c:pt idx="5">
                  <c:v>0</c:v>
                </c:pt>
                <c:pt idx="6">
                  <c:v>9.0698052157983603E-3</c:v>
                </c:pt>
                <c:pt idx="7">
                  <c:v>2.5977112997027468E-2</c:v>
                </c:pt>
                <c:pt idx="8">
                  <c:v>6.6497648390141037E-2</c:v>
                </c:pt>
                <c:pt idx="9">
                  <c:v>0.13170010618167194</c:v>
                </c:pt>
                <c:pt idx="10">
                  <c:v>0.17632342403187831</c:v>
                </c:pt>
                <c:pt idx="11">
                  <c:v>0.1940036380727384</c:v>
                </c:pt>
                <c:pt idx="12">
                  <c:v>0.22778966034938467</c:v>
                </c:pt>
                <c:pt idx="13">
                  <c:v>0.21916314556472735</c:v>
                </c:pt>
                <c:pt idx="14">
                  <c:v>0.23406339364196085</c:v>
                </c:pt>
                <c:pt idx="15">
                  <c:v>0.23889857059920339</c:v>
                </c:pt>
                <c:pt idx="16">
                  <c:v>0.2407676987097872</c:v>
                </c:pt>
                <c:pt idx="17">
                  <c:v>0.26663982255385671</c:v>
                </c:pt>
                <c:pt idx="18">
                  <c:v>0.27223891368770353</c:v>
                </c:pt>
                <c:pt idx="19">
                  <c:v>0.2779682119826169</c:v>
                </c:pt>
                <c:pt idx="20">
                  <c:v>0.36146659305503592</c:v>
                </c:pt>
                <c:pt idx="21">
                  <c:v>0.39585178633147872</c:v>
                </c:pt>
                <c:pt idx="22">
                  <c:v>0.40335121162467524</c:v>
                </c:pt>
                <c:pt idx="23">
                  <c:v>0.40000200431898847</c:v>
                </c:pt>
                <c:pt idx="24">
                  <c:v>0.40716406323173315</c:v>
                </c:pt>
                <c:pt idx="25">
                  <c:v>0.41733055486797072</c:v>
                </c:pt>
                <c:pt idx="26">
                  <c:v>0.42158901861412856</c:v>
                </c:pt>
                <c:pt idx="27">
                  <c:v>0.4190871693093573</c:v>
                </c:pt>
                <c:pt idx="28">
                  <c:v>0.41757398007967084</c:v>
                </c:pt>
                <c:pt idx="29">
                  <c:v>0.41192975162800699</c:v>
                </c:pt>
                <c:pt idx="30">
                  <c:v>0.40734023449632961</c:v>
                </c:pt>
                <c:pt idx="31">
                  <c:v>0.40636024101261392</c:v>
                </c:pt>
                <c:pt idx="32">
                  <c:v>0.39199108422306833</c:v>
                </c:pt>
                <c:pt idx="33">
                  <c:v>0.37295341971484108</c:v>
                </c:pt>
                <c:pt idx="34">
                  <c:v>0.3445598742204905</c:v>
                </c:pt>
              </c:numCache>
            </c:numRef>
          </c:val>
          <c:extLst>
            <c:ext xmlns:c16="http://schemas.microsoft.com/office/drawing/2014/chart" uri="{C3380CC4-5D6E-409C-BE32-E72D297353CC}">
              <c16:uniqueId val="{00000001-B798-447A-B702-D61116D89017}"/>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Veh-Mi'!$E$18:$E$52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5.0713692537220211E-5</c:v>
                </c:pt>
                <c:pt idx="30">
                  <c:v>1.5211894680285001E-3</c:v>
                </c:pt>
                <c:pt idx="31">
                  <c:v>9.3260162876312794E-3</c:v>
                </c:pt>
                <c:pt idx="32">
                  <c:v>2.6929460502001738E-2</c:v>
                </c:pt>
                <c:pt idx="33">
                  <c:v>5.605362097632792E-2</c:v>
                </c:pt>
                <c:pt idx="34">
                  <c:v>9.726571981986061E-2</c:v>
                </c:pt>
              </c:numCache>
            </c:numRef>
          </c:val>
          <c:extLst>
            <c:ext xmlns:c16="http://schemas.microsoft.com/office/drawing/2014/chart" uri="{C3380CC4-5D6E-409C-BE32-E72D297353CC}">
              <c16:uniqueId val="{00000002-B798-447A-B702-D61116D89017}"/>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Veh-Mi'!$F$18:$F$52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8.5223333221384425E-6</c:v>
                </c:pt>
                <c:pt idx="26">
                  <c:v>5.8201448423591596E-4</c:v>
                </c:pt>
                <c:pt idx="27">
                  <c:v>2.2929846717783722E-3</c:v>
                </c:pt>
                <c:pt idx="28">
                  <c:v>6.1320633523198574E-3</c:v>
                </c:pt>
                <c:pt idx="29">
                  <c:v>1.2635393638117189E-2</c:v>
                </c:pt>
                <c:pt idx="30">
                  <c:v>1.8958411556802866E-2</c:v>
                </c:pt>
                <c:pt idx="31">
                  <c:v>2.7964681300668086E-2</c:v>
                </c:pt>
                <c:pt idx="32">
                  <c:v>3.7190705850946054E-2</c:v>
                </c:pt>
                <c:pt idx="33">
                  <c:v>4.8917968552699732E-2</c:v>
                </c:pt>
                <c:pt idx="34">
                  <c:v>5.8605965978718935E-2</c:v>
                </c:pt>
              </c:numCache>
            </c:numRef>
          </c:val>
          <c:extLst>
            <c:ext xmlns:c16="http://schemas.microsoft.com/office/drawing/2014/chart" uri="{C3380CC4-5D6E-409C-BE32-E72D297353CC}">
              <c16:uniqueId val="{00000000-6D5C-43BD-844E-D2BBE60F209F}"/>
            </c:ext>
          </c:extLst>
        </c:ser>
        <c:ser>
          <c:idx val="4"/>
          <c:order val="4"/>
          <c:tx>
            <c:strRef>
              <c:f>'Mkt Pen Veh-Mi'!$G$7</c:f>
              <c:strCache>
                <c:ptCount val="1"/>
                <c:pt idx="0">
                  <c:v>0</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Veh-Mi'!$G$18:$G$52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numCache>
            </c:numRef>
          </c:val>
          <c:extLst>
            <c:ext xmlns:c16="http://schemas.microsoft.com/office/drawing/2014/chart" uri="{C3380CC4-5D6E-409C-BE32-E72D297353CC}">
              <c16:uniqueId val="{00000001-6D5C-43BD-844E-D2BBE60F209F}"/>
            </c:ext>
          </c:extLst>
        </c:ser>
        <c:dLbls>
          <c:showLegendKey val="0"/>
          <c:showVal val="0"/>
          <c:showCatName val="0"/>
          <c:showSerName val="0"/>
          <c:showPercent val="0"/>
          <c:showBubbleSize val="0"/>
        </c:dLbls>
        <c:axId val="677974352"/>
        <c:axId val="677974912"/>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Veh-Mi'!$I$7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Veh-Mi'!$I$18:$I$52</c:f>
              <c:numCache>
                <c:formatCode>0.0%</c:formatCode>
                <c:ptCount val="35"/>
                <c:pt idx="0">
                  <c:v>0</c:v>
                </c:pt>
                <c:pt idx="1">
                  <c:v>0</c:v>
                </c:pt>
                <c:pt idx="2">
                  <c:v>0</c:v>
                </c:pt>
                <c:pt idx="3">
                  <c:v>0</c:v>
                </c:pt>
                <c:pt idx="4">
                  <c:v>0</c:v>
                </c:pt>
                <c:pt idx="5">
                  <c:v>2.1253673284782906E-2</c:v>
                </c:pt>
                <c:pt idx="6">
                  <c:v>5.1302847321071564E-2</c:v>
                </c:pt>
                <c:pt idx="7">
                  <c:v>0.10754991219209312</c:v>
                </c:pt>
                <c:pt idx="8">
                  <c:v>0.16814041051209749</c:v>
                </c:pt>
                <c:pt idx="9">
                  <c:v>0.22799318582076217</c:v>
                </c:pt>
                <c:pt idx="10">
                  <c:v>0.29398468256832411</c:v>
                </c:pt>
                <c:pt idx="11">
                  <c:v>0.33209024097497086</c:v>
                </c:pt>
                <c:pt idx="12">
                  <c:v>0.36028787583100375</c:v>
                </c:pt>
                <c:pt idx="13">
                  <c:v>0.37174623021347708</c:v>
                </c:pt>
                <c:pt idx="14">
                  <c:v>0.38412206433386065</c:v>
                </c:pt>
                <c:pt idx="15">
                  <c:v>0.38441479290923553</c:v>
                </c:pt>
                <c:pt idx="16">
                  <c:v>0.38808522253877215</c:v>
                </c:pt>
                <c:pt idx="17">
                  <c:v>0.3894695206156002</c:v>
                </c:pt>
                <c:pt idx="18">
                  <c:v>0.3854704485015768</c:v>
                </c:pt>
                <c:pt idx="19">
                  <c:v>0.37656611201148638</c:v>
                </c:pt>
                <c:pt idx="20">
                  <c:v>0.37563697002964219</c:v>
                </c:pt>
                <c:pt idx="21">
                  <c:v>0.37472721649029023</c:v>
                </c:pt>
                <c:pt idx="22">
                  <c:v>0.36890563545363453</c:v>
                </c:pt>
                <c:pt idx="23">
                  <c:v>0.36184714514013894</c:v>
                </c:pt>
                <c:pt idx="24">
                  <c:v>0.35202180175320597</c:v>
                </c:pt>
                <c:pt idx="25">
                  <c:v>0.32037522203688218</c:v>
                </c:pt>
                <c:pt idx="26">
                  <c:v>0.28495372356183474</c:v>
                </c:pt>
                <c:pt idx="27">
                  <c:v>0.26244768846477828</c:v>
                </c:pt>
                <c:pt idx="28">
                  <c:v>0.24703557983844121</c:v>
                </c:pt>
                <c:pt idx="29">
                  <c:v>0.24593830752129683</c:v>
                </c:pt>
                <c:pt idx="30">
                  <c:v>0.24431001026217458</c:v>
                </c:pt>
                <c:pt idx="31">
                  <c:v>0.2432661612581003</c:v>
                </c:pt>
                <c:pt idx="32">
                  <c:v>0.24248490494261427</c:v>
                </c:pt>
                <c:pt idx="33">
                  <c:v>0.24074882355859575</c:v>
                </c:pt>
                <c:pt idx="34">
                  <c:v>0.24006689652754987</c:v>
                </c:pt>
              </c:numCache>
            </c:numRef>
          </c:val>
          <c:extLst>
            <c:ext xmlns:c16="http://schemas.microsoft.com/office/drawing/2014/chart" uri="{C3380CC4-5D6E-409C-BE32-E72D297353CC}">
              <c16:uniqueId val="{00000000-656A-4BF3-BC0B-7CB6FDDA328D}"/>
            </c:ext>
          </c:extLst>
        </c:ser>
        <c:ser>
          <c:idx val="2"/>
          <c:order val="1"/>
          <c:tx>
            <c:strRef>
              <c:f>'Mkt Pen Veh-Mi'!$J$7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Veh-Mi'!$J$18:$J$52</c:f>
              <c:numCache>
                <c:formatCode>0.0%</c:formatCode>
                <c:ptCount val="35"/>
                <c:pt idx="0">
                  <c:v>0</c:v>
                </c:pt>
                <c:pt idx="1">
                  <c:v>0</c:v>
                </c:pt>
                <c:pt idx="2">
                  <c:v>0</c:v>
                </c:pt>
                <c:pt idx="3">
                  <c:v>0</c:v>
                </c:pt>
                <c:pt idx="4">
                  <c:v>0</c:v>
                </c:pt>
                <c:pt idx="5">
                  <c:v>1.4012167949683206E-2</c:v>
                </c:pt>
                <c:pt idx="6">
                  <c:v>3.5355212647844178E-2</c:v>
                </c:pt>
                <c:pt idx="7">
                  <c:v>7.7567347433873696E-2</c:v>
                </c:pt>
                <c:pt idx="8">
                  <c:v>0.14632673131174898</c:v>
                </c:pt>
                <c:pt idx="9">
                  <c:v>0.21271259430486777</c:v>
                </c:pt>
                <c:pt idx="10">
                  <c:v>0.28416341222209252</c:v>
                </c:pt>
                <c:pt idx="11">
                  <c:v>0.3244183802100436</c:v>
                </c:pt>
                <c:pt idx="12">
                  <c:v>0.35207390052799892</c:v>
                </c:pt>
                <c:pt idx="13">
                  <c:v>0.36701414234365431</c:v>
                </c:pt>
                <c:pt idx="14">
                  <c:v>0.38282237795053337</c:v>
                </c:pt>
                <c:pt idx="15">
                  <c:v>0.38424254263205371</c:v>
                </c:pt>
                <c:pt idx="16">
                  <c:v>0.38722647513996045</c:v>
                </c:pt>
                <c:pt idx="17">
                  <c:v>0.38929500539371648</c:v>
                </c:pt>
                <c:pt idx="18">
                  <c:v>0.38529772520157757</c:v>
                </c:pt>
                <c:pt idx="19">
                  <c:v>0.37639737860588462</c:v>
                </c:pt>
                <c:pt idx="20">
                  <c:v>0.37381270002192207</c:v>
                </c:pt>
                <c:pt idx="21">
                  <c:v>0.37296080186942399</c:v>
                </c:pt>
                <c:pt idx="22">
                  <c:v>0.36874033458818156</c:v>
                </c:pt>
                <c:pt idx="23">
                  <c:v>0.36150846182622443</c:v>
                </c:pt>
                <c:pt idx="24">
                  <c:v>0.3516875209883864</c:v>
                </c:pt>
                <c:pt idx="25">
                  <c:v>0.32022593919016951</c:v>
                </c:pt>
                <c:pt idx="26">
                  <c:v>0.28482604023961899</c:v>
                </c:pt>
                <c:pt idx="27">
                  <c:v>0.26211258749833394</c:v>
                </c:pt>
                <c:pt idx="28">
                  <c:v>0.24692488704543258</c:v>
                </c:pt>
                <c:pt idx="29">
                  <c:v>0.24566849084050421</c:v>
                </c:pt>
                <c:pt idx="30">
                  <c:v>0.24344804758733057</c:v>
                </c:pt>
                <c:pt idx="31">
                  <c:v>0.24295754760506205</c:v>
                </c:pt>
                <c:pt idx="32">
                  <c:v>0.24237625123609935</c:v>
                </c:pt>
                <c:pt idx="33">
                  <c:v>0.24044943882884146</c:v>
                </c:pt>
                <c:pt idx="34">
                  <c:v>0.23995932629291836</c:v>
                </c:pt>
              </c:numCache>
            </c:numRef>
          </c:val>
          <c:extLst>
            <c:ext xmlns:c16="http://schemas.microsoft.com/office/drawing/2014/chart" uri="{C3380CC4-5D6E-409C-BE32-E72D297353CC}">
              <c16:uniqueId val="{00000001-656A-4BF3-BC0B-7CB6FDDA328D}"/>
            </c:ext>
          </c:extLst>
        </c:ser>
        <c:ser>
          <c:idx val="3"/>
          <c:order val="2"/>
          <c:tx>
            <c:strRef>
              <c:f>'Mkt Pen Veh-Mi'!$K$7</c:f>
              <c:strCache>
                <c:ptCount val="1"/>
                <c:pt idx="0">
                  <c:v>PHEV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Veh-Mi'!$K$18:$K$52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2.7762572530622703E-6</c:v>
                </c:pt>
                <c:pt idx="16">
                  <c:v>4.4414981311981748E-4</c:v>
                </c:pt>
                <c:pt idx="17">
                  <c:v>3.9979813410772769E-3</c:v>
                </c:pt>
                <c:pt idx="18">
                  <c:v>1.2055394079924422E-2</c:v>
                </c:pt>
                <c:pt idx="19">
                  <c:v>3.0502136402315853E-2</c:v>
                </c:pt>
                <c:pt idx="20">
                  <c:v>3.9272301307646487E-2</c:v>
                </c:pt>
                <c:pt idx="21">
                  <c:v>4.7994282599605781E-2</c:v>
                </c:pt>
                <c:pt idx="22">
                  <c:v>5.8037467787977415E-2</c:v>
                </c:pt>
                <c:pt idx="23">
                  <c:v>7.2839789078543465E-2</c:v>
                </c:pt>
                <c:pt idx="24">
                  <c:v>8.5754354512781489E-2</c:v>
                </c:pt>
                <c:pt idx="25">
                  <c:v>0.10049618740630716</c:v>
                </c:pt>
                <c:pt idx="26">
                  <c:v>0.12649237341669672</c:v>
                </c:pt>
                <c:pt idx="27">
                  <c:v>0.15478480886735368</c:v>
                </c:pt>
                <c:pt idx="28">
                  <c:v>0.17749112635267283</c:v>
                </c:pt>
                <c:pt idx="29">
                  <c:v>0.20080466864404062</c:v>
                </c:pt>
                <c:pt idx="30">
                  <c:v>0.21228940890706474</c:v>
                </c:pt>
                <c:pt idx="31">
                  <c:v>0.22112298392657986</c:v>
                </c:pt>
                <c:pt idx="32">
                  <c:v>0.22777082699632467</c:v>
                </c:pt>
                <c:pt idx="33">
                  <c:v>0.23063919998279853</c:v>
                </c:pt>
                <c:pt idx="34">
                  <c:v>0.23271533144323414</c:v>
                </c:pt>
              </c:numCache>
            </c:numRef>
          </c:val>
          <c:extLst>
            <c:ext xmlns:c16="http://schemas.microsoft.com/office/drawing/2014/chart" uri="{C3380CC4-5D6E-409C-BE32-E72D297353CC}">
              <c16:uniqueId val="{00000002-656A-4BF3-BC0B-7CB6FDDA328D}"/>
            </c:ext>
          </c:extLst>
        </c:ser>
        <c:ser>
          <c:idx val="0"/>
          <c:order val="3"/>
          <c:tx>
            <c:strRef>
              <c:f>'Mkt Pen Veh-Mi'!$L$7</c:f>
              <c:strCache>
                <c:ptCount val="1"/>
                <c:pt idx="0">
                  <c:v>BEV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Veh-Mi'!$L$18:$L$52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3.6171884556503934E-4</c:v>
                </c:pt>
                <c:pt idx="28">
                  <c:v>3.4298100831146776E-3</c:v>
                </c:pt>
                <c:pt idx="29">
                  <c:v>9.3997072484169938E-3</c:v>
                </c:pt>
                <c:pt idx="30">
                  <c:v>1.3425936573507557E-2</c:v>
                </c:pt>
                <c:pt idx="31">
                  <c:v>1.7772253093433978E-2</c:v>
                </c:pt>
                <c:pt idx="32">
                  <c:v>2.0628586740624517E-2</c:v>
                </c:pt>
                <c:pt idx="33">
                  <c:v>2.2655336734479975E-2</c:v>
                </c:pt>
                <c:pt idx="34">
                  <c:v>2.4743967019402083E-2</c:v>
                </c:pt>
              </c:numCache>
            </c:numRef>
          </c:val>
          <c:extLst>
            <c:ext xmlns:c16="http://schemas.microsoft.com/office/drawing/2014/chart" uri="{C3380CC4-5D6E-409C-BE32-E72D297353CC}">
              <c16:uniqueId val="{00000000-FEF9-4B7C-BC30-9CD9CAE4605A}"/>
            </c:ext>
          </c:extLst>
        </c:ser>
        <c:ser>
          <c:idx val="4"/>
          <c:order val="4"/>
          <c:tx>
            <c:strRef>
              <c:f>'Mkt Pen Veh-Mi'!$M$7</c:f>
              <c:strCache>
                <c:ptCount val="1"/>
                <c:pt idx="0">
                  <c:v>FCHEV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Veh-Mi'!$M$18:$M$52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9.1534008299635896E-6</c:v>
                </c:pt>
                <c:pt idx="24">
                  <c:v>6.7410261511468735E-3</c:v>
                </c:pt>
                <c:pt idx="25">
                  <c:v>5.8671361686723177E-2</c:v>
                </c:pt>
                <c:pt idx="26">
                  <c:v>0.10817603739226674</c:v>
                </c:pt>
                <c:pt idx="27">
                  <c:v>0.12661028917716938</c:v>
                </c:pt>
                <c:pt idx="28">
                  <c:v>0.13729424979843377</c:v>
                </c:pt>
                <c:pt idx="29">
                  <c:v>0.15415541264475408</c:v>
                </c:pt>
                <c:pt idx="30">
                  <c:v>0.16076067000398528</c:v>
                </c:pt>
                <c:pt idx="31">
                  <c:v>0.16802064158686425</c:v>
                </c:pt>
                <c:pt idx="32">
                  <c:v>0.17374507496297723</c:v>
                </c:pt>
                <c:pt idx="33">
                  <c:v>0.18063802183960034</c:v>
                </c:pt>
                <c:pt idx="34">
                  <c:v>0.18645611703052906</c:v>
                </c:pt>
              </c:numCache>
            </c:numRef>
          </c:val>
          <c:extLst>
            <c:ext xmlns:c16="http://schemas.microsoft.com/office/drawing/2014/chart" uri="{C3380CC4-5D6E-409C-BE32-E72D297353CC}">
              <c16:uniqueId val="{00000001-FEF9-4B7C-BC30-9CD9CAE4605A}"/>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Veh-Mi'!$O$7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Veh-Mi'!$O$18:$O$52</c:f>
              <c:numCache>
                <c:formatCode>0.0%</c:formatCode>
                <c:ptCount val="35"/>
                <c:pt idx="0">
                  <c:v>0</c:v>
                </c:pt>
                <c:pt idx="1">
                  <c:v>0</c:v>
                </c:pt>
                <c:pt idx="2">
                  <c:v>0</c:v>
                </c:pt>
                <c:pt idx="3">
                  <c:v>0</c:v>
                </c:pt>
                <c:pt idx="4">
                  <c:v>0</c:v>
                </c:pt>
                <c:pt idx="5">
                  <c:v>0</c:v>
                </c:pt>
                <c:pt idx="6">
                  <c:v>1.3442526151545836E-2</c:v>
                </c:pt>
                <c:pt idx="7">
                  <c:v>3.261961184850494E-2</c:v>
                </c:pt>
                <c:pt idx="8">
                  <c:v>6.5039633530284593E-2</c:v>
                </c:pt>
                <c:pt idx="9">
                  <c:v>7.0530247530251527E-2</c:v>
                </c:pt>
                <c:pt idx="10">
                  <c:v>0.10454512282177919</c:v>
                </c:pt>
                <c:pt idx="11">
                  <c:v>0.11337134559649019</c:v>
                </c:pt>
                <c:pt idx="12">
                  <c:v>0.13250407160511768</c:v>
                </c:pt>
                <c:pt idx="13">
                  <c:v>0.14108728656848835</c:v>
                </c:pt>
                <c:pt idx="14">
                  <c:v>0.14907328888190222</c:v>
                </c:pt>
                <c:pt idx="15">
                  <c:v>0.15102373772924338</c:v>
                </c:pt>
                <c:pt idx="16">
                  <c:v>0.15127822449828809</c:v>
                </c:pt>
                <c:pt idx="17">
                  <c:v>0.1544369692632174</c:v>
                </c:pt>
                <c:pt idx="18">
                  <c:v>0.15452747487176183</c:v>
                </c:pt>
                <c:pt idx="19">
                  <c:v>0.15428255467763288</c:v>
                </c:pt>
                <c:pt idx="20">
                  <c:v>0.15927802976250394</c:v>
                </c:pt>
                <c:pt idx="21">
                  <c:v>0.15859998147260221</c:v>
                </c:pt>
                <c:pt idx="22">
                  <c:v>0.15920004732268012</c:v>
                </c:pt>
                <c:pt idx="23">
                  <c:v>0.16078909509017048</c:v>
                </c:pt>
                <c:pt idx="24">
                  <c:v>0.15983346016661693</c:v>
                </c:pt>
                <c:pt idx="25">
                  <c:v>0.15963914506308791</c:v>
                </c:pt>
                <c:pt idx="26">
                  <c:v>0.15614643296347525</c:v>
                </c:pt>
                <c:pt idx="27">
                  <c:v>0.15234270161616667</c:v>
                </c:pt>
                <c:pt idx="28">
                  <c:v>0.14565865891437604</c:v>
                </c:pt>
                <c:pt idx="29">
                  <c:v>0.13939270007318544</c:v>
                </c:pt>
                <c:pt idx="30">
                  <c:v>0.13370346499433206</c:v>
                </c:pt>
                <c:pt idx="31">
                  <c:v>0.1312768732798229</c:v>
                </c:pt>
                <c:pt idx="32">
                  <c:v>0.12924980384480433</c:v>
                </c:pt>
                <c:pt idx="33">
                  <c:v>0.12651507295685607</c:v>
                </c:pt>
                <c:pt idx="34">
                  <c:v>0.12657000350650266</c:v>
                </c:pt>
              </c:numCache>
            </c:numRef>
          </c:val>
          <c:extLst>
            <c:ext xmlns:c16="http://schemas.microsoft.com/office/drawing/2014/chart" uri="{C3380CC4-5D6E-409C-BE32-E72D297353CC}">
              <c16:uniqueId val="{00000000-EC72-46A7-87E2-A5B3637B81FF}"/>
            </c:ext>
          </c:extLst>
        </c:ser>
        <c:ser>
          <c:idx val="2"/>
          <c:order val="1"/>
          <c:tx>
            <c:strRef>
              <c:f>'Mkt Pen Veh-Mi'!$P$7</c:f>
              <c:strCache>
                <c:ptCount val="1"/>
                <c:pt idx="0">
                  <c:v>ISG</c:v>
                </c:pt>
              </c:strCache>
            </c:strRef>
          </c:tx>
          <c:spPr>
            <a:solidFill>
              <a:schemeClr val="accent3">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Veh-Mi'!$P$18:$P$52</c:f>
              <c:numCache>
                <c:formatCode>0.0%</c:formatCode>
                <c:ptCount val="35"/>
                <c:pt idx="0">
                  <c:v>0</c:v>
                </c:pt>
                <c:pt idx="1">
                  <c:v>0</c:v>
                </c:pt>
                <c:pt idx="2">
                  <c:v>0</c:v>
                </c:pt>
                <c:pt idx="3">
                  <c:v>0</c:v>
                </c:pt>
                <c:pt idx="4">
                  <c:v>0</c:v>
                </c:pt>
                <c:pt idx="5">
                  <c:v>0</c:v>
                </c:pt>
                <c:pt idx="6">
                  <c:v>1.5346331006377958E-2</c:v>
                </c:pt>
                <c:pt idx="7">
                  <c:v>3.521953764949521E-2</c:v>
                </c:pt>
                <c:pt idx="8">
                  <c:v>6.7054888099945892E-2</c:v>
                </c:pt>
                <c:pt idx="9">
                  <c:v>9.419040372435275E-2</c:v>
                </c:pt>
                <c:pt idx="10">
                  <c:v>0.14970513353419737</c:v>
                </c:pt>
                <c:pt idx="11">
                  <c:v>0.19521487153470823</c:v>
                </c:pt>
                <c:pt idx="12">
                  <c:v>0.21570633908897319</c:v>
                </c:pt>
                <c:pt idx="13">
                  <c:v>0.22020584202293342</c:v>
                </c:pt>
                <c:pt idx="14">
                  <c:v>0.22140755968630008</c:v>
                </c:pt>
                <c:pt idx="15">
                  <c:v>0.22006297026548102</c:v>
                </c:pt>
                <c:pt idx="16">
                  <c:v>0.22605192672361546</c:v>
                </c:pt>
                <c:pt idx="17">
                  <c:v>0.22515185404784671</c:v>
                </c:pt>
                <c:pt idx="18">
                  <c:v>0.22448964371921565</c:v>
                </c:pt>
                <c:pt idx="19">
                  <c:v>0.22073736709800923</c:v>
                </c:pt>
                <c:pt idx="20">
                  <c:v>0.23302221132930986</c:v>
                </c:pt>
                <c:pt idx="21">
                  <c:v>0.23237583850220672</c:v>
                </c:pt>
                <c:pt idx="22">
                  <c:v>0.22847550072687586</c:v>
                </c:pt>
                <c:pt idx="23">
                  <c:v>0.22647573850358743</c:v>
                </c:pt>
                <c:pt idx="24">
                  <c:v>0.22543769450878387</c:v>
                </c:pt>
                <c:pt idx="25">
                  <c:v>0.22953675899188025</c:v>
                </c:pt>
                <c:pt idx="26">
                  <c:v>0.22668098399892012</c:v>
                </c:pt>
                <c:pt idx="27">
                  <c:v>0.21704176891398425</c:v>
                </c:pt>
                <c:pt idx="28">
                  <c:v>0.2072082016713126</c:v>
                </c:pt>
                <c:pt idx="29">
                  <c:v>0.20144444747393572</c:v>
                </c:pt>
                <c:pt idx="30">
                  <c:v>0.19178001504533335</c:v>
                </c:pt>
                <c:pt idx="31">
                  <c:v>0.1819416877031087</c:v>
                </c:pt>
                <c:pt idx="32">
                  <c:v>0.17644555344444074</c:v>
                </c:pt>
                <c:pt idx="33">
                  <c:v>0.17186330741260061</c:v>
                </c:pt>
                <c:pt idx="34">
                  <c:v>0.17785094606302781</c:v>
                </c:pt>
              </c:numCache>
            </c:numRef>
          </c:val>
          <c:extLst>
            <c:ext xmlns:c16="http://schemas.microsoft.com/office/drawing/2014/chart" uri="{C3380CC4-5D6E-409C-BE32-E72D297353CC}">
              <c16:uniqueId val="{00000001-EC72-46A7-87E2-A5B3637B81FF}"/>
            </c:ext>
          </c:extLst>
        </c:ser>
        <c:ser>
          <c:idx val="3"/>
          <c:order val="2"/>
          <c:tx>
            <c:strRef>
              <c:f>'Mkt Pen Veh-Mi'!$Q$7</c:f>
              <c:strCache>
                <c:ptCount val="1"/>
                <c:pt idx="0">
                  <c:v>HEV</c:v>
                </c:pt>
              </c:strCache>
            </c:strRef>
          </c:tx>
          <c:spPr>
            <a:solidFill>
              <a:schemeClr val="accent4">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Veh-Mi'!$Q$18:$Q$52</c:f>
              <c:numCache>
                <c:formatCode>0.0%</c:formatCode>
                <c:ptCount val="35"/>
                <c:pt idx="0">
                  <c:v>0</c:v>
                </c:pt>
                <c:pt idx="1">
                  <c:v>0</c:v>
                </c:pt>
                <c:pt idx="2">
                  <c:v>0</c:v>
                </c:pt>
                <c:pt idx="3">
                  <c:v>0</c:v>
                </c:pt>
                <c:pt idx="4">
                  <c:v>0</c:v>
                </c:pt>
                <c:pt idx="5">
                  <c:v>0</c:v>
                </c:pt>
                <c:pt idx="6">
                  <c:v>1.7321994917049374E-3</c:v>
                </c:pt>
                <c:pt idx="7">
                  <c:v>5.6605814990710124E-3</c:v>
                </c:pt>
                <c:pt idx="8">
                  <c:v>1.6398591310879462E-2</c:v>
                </c:pt>
                <c:pt idx="9">
                  <c:v>3.7275447805386455E-2</c:v>
                </c:pt>
                <c:pt idx="10">
                  <c:v>5.8573533506374641E-2</c:v>
                </c:pt>
                <c:pt idx="11">
                  <c:v>7.6315905095283382E-2</c:v>
                </c:pt>
                <c:pt idx="12">
                  <c:v>9.1305735238035909E-2</c:v>
                </c:pt>
                <c:pt idx="13">
                  <c:v>0.1007210904028063</c:v>
                </c:pt>
                <c:pt idx="14">
                  <c:v>0.11088916988529202</c:v>
                </c:pt>
                <c:pt idx="15">
                  <c:v>0.11102382899208368</c:v>
                </c:pt>
                <c:pt idx="16">
                  <c:v>0.11130030066553256</c:v>
                </c:pt>
                <c:pt idx="17">
                  <c:v>0.11241438168237614</c:v>
                </c:pt>
                <c:pt idx="18">
                  <c:v>0.11311691813126568</c:v>
                </c:pt>
                <c:pt idx="19">
                  <c:v>0.11339575377271553</c:v>
                </c:pt>
                <c:pt idx="20">
                  <c:v>0.10967095866500144</c:v>
                </c:pt>
                <c:pt idx="21">
                  <c:v>0.11033910348063886</c:v>
                </c:pt>
                <c:pt idx="22">
                  <c:v>0.11226163897520858</c:v>
                </c:pt>
                <c:pt idx="23">
                  <c:v>0.11157687557124958</c:v>
                </c:pt>
                <c:pt idx="24">
                  <c:v>0.11073263433580094</c:v>
                </c:pt>
                <c:pt idx="25">
                  <c:v>0.10916820363791677</c:v>
                </c:pt>
                <c:pt idx="26">
                  <c:v>0.10984361226478057</c:v>
                </c:pt>
                <c:pt idx="27">
                  <c:v>0.10520862407234938</c:v>
                </c:pt>
                <c:pt idx="28">
                  <c:v>0.102397035950828</c:v>
                </c:pt>
                <c:pt idx="29">
                  <c:v>9.7662954498559607E-2</c:v>
                </c:pt>
                <c:pt idx="30">
                  <c:v>9.4402985022815467E-2</c:v>
                </c:pt>
                <c:pt idx="31">
                  <c:v>9.3418829699287623E-2</c:v>
                </c:pt>
                <c:pt idx="32">
                  <c:v>9.2163023218905016E-2</c:v>
                </c:pt>
                <c:pt idx="33">
                  <c:v>9.3003181909603175E-2</c:v>
                </c:pt>
                <c:pt idx="34">
                  <c:v>9.2859983183361472E-2</c:v>
                </c:pt>
              </c:numCache>
            </c:numRef>
          </c:val>
          <c:extLst>
            <c:ext xmlns:c16="http://schemas.microsoft.com/office/drawing/2014/chart" uri="{C3380CC4-5D6E-409C-BE32-E72D297353CC}">
              <c16:uniqueId val="{00000002-EC72-46A7-87E2-A5B3637B81FF}"/>
            </c:ext>
          </c:extLst>
        </c:ser>
        <c:ser>
          <c:idx val="0"/>
          <c:order val="3"/>
          <c:tx>
            <c:strRef>
              <c:f>'Mkt Pen Veh-Mi'!$R$7</c:f>
              <c:strCache>
                <c:ptCount val="1"/>
                <c:pt idx="0">
                  <c:v>PHEV</c:v>
                </c:pt>
              </c:strCache>
            </c:strRef>
          </c:tx>
          <c:spPr>
            <a:solidFill>
              <a:schemeClr val="accent1">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Veh-Mi'!$R$18:$R$52</c:f>
              <c:numCache>
                <c:formatCode>0.0%</c:formatCode>
                <c:ptCount val="35"/>
                <c:pt idx="0">
                  <c:v>0</c:v>
                </c:pt>
                <c:pt idx="1">
                  <c:v>0</c:v>
                </c:pt>
                <c:pt idx="2">
                  <c:v>0</c:v>
                </c:pt>
                <c:pt idx="3">
                  <c:v>0</c:v>
                </c:pt>
                <c:pt idx="4">
                  <c:v>0</c:v>
                </c:pt>
                <c:pt idx="5">
                  <c:v>0</c:v>
                </c:pt>
                <c:pt idx="6">
                  <c:v>0</c:v>
                </c:pt>
                <c:pt idx="7">
                  <c:v>0</c:v>
                </c:pt>
                <c:pt idx="8">
                  <c:v>0</c:v>
                </c:pt>
                <c:pt idx="9">
                  <c:v>0</c:v>
                </c:pt>
                <c:pt idx="10">
                  <c:v>8.968727190431292E-7</c:v>
                </c:pt>
                <c:pt idx="11">
                  <c:v>1.1975141079020346E-5</c:v>
                </c:pt>
                <c:pt idx="12">
                  <c:v>1.1958892581396772E-4</c:v>
                </c:pt>
                <c:pt idx="13">
                  <c:v>6.0232298705998678E-4</c:v>
                </c:pt>
                <c:pt idx="14">
                  <c:v>2.3052991691902306E-3</c:v>
                </c:pt>
                <c:pt idx="15">
                  <c:v>3.8758349879594012E-3</c:v>
                </c:pt>
                <c:pt idx="16">
                  <c:v>5.7203695754149478E-3</c:v>
                </c:pt>
                <c:pt idx="17">
                  <c:v>8.0276850358765844E-3</c:v>
                </c:pt>
                <c:pt idx="18">
                  <c:v>1.0582376521295966E-2</c:v>
                </c:pt>
                <c:pt idx="19">
                  <c:v>1.4345674672458926E-2</c:v>
                </c:pt>
                <c:pt idx="20">
                  <c:v>1.5677234886158978E-2</c:v>
                </c:pt>
                <c:pt idx="21">
                  <c:v>1.675276749250381E-2</c:v>
                </c:pt>
                <c:pt idx="22">
                  <c:v>1.8149639134497401E-2</c:v>
                </c:pt>
                <c:pt idx="23">
                  <c:v>2.0194641921410707E-2</c:v>
                </c:pt>
                <c:pt idx="24">
                  <c:v>2.2772028790740865E-2</c:v>
                </c:pt>
                <c:pt idx="25">
                  <c:v>2.7052779702843061E-2</c:v>
                </c:pt>
                <c:pt idx="26">
                  <c:v>3.4234462606908211E-2</c:v>
                </c:pt>
                <c:pt idx="27">
                  <c:v>4.3619223073937244E-2</c:v>
                </c:pt>
                <c:pt idx="28">
                  <c:v>5.555573957659582E-2</c:v>
                </c:pt>
                <c:pt idx="29">
                  <c:v>7.0589276963066702E-2</c:v>
                </c:pt>
                <c:pt idx="30">
                  <c:v>7.9921335363178747E-2</c:v>
                </c:pt>
                <c:pt idx="31">
                  <c:v>8.491956208041633E-2</c:v>
                </c:pt>
                <c:pt idx="32">
                  <c:v>8.8282216054042129E-2</c:v>
                </c:pt>
                <c:pt idx="33">
                  <c:v>8.9491856074074894E-2</c:v>
                </c:pt>
                <c:pt idx="34">
                  <c:v>9.3016857177257245E-2</c:v>
                </c:pt>
              </c:numCache>
            </c:numRef>
          </c:val>
          <c:extLst>
            <c:ext xmlns:c16="http://schemas.microsoft.com/office/drawing/2014/chart" uri="{C3380CC4-5D6E-409C-BE32-E72D297353CC}">
              <c16:uniqueId val="{00000003-EC72-46A7-87E2-A5B3637B81FF}"/>
            </c:ext>
          </c:extLst>
        </c:ser>
        <c:ser>
          <c:idx val="4"/>
          <c:order val="4"/>
          <c:tx>
            <c:strRef>
              <c:f>'Mkt Pen Veh-Mi'!$S$7</c:f>
              <c:strCache>
                <c:ptCount val="1"/>
                <c:pt idx="0">
                  <c:v>BEV</c:v>
                </c:pt>
              </c:strCache>
            </c:strRef>
          </c:tx>
          <c:spPr>
            <a:solidFill>
              <a:schemeClr val="accent5">
                <a:alpha val="85000"/>
              </a:schemeClr>
            </a:solidFill>
            <a:ln>
              <a:noFill/>
            </a:ln>
            <a:effectLst>
              <a:innerShdw dist="12700" dir="16200000">
                <a:schemeClr val="lt1"/>
              </a:innerShdw>
            </a:effectLst>
          </c:spPr>
          <c:cat>
            <c:numRef>
              <c:f>'Mkt Pen Veh-Mi'!$A$18:$A$52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f>'Mkt Pen Veh-Mi'!$S$18:$S$52</c:f>
              <c:numCache>
                <c:formatCode>0.0%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3.9337583179959625E-5</c:v>
                </c:pt>
                <c:pt idx="24">
                  <c:v>3.0014370745691982E-4</c:v>
                </c:pt>
                <c:pt idx="25">
                  <c:v>1.7911919556825818E-3</c:v>
                </c:pt>
                <c:pt idx="26">
                  <c:v>7.154485085669752E-3</c:v>
                </c:pt>
                <c:pt idx="27">
                  <c:v>1.5864008836569632E-2</c:v>
                </c:pt>
                <c:pt idx="28">
                  <c:v>2.7136885999059401E-2</c:v>
                </c:pt>
                <c:pt idx="29">
                  <c:v>4.196586211457419E-2</c:v>
                </c:pt>
                <c:pt idx="30">
                  <c:v>5.1247441415630507E-2</c:v>
                </c:pt>
                <c:pt idx="31">
                  <c:v>5.9549006880200074E-2</c:v>
                </c:pt>
                <c:pt idx="32">
                  <c:v>6.4993317371398476E-2</c:v>
                </c:pt>
                <c:pt idx="33">
                  <c:v>7.0295909525202593E-2</c:v>
                </c:pt>
                <c:pt idx="34">
                  <c:v>7.4143767566486149E-2</c:v>
                </c:pt>
              </c:numCache>
            </c:numRef>
          </c:val>
          <c:extLst>
            <c:ext xmlns:c16="http://schemas.microsoft.com/office/drawing/2014/chart" uri="{C3380CC4-5D6E-409C-BE32-E72D297353CC}">
              <c16:uniqueId val="{00000004-EC72-46A7-87E2-A5B3637B81FF}"/>
            </c:ext>
          </c:extLst>
        </c:ser>
        <c:dLbls>
          <c:showLegendKey val="0"/>
          <c:showVal val="0"/>
          <c:showCatName val="0"/>
          <c:showSerName val="0"/>
          <c:showPercent val="0"/>
          <c:showBubbleSize val="0"/>
        </c:dLbls>
        <c:axId val="660884240"/>
        <c:axId val="660884800"/>
      </c:areaChart>
      <c:catAx>
        <c:axId val="660884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84800"/>
        <c:crosses val="autoZero"/>
        <c:auto val="1"/>
        <c:lblAlgn val="ctr"/>
        <c:lblOffset val="100"/>
        <c:noMultiLvlLbl val="0"/>
      </c:catAx>
      <c:valAx>
        <c:axId val="660884800"/>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8424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Average Annual VMT per Truck - Class 7&amp;8 Sleepers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Veh-Mi'!$X$22:$X$52</c:f>
              <c:numCache>
                <c:formatCode>#,##0</c:formatCode>
                <c:ptCount val="31"/>
                <c:pt idx="0">
                  <c:v>114290.39175651137</c:v>
                </c:pt>
                <c:pt idx="1">
                  <c:v>114290.39175651137</c:v>
                </c:pt>
                <c:pt idx="2">
                  <c:v>114221.2637172859</c:v>
                </c:pt>
                <c:pt idx="3">
                  <c:v>114033.10442279154</c:v>
                </c:pt>
                <c:pt idx="4">
                  <c:v>113050.52611377821</c:v>
                </c:pt>
                <c:pt idx="5">
                  <c:v>110731.17076723205</c:v>
                </c:pt>
                <c:pt idx="6">
                  <c:v>111590.59495008249</c:v>
                </c:pt>
                <c:pt idx="7">
                  <c:v>111160.80878778188</c:v>
                </c:pt>
                <c:pt idx="8">
                  <c:v>109976.91670178511</c:v>
                </c:pt>
                <c:pt idx="9">
                  <c:v>110300.64300898278</c:v>
                </c:pt>
                <c:pt idx="10">
                  <c:v>109532.6577889623</c:v>
                </c:pt>
                <c:pt idx="11">
                  <c:v>109340.18050108664</c:v>
                </c:pt>
                <c:pt idx="12">
                  <c:v>109152.70919069186</c:v>
                </c:pt>
                <c:pt idx="13">
                  <c:v>107950.41499355514</c:v>
                </c:pt>
                <c:pt idx="14">
                  <c:v>107612.25102470488</c:v>
                </c:pt>
                <c:pt idx="15">
                  <c:v>107309.85995503759</c:v>
                </c:pt>
                <c:pt idx="16">
                  <c:v>102481.56853375345</c:v>
                </c:pt>
                <c:pt idx="17">
                  <c:v>99174.312204790884</c:v>
                </c:pt>
                <c:pt idx="18">
                  <c:v>94584.217857370197</c:v>
                </c:pt>
                <c:pt idx="19">
                  <c:v>91289.095316700346</c:v>
                </c:pt>
                <c:pt idx="20">
                  <c:v>88578.339004666675</c:v>
                </c:pt>
                <c:pt idx="21">
                  <c:v>86399.259920938697</c:v>
                </c:pt>
                <c:pt idx="22">
                  <c:v>85061.987949077899</c:v>
                </c:pt>
                <c:pt idx="23">
                  <c:v>85303.055796308341</c:v>
                </c:pt>
                <c:pt idx="24">
                  <c:v>85604.612452433648</c:v>
                </c:pt>
                <c:pt idx="25">
                  <c:v>85689.200379274043</c:v>
                </c:pt>
                <c:pt idx="26">
                  <c:v>86183.27444308385</c:v>
                </c:pt>
                <c:pt idx="27">
                  <c:v>85234.901115402507</c:v>
                </c:pt>
                <c:pt idx="28">
                  <c:v>85017.904820595824</c:v>
                </c:pt>
                <c:pt idx="29">
                  <c:v>85068.09305970979</c:v>
                </c:pt>
                <c:pt idx="30">
                  <c:v>85229.231329725182</c:v>
                </c:pt>
              </c:numCache>
            </c:numRef>
          </c:yVal>
          <c:smooth val="1"/>
          <c:extLst>
            <c:ext xmlns:c16="http://schemas.microsoft.com/office/drawing/2014/chart" uri="{C3380CC4-5D6E-409C-BE32-E72D297353CC}">
              <c16:uniqueId val="{00000015-5FCC-4280-BDCC-181E16B3E37A}"/>
            </c:ext>
          </c:extLst>
        </c:ser>
        <c:ser>
          <c:idx val="1"/>
          <c:order val="1"/>
          <c:tx>
            <c:strRef>
              <c:f>'Mkt Pen Veh-Mi'!$Y$7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Veh-Mi'!$Y$22:$Y$52</c:f>
              <c:numCache>
                <c:formatCode>#,##0</c:formatCode>
                <c:ptCount val="31"/>
                <c:pt idx="0">
                  <c:v>0</c:v>
                </c:pt>
                <c:pt idx="1">
                  <c:v>0</c:v>
                </c:pt>
                <c:pt idx="2">
                  <c:v>106807.56329719957</c:v>
                </c:pt>
                <c:pt idx="3">
                  <c:v>107468.34577715541</c:v>
                </c:pt>
                <c:pt idx="4">
                  <c:v>112681.61810870325</c:v>
                </c:pt>
                <c:pt idx="5">
                  <c:v>115510.894321895</c:v>
                </c:pt>
                <c:pt idx="6">
                  <c:v>106963.12869159353</c:v>
                </c:pt>
                <c:pt idx="7">
                  <c:v>106826.95597097813</c:v>
                </c:pt>
                <c:pt idx="8">
                  <c:v>106940.65079689454</c:v>
                </c:pt>
                <c:pt idx="9">
                  <c:v>106766.33178063645</c:v>
                </c:pt>
                <c:pt idx="10">
                  <c:v>106957.36677575533</c:v>
                </c:pt>
                <c:pt idx="11">
                  <c:v>107086.47437519299</c:v>
                </c:pt>
                <c:pt idx="12">
                  <c:v>107160.3239556078</c:v>
                </c:pt>
                <c:pt idx="13">
                  <c:v>107125.55761014707</c:v>
                </c:pt>
                <c:pt idx="14">
                  <c:v>107123.41601847007</c:v>
                </c:pt>
                <c:pt idx="15">
                  <c:v>107488.47026168127</c:v>
                </c:pt>
                <c:pt idx="16">
                  <c:v>112248.60908683884</c:v>
                </c:pt>
                <c:pt idx="17">
                  <c:v>121072.68390335073</c:v>
                </c:pt>
                <c:pt idx="18">
                  <c:v>131480.11054403917</c:v>
                </c:pt>
                <c:pt idx="19">
                  <c:v>132785.31081503493</c:v>
                </c:pt>
                <c:pt idx="20">
                  <c:v>130227.0642356694</c:v>
                </c:pt>
                <c:pt idx="21">
                  <c:v>128683.4012642126</c:v>
                </c:pt>
                <c:pt idx="22">
                  <c:v>127670.26378607108</c:v>
                </c:pt>
                <c:pt idx="23">
                  <c:v>127098.70326342</c:v>
                </c:pt>
                <c:pt idx="24">
                  <c:v>126692.34367467918</c:v>
                </c:pt>
                <c:pt idx="25">
                  <c:v>126494.63766414656</c:v>
                </c:pt>
                <c:pt idx="26">
                  <c:v>126393.60497719972</c:v>
                </c:pt>
                <c:pt idx="27">
                  <c:v>126230.64196805665</c:v>
                </c:pt>
                <c:pt idx="28">
                  <c:v>126217.49293941789</c:v>
                </c:pt>
                <c:pt idx="29">
                  <c:v>126581.22514595935</c:v>
                </c:pt>
                <c:pt idx="30">
                  <c:v>127734.16882837743</c:v>
                </c:pt>
              </c:numCache>
            </c:numRef>
          </c:yVal>
          <c:smooth val="1"/>
          <c:extLst>
            <c:ext xmlns:c16="http://schemas.microsoft.com/office/drawing/2014/chart" uri="{C3380CC4-5D6E-409C-BE32-E72D297353CC}">
              <c16:uniqueId val="{00000016-5FCC-4280-BDCC-181E16B3E37A}"/>
            </c:ext>
          </c:extLst>
        </c:ser>
        <c:ser>
          <c:idx val="2"/>
          <c:order val="2"/>
          <c:tx>
            <c:strRef>
              <c:f>'Mkt Pen Veh-Mi'!$Z$7</c:f>
              <c:strCache>
                <c:ptCount val="1"/>
                <c:pt idx="0">
                  <c:v>HEV</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Veh-Mi'!$Z$22:$Z$52</c:f>
              <c:numCache>
                <c:formatCode>#,##0</c:formatCode>
                <c:ptCount val="31"/>
                <c:pt idx="0">
                  <c:v>0</c:v>
                </c:pt>
                <c:pt idx="1">
                  <c:v>0</c:v>
                </c:pt>
                <c:pt idx="2">
                  <c:v>140769.36289023803</c:v>
                </c:pt>
                <c:pt idx="3">
                  <c:v>138592.93523795556</c:v>
                </c:pt>
                <c:pt idx="4">
                  <c:v>135819.12585027103</c:v>
                </c:pt>
                <c:pt idx="5">
                  <c:v>134810.50441363631</c:v>
                </c:pt>
                <c:pt idx="6">
                  <c:v>137621.78925068633</c:v>
                </c:pt>
                <c:pt idx="7">
                  <c:v>138928.91151532112</c:v>
                </c:pt>
                <c:pt idx="8">
                  <c:v>137845.96359241905</c:v>
                </c:pt>
                <c:pt idx="9">
                  <c:v>138854.91888051157</c:v>
                </c:pt>
                <c:pt idx="10">
                  <c:v>138426.51826114013</c:v>
                </c:pt>
                <c:pt idx="11">
                  <c:v>137925.66568659703</c:v>
                </c:pt>
                <c:pt idx="12">
                  <c:v>137996.43878395626</c:v>
                </c:pt>
                <c:pt idx="13">
                  <c:v>137696.40673408055</c:v>
                </c:pt>
                <c:pt idx="14">
                  <c:v>137832.95288817678</c:v>
                </c:pt>
                <c:pt idx="15">
                  <c:v>137240.52867838065</c:v>
                </c:pt>
                <c:pt idx="16">
                  <c:v>133629.80521171822</c:v>
                </c:pt>
                <c:pt idx="17">
                  <c:v>130624.65983629531</c:v>
                </c:pt>
                <c:pt idx="18">
                  <c:v>127684.02887533509</c:v>
                </c:pt>
                <c:pt idx="19">
                  <c:v>126131.68178676357</c:v>
                </c:pt>
                <c:pt idx="20">
                  <c:v>125738.64347788721</c:v>
                </c:pt>
                <c:pt idx="21">
                  <c:v>124776.26555336901</c:v>
                </c:pt>
                <c:pt idx="22">
                  <c:v>124239.10048251116</c:v>
                </c:pt>
                <c:pt idx="23">
                  <c:v>123812.55395531937</c:v>
                </c:pt>
                <c:pt idx="24">
                  <c:v>123462.32934398304</c:v>
                </c:pt>
                <c:pt idx="25">
                  <c:v>123345.97877718126</c:v>
                </c:pt>
                <c:pt idx="26">
                  <c:v>123032.20086275699</c:v>
                </c:pt>
                <c:pt idx="27">
                  <c:v>122735.59066551524</c:v>
                </c:pt>
                <c:pt idx="28">
                  <c:v>123034.88064792899</c:v>
                </c:pt>
                <c:pt idx="29">
                  <c:v>122976.76355147852</c:v>
                </c:pt>
                <c:pt idx="30">
                  <c:v>123951.62316905354</c:v>
                </c:pt>
              </c:numCache>
            </c:numRef>
          </c:yVal>
          <c:smooth val="1"/>
          <c:extLst>
            <c:ext xmlns:c16="http://schemas.microsoft.com/office/drawing/2014/chart" uri="{C3380CC4-5D6E-409C-BE32-E72D297353CC}">
              <c16:uniqueId val="{00000017-5FCC-4280-BDCC-181E16B3E37A}"/>
            </c:ext>
          </c:extLst>
        </c:ser>
        <c:ser>
          <c:idx val="3"/>
          <c:order val="3"/>
          <c:tx>
            <c:strRef>
              <c:f>'Mkt Pen Veh-Mi'!$AA$7</c:f>
              <c:strCache>
                <c:ptCount val="1"/>
                <c:pt idx="0">
                  <c:v>BEV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Veh-Mi'!$AA$22:$AA$52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127783.70047955409</c:v>
                </c:pt>
                <c:pt idx="26">
                  <c:v>124542.28751296097</c:v>
                </c:pt>
                <c:pt idx="27">
                  <c:v>122417.20596041664</c:v>
                </c:pt>
                <c:pt idx="28">
                  <c:v>120131.56790264607</c:v>
                </c:pt>
                <c:pt idx="29">
                  <c:v>117374.57204243269</c:v>
                </c:pt>
                <c:pt idx="30">
                  <c:v>114496.73704794064</c:v>
                </c:pt>
              </c:numCache>
            </c:numRef>
          </c:yVal>
          <c:smooth val="1"/>
          <c:extLst>
            <c:ext xmlns:c16="http://schemas.microsoft.com/office/drawing/2014/chart" uri="{C3380CC4-5D6E-409C-BE32-E72D297353CC}">
              <c16:uniqueId val="{00000018-5FCC-4280-BDCC-181E16B3E37A}"/>
            </c:ext>
          </c:extLst>
        </c:ser>
        <c:ser>
          <c:idx val="4"/>
          <c:order val="4"/>
          <c:tx>
            <c:strRef>
              <c:f>'Mkt Pen Veh-Mi'!$AB$7</c:f>
              <c:strCache>
                <c:ptCount val="1"/>
                <c:pt idx="0">
                  <c:v>FCEV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Veh-Mi'!$AB$22:$AB$52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238771.07529067885</c:v>
                </c:pt>
                <c:pt idx="22">
                  <c:v>232512.61414679934</c:v>
                </c:pt>
                <c:pt idx="23">
                  <c:v>204472.70091786573</c:v>
                </c:pt>
                <c:pt idx="24">
                  <c:v>174688.95433774038</c:v>
                </c:pt>
                <c:pt idx="25">
                  <c:v>157344.52028016752</c:v>
                </c:pt>
                <c:pt idx="26">
                  <c:v>149458.17340786272</c:v>
                </c:pt>
                <c:pt idx="27">
                  <c:v>143197.91424553355</c:v>
                </c:pt>
                <c:pt idx="28">
                  <c:v>138558.98140113798</c:v>
                </c:pt>
                <c:pt idx="29">
                  <c:v>134913.98404067947</c:v>
                </c:pt>
                <c:pt idx="30">
                  <c:v>132513.67555120392</c:v>
                </c:pt>
              </c:numCache>
            </c:numRef>
          </c:yVal>
          <c:smooth val="1"/>
          <c:extLst>
            <c:ext xmlns:c16="http://schemas.microsoft.com/office/drawing/2014/chart" uri="{C3380CC4-5D6E-409C-BE32-E72D297353CC}">
              <c16:uniqueId val="{00000019-5FCC-4280-BDCC-181E16B3E37A}"/>
            </c:ext>
          </c:extLst>
        </c:ser>
        <c:ser>
          <c:idx val="5"/>
          <c:order val="5"/>
          <c:tx>
            <c:strRef>
              <c:f>'Mkt Pen Veh-Mi'!$AC$7</c:f>
              <c:strCache>
                <c:ptCount val="1"/>
                <c:pt idx="0">
                  <c:v>0</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Veh-Mi'!$AC$22:$AC$52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c:ext xmlns:c16="http://schemas.microsoft.com/office/drawing/2014/chart" uri="{C3380CC4-5D6E-409C-BE32-E72D297353CC}">
              <c16:uniqueId val="{0000001A-5FCC-4280-BDCC-181E16B3E37A}"/>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Annual VMT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Daycab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Veh-Mi'!$AD$22:$AD$52</c:f>
              <c:numCache>
                <c:formatCode>#,##0</c:formatCode>
                <c:ptCount val="31"/>
                <c:pt idx="0">
                  <c:v>76984.800905352895</c:v>
                </c:pt>
                <c:pt idx="1">
                  <c:v>76640.915008361961</c:v>
                </c:pt>
                <c:pt idx="2">
                  <c:v>76098.68438595219</c:v>
                </c:pt>
                <c:pt idx="3">
                  <c:v>74333.980858799099</c:v>
                </c:pt>
                <c:pt idx="4">
                  <c:v>68509.744843053311</c:v>
                </c:pt>
                <c:pt idx="5">
                  <c:v>62264.913163545767</c:v>
                </c:pt>
                <c:pt idx="6">
                  <c:v>55706.55138150719</c:v>
                </c:pt>
                <c:pt idx="7">
                  <c:v>51047.030947158804</c:v>
                </c:pt>
                <c:pt idx="8">
                  <c:v>47374.715109789868</c:v>
                </c:pt>
                <c:pt idx="9">
                  <c:v>45573.534696377756</c:v>
                </c:pt>
                <c:pt idx="10">
                  <c:v>43677.833096239701</c:v>
                </c:pt>
                <c:pt idx="11">
                  <c:v>43590.269343297114</c:v>
                </c:pt>
                <c:pt idx="12">
                  <c:v>43048.580285770018</c:v>
                </c:pt>
                <c:pt idx="13">
                  <c:v>42468.769459813782</c:v>
                </c:pt>
                <c:pt idx="14">
                  <c:v>42461.931401864647</c:v>
                </c:pt>
                <c:pt idx="15">
                  <c:v>42504.876334407418</c:v>
                </c:pt>
                <c:pt idx="16">
                  <c:v>42232.840050166174</c:v>
                </c:pt>
                <c:pt idx="17">
                  <c:v>41678.695857561863</c:v>
                </c:pt>
                <c:pt idx="18">
                  <c:v>41678.562190234865</c:v>
                </c:pt>
                <c:pt idx="19">
                  <c:v>41677.935614293579</c:v>
                </c:pt>
                <c:pt idx="20">
                  <c:v>41677.917477994786</c:v>
                </c:pt>
                <c:pt idx="21">
                  <c:v>41331.526291069647</c:v>
                </c:pt>
                <c:pt idx="22">
                  <c:v>41072.249281310898</c:v>
                </c:pt>
                <c:pt idx="23">
                  <c:v>40911.379484129153</c:v>
                </c:pt>
                <c:pt idx="24">
                  <c:v>40400.45371307763</c:v>
                </c:pt>
                <c:pt idx="25">
                  <c:v>37087.309190160806</c:v>
                </c:pt>
                <c:pt idx="26">
                  <c:v>35971.06945227574</c:v>
                </c:pt>
                <c:pt idx="27">
                  <c:v>34613.711939070701</c:v>
                </c:pt>
                <c:pt idx="28">
                  <c:v>33953.806218169098</c:v>
                </c:pt>
                <c:pt idx="29">
                  <c:v>33969.874416572537</c:v>
                </c:pt>
                <c:pt idx="30">
                  <c:v>34174.083764044044</c:v>
                </c:pt>
              </c:numCache>
            </c:numRef>
          </c:yVal>
          <c:smooth val="1"/>
          <c:extLst>
            <c:ext xmlns:c16="http://schemas.microsoft.com/office/drawing/2014/chart" uri="{C3380CC4-5D6E-409C-BE32-E72D297353CC}">
              <c16:uniqueId val="{00000000-49EA-4F0A-906B-8F8EB11B9249}"/>
            </c:ext>
          </c:extLst>
        </c:ser>
        <c:ser>
          <c:idx val="1"/>
          <c:order val="1"/>
          <c:tx>
            <c:strRef>
              <c:f>'Mkt Pen Veh-Mi'!$AE$7</c:f>
              <c:strCache>
                <c:ptCount val="1"/>
                <c:pt idx="0">
                  <c:v>Adv Conv</c:v>
                </c:pt>
              </c:strCache>
            </c:strRef>
          </c:tx>
          <c:spPr>
            <a:ln w="19050" cap="rnd">
              <a:solidFill>
                <a:schemeClr val="accent2"/>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Veh-Mi'!$AE$22:$AE$53</c:f>
              <c:numCache>
                <c:formatCode>#,##0</c:formatCode>
                <c:ptCount val="32"/>
                <c:pt idx="0">
                  <c:v>0</c:v>
                </c:pt>
                <c:pt idx="1">
                  <c:v>91226.413387916269</c:v>
                </c:pt>
                <c:pt idx="2">
                  <c:v>86480.542696537508</c:v>
                </c:pt>
                <c:pt idx="3">
                  <c:v>83395.096074227244</c:v>
                </c:pt>
                <c:pt idx="4">
                  <c:v>100995.02013942011</c:v>
                </c:pt>
                <c:pt idx="5">
                  <c:v>108938.69629896728</c:v>
                </c:pt>
                <c:pt idx="6">
                  <c:v>106033.24374855626</c:v>
                </c:pt>
                <c:pt idx="7">
                  <c:v>104360.85646468302</c:v>
                </c:pt>
                <c:pt idx="8">
                  <c:v>102590.37144203312</c:v>
                </c:pt>
                <c:pt idx="9">
                  <c:v>101649.42506595704</c:v>
                </c:pt>
                <c:pt idx="10">
                  <c:v>100153.00530803471</c:v>
                </c:pt>
                <c:pt idx="11">
                  <c:v>100054.07297108353</c:v>
                </c:pt>
                <c:pt idx="12">
                  <c:v>99592.628145979892</c:v>
                </c:pt>
                <c:pt idx="13">
                  <c:v>99133.692513237096</c:v>
                </c:pt>
                <c:pt idx="14">
                  <c:v>98633.874406187329</c:v>
                </c:pt>
                <c:pt idx="15">
                  <c:v>97537.491370067131</c:v>
                </c:pt>
                <c:pt idx="16">
                  <c:v>96499.168900290286</c:v>
                </c:pt>
                <c:pt idx="17">
                  <c:v>95892.111096777619</c:v>
                </c:pt>
                <c:pt idx="18">
                  <c:v>95650.828019523426</c:v>
                </c:pt>
                <c:pt idx="19">
                  <c:v>95074.389759856524</c:v>
                </c:pt>
                <c:pt idx="20">
                  <c:v>94437.695469137194</c:v>
                </c:pt>
                <c:pt idx="21">
                  <c:v>92580.686316015985</c:v>
                </c:pt>
                <c:pt idx="22">
                  <c:v>92201.735608041679</c:v>
                </c:pt>
                <c:pt idx="23">
                  <c:v>93503.376347182479</c:v>
                </c:pt>
                <c:pt idx="24">
                  <c:v>95871.477072066031</c:v>
                </c:pt>
                <c:pt idx="25">
                  <c:v>95553.360783725642</c:v>
                </c:pt>
                <c:pt idx="26">
                  <c:v>95392.865144277195</c:v>
                </c:pt>
                <c:pt idx="27">
                  <c:v>95182.176226686526</c:v>
                </c:pt>
                <c:pt idx="28">
                  <c:v>95017.755152297046</c:v>
                </c:pt>
                <c:pt idx="29">
                  <c:v>94875.144539185712</c:v>
                </c:pt>
                <c:pt idx="30">
                  <c:v>94877.380993378596</c:v>
                </c:pt>
              </c:numCache>
            </c:numRef>
          </c:yVal>
          <c:smooth val="1"/>
          <c:extLst>
            <c:ext xmlns:c16="http://schemas.microsoft.com/office/drawing/2014/chart" uri="{C3380CC4-5D6E-409C-BE32-E72D297353CC}">
              <c16:uniqueId val="{00000001-49EA-4F0A-906B-8F8EB11B9249}"/>
            </c:ext>
          </c:extLst>
        </c:ser>
        <c:ser>
          <c:idx val="2"/>
          <c:order val="2"/>
          <c:tx>
            <c:strRef>
              <c:f>'Mkt Pen Veh-Mi'!$AF$7</c:f>
              <c:strCache>
                <c:ptCount val="1"/>
                <c:pt idx="0">
                  <c:v>ISG</c:v>
                </c:pt>
              </c:strCache>
            </c:strRef>
          </c:tx>
          <c:spPr>
            <a:ln w="19050" cap="rnd">
              <a:solidFill>
                <a:schemeClr val="accent3"/>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Veh-Mi'!$AF$22:$AF$52</c:f>
              <c:numCache>
                <c:formatCode>#,##0</c:formatCode>
                <c:ptCount val="31"/>
                <c:pt idx="0">
                  <c:v>0</c:v>
                </c:pt>
                <c:pt idx="1">
                  <c:v>82969.828471106492</c:v>
                </c:pt>
                <c:pt idx="2">
                  <c:v>89671.590906356083</c:v>
                </c:pt>
                <c:pt idx="3">
                  <c:v>105178.73047419776</c:v>
                </c:pt>
                <c:pt idx="4">
                  <c:v>110989.55136282946</c:v>
                </c:pt>
                <c:pt idx="5">
                  <c:v>111122.03411450167</c:v>
                </c:pt>
                <c:pt idx="6">
                  <c:v>107464.49092139062</c:v>
                </c:pt>
                <c:pt idx="7">
                  <c:v>105381.17554148527</c:v>
                </c:pt>
                <c:pt idx="8">
                  <c:v>103365.27357686333</c:v>
                </c:pt>
                <c:pt idx="9">
                  <c:v>101943.54718227855</c:v>
                </c:pt>
                <c:pt idx="10">
                  <c:v>100256.25211288809</c:v>
                </c:pt>
                <c:pt idx="11">
                  <c:v>100054.07297108353</c:v>
                </c:pt>
                <c:pt idx="12">
                  <c:v>99755.788019950487</c:v>
                </c:pt>
                <c:pt idx="13">
                  <c:v>99133.692513237082</c:v>
                </c:pt>
                <c:pt idx="14">
                  <c:v>98633.874406187329</c:v>
                </c:pt>
                <c:pt idx="15">
                  <c:v>97537.491370067102</c:v>
                </c:pt>
                <c:pt idx="16">
                  <c:v>96884.185518540849</c:v>
                </c:pt>
                <c:pt idx="17">
                  <c:v>96126.2869044791</c:v>
                </c:pt>
                <c:pt idx="18">
                  <c:v>95650.828019523426</c:v>
                </c:pt>
                <c:pt idx="19">
                  <c:v>95175.070134112058</c:v>
                </c:pt>
                <c:pt idx="20">
                  <c:v>94539.490006441367</c:v>
                </c:pt>
                <c:pt idx="21">
                  <c:v>92579.8374738907</c:v>
                </c:pt>
                <c:pt idx="22">
                  <c:v>92201.735608041679</c:v>
                </c:pt>
                <c:pt idx="23">
                  <c:v>93655.213361265822</c:v>
                </c:pt>
                <c:pt idx="24">
                  <c:v>95871.477072066031</c:v>
                </c:pt>
                <c:pt idx="25">
                  <c:v>95678.840371013066</c:v>
                </c:pt>
                <c:pt idx="26">
                  <c:v>95740.811356337479</c:v>
                </c:pt>
                <c:pt idx="27">
                  <c:v>95352.15130419757</c:v>
                </c:pt>
                <c:pt idx="28">
                  <c:v>95017.755152297061</c:v>
                </c:pt>
                <c:pt idx="29">
                  <c:v>95026.293856006407</c:v>
                </c:pt>
                <c:pt idx="30">
                  <c:v>94877.380993378567</c:v>
                </c:pt>
              </c:numCache>
            </c:numRef>
          </c:yVal>
          <c:smooth val="1"/>
          <c:extLst>
            <c:ext xmlns:c16="http://schemas.microsoft.com/office/drawing/2014/chart" uri="{C3380CC4-5D6E-409C-BE32-E72D297353CC}">
              <c16:uniqueId val="{00000002-49EA-4F0A-906B-8F8EB11B9249}"/>
            </c:ext>
          </c:extLst>
        </c:ser>
        <c:ser>
          <c:idx val="3"/>
          <c:order val="3"/>
          <c:tx>
            <c:strRef>
              <c:f>'Mkt Pen Veh-Mi'!$AG$7</c:f>
              <c:strCache>
                <c:ptCount val="1"/>
                <c:pt idx="0">
                  <c:v>PHEV</c:v>
                </c:pt>
              </c:strCache>
            </c:strRef>
          </c:tx>
          <c:spPr>
            <a:ln w="19050" cap="rnd">
              <a:solidFill>
                <a:schemeClr val="accent4"/>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Veh-Mi'!$AG$22:$AG$52</c:f>
              <c:numCache>
                <c:formatCode>#,##0</c:formatCode>
                <c:ptCount val="31"/>
                <c:pt idx="0">
                  <c:v>0</c:v>
                </c:pt>
                <c:pt idx="1">
                  <c:v>0</c:v>
                </c:pt>
                <c:pt idx="2">
                  <c:v>0</c:v>
                </c:pt>
                <c:pt idx="3">
                  <c:v>0</c:v>
                </c:pt>
                <c:pt idx="4">
                  <c:v>0</c:v>
                </c:pt>
                <c:pt idx="5">
                  <c:v>0</c:v>
                </c:pt>
                <c:pt idx="6">
                  <c:v>0</c:v>
                </c:pt>
                <c:pt idx="7">
                  <c:v>0</c:v>
                </c:pt>
                <c:pt idx="8">
                  <c:v>0</c:v>
                </c:pt>
                <c:pt idx="9">
                  <c:v>0</c:v>
                </c:pt>
                <c:pt idx="10">
                  <c:v>0</c:v>
                </c:pt>
                <c:pt idx="11">
                  <c:v>220702.9179341534</c:v>
                </c:pt>
                <c:pt idx="12">
                  <c:v>220861.04114199674</c:v>
                </c:pt>
                <c:pt idx="13">
                  <c:v>214392.3775504287</c:v>
                </c:pt>
                <c:pt idx="14">
                  <c:v>199179.64658450897</c:v>
                </c:pt>
                <c:pt idx="15">
                  <c:v>173800.28173638711</c:v>
                </c:pt>
                <c:pt idx="16">
                  <c:v>166484.78139227102</c:v>
                </c:pt>
                <c:pt idx="17">
                  <c:v>160160.9290610076</c:v>
                </c:pt>
                <c:pt idx="18">
                  <c:v>154553.41039542563</c:v>
                </c:pt>
                <c:pt idx="19">
                  <c:v>147014.21060249154</c:v>
                </c:pt>
                <c:pt idx="20">
                  <c:v>139370.94880883527</c:v>
                </c:pt>
                <c:pt idx="21">
                  <c:v>128614.78472411107</c:v>
                </c:pt>
                <c:pt idx="22">
                  <c:v>117929.40367376406</c:v>
                </c:pt>
                <c:pt idx="23">
                  <c:v>108907.91678370572</c:v>
                </c:pt>
                <c:pt idx="24">
                  <c:v>102468.47523661231</c:v>
                </c:pt>
                <c:pt idx="25">
                  <c:v>96535.958167382414</c:v>
                </c:pt>
                <c:pt idx="26">
                  <c:v>92955.524850960559</c:v>
                </c:pt>
                <c:pt idx="27">
                  <c:v>90732.698659565009</c:v>
                </c:pt>
                <c:pt idx="28">
                  <c:v>88904.072235448039</c:v>
                </c:pt>
                <c:pt idx="29">
                  <c:v>88349.449865988645</c:v>
                </c:pt>
                <c:pt idx="30">
                  <c:v>87757.431714183665</c:v>
                </c:pt>
              </c:numCache>
            </c:numRef>
          </c:yVal>
          <c:smooth val="1"/>
          <c:extLst>
            <c:ext xmlns:c16="http://schemas.microsoft.com/office/drawing/2014/chart" uri="{C3380CC4-5D6E-409C-BE32-E72D297353CC}">
              <c16:uniqueId val="{00000003-49EA-4F0A-906B-8F8EB11B9249}"/>
            </c:ext>
          </c:extLst>
        </c:ser>
        <c:ser>
          <c:idx val="4"/>
          <c:order val="4"/>
          <c:tx>
            <c:strRef>
              <c:f>'Mkt Pen Veh-Mi'!$AH$7</c:f>
              <c:strCache>
                <c:ptCount val="1"/>
                <c:pt idx="0">
                  <c:v>BEV</c:v>
                </c:pt>
              </c:strCache>
            </c:strRef>
          </c:tx>
          <c:spPr>
            <a:ln w="19050" cap="rnd">
              <a:solidFill>
                <a:schemeClr val="accent5"/>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Veh-Mi'!$AH$22:$AH$52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51635.890784033872</c:v>
                </c:pt>
                <c:pt idx="24">
                  <c:v>50934.388622790626</c:v>
                </c:pt>
                <c:pt idx="25">
                  <c:v>49122.862993218441</c:v>
                </c:pt>
                <c:pt idx="26">
                  <c:v>46838.232462249282</c:v>
                </c:pt>
                <c:pt idx="27">
                  <c:v>45304.091848071235</c:v>
                </c:pt>
                <c:pt idx="28">
                  <c:v>44351.707666997027</c:v>
                </c:pt>
                <c:pt idx="29">
                  <c:v>43517.666203931127</c:v>
                </c:pt>
                <c:pt idx="30">
                  <c:v>43055.775685089749</c:v>
                </c:pt>
              </c:numCache>
            </c:numRef>
          </c:yVal>
          <c:smooth val="1"/>
          <c:extLst>
            <c:ext xmlns:c16="http://schemas.microsoft.com/office/drawing/2014/chart" uri="{C3380CC4-5D6E-409C-BE32-E72D297353CC}">
              <c16:uniqueId val="{00000004-49EA-4F0A-906B-8F8EB11B9249}"/>
            </c:ext>
          </c:extLst>
        </c:ser>
        <c:ser>
          <c:idx val="5"/>
          <c:order val="5"/>
          <c:tx>
            <c:strRef>
              <c:f>'Mkt Pen Veh-Mi'!$AI$7</c:f>
              <c:strCache>
                <c:ptCount val="1"/>
                <c:pt idx="0">
                  <c:v>FCHEV</c:v>
                </c:pt>
              </c:strCache>
            </c:strRef>
          </c:tx>
          <c:spPr>
            <a:ln w="19050" cap="rnd">
              <a:solidFill>
                <a:schemeClr val="accent6"/>
              </a:solidFill>
              <a:round/>
            </a:ln>
            <a:effectLst/>
          </c:spPr>
          <c:marker>
            <c:symbol val="none"/>
          </c:marker>
          <c:xVal>
            <c:numRef>
              <c:f>'Mkt Pen Veh-Mi'!$W$22:$W$52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'Mkt Pen Veh-Mi'!$AI$22:$AI$52</c:f>
              <c:numCache>
                <c:formatCode>#,##0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157147.42276614078</c:v>
                </c:pt>
                <c:pt idx="20">
                  <c:v>182427.12325607112</c:v>
                </c:pt>
                <c:pt idx="21">
                  <c:v>132061.71665341625</c:v>
                </c:pt>
                <c:pt idx="22">
                  <c:v>110825.68442083475</c:v>
                </c:pt>
                <c:pt idx="23">
                  <c:v>103643.18805526117</c:v>
                </c:pt>
                <c:pt idx="24">
                  <c:v>98865.228761649036</c:v>
                </c:pt>
                <c:pt idx="25">
                  <c:v>91053.275897315107</c:v>
                </c:pt>
                <c:pt idx="26">
                  <c:v>88379.811064583686</c:v>
                </c:pt>
                <c:pt idx="27">
                  <c:v>85325.113977275178</c:v>
                </c:pt>
                <c:pt idx="28">
                  <c:v>81925.005125487165</c:v>
                </c:pt>
                <c:pt idx="29">
                  <c:v>78805.62477514187</c:v>
                </c:pt>
                <c:pt idx="30">
                  <c:v>75243.804434225734</c:v>
                </c:pt>
              </c:numCache>
            </c:numRef>
          </c:yVal>
          <c:smooth val="1"/>
          <c:extLst>
            <c:ext xmlns:c16="http://schemas.microsoft.com/office/drawing/2014/chart" uri="{C3380CC4-5D6E-409C-BE32-E72D297353CC}">
              <c16:uniqueId val="{00000005-49EA-4F0A-906B-8F8EB11B9249}"/>
            </c:ext>
          </c:extLst>
        </c:ser>
        <c:dLbls>
          <c:showLegendKey val="0"/>
          <c:showVal val="0"/>
          <c:showCatName val="0"/>
          <c:showSerName val="0"/>
          <c:showPercent val="0"/>
          <c:showBubbleSize val="0"/>
        </c:dLbls>
        <c:axId val="631504240"/>
        <c:axId val="631500304"/>
      </c:scatterChart>
      <c:valAx>
        <c:axId val="631504240"/>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1" i="0" baseline="0">
                <a:effectLst/>
              </a:rPr>
              <a:t>Class 7&amp;8 Single Unit Trucks</a:t>
            </a:r>
            <a:endParaRPr lang="en-US" sz="1400">
              <a:effectLst/>
            </a:endParaRP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'Mkt Pen Veh-Mi'!$X$6</c:f>
              <c:strCache>
                <c:ptCount val="1"/>
                <c:pt idx="0">
                  <c:v>Base</c:v>
                </c:pt>
              </c:strCache>
            </c:strRef>
          </c:tx>
          <c:spPr>
            <a:ln w="19050" cap="rnd">
              <a:solidFill>
                <a:schemeClr val="accent1"/>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Veh-Mi'!$AJ$9:$AJ$52</c:f>
              <c:numCache>
                <c:formatCode>#,##0</c:formatCode>
                <c:ptCount val="44"/>
                <c:pt idx="0">
                  <c:v>27261.021505205488</c:v>
                </c:pt>
                <c:pt idx="1">
                  <c:v>27261.021505205488</c:v>
                </c:pt>
                <c:pt idx="2">
                  <c:v>27261.021505205488</c:v>
                </c:pt>
                <c:pt idx="3">
                  <c:v>27261.021505205488</c:v>
                </c:pt>
                <c:pt idx="4">
                  <c:v>27261.021505205488</c:v>
                </c:pt>
                <c:pt idx="5">
                  <c:v>27261.021505205488</c:v>
                </c:pt>
                <c:pt idx="6">
                  <c:v>27261.021505205488</c:v>
                </c:pt>
                <c:pt idx="7">
                  <c:v>27261.021505205488</c:v>
                </c:pt>
                <c:pt idx="8">
                  <c:v>27261.021505205488</c:v>
                </c:pt>
                <c:pt idx="9">
                  <c:v>27261.021505205488</c:v>
                </c:pt>
                <c:pt idx="10">
                  <c:v>27261.021505205488</c:v>
                </c:pt>
                <c:pt idx="11">
                  <c:v>27261.021505205488</c:v>
                </c:pt>
                <c:pt idx="12">
                  <c:v>27261.021505205488</c:v>
                </c:pt>
                <c:pt idx="13">
                  <c:v>27261.021505205488</c:v>
                </c:pt>
                <c:pt idx="14">
                  <c:v>27261.021505205488</c:v>
                </c:pt>
                <c:pt idx="15">
                  <c:v>27142.522953793545</c:v>
                </c:pt>
                <c:pt idx="16">
                  <c:v>26964.948765811416</c:v>
                </c:pt>
                <c:pt idx="17">
                  <c:v>26434.068676714982</c:v>
                </c:pt>
                <c:pt idx="18">
                  <c:v>24884.681420592337</c:v>
                </c:pt>
                <c:pt idx="19">
                  <c:v>23164.285157351991</c:v>
                </c:pt>
                <c:pt idx="20">
                  <c:v>21549.473521145817</c:v>
                </c:pt>
                <c:pt idx="21">
                  <c:v>20465.80498213289</c:v>
                </c:pt>
                <c:pt idx="22">
                  <c:v>19887.741275429402</c:v>
                </c:pt>
                <c:pt idx="23">
                  <c:v>19449.822903353801</c:v>
                </c:pt>
                <c:pt idx="24">
                  <c:v>19396.513643137932</c:v>
                </c:pt>
                <c:pt idx="25">
                  <c:v>19283.761823950535</c:v>
                </c:pt>
                <c:pt idx="26">
                  <c:v>19188.617273121257</c:v>
                </c:pt>
                <c:pt idx="27">
                  <c:v>19126.258459656983</c:v>
                </c:pt>
                <c:pt idx="28">
                  <c:v>19125.510517842402</c:v>
                </c:pt>
                <c:pt idx="29">
                  <c:v>18900.569124204958</c:v>
                </c:pt>
                <c:pt idx="30">
                  <c:v>18887.999929958249</c:v>
                </c:pt>
                <c:pt idx="31">
                  <c:v>18888.3489516052</c:v>
                </c:pt>
                <c:pt idx="32">
                  <c:v>18860.990680133331</c:v>
                </c:pt>
                <c:pt idx="33">
                  <c:v>18860.984328233237</c:v>
                </c:pt>
                <c:pt idx="34">
                  <c:v>18750.953475978586</c:v>
                </c:pt>
                <c:pt idx="35">
                  <c:v>18629.323793409942</c:v>
                </c:pt>
                <c:pt idx="36">
                  <c:v>18629.732534589471</c:v>
                </c:pt>
                <c:pt idx="37">
                  <c:v>18530.749272813962</c:v>
                </c:pt>
                <c:pt idx="38">
                  <c:v>18337.867322920345</c:v>
                </c:pt>
                <c:pt idx="39">
                  <c:v>18337.867305500571</c:v>
                </c:pt>
                <c:pt idx="40">
                  <c:v>18339.004771712702</c:v>
                </c:pt>
                <c:pt idx="41">
                  <c:v>18339.565439738362</c:v>
                </c:pt>
                <c:pt idx="42">
                  <c:v>18340.20684715638</c:v>
                </c:pt>
                <c:pt idx="43">
                  <c:v>18141.807419220484</c:v>
                </c:pt>
              </c:numCache>
            </c:numRef>
          </c:yVal>
          <c:smooth val="1"/>
          <c:extLst>
            <c:ext xmlns:c16="http://schemas.microsoft.com/office/drawing/2014/chart" uri="{C3380CC4-5D6E-409C-BE32-E72D297353CC}">
              <c16:uniqueId val="{00000000-5F6A-40A4-931B-DD5FC4D6DD96}"/>
            </c:ext>
          </c:extLst>
        </c:ser>
        <c:ser>
          <c:idx val="1"/>
          <c:order val="1"/>
          <c:tx>
            <c:strRef>
              <c:f>'Mkt Pen Veh-Mi'!$Y$6</c:f>
              <c:strCache>
                <c:ptCount val="1"/>
                <c:pt idx="0">
                  <c:v>A</c:v>
                </c:pt>
              </c:strCache>
            </c:strRef>
          </c:tx>
          <c:spPr>
            <a:ln w="19050" cap="rnd">
              <a:solidFill>
                <a:schemeClr val="accent2"/>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Veh-Mi'!$AK$10:$AK$53</c:f>
              <c:numCache>
                <c:formatCode>#,##0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29343.386941581935</c:v>
                </c:pt>
                <c:pt idx="15">
                  <c:v>28752.767191183062</c:v>
                </c:pt>
                <c:pt idx="16">
                  <c:v>28824.602444397777</c:v>
                </c:pt>
                <c:pt idx="17">
                  <c:v>36141.03771097766</c:v>
                </c:pt>
                <c:pt idx="18">
                  <c:v>39362.017724647405</c:v>
                </c:pt>
                <c:pt idx="19">
                  <c:v>48187.94893976493</c:v>
                </c:pt>
                <c:pt idx="20">
                  <c:v>48598.602307277419</c:v>
                </c:pt>
                <c:pt idx="21">
                  <c:v>50591.092084379343</c:v>
                </c:pt>
                <c:pt idx="22">
                  <c:v>50011.697543844828</c:v>
                </c:pt>
                <c:pt idx="23">
                  <c:v>49488.492411676882</c:v>
                </c:pt>
                <c:pt idx="24">
                  <c:v>49156.004320497064</c:v>
                </c:pt>
                <c:pt idx="25">
                  <c:v>48372.020143275149</c:v>
                </c:pt>
                <c:pt idx="26">
                  <c:v>48252.066637947559</c:v>
                </c:pt>
                <c:pt idx="27">
                  <c:v>48007.460645664447</c:v>
                </c:pt>
                <c:pt idx="28">
                  <c:v>47163.533140528845</c:v>
                </c:pt>
                <c:pt idx="29">
                  <c:v>47117.691865028217</c:v>
                </c:pt>
                <c:pt idx="30">
                  <c:v>46977.466829183693</c:v>
                </c:pt>
                <c:pt idx="31">
                  <c:v>46507.818795167244</c:v>
                </c:pt>
                <c:pt idx="32">
                  <c:v>46398.540019858374</c:v>
                </c:pt>
                <c:pt idx="33">
                  <c:v>46046.005160668683</c:v>
                </c:pt>
                <c:pt idx="34">
                  <c:v>45550.591923503147</c:v>
                </c:pt>
                <c:pt idx="35">
                  <c:v>44882.5590857961</c:v>
                </c:pt>
                <c:pt idx="36">
                  <c:v>45068.537238357807</c:v>
                </c:pt>
                <c:pt idx="37">
                  <c:v>45177.665830809012</c:v>
                </c:pt>
                <c:pt idx="38">
                  <c:v>45755.810826191024</c:v>
                </c:pt>
                <c:pt idx="39">
                  <c:v>45956.030794894476</c:v>
                </c:pt>
                <c:pt idx="40">
                  <c:v>46049.250805263138</c:v>
                </c:pt>
                <c:pt idx="41">
                  <c:v>46475.455459201112</c:v>
                </c:pt>
                <c:pt idx="42">
                  <c:v>46281.291614373273</c:v>
                </c:pt>
              </c:numCache>
            </c:numRef>
          </c:yVal>
          <c:smooth val="1"/>
          <c:extLst>
            <c:ext xmlns:c16="http://schemas.microsoft.com/office/drawing/2014/chart" uri="{C3380CC4-5D6E-409C-BE32-E72D297353CC}">
              <c16:uniqueId val="{00000001-5F6A-40A4-931B-DD5FC4D6DD96}"/>
            </c:ext>
          </c:extLst>
        </c:ser>
        <c:ser>
          <c:idx val="2"/>
          <c:order val="2"/>
          <c:tx>
            <c:v>B</c:v>
          </c:tx>
          <c:spPr>
            <a:ln w="19050" cap="rnd">
              <a:solidFill>
                <a:schemeClr val="accent3"/>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Veh-Mi'!$AL$18:$AL$52</c:f>
              <c:numCache>
                <c:formatCode>#,##0</c:formatCode>
                <c:ptCount val="35"/>
                <c:pt idx="0">
                  <c:v>0</c:v>
                </c:pt>
                <c:pt idx="1">
                  <c:v>0</c:v>
                </c:pt>
                <c:pt idx="2">
                  <c:v>0</c:v>
                </c:pt>
                <c:pt idx="3">
                  <c:v>0</c:v>
                </c:pt>
                <c:pt idx="4">
                  <c:v>0</c:v>
                </c:pt>
                <c:pt idx="5">
                  <c:v>0</c:v>
                </c:pt>
                <c:pt idx="6">
                  <c:v>31417.848370165455</c:v>
                </c:pt>
                <c:pt idx="7">
                  <c:v>31311.594004243365</c:v>
                </c:pt>
                <c:pt idx="8">
                  <c:v>33339.608493750085</c:v>
                </c:pt>
                <c:pt idx="9">
                  <c:v>43540.208386949147</c:v>
                </c:pt>
                <c:pt idx="10">
                  <c:v>42303.92757950649</c:v>
                </c:pt>
                <c:pt idx="11">
                  <c:v>41872.369954808171</c:v>
                </c:pt>
                <c:pt idx="12">
                  <c:v>41953.59473545738</c:v>
                </c:pt>
                <c:pt idx="13">
                  <c:v>42204.552692352547</c:v>
                </c:pt>
                <c:pt idx="14">
                  <c:v>42492.141847609266</c:v>
                </c:pt>
                <c:pt idx="15">
                  <c:v>42618.277362134548</c:v>
                </c:pt>
                <c:pt idx="16">
                  <c:v>41951.261610824418</c:v>
                </c:pt>
                <c:pt idx="17">
                  <c:v>41907.205092869699</c:v>
                </c:pt>
                <c:pt idx="18">
                  <c:v>41793.580082618675</c:v>
                </c:pt>
                <c:pt idx="19">
                  <c:v>41807.884322256476</c:v>
                </c:pt>
                <c:pt idx="20">
                  <c:v>41062.004530950624</c:v>
                </c:pt>
                <c:pt idx="21">
                  <c:v>41028.230274953865</c:v>
                </c:pt>
                <c:pt idx="22">
                  <c:v>41113.924324238345</c:v>
                </c:pt>
                <c:pt idx="23">
                  <c:v>41215.231234847983</c:v>
                </c:pt>
                <c:pt idx="24">
                  <c:v>41128.859368224832</c:v>
                </c:pt>
                <c:pt idx="25">
                  <c:v>40448.472619226501</c:v>
                </c:pt>
                <c:pt idx="26">
                  <c:v>40074.532734336317</c:v>
                </c:pt>
                <c:pt idx="27">
                  <c:v>39862.508217015638</c:v>
                </c:pt>
                <c:pt idx="28">
                  <c:v>39964.796036663014</c:v>
                </c:pt>
                <c:pt idx="29">
                  <c:v>39618.31330049791</c:v>
                </c:pt>
                <c:pt idx="30">
                  <c:v>40043.939301306164</c:v>
                </c:pt>
                <c:pt idx="31">
                  <c:v>40566.119393159082</c:v>
                </c:pt>
                <c:pt idx="32">
                  <c:v>40843.938542247037</c:v>
                </c:pt>
                <c:pt idx="33">
                  <c:v>41173.144859586297</c:v>
                </c:pt>
                <c:pt idx="34">
                  <c:v>40443.137220217941</c:v>
                </c:pt>
              </c:numCache>
            </c:numRef>
          </c:yVal>
          <c:smooth val="1"/>
          <c:extLst>
            <c:ext xmlns:c16="http://schemas.microsoft.com/office/drawing/2014/chart" uri="{C3380CC4-5D6E-409C-BE32-E72D297353CC}">
              <c16:uniqueId val="{00000002-5F6A-40A4-931B-DD5FC4D6DD96}"/>
            </c:ext>
          </c:extLst>
        </c:ser>
        <c:ser>
          <c:idx val="4"/>
          <c:order val="3"/>
          <c:tx>
            <c:v>C</c:v>
          </c:tx>
          <c:spPr>
            <a:ln w="19050" cap="rnd">
              <a:solidFill>
                <a:schemeClr val="accent5"/>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Veh-Mi'!$AM$18:$AM$52</c:f>
              <c:numCache>
                <c:formatCode>#,##0</c:formatCode>
                <c:ptCount val="35"/>
                <c:pt idx="0">
                  <c:v>0</c:v>
                </c:pt>
                <c:pt idx="1">
                  <c:v>0</c:v>
                </c:pt>
                <c:pt idx="2">
                  <c:v>0</c:v>
                </c:pt>
                <c:pt idx="3">
                  <c:v>0</c:v>
                </c:pt>
                <c:pt idx="4">
                  <c:v>0</c:v>
                </c:pt>
                <c:pt idx="5">
                  <c:v>0</c:v>
                </c:pt>
                <c:pt idx="6">
                  <c:v>97554.651970270163</c:v>
                </c:pt>
                <c:pt idx="7">
                  <c:v>88881.269987293112</c:v>
                </c:pt>
                <c:pt idx="8">
                  <c:v>81072.420313633847</c:v>
                </c:pt>
                <c:pt idx="9">
                  <c:v>74624.283409314899</c:v>
                </c:pt>
                <c:pt idx="10">
                  <c:v>71229.256713712384</c:v>
                </c:pt>
                <c:pt idx="11">
                  <c:v>67863.069996635721</c:v>
                </c:pt>
                <c:pt idx="12">
                  <c:v>63706.610059687133</c:v>
                </c:pt>
                <c:pt idx="13">
                  <c:v>60981.038696502364</c:v>
                </c:pt>
                <c:pt idx="14">
                  <c:v>57461.868272401487</c:v>
                </c:pt>
                <c:pt idx="15">
                  <c:v>57198.573643190757</c:v>
                </c:pt>
                <c:pt idx="16">
                  <c:v>56908.373684644597</c:v>
                </c:pt>
                <c:pt idx="17">
                  <c:v>56077.896412541624</c:v>
                </c:pt>
                <c:pt idx="18">
                  <c:v>55732.836798192584</c:v>
                </c:pt>
                <c:pt idx="19">
                  <c:v>54658.37649150053</c:v>
                </c:pt>
                <c:pt idx="20">
                  <c:v>55409.147288557957</c:v>
                </c:pt>
                <c:pt idx="21">
                  <c:v>55347.304033475455</c:v>
                </c:pt>
                <c:pt idx="22">
                  <c:v>54433.533980912573</c:v>
                </c:pt>
                <c:pt idx="23">
                  <c:v>54537.37719025914</c:v>
                </c:pt>
                <c:pt idx="24">
                  <c:v>54413.498166672194</c:v>
                </c:pt>
                <c:pt idx="25">
                  <c:v>54065.340094343352</c:v>
                </c:pt>
                <c:pt idx="26">
                  <c:v>52825.926622593994</c:v>
                </c:pt>
                <c:pt idx="27">
                  <c:v>52922.024122833027</c:v>
                </c:pt>
                <c:pt idx="28">
                  <c:v>52227.192748939073</c:v>
                </c:pt>
                <c:pt idx="29">
                  <c:v>52370.560441074347</c:v>
                </c:pt>
                <c:pt idx="30">
                  <c:v>53061.886280563354</c:v>
                </c:pt>
                <c:pt idx="31">
                  <c:v>53158.500922201849</c:v>
                </c:pt>
                <c:pt idx="32">
                  <c:v>53574.795385640253</c:v>
                </c:pt>
                <c:pt idx="33">
                  <c:v>53037.286788824422</c:v>
                </c:pt>
                <c:pt idx="34">
                  <c:v>52880.214170625943</c:v>
                </c:pt>
              </c:numCache>
            </c:numRef>
          </c:yVal>
          <c:smooth val="1"/>
          <c:extLst>
            <c:ext xmlns:c16="http://schemas.microsoft.com/office/drawing/2014/chart" uri="{C3380CC4-5D6E-409C-BE32-E72D297353CC}">
              <c16:uniqueId val="{00000004-5F6A-40A4-931B-DD5FC4D6DD96}"/>
            </c:ext>
          </c:extLst>
        </c:ser>
        <c:ser>
          <c:idx val="3"/>
          <c:order val="4"/>
          <c:tx>
            <c:v>D</c:v>
          </c:tx>
          <c:spPr>
            <a:ln w="19050" cap="rnd">
              <a:solidFill>
                <a:schemeClr val="accent4"/>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Veh-Mi'!$AN$14:$AN$52</c:f>
              <c:numCache>
                <c:formatCode>#,##0</c:formatCode>
                <c:ptCount val="39"/>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224999.99999999997</c:v>
                </c:pt>
                <c:pt idx="15">
                  <c:v>213638.06368167853</c:v>
                </c:pt>
                <c:pt idx="16">
                  <c:v>190149.79206971769</c:v>
                </c:pt>
                <c:pt idx="17">
                  <c:v>170584.62999180314</c:v>
                </c:pt>
                <c:pt idx="18">
                  <c:v>155713.38506696004</c:v>
                </c:pt>
                <c:pt idx="19">
                  <c:v>150223.22709480906</c:v>
                </c:pt>
                <c:pt idx="20">
                  <c:v>146020.1729728565</c:v>
                </c:pt>
                <c:pt idx="21">
                  <c:v>140900.2978723569</c:v>
                </c:pt>
                <c:pt idx="22">
                  <c:v>134221.57126617545</c:v>
                </c:pt>
                <c:pt idx="23">
                  <c:v>124152.61344781873</c:v>
                </c:pt>
                <c:pt idx="24">
                  <c:v>120031.53040026881</c:v>
                </c:pt>
                <c:pt idx="25">
                  <c:v>116559.11513933887</c:v>
                </c:pt>
                <c:pt idx="26">
                  <c:v>113238.45510075938</c:v>
                </c:pt>
                <c:pt idx="27">
                  <c:v>108911.38353015682</c:v>
                </c:pt>
                <c:pt idx="28">
                  <c:v>104078.90008069215</c:v>
                </c:pt>
                <c:pt idx="29">
                  <c:v>96425.34927662772</c:v>
                </c:pt>
                <c:pt idx="30">
                  <c:v>85830.563611248363</c:v>
                </c:pt>
                <c:pt idx="31">
                  <c:v>74760.787346921585</c:v>
                </c:pt>
                <c:pt idx="32">
                  <c:v>63635.926537209205</c:v>
                </c:pt>
                <c:pt idx="33">
                  <c:v>54543.512786661493</c:v>
                </c:pt>
                <c:pt idx="34">
                  <c:v>50973.631027370255</c:v>
                </c:pt>
                <c:pt idx="35">
                  <c:v>49559.100498793188</c:v>
                </c:pt>
                <c:pt idx="36">
                  <c:v>48795.263475390464</c:v>
                </c:pt>
                <c:pt idx="37">
                  <c:v>48389.498490974562</c:v>
                </c:pt>
                <c:pt idx="38">
                  <c:v>47665.448771087256</c:v>
                </c:pt>
              </c:numCache>
            </c:numRef>
          </c:yVal>
          <c:smooth val="1"/>
          <c:extLst>
            <c:ext xmlns:c16="http://schemas.microsoft.com/office/drawing/2014/chart" uri="{C3380CC4-5D6E-409C-BE32-E72D297353CC}">
              <c16:uniqueId val="{00000003-5F6A-40A4-931B-DD5FC4D6DD96}"/>
            </c:ext>
          </c:extLst>
        </c:ser>
        <c:ser>
          <c:idx val="5"/>
          <c:order val="5"/>
          <c:tx>
            <c:v>E</c:v>
          </c:tx>
          <c:spPr>
            <a:ln w="19050" cap="rnd">
              <a:solidFill>
                <a:schemeClr val="accent6"/>
              </a:solidFill>
              <a:round/>
            </a:ln>
            <a:effectLst/>
          </c:spPr>
          <c:marker>
            <c:symbol val="none"/>
          </c:marker>
          <c:xVal>
            <c:numRef>
              <c:f>'Mkt Pen Veh-Mi'!$W$9:$W$52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'Mkt Pen Veh-Mi'!$AO$18:$AO$52</c:f>
              <c:numCache>
                <c:formatCode>#,##0</c:formatCode>
                <c:ptCount val="3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71616.08895539795</c:v>
                </c:pt>
                <c:pt idx="24">
                  <c:v>71590.187312641923</c:v>
                </c:pt>
                <c:pt idx="25">
                  <c:v>70056.888268057824</c:v>
                </c:pt>
                <c:pt idx="26">
                  <c:v>65861.511805418791</c:v>
                </c:pt>
                <c:pt idx="27">
                  <c:v>60486.171526173028</c:v>
                </c:pt>
                <c:pt idx="28">
                  <c:v>54470.527441449995</c:v>
                </c:pt>
                <c:pt idx="29">
                  <c:v>48154.760122340413</c:v>
                </c:pt>
                <c:pt idx="30">
                  <c:v>44866.731753431173</c:v>
                </c:pt>
                <c:pt idx="31">
                  <c:v>42768.753372338186</c:v>
                </c:pt>
                <c:pt idx="32">
                  <c:v>41908.085503040231</c:v>
                </c:pt>
                <c:pt idx="33">
                  <c:v>41094.01211379841</c:v>
                </c:pt>
                <c:pt idx="34">
                  <c:v>40427.061102572763</c:v>
                </c:pt>
              </c:numCache>
            </c:numRef>
          </c:yVal>
          <c:smooth val="1"/>
          <c:extLst>
            <c:ext xmlns:c16="http://schemas.microsoft.com/office/drawing/2014/chart" uri="{C3380CC4-5D6E-409C-BE32-E72D297353CC}">
              <c16:uniqueId val="{00000005-5F6A-40A4-931B-DD5FC4D6DD96}"/>
            </c:ext>
          </c:extLst>
        </c:ser>
        <c:dLbls>
          <c:showLegendKey val="0"/>
          <c:showVal val="0"/>
          <c:showCatName val="0"/>
          <c:showSerName val="0"/>
          <c:showPercent val="0"/>
          <c:showBubbleSize val="0"/>
        </c:dLbls>
        <c:axId val="631504240"/>
        <c:axId val="631500304"/>
      </c:scatterChart>
      <c:valAx>
        <c:axId val="631504240"/>
        <c:scaling>
          <c:orientation val="minMax"/>
          <c:max val="2050"/>
          <c:min val="2007"/>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0304"/>
        <c:crosses val="autoZero"/>
        <c:crossBetween val="midCat"/>
      </c:valAx>
      <c:valAx>
        <c:axId val="631500304"/>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150424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r>
              <a:rPr lang="en-US" sz="1400"/>
              <a:t>Class 7&amp;8 Sleeper Trucks</a:t>
            </a:r>
          </a:p>
        </c:rich>
      </c:tx>
      <c:overlay val="0"/>
      <c:spPr>
        <a:noFill/>
        <a:ln>
          <a:noFill/>
        </a:ln>
        <a:effectLst/>
      </c:spPr>
      <c:txPr>
        <a:bodyPr rot="0" spcFirstLastPara="1" vertOverflow="ellipsis" vert="horz" wrap="square" anchor="ctr" anchorCtr="1"/>
        <a:lstStyle/>
        <a:p>
          <a:pPr>
            <a:defRPr sz="14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'Mkt Pen Veh-Mi'!$C$7</c:f>
              <c:strCache>
                <c:ptCount val="1"/>
                <c:pt idx="0">
                  <c:v>Adv Conv</c:v>
                </c:pt>
              </c:strCache>
            </c:strRef>
          </c:tx>
          <c:spPr>
            <a:solidFill>
              <a:schemeClr val="accent2">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Veh-Mi'!$C$17:$C$52</c:f>
              <c:numCache>
                <c:formatCode>0.0%</c:formatCode>
                <c:ptCount val="36"/>
                <c:pt idx="0">
                  <c:v>0</c:v>
                </c:pt>
                <c:pt idx="1">
                  <c:v>0</c:v>
                </c:pt>
                <c:pt idx="2">
                  <c:v>0</c:v>
                </c:pt>
                <c:pt idx="3">
                  <c:v>0</c:v>
                </c:pt>
                <c:pt idx="4">
                  <c:v>0</c:v>
                </c:pt>
                <c:pt idx="5">
                  <c:v>0</c:v>
                </c:pt>
                <c:pt idx="6">
                  <c:v>0</c:v>
                </c:pt>
                <c:pt idx="7">
                  <c:v>1.5928931240959662E-2</c:v>
                </c:pt>
                <c:pt idx="8">
                  <c:v>3.8506518821436485E-2</c:v>
                </c:pt>
                <c:pt idx="9">
                  <c:v>9.1397921213851346E-2</c:v>
                </c:pt>
                <c:pt idx="10">
                  <c:v>0.18410656562789671</c:v>
                </c:pt>
                <c:pt idx="11">
                  <c:v>0.22489262946611011</c:v>
                </c:pt>
                <c:pt idx="12">
                  <c:v>0.28083845692270154</c:v>
                </c:pt>
                <c:pt idx="13">
                  <c:v>0.29276057644526754</c:v>
                </c:pt>
                <c:pt idx="14">
                  <c:v>0.30692085019144022</c:v>
                </c:pt>
                <c:pt idx="15">
                  <c:v>0.30018362719385988</c:v>
                </c:pt>
                <c:pt idx="16">
                  <c:v>0.29458940799379474</c:v>
                </c:pt>
                <c:pt idx="17">
                  <c:v>0.2889263980489466</c:v>
                </c:pt>
                <c:pt idx="18">
                  <c:v>0.2764426782503826</c:v>
                </c:pt>
                <c:pt idx="19">
                  <c:v>0.27582637756335704</c:v>
                </c:pt>
                <c:pt idx="20">
                  <c:v>0.27400486324740425</c:v>
                </c:pt>
                <c:pt idx="21">
                  <c:v>0.21913461720827299</c:v>
                </c:pt>
                <c:pt idx="22">
                  <c:v>0.20429912891693064</c:v>
                </c:pt>
                <c:pt idx="23">
                  <c:v>0.24182327651210453</c:v>
                </c:pt>
                <c:pt idx="24">
                  <c:v>0.29041562794972592</c:v>
                </c:pt>
                <c:pt idx="25">
                  <c:v>0.32718663432259237</c:v>
                </c:pt>
                <c:pt idx="26">
                  <c:v>0.3520341054494357</c:v>
                </c:pt>
                <c:pt idx="27">
                  <c:v>0.36683570749533823</c:v>
                </c:pt>
                <c:pt idx="28">
                  <c:v>0.370824673206192</c:v>
                </c:pt>
                <c:pt idx="29">
                  <c:v>0.36946290744104177</c:v>
                </c:pt>
                <c:pt idx="30">
                  <c:v>0.36802435587783366</c:v>
                </c:pt>
                <c:pt idx="31">
                  <c:v>0.36283695714761266</c:v>
                </c:pt>
                <c:pt idx="32">
                  <c:v>0.35691139316353138</c:v>
                </c:pt>
                <c:pt idx="33">
                  <c:v>0.34544354797661919</c:v>
                </c:pt>
                <c:pt idx="34">
                  <c:v>0.32692353791740225</c:v>
                </c:pt>
                <c:pt idx="35">
                  <c:v>0.3030986653860574</c:v>
                </c:pt>
              </c:numCache>
            </c:numRef>
          </c:val>
          <c:extLst>
            <c:ext xmlns:c16="http://schemas.microsoft.com/office/drawing/2014/chart" uri="{C3380CC4-5D6E-409C-BE32-E72D297353CC}">
              <c16:uniqueId val="{00000000-784F-420E-822A-DB86B0C65B19}"/>
            </c:ext>
          </c:extLst>
        </c:ser>
        <c:ser>
          <c:idx val="2"/>
          <c:order val="1"/>
          <c:tx>
            <c:strRef>
              <c:f>'Mkt Pen Veh-Mi'!$D$7</c:f>
              <c:strCache>
                <c:ptCount val="1"/>
                <c:pt idx="0">
                  <c:v>HEV</c:v>
                </c:pt>
              </c:strCache>
            </c:strRef>
          </c:tx>
          <c:spPr>
            <a:solidFill>
              <a:schemeClr val="accent3">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Veh-Mi'!$D$17:$D$52</c:f>
              <c:numCache>
                <c:formatCode>0.0%</c:formatCode>
                <c:ptCount val="36"/>
                <c:pt idx="0">
                  <c:v>0</c:v>
                </c:pt>
                <c:pt idx="1">
                  <c:v>0</c:v>
                </c:pt>
                <c:pt idx="2">
                  <c:v>0</c:v>
                </c:pt>
                <c:pt idx="3">
                  <c:v>0</c:v>
                </c:pt>
                <c:pt idx="4">
                  <c:v>0</c:v>
                </c:pt>
                <c:pt idx="5">
                  <c:v>0</c:v>
                </c:pt>
                <c:pt idx="6">
                  <c:v>0</c:v>
                </c:pt>
                <c:pt idx="7">
                  <c:v>9.0698052157983603E-3</c:v>
                </c:pt>
                <c:pt idx="8">
                  <c:v>2.5977112997027468E-2</c:v>
                </c:pt>
                <c:pt idx="9">
                  <c:v>6.6497648390141037E-2</c:v>
                </c:pt>
                <c:pt idx="10">
                  <c:v>0.13170010618167194</c:v>
                </c:pt>
                <c:pt idx="11">
                  <c:v>0.17632342403187831</c:v>
                </c:pt>
                <c:pt idx="12">
                  <c:v>0.1940036380727384</c:v>
                </c:pt>
                <c:pt idx="13">
                  <c:v>0.22778966034938467</c:v>
                </c:pt>
                <c:pt idx="14">
                  <c:v>0.21916314556472735</c:v>
                </c:pt>
                <c:pt idx="15">
                  <c:v>0.23406339364196085</c:v>
                </c:pt>
                <c:pt idx="16">
                  <c:v>0.23889857059920339</c:v>
                </c:pt>
                <c:pt idx="17">
                  <c:v>0.2407676987097872</c:v>
                </c:pt>
                <c:pt idx="18">
                  <c:v>0.26663982255385671</c:v>
                </c:pt>
                <c:pt idx="19">
                  <c:v>0.27223891368770353</c:v>
                </c:pt>
                <c:pt idx="20">
                  <c:v>0.2779682119826169</c:v>
                </c:pt>
                <c:pt idx="21">
                  <c:v>0.36146659305503592</c:v>
                </c:pt>
                <c:pt idx="22">
                  <c:v>0.39585178633147872</c:v>
                </c:pt>
                <c:pt idx="23">
                  <c:v>0.40335121162467524</c:v>
                </c:pt>
                <c:pt idx="24">
                  <c:v>0.40000200431898847</c:v>
                </c:pt>
                <c:pt idx="25">
                  <c:v>0.40716406323173315</c:v>
                </c:pt>
                <c:pt idx="26">
                  <c:v>0.41733055486797072</c:v>
                </c:pt>
                <c:pt idx="27">
                  <c:v>0.42158901861412856</c:v>
                </c:pt>
                <c:pt idx="28">
                  <c:v>0.4190871693093573</c:v>
                </c:pt>
                <c:pt idx="29">
                  <c:v>0.41757398007967084</c:v>
                </c:pt>
                <c:pt idx="30">
                  <c:v>0.41192975162800699</c:v>
                </c:pt>
                <c:pt idx="31">
                  <c:v>0.40734023449632961</c:v>
                </c:pt>
                <c:pt idx="32">
                  <c:v>0.40636024101261392</c:v>
                </c:pt>
                <c:pt idx="33">
                  <c:v>0.39199108422306833</c:v>
                </c:pt>
                <c:pt idx="34">
                  <c:v>0.37295341971484108</c:v>
                </c:pt>
                <c:pt idx="35">
                  <c:v>0.3445598742204905</c:v>
                </c:pt>
              </c:numCache>
            </c:numRef>
          </c:val>
          <c:extLst>
            <c:ext xmlns:c16="http://schemas.microsoft.com/office/drawing/2014/chart" uri="{C3380CC4-5D6E-409C-BE32-E72D297353CC}">
              <c16:uniqueId val="{00000001-784F-420E-822A-DB86B0C65B19}"/>
            </c:ext>
          </c:extLst>
        </c:ser>
        <c:ser>
          <c:idx val="3"/>
          <c:order val="2"/>
          <c:tx>
            <c:strRef>
              <c:f>'Mkt Pen Veh-Mi'!$E$7</c:f>
              <c:strCache>
                <c:ptCount val="1"/>
                <c:pt idx="0">
                  <c:v>BEV</c:v>
                </c:pt>
              </c:strCache>
            </c:strRef>
          </c:tx>
          <c:spPr>
            <a:solidFill>
              <a:schemeClr val="accent4">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Veh-Mi'!$E$17:$E$52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5.0713692537220211E-5</c:v>
                </c:pt>
                <c:pt idx="31">
                  <c:v>1.5211894680285001E-3</c:v>
                </c:pt>
                <c:pt idx="32">
                  <c:v>9.3260162876312794E-3</c:v>
                </c:pt>
                <c:pt idx="33">
                  <c:v>2.6929460502001738E-2</c:v>
                </c:pt>
                <c:pt idx="34">
                  <c:v>5.605362097632792E-2</c:v>
                </c:pt>
                <c:pt idx="35">
                  <c:v>9.726571981986061E-2</c:v>
                </c:pt>
              </c:numCache>
            </c:numRef>
          </c:val>
          <c:extLst>
            <c:ext xmlns:c16="http://schemas.microsoft.com/office/drawing/2014/chart" uri="{C3380CC4-5D6E-409C-BE32-E72D297353CC}">
              <c16:uniqueId val="{00000002-784F-420E-822A-DB86B0C65B19}"/>
            </c:ext>
          </c:extLst>
        </c:ser>
        <c:ser>
          <c:idx val="0"/>
          <c:order val="3"/>
          <c:tx>
            <c:strRef>
              <c:f>'Mkt Pen Veh-Mi'!$F$7</c:f>
              <c:strCache>
                <c:ptCount val="1"/>
                <c:pt idx="0">
                  <c:v>FCEV</c:v>
                </c:pt>
              </c:strCache>
            </c:strRef>
          </c:tx>
          <c:spPr>
            <a:solidFill>
              <a:schemeClr val="accent1">
                <a:alpha val="85000"/>
              </a:schemeClr>
            </a:solidFill>
            <a:ln>
              <a:noFill/>
            </a:ln>
            <a:effectLst>
              <a:innerShdw dist="12700" dir="16200000">
                <a:schemeClr val="lt1"/>
              </a:innerShdw>
            </a:effectLst>
          </c:spPr>
          <c:cat>
            <c:numRef>
              <c:f>'Mkt Pen Veh-Mi'!$A$17:$A$52</c:f>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f>'Mkt Pen Veh-Mi'!$F$17:$F$52</c:f>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8.5223333221384425E-6</c:v>
                </c:pt>
                <c:pt idx="27">
                  <c:v>5.8201448423591596E-4</c:v>
                </c:pt>
                <c:pt idx="28">
                  <c:v>2.2929846717783722E-3</c:v>
                </c:pt>
                <c:pt idx="29">
                  <c:v>6.1320633523198574E-3</c:v>
                </c:pt>
                <c:pt idx="30">
                  <c:v>1.2635393638117189E-2</c:v>
                </c:pt>
                <c:pt idx="31">
                  <c:v>1.8958411556802866E-2</c:v>
                </c:pt>
                <c:pt idx="32">
                  <c:v>2.7964681300668086E-2</c:v>
                </c:pt>
                <c:pt idx="33">
                  <c:v>3.7190705850946054E-2</c:v>
                </c:pt>
                <c:pt idx="34">
                  <c:v>4.8917968552699732E-2</c:v>
                </c:pt>
                <c:pt idx="35">
                  <c:v>5.8605965978718935E-2</c:v>
                </c:pt>
              </c:numCache>
            </c:numRef>
          </c:val>
          <c:extLst>
            <c:ext xmlns:c16="http://schemas.microsoft.com/office/drawing/2014/chart" uri="{C3380CC4-5D6E-409C-BE32-E72D297353CC}">
              <c16:uniqueId val="{00000003-784F-420E-822A-DB86B0C65B19}"/>
            </c:ext>
          </c:extLst>
        </c:ser>
        <c:dLbls>
          <c:showLegendKey val="0"/>
          <c:showVal val="0"/>
          <c:showCatName val="0"/>
          <c:showSerName val="0"/>
          <c:showPercent val="0"/>
          <c:showBubbleSize val="0"/>
        </c:dLbls>
        <c:axId val="677974352"/>
        <c:axId val="677974912"/>
        <c:extLst>
          <c:ext xmlns:c15="http://schemas.microsoft.com/office/drawing/2012/chart" uri="{02D57815-91ED-43cb-92C2-25804820EDAC}">
            <c15:filteredAreaSeries>
              <c15:ser>
                <c:idx val="4"/>
                <c:order val="4"/>
                <c:tx>
                  <c:strRef>
                    <c:extLst>
                      <c:ext uri="{02D57815-91ED-43cb-92C2-25804820EDAC}">
                        <c15:formulaRef>
                          <c15:sqref>'Mkt Pen Veh-Mi'!$G$7</c15:sqref>
                        </c15:formulaRef>
                      </c:ext>
                    </c:extLst>
                    <c:strCache>
                      <c:ptCount val="1"/>
                      <c:pt idx="0">
                        <c:v>0</c:v>
                      </c:pt>
                    </c:strCache>
                  </c:strRef>
                </c:tx>
                <c:spPr>
                  <a:solidFill>
                    <a:schemeClr val="accent5">
                      <a:alpha val="85000"/>
                    </a:schemeClr>
                  </a:solidFill>
                  <a:ln>
                    <a:noFill/>
                  </a:ln>
                  <a:effectLst>
                    <a:innerShdw dist="12700" dir="16200000">
                      <a:schemeClr val="lt1"/>
                    </a:innerShdw>
                  </a:effectLst>
                </c:spPr>
                <c:cat>
                  <c:numRef>
                    <c:extLst>
                      <c:ext uri="{02D57815-91ED-43cb-92C2-25804820EDAC}">
                        <c15:formulaRef>
                          <c15:sqref>'Mkt Pen Veh-Mi'!$A$17:$A$52</c15:sqref>
                        </c15:formulaRef>
                      </c:ext>
                    </c:extLst>
                    <c:numCache>
                      <c:formatCode>General</c:formatCode>
                      <c:ptCount val="36"/>
                      <c:pt idx="0">
                        <c:v>2015</c:v>
                      </c:pt>
                      <c:pt idx="1">
                        <c:v>2016</c:v>
                      </c:pt>
                      <c:pt idx="2">
                        <c:v>2017</c:v>
                      </c:pt>
                      <c:pt idx="3">
                        <c:v>2018</c:v>
                      </c:pt>
                      <c:pt idx="4">
                        <c:v>2019</c:v>
                      </c:pt>
                      <c:pt idx="5">
                        <c:v>2020</c:v>
                      </c:pt>
                      <c:pt idx="6">
                        <c:v>2021</c:v>
                      </c:pt>
                      <c:pt idx="7">
                        <c:v>2022</c:v>
                      </c:pt>
                      <c:pt idx="8">
                        <c:v>2023</c:v>
                      </c:pt>
                      <c:pt idx="9">
                        <c:v>2024</c:v>
                      </c:pt>
                      <c:pt idx="10">
                        <c:v>2025</c:v>
                      </c:pt>
                      <c:pt idx="11">
                        <c:v>2026</c:v>
                      </c:pt>
                      <c:pt idx="12">
                        <c:v>2027</c:v>
                      </c:pt>
                      <c:pt idx="13">
                        <c:v>2028</c:v>
                      </c:pt>
                      <c:pt idx="14">
                        <c:v>2029</c:v>
                      </c:pt>
                      <c:pt idx="15">
                        <c:v>2030</c:v>
                      </c:pt>
                      <c:pt idx="16">
                        <c:v>2031</c:v>
                      </c:pt>
                      <c:pt idx="17">
                        <c:v>2032</c:v>
                      </c:pt>
                      <c:pt idx="18">
                        <c:v>2033</c:v>
                      </c:pt>
                      <c:pt idx="19">
                        <c:v>2034</c:v>
                      </c:pt>
                      <c:pt idx="20">
                        <c:v>2035</c:v>
                      </c:pt>
                      <c:pt idx="21">
                        <c:v>2036</c:v>
                      </c:pt>
                      <c:pt idx="22">
                        <c:v>2037</c:v>
                      </c:pt>
                      <c:pt idx="23">
                        <c:v>2038</c:v>
                      </c:pt>
                      <c:pt idx="24">
                        <c:v>2039</c:v>
                      </c:pt>
                      <c:pt idx="25">
                        <c:v>2040</c:v>
                      </c:pt>
                      <c:pt idx="26">
                        <c:v>2041</c:v>
                      </c:pt>
                      <c:pt idx="27">
                        <c:v>2042</c:v>
                      </c:pt>
                      <c:pt idx="28">
                        <c:v>2043</c:v>
                      </c:pt>
                      <c:pt idx="29">
                        <c:v>2044</c:v>
                      </c:pt>
                      <c:pt idx="30">
                        <c:v>2045</c:v>
                      </c:pt>
                      <c:pt idx="31">
                        <c:v>2046</c:v>
                      </c:pt>
                      <c:pt idx="32">
                        <c:v>2047</c:v>
                      </c:pt>
                      <c:pt idx="33">
                        <c:v>2048</c:v>
                      </c:pt>
                      <c:pt idx="34">
                        <c:v>2049</c:v>
                      </c:pt>
                      <c:pt idx="35">
                        <c:v>2050</c:v>
                      </c:pt>
                    </c:numCache>
                  </c:numRef>
                </c:cat>
                <c:val>
                  <c:numRef>
                    <c:extLst>
                      <c:ext uri="{02D57815-91ED-43cb-92C2-25804820EDAC}">
                        <c15:formulaRef>
                          <c15:sqref>'Mkt Pen Veh-Mi'!$G$17:$G$52</c15:sqref>
                        </c15:formulaRef>
                      </c:ext>
                    </c:extLst>
                    <c:numCache>
                      <c:formatCode>0.0%</c:formatCode>
                      <c:ptCount val="3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numCache>
                  </c:numRef>
                </c:val>
                <c:extLst>
                  <c:ext xmlns:c16="http://schemas.microsoft.com/office/drawing/2014/chart" uri="{C3380CC4-5D6E-409C-BE32-E72D297353CC}">
                    <c16:uniqueId val="{00000004-784F-420E-822A-DB86B0C65B19}"/>
                  </c:ext>
                </c:extLst>
              </c15:ser>
            </c15:filteredAreaSeries>
          </c:ext>
        </c:extLst>
      </c:areaChart>
      <c:catAx>
        <c:axId val="67797435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1100" b="0" i="0" u="none" strike="noStrike" kern="1200" cap="all" baseline="0">
                <a:solidFill>
                  <a:schemeClr val="dk1">
                    <a:lumMod val="75000"/>
                    <a:lumOff val="25000"/>
                  </a:schemeClr>
                </a:solidFill>
                <a:latin typeface="+mn-lt"/>
                <a:ea typeface="+mn-ea"/>
                <a:cs typeface="+mn-cs"/>
              </a:defRPr>
            </a:pPr>
            <a:endParaRPr lang="en-US"/>
          </a:p>
        </c:txPr>
        <c:crossAx val="677974912"/>
        <c:crosses val="autoZero"/>
        <c:auto val="1"/>
        <c:lblAlgn val="ctr"/>
        <c:lblOffset val="100"/>
        <c:tickLblSkip val="5"/>
        <c:noMultiLvlLbl val="0"/>
      </c:catAx>
      <c:valAx>
        <c:axId val="67797491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crossAx val="67797435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11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Sleepers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Penetration'!$C$7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Penetration'!$C$22:$C$52</c:f>
              <c:numCache>
                <c:formatCode>0.0%</c:formatCode>
                <c:ptCount val="31"/>
                <c:pt idx="0">
                  <c:v>0</c:v>
                </c:pt>
                <c:pt idx="1">
                  <c:v>0</c:v>
                </c:pt>
                <c:pt idx="2">
                  <c:v>1.7044895844370841E-2</c:v>
                </c:pt>
                <c:pt idx="3">
                  <c:v>4.095089665199779E-2</c:v>
                </c:pt>
                <c:pt idx="4">
                  <c:v>9.2702824086043342E-2</c:v>
                </c:pt>
                <c:pt idx="5">
                  <c:v>0.18216127261487028</c:v>
                </c:pt>
                <c:pt idx="6">
                  <c:v>0.2402983816876117</c:v>
                </c:pt>
                <c:pt idx="7">
                  <c:v>0.30045915818016555</c:v>
                </c:pt>
                <c:pt idx="8">
                  <c:v>0.31288121704383121</c:v>
                </c:pt>
                <c:pt idx="9">
                  <c:v>0.32855024258670967</c:v>
                </c:pt>
                <c:pt idx="10">
                  <c:v>0.32076429501865433</c:v>
                </c:pt>
                <c:pt idx="11">
                  <c:v>0.31440701585679487</c:v>
                </c:pt>
                <c:pt idx="12">
                  <c:v>0.30815053559833705</c:v>
                </c:pt>
                <c:pt idx="13">
                  <c:v>0.29493187900533979</c:v>
                </c:pt>
                <c:pt idx="14">
                  <c:v>0.29428024161458882</c:v>
                </c:pt>
                <c:pt idx="15">
                  <c:v>0.29134402124707781</c:v>
                </c:pt>
                <c:pt idx="16">
                  <c:v>0.22312063776907151</c:v>
                </c:pt>
                <c:pt idx="17">
                  <c:v>0.19285462853098459</c:v>
                </c:pt>
                <c:pt idx="18">
                  <c:v>0.21020728453946841</c:v>
                </c:pt>
                <c:pt idx="19">
                  <c:v>0.24996526864949906</c:v>
                </c:pt>
                <c:pt idx="20">
                  <c:v>0.28714682952962672</c:v>
                </c:pt>
                <c:pt idx="21">
                  <c:v>0.31265971701245598</c:v>
                </c:pt>
                <c:pt idx="22">
                  <c:v>0.32839124379167572</c:v>
                </c:pt>
                <c:pt idx="23">
                  <c:v>0.33345499273802404</c:v>
                </c:pt>
                <c:pt idx="24">
                  <c:v>0.33329607146083357</c:v>
                </c:pt>
                <c:pt idx="25">
                  <c:v>0.33251724014493345</c:v>
                </c:pt>
                <c:pt idx="26">
                  <c:v>0.32809237448066914</c:v>
                </c:pt>
                <c:pt idx="27">
                  <c:v>0.32315087930349573</c:v>
                </c:pt>
                <c:pt idx="28">
                  <c:v>0.31280036949361012</c:v>
                </c:pt>
                <c:pt idx="29">
                  <c:v>0.29517978815515766</c:v>
                </c:pt>
                <c:pt idx="30">
                  <c:v>0.2711981103066633</c:v>
                </c:pt>
              </c:numCache>
            </c:numRef>
          </c:val>
          <c:extLst>
            <c:ext xmlns:c16="http://schemas.microsoft.com/office/drawing/2014/chart" uri="{C3380CC4-5D6E-409C-BE32-E72D297353CC}">
              <c16:uniqueId val="{00000000-1E6E-4A76-B88A-AB671756BABF}"/>
            </c:ext>
          </c:extLst>
        </c:ser>
        <c:ser>
          <c:idx val="2"/>
          <c:order val="1"/>
          <c:tx>
            <c:strRef>
              <c:f>'Market Penetration'!$D$7</c:f>
              <c:strCache>
                <c:ptCount val="1"/>
                <c:pt idx="0">
                  <c:v>HEV</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Penetration'!$D$22:$D$52</c:f>
              <c:numCache>
                <c:formatCode>0.0%</c:formatCode>
                <c:ptCount val="31"/>
                <c:pt idx="0">
                  <c:v>0</c:v>
                </c:pt>
                <c:pt idx="1">
                  <c:v>0</c:v>
                </c:pt>
                <c:pt idx="2">
                  <c:v>7.3637584910937305E-3</c:v>
                </c:pt>
                <c:pt idx="3">
                  <c:v>2.1421975196902743E-2</c:v>
                </c:pt>
                <c:pt idx="4">
                  <c:v>5.5957084378339787E-2</c:v>
                </c:pt>
                <c:pt idx="5">
                  <c:v>0.11165344121622386</c:v>
                </c:pt>
                <c:pt idx="6">
                  <c:v>0.1464308327785554</c:v>
                </c:pt>
                <c:pt idx="7">
                  <c:v>0.15959782276906775</c:v>
                </c:pt>
                <c:pt idx="8">
                  <c:v>0.18886421365511502</c:v>
                </c:pt>
                <c:pt idx="9">
                  <c:v>0.18039146158543157</c:v>
                </c:pt>
                <c:pt idx="10">
                  <c:v>0.19325196711754603</c:v>
                </c:pt>
                <c:pt idx="11">
                  <c:v>0.19796033673598434</c:v>
                </c:pt>
                <c:pt idx="12">
                  <c:v>0.19940684593271188</c:v>
                </c:pt>
                <c:pt idx="13">
                  <c:v>0.22131565013471335</c:v>
                </c:pt>
                <c:pt idx="14">
                  <c:v>0.22573913889792085</c:v>
                </c:pt>
                <c:pt idx="15">
                  <c:v>0.23148479643211128</c:v>
                </c:pt>
                <c:pt idx="16">
                  <c:v>0.30915377345419337</c:v>
                </c:pt>
                <c:pt idx="17">
                  <c:v>0.34635156787423532</c:v>
                </c:pt>
                <c:pt idx="18">
                  <c:v>0.36104098843134713</c:v>
                </c:pt>
                <c:pt idx="19">
                  <c:v>0.36244966474239537</c:v>
                </c:pt>
                <c:pt idx="20">
                  <c:v>0.37009259054167803</c:v>
                </c:pt>
                <c:pt idx="21">
                  <c:v>0.38225917722647212</c:v>
                </c:pt>
                <c:pt idx="22">
                  <c:v>0.38782938632459435</c:v>
                </c:pt>
                <c:pt idx="23">
                  <c:v>0.38685605966725173</c:v>
                </c:pt>
                <c:pt idx="24">
                  <c:v>0.38655267581793051</c:v>
                </c:pt>
                <c:pt idx="25">
                  <c:v>0.38168745472257726</c:v>
                </c:pt>
                <c:pt idx="26">
                  <c:v>0.37839748173494131</c:v>
                </c:pt>
                <c:pt idx="27">
                  <c:v>0.37839937778252808</c:v>
                </c:pt>
                <c:pt idx="28">
                  <c:v>0.36413100370385287</c:v>
                </c:pt>
                <c:pt idx="29">
                  <c:v>0.34661013361517534</c:v>
                </c:pt>
                <c:pt idx="30">
                  <c:v>0.31770364922551453</c:v>
                </c:pt>
              </c:numCache>
            </c:numRef>
          </c:val>
          <c:extLst>
            <c:ext xmlns:c16="http://schemas.microsoft.com/office/drawing/2014/chart" uri="{C3380CC4-5D6E-409C-BE32-E72D297353CC}">
              <c16:uniqueId val="{00000001-1E6E-4A76-B88A-AB671756BABF}"/>
            </c:ext>
          </c:extLst>
        </c:ser>
        <c:ser>
          <c:idx val="3"/>
          <c:order val="2"/>
          <c:tx>
            <c:strRef>
              <c:f>'Market Penetration'!$E$7</c:f>
              <c:strCache>
                <c:ptCount val="1"/>
                <c:pt idx="0">
                  <c:v>BEV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Penetration'!$E$22:$E$52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4.5358584590571963E-5</c:v>
                </c:pt>
                <c:pt idx="26">
                  <c:v>1.3959703463673995E-3</c:v>
                </c:pt>
                <c:pt idx="27">
                  <c:v>8.706897422455737E-3</c:v>
                </c:pt>
                <c:pt idx="28">
                  <c:v>2.5620065102783744E-2</c:v>
                </c:pt>
                <c:pt idx="29">
                  <c:v>5.4580734048934501E-2</c:v>
                </c:pt>
                <c:pt idx="30">
                  <c:v>9.7090428158108671E-2</c:v>
                </c:pt>
              </c:numCache>
            </c:numRef>
          </c:val>
          <c:extLst>
            <c:ext xmlns:c16="http://schemas.microsoft.com/office/drawing/2014/chart" uri="{C3380CC4-5D6E-409C-BE32-E72D297353CC}">
              <c16:uniqueId val="{00000002-1E6E-4A76-B88A-AB671756BABF}"/>
            </c:ext>
          </c:extLst>
        </c:ser>
        <c:ser>
          <c:idx val="0"/>
          <c:order val="3"/>
          <c:tx>
            <c:strRef>
              <c:f>'Market Penetration'!$F$7</c:f>
              <c:strCache>
                <c:ptCount val="1"/>
                <c:pt idx="0">
                  <c:v>FCEV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Penetration'!$F$22:$F$52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4.079308236481345E-6</c:v>
                </c:pt>
                <c:pt idx="22">
                  <c:v>2.8608625667633439E-4</c:v>
                </c:pt>
                <c:pt idx="23">
                  <c:v>1.2816679940785575E-3</c:v>
                </c:pt>
                <c:pt idx="24">
                  <c:v>4.0119074813247764E-3</c:v>
                </c:pt>
                <c:pt idx="25">
                  <c:v>9.1779750977458545E-3</c:v>
                </c:pt>
                <c:pt idx="26">
                  <c:v>1.4497462631201824E-2</c:v>
                </c:pt>
                <c:pt idx="27">
                  <c:v>2.2319419930371173E-2</c:v>
                </c:pt>
                <c:pt idx="28">
                  <c:v>3.0676758001707525E-2</c:v>
                </c:pt>
                <c:pt idx="29">
                  <c:v>4.1440135576568497E-2</c:v>
                </c:pt>
                <c:pt idx="30">
                  <c:v>5.0546472151762077E-2</c:v>
                </c:pt>
              </c:numCache>
            </c:numRef>
          </c:val>
          <c:extLst>
            <c:ext xmlns:c16="http://schemas.microsoft.com/office/drawing/2014/chart" uri="{C3380CC4-5D6E-409C-BE32-E72D297353CC}">
              <c16:uniqueId val="{00000000-3FC1-4DBC-A305-ECEF2E2778EA}"/>
            </c:ext>
          </c:extLst>
        </c:ser>
        <c:ser>
          <c:idx val="4"/>
          <c:order val="4"/>
          <c:tx>
            <c:strRef>
              <c:f>'Market Penetration'!$G$7</c:f>
              <c:strCache>
                <c:ptCount val="1"/>
                <c:pt idx="0">
                  <c:v>0</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Penetration'!$G$22:$G$52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3FC1-4DBC-A305-ECEF2E2778EA}"/>
            </c:ext>
          </c:extLst>
        </c:ser>
        <c:dLbls>
          <c:showLegendKey val="0"/>
          <c:showVal val="0"/>
          <c:showCatName val="0"/>
          <c:showSerName val="0"/>
          <c:showPercent val="0"/>
          <c:showBubbleSize val="0"/>
        </c:dLbls>
        <c:axId val="578736080"/>
        <c:axId val="677963152"/>
      </c:areaChart>
      <c:catAx>
        <c:axId val="57873608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3152"/>
        <c:crosses val="autoZero"/>
        <c:auto val="1"/>
        <c:lblAlgn val="ctr"/>
        <c:lblOffset val="100"/>
        <c:noMultiLvlLbl val="0"/>
      </c:catAx>
      <c:valAx>
        <c:axId val="6779631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57873608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Single Unit Trucks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Penetration'!$O$7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Penetration'!$O$22:$O$52</c:f>
              <c:numCache>
                <c:formatCode>0.0%</c:formatCode>
                <c:ptCount val="31"/>
                <c:pt idx="0">
                  <c:v>0</c:v>
                </c:pt>
                <c:pt idx="1">
                  <c:v>0</c:v>
                </c:pt>
                <c:pt idx="2">
                  <c:v>1.2488571794085544E-2</c:v>
                </c:pt>
                <c:pt idx="3">
                  <c:v>3.0927247251743915E-2</c:v>
                </c:pt>
                <c:pt idx="4">
                  <c:v>6.1511580316847482E-2</c:v>
                </c:pt>
                <c:pt idx="5">
                  <c:v>5.3200647144274846E-2</c:v>
                </c:pt>
                <c:pt idx="6">
                  <c:v>7.2404998682887037E-2</c:v>
                </c:pt>
                <c:pt idx="7">
                  <c:v>6.4136755317045852E-2</c:v>
                </c:pt>
                <c:pt idx="8">
                  <c:v>7.4327165269390705E-2</c:v>
                </c:pt>
                <c:pt idx="9">
                  <c:v>7.6024916537474965E-2</c:v>
                </c:pt>
                <c:pt idx="10">
                  <c:v>8.1258792115553952E-2</c:v>
                </c:pt>
                <c:pt idx="11">
                  <c:v>8.3192297065448506E-2</c:v>
                </c:pt>
                <c:pt idx="12">
                  <c:v>8.3896138189521463E-2</c:v>
                </c:pt>
                <c:pt idx="13">
                  <c:v>8.7036049514021246E-2</c:v>
                </c:pt>
                <c:pt idx="14">
                  <c:v>8.7303552140733459E-2</c:v>
                </c:pt>
                <c:pt idx="15">
                  <c:v>8.7609300395788098E-2</c:v>
                </c:pt>
                <c:pt idx="16">
                  <c:v>9.2064387579375725E-2</c:v>
                </c:pt>
                <c:pt idx="17">
                  <c:v>9.1761657553919129E-2</c:v>
                </c:pt>
                <c:pt idx="18">
                  <c:v>9.2383779003537392E-2</c:v>
                </c:pt>
                <c:pt idx="19">
                  <c:v>9.4248130585542433E-2</c:v>
                </c:pt>
                <c:pt idx="20">
                  <c:v>9.3908631456694036E-2</c:v>
                </c:pt>
                <c:pt idx="21">
                  <c:v>9.4512567408448309E-2</c:v>
                </c:pt>
                <c:pt idx="22">
                  <c:v>9.345018554593254E-2</c:v>
                </c:pt>
                <c:pt idx="23">
                  <c:v>9.2530768064731858E-2</c:v>
                </c:pt>
                <c:pt idx="24">
                  <c:v>8.8105895518274066E-2</c:v>
                </c:pt>
                <c:pt idx="25">
                  <c:v>8.4112078932868567E-2</c:v>
                </c:pt>
                <c:pt idx="26">
                  <c:v>7.9659675322475268E-2</c:v>
                </c:pt>
                <c:pt idx="27">
                  <c:v>7.7873167105958402E-2</c:v>
                </c:pt>
                <c:pt idx="28">
                  <c:v>7.6515505041703971E-2</c:v>
                </c:pt>
                <c:pt idx="29">
                  <c:v>7.4209711137466286E-2</c:v>
                </c:pt>
                <c:pt idx="30">
                  <c:v>7.4553398730841103E-2</c:v>
                </c:pt>
              </c:numCache>
            </c:numRef>
          </c:val>
          <c:extLst>
            <c:ext xmlns:c16="http://schemas.microsoft.com/office/drawing/2014/chart" uri="{C3380CC4-5D6E-409C-BE32-E72D297353CC}">
              <c16:uniqueId val="{00000000-A9B4-4898-BCD5-53C3B7BA0623}"/>
            </c:ext>
          </c:extLst>
        </c:ser>
        <c:ser>
          <c:idx val="2"/>
          <c:order val="1"/>
          <c:tx>
            <c:strRef>
              <c:f>'Market Penetration'!$P$7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Penetration'!$P$22:$P$52</c:f>
              <c:numCache>
                <c:formatCode>0.0%</c:formatCode>
                <c:ptCount val="31"/>
                <c:pt idx="0">
                  <c:v>0</c:v>
                </c:pt>
                <c:pt idx="1">
                  <c:v>0</c:v>
                </c:pt>
                <c:pt idx="2">
                  <c:v>1.3315891485049781E-2</c:v>
                </c:pt>
                <c:pt idx="3">
                  <c:v>3.0663420493257772E-2</c:v>
                </c:pt>
                <c:pt idx="4">
                  <c:v>5.482922053102246E-2</c:v>
                </c:pt>
                <c:pt idx="5">
                  <c:v>5.8973687004291522E-2</c:v>
                </c:pt>
                <c:pt idx="6">
                  <c:v>9.6471299433021185E-2</c:v>
                </c:pt>
                <c:pt idx="7">
                  <c:v>0.12709471225983268</c:v>
                </c:pt>
                <c:pt idx="8">
                  <c:v>0.14016379730492567</c:v>
                </c:pt>
                <c:pt idx="9">
                  <c:v>0.14223669751265527</c:v>
                </c:pt>
                <c:pt idx="10">
                  <c:v>0.14204499899462908</c:v>
                </c:pt>
                <c:pt idx="11">
                  <c:v>0.14076452020645927</c:v>
                </c:pt>
                <c:pt idx="12">
                  <c:v>0.14689442460332514</c:v>
                </c:pt>
                <c:pt idx="13">
                  <c:v>0.14646334732973076</c:v>
                </c:pt>
                <c:pt idx="14">
                  <c:v>0.14642959500065889</c:v>
                </c:pt>
                <c:pt idx="15">
                  <c:v>0.14393280619220022</c:v>
                </c:pt>
                <c:pt idx="16">
                  <c:v>0.15470320036253207</c:v>
                </c:pt>
                <c:pt idx="17">
                  <c:v>0.15440107185334692</c:v>
                </c:pt>
                <c:pt idx="18">
                  <c:v>0.15149309245228174</c:v>
                </c:pt>
                <c:pt idx="19">
                  <c:v>0.1497980186638728</c:v>
                </c:pt>
                <c:pt idx="20">
                  <c:v>0.14942456300735374</c:v>
                </c:pt>
                <c:pt idx="21">
                  <c:v>0.15470068751467425</c:v>
                </c:pt>
                <c:pt idx="22">
                  <c:v>0.15420155290596785</c:v>
                </c:pt>
                <c:pt idx="23">
                  <c:v>0.14842970486654772</c:v>
                </c:pt>
                <c:pt idx="24">
                  <c:v>0.14134207607701993</c:v>
                </c:pt>
                <c:pt idx="25">
                  <c:v>0.13861219615884512</c:v>
                </c:pt>
                <c:pt idx="26">
                  <c:v>0.13055956046384609</c:v>
                </c:pt>
                <c:pt idx="27">
                  <c:v>0.12226745706428724</c:v>
                </c:pt>
                <c:pt idx="28">
                  <c:v>0.11776743866097679</c:v>
                </c:pt>
                <c:pt idx="29">
                  <c:v>0.11379187417693221</c:v>
                </c:pt>
                <c:pt idx="30">
                  <c:v>0.11988185879214083</c:v>
                </c:pt>
              </c:numCache>
            </c:numRef>
          </c:val>
          <c:extLst>
            <c:ext xmlns:c16="http://schemas.microsoft.com/office/drawing/2014/chart" uri="{C3380CC4-5D6E-409C-BE32-E72D297353CC}">
              <c16:uniqueId val="{00000001-A9B4-4898-BCD5-53C3B7BA0623}"/>
            </c:ext>
          </c:extLst>
        </c:ser>
        <c:ser>
          <c:idx val="3"/>
          <c:order val="2"/>
          <c:tx>
            <c:strRef>
              <c:f>'Market Penetration'!$Q$7</c:f>
              <c:strCache>
                <c:ptCount val="1"/>
                <c:pt idx="0">
                  <c:v>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Penetration'!$Q$22:$Q$52</c:f>
              <c:numCache>
                <c:formatCode>0.0%</c:formatCode>
                <c:ptCount val="31"/>
                <c:pt idx="0">
                  <c:v>0</c:v>
                </c:pt>
                <c:pt idx="1">
                  <c:v>0</c:v>
                </c:pt>
                <c:pt idx="2">
                  <c:v>4.8405203279352691E-4</c:v>
                </c:pt>
                <c:pt idx="3">
                  <c:v>1.7361726942043531E-3</c:v>
                </c:pt>
                <c:pt idx="4">
                  <c:v>5.514111317406695E-3</c:v>
                </c:pt>
                <c:pt idx="5">
                  <c:v>1.3617106092196834E-2</c:v>
                </c:pt>
                <c:pt idx="6">
                  <c:v>2.241739462438834E-2</c:v>
                </c:pt>
                <c:pt idx="7">
                  <c:v>3.0656578461523754E-2</c:v>
                </c:pt>
                <c:pt idx="8">
                  <c:v>3.9071104388393188E-2</c:v>
                </c:pt>
                <c:pt idx="9">
                  <c:v>4.5026451995415662E-2</c:v>
                </c:pt>
                <c:pt idx="10">
                  <c:v>5.2607966566747225E-2</c:v>
                </c:pt>
                <c:pt idx="11">
                  <c:v>5.2914308818673775E-2</c:v>
                </c:pt>
                <c:pt idx="12">
                  <c:v>5.3316580557943756E-2</c:v>
                </c:pt>
                <c:pt idx="13">
                  <c:v>5.4647750229308928E-2</c:v>
                </c:pt>
                <c:pt idx="14">
                  <c:v>5.532972866507678E-2</c:v>
                </c:pt>
                <c:pt idx="15">
                  <c:v>5.6556456313291426E-2</c:v>
                </c:pt>
                <c:pt idx="16">
                  <c:v>5.395755951798397E-2</c:v>
                </c:pt>
                <c:pt idx="17">
                  <c:v>5.434694110902856E-2</c:v>
                </c:pt>
                <c:pt idx="18">
                  <c:v>5.622208830655586E-2</c:v>
                </c:pt>
                <c:pt idx="19">
                  <c:v>5.5772751847236728E-2</c:v>
                </c:pt>
                <c:pt idx="20">
                  <c:v>5.5476762708949384E-2</c:v>
                </c:pt>
                <c:pt idx="21">
                  <c:v>5.5045186839937629E-2</c:v>
                </c:pt>
                <c:pt idx="22">
                  <c:v>5.6685216286937609E-2</c:v>
                </c:pt>
                <c:pt idx="23">
                  <c:v>5.4194725370150132E-2</c:v>
                </c:pt>
                <c:pt idx="24">
                  <c:v>5.3448168515270747E-2</c:v>
                </c:pt>
                <c:pt idx="25">
                  <c:v>5.0837567526946278E-2</c:v>
                </c:pt>
                <c:pt idx="26">
                  <c:v>4.8500382953880192E-2</c:v>
                </c:pt>
                <c:pt idx="27">
                  <c:v>4.7907534660364612E-2</c:v>
                </c:pt>
                <c:pt idx="28">
                  <c:v>4.6896271649200565E-2</c:v>
                </c:pt>
                <c:pt idx="29">
                  <c:v>4.7803383159193968E-2</c:v>
                </c:pt>
                <c:pt idx="30">
                  <c:v>4.7871553438995323E-2</c:v>
                </c:pt>
              </c:numCache>
            </c:numRef>
          </c:val>
          <c:extLst>
            <c:ext xmlns:c16="http://schemas.microsoft.com/office/drawing/2014/chart" uri="{C3380CC4-5D6E-409C-BE32-E72D297353CC}">
              <c16:uniqueId val="{00000002-A9B4-4898-BCD5-53C3B7BA0623}"/>
            </c:ext>
          </c:extLst>
        </c:ser>
        <c:ser>
          <c:idx val="0"/>
          <c:order val="3"/>
          <c:tx>
            <c:strRef>
              <c:f>'Market Penetration'!$R$7</c:f>
              <c:strCache>
                <c:ptCount val="1"/>
                <c:pt idx="0">
                  <c:v>PHEV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Penetration'!$R$22:$R$52</c:f>
              <c:numCache>
                <c:formatCode>0.0%</c:formatCode>
                <c:ptCount val="31"/>
                <c:pt idx="0">
                  <c:v>0</c:v>
                </c:pt>
                <c:pt idx="1">
                  <c:v>0</c:v>
                </c:pt>
                <c:pt idx="2">
                  <c:v>0</c:v>
                </c:pt>
                <c:pt idx="3">
                  <c:v>0</c:v>
                </c:pt>
                <c:pt idx="4">
                  <c:v>0</c:v>
                </c:pt>
                <c:pt idx="5">
                  <c:v>0</c:v>
                </c:pt>
                <c:pt idx="6">
                  <c:v>1.0866518436118608E-7</c:v>
                </c:pt>
                <c:pt idx="7">
                  <c:v>1.5280731010999134E-6</c:v>
                </c:pt>
                <c:pt idx="8">
                  <c:v>1.714498997297714E-5</c:v>
                </c:pt>
                <c:pt idx="9">
                  <c:v>9.6256854466377842E-5</c:v>
                </c:pt>
                <c:pt idx="10">
                  <c:v>4.0359285876549809E-4</c:v>
                </c:pt>
                <c:pt idx="11">
                  <c:v>7.0334809736649661E-4</c:v>
                </c:pt>
                <c:pt idx="12">
                  <c:v>1.0679559874381065E-3</c:v>
                </c:pt>
                <c:pt idx="13">
                  <c:v>1.5531755269836266E-3</c:v>
                </c:pt>
                <c:pt idx="14">
                  <c:v>2.1493295839245708E-3</c:v>
                </c:pt>
                <c:pt idx="15">
                  <c:v>3.1499759440581912E-3</c:v>
                </c:pt>
                <c:pt idx="16">
                  <c:v>3.5605431002051153E-3</c:v>
                </c:pt>
                <c:pt idx="17">
                  <c:v>3.918162507830481E-3</c:v>
                </c:pt>
                <c:pt idx="18">
                  <c:v>4.3693434559576114E-3</c:v>
                </c:pt>
                <c:pt idx="19">
                  <c:v>5.0548119936155668E-3</c:v>
                </c:pt>
                <c:pt idx="20">
                  <c:v>5.9645976859886967E-3</c:v>
                </c:pt>
                <c:pt idx="21">
                  <c:v>7.6482627730916457E-3</c:v>
                </c:pt>
                <c:pt idx="22">
                  <c:v>1.0873357718738905E-2</c:v>
                </c:pt>
                <c:pt idx="23">
                  <c:v>1.5905458201516953E-2</c:v>
                </c:pt>
                <c:pt idx="24">
                  <c:v>2.3799546792952125E-2</c:v>
                </c:pt>
                <c:pt idx="25">
                  <c:v>3.5280745573791877E-2</c:v>
                </c:pt>
                <c:pt idx="26">
                  <c:v>4.2742437573075463E-2</c:v>
                </c:pt>
                <c:pt idx="27">
                  <c:v>4.6711784208900931E-2</c:v>
                </c:pt>
                <c:pt idx="28">
                  <c:v>4.9321659910499777E-2</c:v>
                </c:pt>
                <c:pt idx="29">
                  <c:v>5.0416712077128528E-2</c:v>
                </c:pt>
                <c:pt idx="30">
                  <c:v>5.3198587430355937E-2</c:v>
                </c:pt>
              </c:numCache>
            </c:numRef>
          </c:val>
          <c:extLst>
            <c:ext xmlns:c16="http://schemas.microsoft.com/office/drawing/2014/chart" uri="{C3380CC4-5D6E-409C-BE32-E72D297353CC}">
              <c16:uniqueId val="{00000000-D25A-4906-92DC-4C64D441729F}"/>
            </c:ext>
          </c:extLst>
        </c:ser>
        <c:ser>
          <c:idx val="4"/>
          <c:order val="4"/>
          <c:tx>
            <c:strRef>
              <c:f>'Market Penetration'!$S$7</c:f>
              <c:strCache>
                <c:ptCount val="1"/>
                <c:pt idx="0">
                  <c:v>BEV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Penetration'!$S$22:$S$52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1.4974047266104719E-5</c:v>
                </c:pt>
                <c:pt idx="20">
                  <c:v>1.1429253604132307E-4</c:v>
                </c:pt>
                <c:pt idx="21">
                  <c:v>6.9700101775827319E-4</c:v>
                </c:pt>
                <c:pt idx="22">
                  <c:v>2.9613436805905231E-3</c:v>
                </c:pt>
                <c:pt idx="23">
                  <c:v>7.1498836038144777E-3</c:v>
                </c:pt>
                <c:pt idx="24">
                  <c:v>1.3581275371343739E-2</c:v>
                </c:pt>
                <c:pt idx="25">
                  <c:v>2.37574077138668E-2</c:v>
                </c:pt>
                <c:pt idx="26">
                  <c:v>3.1137940026385404E-2</c:v>
                </c:pt>
                <c:pt idx="27">
                  <c:v>3.7956840664538027E-2</c:v>
                </c:pt>
                <c:pt idx="28">
                  <c:v>4.2277861211956452E-2</c:v>
                </c:pt>
                <c:pt idx="29">
                  <c:v>4.6633030038239209E-2</c:v>
                </c:pt>
                <c:pt idx="30">
                  <c:v>4.9997075893758347E-2</c:v>
                </c:pt>
              </c:numCache>
            </c:numRef>
          </c:val>
          <c:extLst>
            <c:ext xmlns:c16="http://schemas.microsoft.com/office/drawing/2014/chart" uri="{C3380CC4-5D6E-409C-BE32-E72D297353CC}">
              <c16:uniqueId val="{00000001-D25A-4906-92DC-4C64D441729F}"/>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US"/>
              <a:t>Class 7&amp;8 Daycabs</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areaChart>
        <c:grouping val="stacked"/>
        <c:varyColors val="0"/>
        <c:ser>
          <c:idx val="1"/>
          <c:order val="0"/>
          <c:tx>
            <c:strRef>
              <c:f>'Market Penetration'!$I$7</c:f>
              <c:strCache>
                <c:ptCount val="1"/>
                <c:pt idx="0">
                  <c:v>Adv Conv</c:v>
                </c:pt>
              </c:strCache>
            </c:strRef>
          </c:tx>
          <c:spPr>
            <a:solidFill>
              <a:schemeClr val="accent2">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Penetration'!$I$22:$I$52</c:f>
              <c:numCache>
                <c:formatCode>0.0%</c:formatCode>
                <c:ptCount val="31"/>
                <c:pt idx="0">
                  <c:v>0</c:v>
                </c:pt>
                <c:pt idx="1">
                  <c:v>1.7935702452521934E-2</c:v>
                </c:pt>
                <c:pt idx="2">
                  <c:v>4.56696889698004E-2</c:v>
                </c:pt>
                <c:pt idx="3">
                  <c:v>9.9282919107461398E-2</c:v>
                </c:pt>
                <c:pt idx="4">
                  <c:v>0.12816727012429957</c:v>
                </c:pt>
                <c:pt idx="5">
                  <c:v>0.16111823084443222</c:v>
                </c:pt>
                <c:pt idx="6">
                  <c:v>0.21344581620473119</c:v>
                </c:pt>
                <c:pt idx="7">
                  <c:v>0.24497596081650225</c:v>
                </c:pt>
                <c:pt idx="8">
                  <c:v>0.27036348537966309</c:v>
                </c:pt>
                <c:pt idx="9">
                  <c:v>0.28154423403506901</c:v>
                </c:pt>
                <c:pt idx="10">
                  <c:v>0.29526383711745752</c:v>
                </c:pt>
                <c:pt idx="11">
                  <c:v>0.29578102538357343</c:v>
                </c:pt>
                <c:pt idx="12">
                  <c:v>0.29998870546587675</c:v>
                </c:pt>
                <c:pt idx="13">
                  <c:v>0.30245250371655047</c:v>
                </c:pt>
                <c:pt idx="14">
                  <c:v>0.30086383518286935</c:v>
                </c:pt>
                <c:pt idx="15">
                  <c:v>0.29721768269512494</c:v>
                </c:pt>
                <c:pt idx="16">
                  <c:v>0.29967447056774632</c:v>
                </c:pt>
                <c:pt idx="17">
                  <c:v>0.30084122484494447</c:v>
                </c:pt>
                <c:pt idx="18">
                  <c:v>0.29691459537040243</c:v>
                </c:pt>
                <c:pt idx="19">
                  <c:v>0.29299930819588532</c:v>
                </c:pt>
                <c:pt idx="20">
                  <c:v>0.2869651592797573</c:v>
                </c:pt>
                <c:pt idx="21">
                  <c:v>0.2664057015015977</c:v>
                </c:pt>
                <c:pt idx="22">
                  <c:v>0.23792508384986946</c:v>
                </c:pt>
                <c:pt idx="23">
                  <c:v>0.2160829248508721</c:v>
                </c:pt>
                <c:pt idx="24">
                  <c:v>0.19836958302108038</c:v>
                </c:pt>
                <c:pt idx="25">
                  <c:v>0.19814595200246676</c:v>
                </c:pt>
                <c:pt idx="26">
                  <c:v>0.19716524365603011</c:v>
                </c:pt>
                <c:pt idx="27">
                  <c:v>0.19675739443971185</c:v>
                </c:pt>
                <c:pt idx="28">
                  <c:v>0.19646488279626856</c:v>
                </c:pt>
                <c:pt idx="29">
                  <c:v>0.19535148367759736</c:v>
                </c:pt>
                <c:pt idx="30">
                  <c:v>0.19479355394969416</c:v>
                </c:pt>
              </c:numCache>
            </c:numRef>
          </c:val>
          <c:extLst>
            <c:ext xmlns:c16="http://schemas.microsoft.com/office/drawing/2014/chart" uri="{C3380CC4-5D6E-409C-BE32-E72D297353CC}">
              <c16:uniqueId val="{00000000-A583-4830-ABBE-F783BD2F171E}"/>
            </c:ext>
          </c:extLst>
        </c:ser>
        <c:ser>
          <c:idx val="2"/>
          <c:order val="1"/>
          <c:tx>
            <c:strRef>
              <c:f>'Market Penetration'!$J$7</c:f>
              <c:strCache>
                <c:ptCount val="1"/>
                <c:pt idx="0">
                  <c:v>ISG</c:v>
                </c:pt>
              </c:strCache>
            </c:strRef>
          </c:tx>
          <c:spPr>
            <a:solidFill>
              <a:schemeClr val="accent3">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Penetration'!$J$22:$J$52</c:f>
              <c:numCache>
                <c:formatCode>0.0%</c:formatCode>
                <c:ptCount val="31"/>
                <c:pt idx="0">
                  <c:v>0</c:v>
                </c:pt>
                <c:pt idx="1">
                  <c:v>1.3001400385374845E-2</c:v>
                </c:pt>
                <c:pt idx="2">
                  <c:v>3.0353136139884988E-2</c:v>
                </c:pt>
                <c:pt idx="3">
                  <c:v>5.6774851455523329E-2</c:v>
                </c:pt>
                <c:pt idx="4">
                  <c:v>0.10149544834486739</c:v>
                </c:pt>
                <c:pt idx="5">
                  <c:v>0.14736624336580867</c:v>
                </c:pt>
                <c:pt idx="6">
                  <c:v>0.20356736934161651</c:v>
                </c:pt>
                <c:pt idx="7">
                  <c:v>0.23699948574473151</c:v>
                </c:pt>
                <c:pt idx="8">
                  <c:v>0.26221900448958801</c:v>
                </c:pt>
                <c:pt idx="9">
                  <c:v>0.27715840245636192</c:v>
                </c:pt>
                <c:pt idx="10">
                  <c:v>0.29396176225948273</c:v>
                </c:pt>
                <c:pt idx="11">
                  <c:v>0.2956484905161666</c:v>
                </c:pt>
                <c:pt idx="12">
                  <c:v>0.29883532259771761</c:v>
                </c:pt>
                <c:pt idx="13">
                  <c:v>0.30231697946368485</c:v>
                </c:pt>
                <c:pt idx="14">
                  <c:v>0.30072902278761254</c:v>
                </c:pt>
                <c:pt idx="15">
                  <c:v>0.29708450408396869</c:v>
                </c:pt>
                <c:pt idx="16">
                  <c:v>0.29703399097650274</c:v>
                </c:pt>
                <c:pt idx="17">
                  <c:v>0.29869366644682593</c:v>
                </c:pt>
                <c:pt idx="18">
                  <c:v>0.29678155256795247</c:v>
                </c:pt>
                <c:pt idx="19">
                  <c:v>0.29241540794323367</c:v>
                </c:pt>
                <c:pt idx="20">
                  <c:v>0.28638396274766598</c:v>
                </c:pt>
                <c:pt idx="21">
                  <c:v>0.26628400790007151</c:v>
                </c:pt>
                <c:pt idx="22">
                  <c:v>0.2378184733281164</c:v>
                </c:pt>
                <c:pt idx="23">
                  <c:v>0.21545715010555605</c:v>
                </c:pt>
                <c:pt idx="24">
                  <c:v>0.19828069670273335</c:v>
                </c:pt>
                <c:pt idx="25">
                  <c:v>0.19766899120784648</c:v>
                </c:pt>
                <c:pt idx="26">
                  <c:v>0.19575559480640359</c:v>
                </c:pt>
                <c:pt idx="27">
                  <c:v>0.19615748753437001</c:v>
                </c:pt>
                <c:pt idx="28">
                  <c:v>0.19637684994440552</c:v>
                </c:pt>
                <c:pt idx="29">
                  <c:v>0.19479821241994227</c:v>
                </c:pt>
                <c:pt idx="30">
                  <c:v>0.19470626999423779</c:v>
                </c:pt>
              </c:numCache>
            </c:numRef>
          </c:val>
          <c:extLst>
            <c:ext xmlns:c16="http://schemas.microsoft.com/office/drawing/2014/chart" uri="{C3380CC4-5D6E-409C-BE32-E72D297353CC}">
              <c16:uniqueId val="{00000001-A583-4830-ABBE-F783BD2F171E}"/>
            </c:ext>
          </c:extLst>
        </c:ser>
        <c:ser>
          <c:idx val="3"/>
          <c:order val="2"/>
          <c:tx>
            <c:strRef>
              <c:f>'Market Penetration'!$K$7</c:f>
              <c:strCache>
                <c:ptCount val="1"/>
                <c:pt idx="0">
                  <c:v>PHEV</c:v>
                </c:pt>
              </c:strCache>
            </c:strRef>
          </c:tx>
          <c:spPr>
            <a:solidFill>
              <a:schemeClr val="accent4">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Penetration'!$K$22:$K$52</c:f>
              <c:numCache>
                <c:formatCode>0.0%</c:formatCode>
                <c:ptCount val="31"/>
                <c:pt idx="0">
                  <c:v>0</c:v>
                </c:pt>
                <c:pt idx="1">
                  <c:v>0</c:v>
                </c:pt>
                <c:pt idx="2">
                  <c:v>0</c:v>
                </c:pt>
                <c:pt idx="3">
                  <c:v>0</c:v>
                </c:pt>
                <c:pt idx="4">
                  <c:v>0</c:v>
                </c:pt>
                <c:pt idx="5">
                  <c:v>0</c:v>
                </c:pt>
                <c:pt idx="6">
                  <c:v>0</c:v>
                </c:pt>
                <c:pt idx="7">
                  <c:v>0</c:v>
                </c:pt>
                <c:pt idx="8">
                  <c:v>0</c:v>
                </c:pt>
                <c:pt idx="9">
                  <c:v>0</c:v>
                </c:pt>
                <c:pt idx="10">
                  <c:v>0</c:v>
                </c:pt>
                <c:pt idx="11">
                  <c:v>9.684041057980345E-7</c:v>
                </c:pt>
                <c:pt idx="12">
                  <c:v>1.5481582789965889E-4</c:v>
                </c:pt>
                <c:pt idx="13">
                  <c:v>1.4356097967790577E-3</c:v>
                </c:pt>
                <c:pt idx="14">
                  <c:v>4.6595228427859471E-3</c:v>
                </c:pt>
                <c:pt idx="15">
                  <c:v>1.3510915371713001E-2</c:v>
                </c:pt>
                <c:pt idx="16">
                  <c:v>1.8160040046786848E-2</c:v>
                </c:pt>
                <c:pt idx="17">
                  <c:v>2.3069485873914233E-2</c:v>
                </c:pt>
                <c:pt idx="18">
                  <c:v>2.8909118804152339E-2</c:v>
                </c:pt>
                <c:pt idx="19">
                  <c:v>3.8142956638128778E-2</c:v>
                </c:pt>
                <c:pt idx="20">
                  <c:v>4.7368421936975588E-2</c:v>
                </c:pt>
                <c:pt idx="21">
                  <c:v>6.0153885074856521E-2</c:v>
                </c:pt>
                <c:pt idx="22">
                  <c:v>8.2574742856063282E-2</c:v>
                </c:pt>
                <c:pt idx="23">
                  <c:v>0.10941424687694654</c:v>
                </c:pt>
                <c:pt idx="24">
                  <c:v>0.13334949108177147</c:v>
                </c:pt>
                <c:pt idx="25">
                  <c:v>0.16013626145008925</c:v>
                </c:pt>
                <c:pt idx="26">
                  <c:v>0.17581588512602053</c:v>
                </c:pt>
                <c:pt idx="27">
                  <c:v>0.18761823625523488</c:v>
                </c:pt>
                <c:pt idx="28">
                  <c:v>0.1972338423590014</c:v>
                </c:pt>
                <c:pt idx="29">
                  <c:v>0.20097140297509569</c:v>
                </c:pt>
                <c:pt idx="30">
                  <c:v>0.20414844770217927</c:v>
                </c:pt>
              </c:numCache>
            </c:numRef>
          </c:val>
          <c:extLst>
            <c:ext xmlns:c16="http://schemas.microsoft.com/office/drawing/2014/chart" uri="{C3380CC4-5D6E-409C-BE32-E72D297353CC}">
              <c16:uniqueId val="{00000002-A583-4830-ABBE-F783BD2F171E}"/>
            </c:ext>
          </c:extLst>
        </c:ser>
        <c:ser>
          <c:idx val="0"/>
          <c:order val="3"/>
          <c:tx>
            <c:strRef>
              <c:f>'Market Penetration'!$L$7</c:f>
              <c:strCache>
                <c:ptCount val="1"/>
                <c:pt idx="0">
                  <c:v>BEV</c:v>
                </c:pt>
              </c:strCache>
            </c:strRef>
          </c:tx>
          <c:spPr>
            <a:solidFill>
              <a:schemeClr val="accent1">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Penetration'!$L$22:$L$52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5.3929259061313731E-4</c:v>
                </c:pt>
                <c:pt idx="24">
                  <c:v>5.1839877444530471E-3</c:v>
                </c:pt>
                <c:pt idx="25">
                  <c:v>1.4731115960970854E-2</c:v>
                </c:pt>
                <c:pt idx="26">
                  <c:v>2.2067294168549835E-2</c:v>
                </c:pt>
                <c:pt idx="27">
                  <c:v>3.0200216144401229E-2</c:v>
                </c:pt>
                <c:pt idx="28">
                  <c:v>3.5806685395509769E-2</c:v>
                </c:pt>
                <c:pt idx="29">
                  <c:v>4.0078357597910785E-2</c:v>
                </c:pt>
                <c:pt idx="30">
                  <c:v>4.4242830242562772E-2</c:v>
                </c:pt>
              </c:numCache>
            </c:numRef>
          </c:val>
          <c:extLst>
            <c:ext xmlns:c16="http://schemas.microsoft.com/office/drawing/2014/chart" uri="{C3380CC4-5D6E-409C-BE32-E72D297353CC}">
              <c16:uniqueId val="{00000003-A583-4830-ABBE-F783BD2F171E}"/>
            </c:ext>
          </c:extLst>
        </c:ser>
        <c:ser>
          <c:idx val="4"/>
          <c:order val="4"/>
          <c:tx>
            <c:strRef>
              <c:f>'Market Penetration'!$M$7</c:f>
              <c:strCache>
                <c:ptCount val="1"/>
                <c:pt idx="0">
                  <c:v>FCHEV</c:v>
                </c:pt>
              </c:strCache>
            </c:strRef>
          </c:tx>
          <c:spPr>
            <a:solidFill>
              <a:schemeClr val="accent5">
                <a:alpha val="85000"/>
              </a:schemeClr>
            </a:solidFill>
            <a:ln>
              <a:noFill/>
            </a:ln>
            <a:effectLst>
              <a:innerShdw dist="12700" dir="16200000">
                <a:schemeClr val="lt1"/>
              </a:innerShdw>
            </a:effectLst>
          </c:spPr>
          <c:cat>
            <c:numRef>
              <c:f>'Market Penetration'!$A$22:$A$52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cat>
          <c:val>
            <c:numRef>
              <c:f>'Market Penetration'!$M$22:$M$52</c:f>
              <c:numCache>
                <c:formatCod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4.4841507935532547E-6</c:v>
                </c:pt>
                <c:pt idx="20">
                  <c:v>2.8447335400633668E-3</c:v>
                </c:pt>
                <c:pt idx="21">
                  <c:v>3.4202214031128074E-2</c:v>
                </c:pt>
                <c:pt idx="22">
                  <c:v>7.5144229831691028E-2</c:v>
                </c:pt>
                <c:pt idx="23">
                  <c:v>9.4044462426961767E-2</c:v>
                </c:pt>
                <c:pt idx="24">
                  <c:v>0.10690887603834959</c:v>
                </c:pt>
                <c:pt idx="25">
                  <c:v>0.13033714200818616</c:v>
                </c:pt>
                <c:pt idx="26">
                  <c:v>0.14003343099052418</c:v>
                </c:pt>
                <c:pt idx="27">
                  <c:v>0.15159705082842806</c:v>
                </c:pt>
                <c:pt idx="28">
                  <c:v>0.1632679788523953</c:v>
                </c:pt>
                <c:pt idx="29">
                  <c:v>0.17646433470882139</c:v>
                </c:pt>
                <c:pt idx="30">
                  <c:v>0.19077035185971011</c:v>
                </c:pt>
              </c:numCache>
            </c:numRef>
          </c:val>
          <c:extLst>
            <c:ext xmlns:c16="http://schemas.microsoft.com/office/drawing/2014/chart" uri="{C3380CC4-5D6E-409C-BE32-E72D297353CC}">
              <c16:uniqueId val="{00000004-A583-4830-ABBE-F783BD2F171E}"/>
            </c:ext>
          </c:extLst>
        </c:ser>
        <c:dLbls>
          <c:showLegendKey val="0"/>
          <c:showVal val="0"/>
          <c:showCatName val="0"/>
          <c:showSerName val="0"/>
          <c:showPercent val="0"/>
          <c:showBubbleSize val="0"/>
        </c:dLbls>
        <c:axId val="677968192"/>
        <c:axId val="677968752"/>
      </c:areaChart>
      <c:catAx>
        <c:axId val="677968192"/>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77968752"/>
        <c:crosses val="autoZero"/>
        <c:auto val="1"/>
        <c:lblAlgn val="ctr"/>
        <c:lblOffset val="100"/>
        <c:noMultiLvlLbl val="0"/>
      </c:catAx>
      <c:valAx>
        <c:axId val="677968752"/>
        <c:scaling>
          <c:orientation val="minMax"/>
          <c:max val="1"/>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0"/>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77968192"/>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areaChart>
        <c:grouping val="percentStacked"/>
        <c:varyColors val="0"/>
        <c:ser>
          <c:idx val="1"/>
          <c:order val="0"/>
          <c:tx>
            <c:v>CU A</c:v>
          </c:tx>
          <c:spPr>
            <a:solidFill>
              <a:schemeClr val="accent2">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(2)'!$C$9:$C$52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1.0647363526695682E-2</c:v>
                </c:pt>
                <c:pt idx="16">
                  <c:v>2.5738883408896112E-2</c:v>
                </c:pt>
                <c:pt idx="17">
                  <c:v>6.1093043721967728E-2</c:v>
                </c:pt>
                <c:pt idx="18">
                  <c:v>0.1230622131666364</c:v>
                </c:pt>
                <c:pt idx="19">
                  <c:v>0.15032481113628601</c:v>
                </c:pt>
                <c:pt idx="20">
                  <c:v>0.18772063849728315</c:v>
                </c:pt>
                <c:pt idx="21">
                  <c:v>0.19568973188121744</c:v>
                </c:pt>
                <c:pt idx="22">
                  <c:v>0.20515487300916307</c:v>
                </c:pt>
                <c:pt idx="23">
                  <c:v>0.20065151610903431</c:v>
                </c:pt>
                <c:pt idx="24">
                  <c:v>0.19691217637744252</c:v>
                </c:pt>
                <c:pt idx="25">
                  <c:v>0.19312685490006395</c:v>
                </c:pt>
                <c:pt idx="26">
                  <c:v>0.18478237146611379</c:v>
                </c:pt>
                <c:pt idx="27">
                  <c:v>0.1843704180615037</c:v>
                </c:pt>
                <c:pt idx="28">
                  <c:v>0.18315286461754385</c:v>
                </c:pt>
                <c:pt idx="29">
                  <c:v>0.14647598733430267</c:v>
                </c:pt>
                <c:pt idx="30">
                  <c:v>0.13655951305586622</c:v>
                </c:pt>
                <c:pt idx="31">
                  <c:v>0.16164175080499027</c:v>
                </c:pt>
                <c:pt idx="32">
                  <c:v>0.19412229972235368</c:v>
                </c:pt>
                <c:pt idx="33">
                  <c:v>0.21870111585080884</c:v>
                </c:pt>
                <c:pt idx="34">
                  <c:v>0.23530989228436427</c:v>
                </c:pt>
                <c:pt idx="35">
                  <c:v>0.24520371600525265</c:v>
                </c:pt>
                <c:pt idx="36">
                  <c:v>0.24787005735461901</c:v>
                </c:pt>
                <c:pt idx="37">
                  <c:v>0.24695981328862165</c:v>
                </c:pt>
                <c:pt idx="38">
                  <c:v>0.24599824334939135</c:v>
                </c:pt>
                <c:pt idx="39">
                  <c:v>0.24253083431842268</c:v>
                </c:pt>
                <c:pt idx="40">
                  <c:v>0.23857001404210842</c:v>
                </c:pt>
                <c:pt idx="41">
                  <c:v>0.23090457091062278</c:v>
                </c:pt>
                <c:pt idx="42">
                  <c:v>0.21852525451860452</c:v>
                </c:pt>
                <c:pt idx="43">
                  <c:v>0.20260001289497806</c:v>
                </c:pt>
              </c:numCache>
            </c:numRef>
          </c:val>
          <c:extLst>
            <c:ext xmlns:c16="http://schemas.microsoft.com/office/drawing/2014/chart" uri="{C3380CC4-5D6E-409C-BE32-E72D297353CC}">
              <c16:uniqueId val="{00000000-DB39-4576-9B96-0006C135E654}"/>
            </c:ext>
          </c:extLst>
        </c:ser>
        <c:ser>
          <c:idx val="2"/>
          <c:order val="1"/>
          <c:tx>
            <c:v>CU B</c:v>
          </c:tx>
          <c:spPr>
            <a:solidFill>
              <a:schemeClr val="accent3">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(2)'!$D$9:$D$52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6.0625230775437598E-3</c:v>
                </c:pt>
                <c:pt idx="16">
                  <c:v>1.7363862099058137E-2</c:v>
                </c:pt>
                <c:pt idx="17">
                  <c:v>4.4448973089896107E-2</c:v>
                </c:pt>
                <c:pt idx="18">
                  <c:v>8.8032202902283418E-2</c:v>
                </c:pt>
                <c:pt idx="19">
                  <c:v>0.1178597336845565</c:v>
                </c:pt>
                <c:pt idx="20">
                  <c:v>0.12967770585576949</c:v>
                </c:pt>
                <c:pt idx="21">
                  <c:v>0.15226127131027256</c:v>
                </c:pt>
                <c:pt idx="22">
                  <c:v>0.14649505652214673</c:v>
                </c:pt>
                <c:pt idx="23">
                  <c:v>0.15645481813555021</c:v>
                </c:pt>
                <c:pt idx="24">
                  <c:v>0.15968679183176923</c:v>
                </c:pt>
                <c:pt idx="25">
                  <c:v>0.16093617172865635</c:v>
                </c:pt>
                <c:pt idx="26">
                  <c:v>0.17822985600718194</c:v>
                </c:pt>
                <c:pt idx="27">
                  <c:v>0.18197245228180645</c:v>
                </c:pt>
                <c:pt idx="28">
                  <c:v>0.18580208283115304</c:v>
                </c:pt>
                <c:pt idx="29">
                  <c:v>0.24161484287889182</c:v>
                </c:pt>
                <c:pt idx="30">
                  <c:v>0.26459891175405642</c:v>
                </c:pt>
                <c:pt idx="31">
                  <c:v>0.26961174696126955</c:v>
                </c:pt>
                <c:pt idx="32">
                  <c:v>0.26737303884140429</c:v>
                </c:pt>
                <c:pt idx="33">
                  <c:v>0.27216036849271924</c:v>
                </c:pt>
                <c:pt idx="34">
                  <c:v>0.27895594884928382</c:v>
                </c:pt>
                <c:pt idx="35">
                  <c:v>0.28180243056765586</c:v>
                </c:pt>
                <c:pt idx="36">
                  <c:v>0.28013012131890891</c:v>
                </c:pt>
                <c:pt idx="37">
                  <c:v>0.27911866138042146</c:v>
                </c:pt>
                <c:pt idx="38">
                  <c:v>0.2753458940024035</c:v>
                </c:pt>
                <c:pt idx="39">
                  <c:v>0.27227812651858685</c:v>
                </c:pt>
                <c:pt idx="40">
                  <c:v>0.27162307021147675</c:v>
                </c:pt>
                <c:pt idx="41">
                  <c:v>0.26201830554798372</c:v>
                </c:pt>
                <c:pt idx="42">
                  <c:v>0.24929297378202431</c:v>
                </c:pt>
                <c:pt idx="43">
                  <c:v>0.23031389752656617</c:v>
                </c:pt>
              </c:numCache>
            </c:numRef>
          </c:val>
          <c:extLst>
            <c:ext xmlns:c16="http://schemas.microsoft.com/office/drawing/2014/chart" uri="{C3380CC4-5D6E-409C-BE32-E72D297353CC}">
              <c16:uniqueId val="{00000001-DB39-4576-9B96-0006C135E654}"/>
            </c:ext>
          </c:extLst>
        </c:ser>
        <c:ser>
          <c:idx val="3"/>
          <c:order val="2"/>
          <c:tx>
            <c:v>CU C</c:v>
          </c:tx>
          <c:spPr>
            <a:solidFill>
              <a:schemeClr val="accent4">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(2)'!$E$9:$E$52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3.3898515352768028E-5</c:v>
                </c:pt>
                <c:pt idx="39">
                  <c:v>1.0168075317841894E-3</c:v>
                </c:pt>
                <c:pt idx="40">
                  <c:v>6.2337820515516781E-3</c:v>
                </c:pt>
                <c:pt idx="41">
                  <c:v>1.8000439025395085E-2</c:v>
                </c:pt>
                <c:pt idx="42">
                  <c:v>3.7467879702305834E-2</c:v>
                </c:pt>
                <c:pt idx="43">
                  <c:v>6.5015251930071891E-2</c:v>
                </c:pt>
              </c:numCache>
            </c:numRef>
          </c:val>
          <c:extLst>
            <c:ext xmlns:c16="http://schemas.microsoft.com/office/drawing/2014/chart" uri="{C3380CC4-5D6E-409C-BE32-E72D297353CC}">
              <c16:uniqueId val="{00000002-DB39-4576-9B96-0006C135E654}"/>
            </c:ext>
          </c:extLst>
        </c:ser>
        <c:ser>
          <c:idx val="5"/>
          <c:order val="3"/>
          <c:tx>
            <c:v>SU A</c:v>
          </c:tx>
          <c:spPr>
            <a:solidFill>
              <a:schemeClr val="accent6">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(2)'!$O$9:$O$52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1.2055043351922501E-3</c:v>
                </c:pt>
                <c:pt idx="16">
                  <c:v>2.9252748369129411E-3</c:v>
                </c:pt>
                <c:pt idx="17">
                  <c:v>5.8326507455636967E-3</c:v>
                </c:pt>
                <c:pt idx="18">
                  <c:v>6.3250402641116107E-3</c:v>
                </c:pt>
                <c:pt idx="19">
                  <c:v>9.3754401043414128E-3</c:v>
                </c:pt>
                <c:pt idx="20">
                  <c:v>1.0166961705142846E-2</c:v>
                </c:pt>
                <c:pt idx="21">
                  <c:v>1.1882754100666184E-2</c:v>
                </c:pt>
                <c:pt idx="22">
                  <c:v>1.2652483147988175E-2</c:v>
                </c:pt>
                <c:pt idx="23">
                  <c:v>1.3368655116050046E-2</c:v>
                </c:pt>
                <c:pt idx="24">
                  <c:v>1.3543568262175495E-2</c:v>
                </c:pt>
                <c:pt idx="25">
                  <c:v>1.3566390230299187E-2</c:v>
                </c:pt>
                <c:pt idx="26">
                  <c:v>1.3849661429846023E-2</c:v>
                </c:pt>
                <c:pt idx="27">
                  <c:v>1.385777782867088E-2</c:v>
                </c:pt>
                <c:pt idx="28">
                  <c:v>1.3835813775748832E-2</c:v>
                </c:pt>
                <c:pt idx="29">
                  <c:v>1.4283800025004848E-2</c:v>
                </c:pt>
                <c:pt idx="30">
                  <c:v>1.4222993734302395E-2</c:v>
                </c:pt>
                <c:pt idx="31">
                  <c:v>1.4276806684005048E-2</c:v>
                </c:pt>
                <c:pt idx="32">
                  <c:v>1.4419309956897466E-2</c:v>
                </c:pt>
                <c:pt idx="33">
                  <c:v>1.4333610139004797E-2</c:v>
                </c:pt>
                <c:pt idx="34">
                  <c:v>1.4316184270008393E-2</c:v>
                </c:pt>
                <c:pt idx="35">
                  <c:v>1.4002963411801076E-2</c:v>
                </c:pt>
                <c:pt idx="36">
                  <c:v>1.3661850842824608E-2</c:v>
                </c:pt>
                <c:pt idx="37">
                  <c:v>1.3062436539085865E-2</c:v>
                </c:pt>
                <c:pt idx="38">
                  <c:v>1.2500515330078371E-2</c:v>
                </c:pt>
                <c:pt idx="39">
                  <c:v>1.1990313789522179E-2</c:v>
                </c:pt>
                <c:pt idx="40">
                  <c:v>1.1772700909427765E-2</c:v>
                </c:pt>
                <c:pt idx="41">
                  <c:v>1.1590916551033968E-2</c:v>
                </c:pt>
                <c:pt idx="42">
                  <c:v>1.1345670240642623E-2</c:v>
                </c:pt>
                <c:pt idx="43">
                  <c:v>1.1350596324846361E-2</c:v>
                </c:pt>
              </c:numCache>
            </c:numRef>
          </c:val>
          <c:extLst>
            <c:ext xmlns:c16="http://schemas.microsoft.com/office/drawing/2014/chart" uri="{C3380CC4-5D6E-409C-BE32-E72D297353CC}">
              <c16:uniqueId val="{00000003-DB39-4576-9B96-0006C135E654}"/>
            </c:ext>
          </c:extLst>
        </c:ser>
        <c:ser>
          <c:idx val="6"/>
          <c:order val="4"/>
          <c:tx>
            <c:v>SU B</c:v>
          </c:tx>
          <c:spPr>
            <a:solidFill>
              <a:schemeClr val="accent1">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(2)'!$P$9:$P$52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1.3762345223599542E-3</c:v>
                </c:pt>
                <c:pt idx="16">
                  <c:v>3.1584320418116298E-3</c:v>
                </c:pt>
                <c:pt idx="17">
                  <c:v>6.0133755656499354E-3</c:v>
                </c:pt>
                <c:pt idx="18">
                  <c:v>8.4468453877739394E-3</c:v>
                </c:pt>
                <c:pt idx="19">
                  <c:v>1.3425317938121049E-2</c:v>
                </c:pt>
                <c:pt idx="20">
                  <c:v>1.7506558758081842E-2</c:v>
                </c:pt>
                <c:pt idx="21">
                  <c:v>1.9344200931333412E-2</c:v>
                </c:pt>
                <c:pt idx="22">
                  <c:v>1.9747709188036752E-2</c:v>
                </c:pt>
                <c:pt idx="23">
                  <c:v>1.9855477314096821E-2</c:v>
                </c:pt>
                <c:pt idx="24">
                  <c:v>1.9734896676382042E-2</c:v>
                </c:pt>
                <c:pt idx="25">
                  <c:v>2.0271976752862193E-2</c:v>
                </c:pt>
                <c:pt idx="26">
                  <c:v>2.0191259668856185E-2</c:v>
                </c:pt>
                <c:pt idx="27">
                  <c:v>2.0131873701295166E-2</c:v>
                </c:pt>
                <c:pt idx="28">
                  <c:v>1.979537551020296E-2</c:v>
                </c:pt>
                <c:pt idx="29">
                  <c:v>2.0897060774641995E-2</c:v>
                </c:pt>
                <c:pt idx="30">
                  <c:v>2.0839095088993415E-2</c:v>
                </c:pt>
                <c:pt idx="31">
                  <c:v>2.0489319009418167E-2</c:v>
                </c:pt>
                <c:pt idx="32">
                  <c:v>2.0309983518279794E-2</c:v>
                </c:pt>
                <c:pt idx="33">
                  <c:v>2.0216893386131377E-2</c:v>
                </c:pt>
                <c:pt idx="34">
                  <c:v>2.058449096034454E-2</c:v>
                </c:pt>
                <c:pt idx="35">
                  <c:v>2.0328389607404181E-2</c:v>
                </c:pt>
                <c:pt idx="36">
                  <c:v>1.9463960151084734E-2</c:v>
                </c:pt>
                <c:pt idx="37">
                  <c:v>1.8582101502806637E-2</c:v>
                </c:pt>
                <c:pt idx="38">
                  <c:v>1.8065217206388783E-2</c:v>
                </c:pt>
                <c:pt idx="39">
                  <c:v>1.7198526298853298E-2</c:v>
                </c:pt>
                <c:pt idx="40">
                  <c:v>1.6316240772428759E-2</c:v>
                </c:pt>
                <c:pt idx="41">
                  <c:v>1.5823356205872722E-2</c:v>
                </c:pt>
                <c:pt idx="42">
                  <c:v>1.5412427679937474E-2</c:v>
                </c:pt>
                <c:pt idx="43">
                  <c:v>1.5949389577521331E-2</c:v>
                </c:pt>
              </c:numCache>
            </c:numRef>
          </c:val>
          <c:extLst>
            <c:ext xmlns:c16="http://schemas.microsoft.com/office/drawing/2014/chart" uri="{C3380CC4-5D6E-409C-BE32-E72D297353CC}">
              <c16:uniqueId val="{00000004-DB39-4576-9B96-0006C135E654}"/>
            </c:ext>
          </c:extLst>
        </c:ser>
        <c:ser>
          <c:idx val="7"/>
          <c:order val="5"/>
          <c:tx>
            <c:v>SU C</c:v>
          </c:tx>
          <c:spPr>
            <a:solidFill>
              <a:schemeClr val="accent2">
                <a:lumMod val="60000"/>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(2)'!$Q$9:$Q$52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1.553408915204515E-4</c:v>
                </c:pt>
                <c:pt idx="16">
                  <c:v>5.0763193315822087E-4</c:v>
                </c:pt>
                <c:pt idx="17">
                  <c:v>1.470599550519591E-3</c:v>
                </c:pt>
                <c:pt idx="18">
                  <c:v>3.3428027901183134E-3</c:v>
                </c:pt>
                <c:pt idx="19">
                  <c:v>5.2527811940572796E-3</c:v>
                </c:pt>
                <c:pt idx="20">
                  <c:v>6.843888819654996E-3</c:v>
                </c:pt>
                <c:pt idx="21">
                  <c:v>8.1881529123683759E-3</c:v>
                </c:pt>
                <c:pt idx="22">
                  <c:v>9.0325069675918582E-3</c:v>
                </c:pt>
                <c:pt idx="23">
                  <c:v>9.9443641407546812E-3</c:v>
                </c:pt>
                <c:pt idx="24">
                  <c:v>9.9564401549785252E-3</c:v>
                </c:pt>
                <c:pt idx="25">
                  <c:v>9.9812336943135519E-3</c:v>
                </c:pt>
                <c:pt idx="26">
                  <c:v>1.008114270549341E-2</c:v>
                </c:pt>
                <c:pt idx="27">
                  <c:v>1.0144145055291294E-2</c:v>
                </c:pt>
                <c:pt idx="28">
                  <c:v>1.0169150591511529E-2</c:v>
                </c:pt>
                <c:pt idx="29">
                  <c:v>9.8351168987791653E-3</c:v>
                </c:pt>
                <c:pt idx="30">
                  <c:v>9.8950350616829816E-3</c:v>
                </c:pt>
                <c:pt idx="31">
                  <c:v>1.006744498278983E-2</c:v>
                </c:pt>
                <c:pt idx="32">
                  <c:v>1.0006036491353967E-2</c:v>
                </c:pt>
                <c:pt idx="33">
                  <c:v>9.9303262819924343E-3</c:v>
                </c:pt>
                <c:pt idx="34">
                  <c:v>9.7900306286943881E-3</c:v>
                </c:pt>
                <c:pt idx="35">
                  <c:v>9.850600198619823E-3</c:v>
                </c:pt>
                <c:pt idx="36">
                  <c:v>9.434941839725864E-3</c:v>
                </c:pt>
                <c:pt idx="37">
                  <c:v>9.1828030950391517E-3</c:v>
                </c:pt>
                <c:pt idx="38">
                  <c:v>8.7582582104300567E-3</c:v>
                </c:pt>
                <c:pt idx="39">
                  <c:v>8.4659093400392006E-3</c:v>
                </c:pt>
                <c:pt idx="40">
                  <c:v>8.377651858101633E-3</c:v>
                </c:pt>
                <c:pt idx="41">
                  <c:v>8.2650331330795003E-3</c:v>
                </c:pt>
                <c:pt idx="42">
                  <c:v>8.3403772263301278E-3</c:v>
                </c:pt>
                <c:pt idx="43">
                  <c:v>8.3275353926351627E-3</c:v>
                </c:pt>
              </c:numCache>
            </c:numRef>
          </c:val>
          <c:extLst>
            <c:ext xmlns:c16="http://schemas.microsoft.com/office/drawing/2014/chart" uri="{C3380CC4-5D6E-409C-BE32-E72D297353CC}">
              <c16:uniqueId val="{00000005-DB39-4576-9B96-0006C135E654}"/>
            </c:ext>
          </c:extLst>
        </c:ser>
        <c:ser>
          <c:idx val="4"/>
          <c:order val="6"/>
          <c:tx>
            <c:v>SU Base</c:v>
          </c:tx>
          <c:spPr>
            <a:solidFill>
              <a:schemeClr val="accent5">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(2)'!$N$9:$N$52</c:f>
              <c:numCache>
                <c:formatCode>0.0%</c:formatCode>
                <c:ptCount val="44"/>
                <c:pt idx="0">
                  <c:v>8.967840728757831E-2</c:v>
                </c:pt>
                <c:pt idx="1">
                  <c:v>8.967840728757831E-2</c:v>
                </c:pt>
                <c:pt idx="2">
                  <c:v>8.967840728757831E-2</c:v>
                </c:pt>
                <c:pt idx="3">
                  <c:v>8.967840728757831E-2</c:v>
                </c:pt>
                <c:pt idx="4">
                  <c:v>8.967840728757831E-2</c:v>
                </c:pt>
                <c:pt idx="5">
                  <c:v>8.967840728757831E-2</c:v>
                </c:pt>
                <c:pt idx="6">
                  <c:v>8.967840728757831E-2</c:v>
                </c:pt>
                <c:pt idx="7">
                  <c:v>8.967840728757831E-2</c:v>
                </c:pt>
                <c:pt idx="8">
                  <c:v>8.967840728757831E-2</c:v>
                </c:pt>
                <c:pt idx="9">
                  <c:v>8.967840728757831E-2</c:v>
                </c:pt>
                <c:pt idx="10">
                  <c:v>8.967840728757831E-2</c:v>
                </c:pt>
                <c:pt idx="11">
                  <c:v>8.967840728757831E-2</c:v>
                </c:pt>
                <c:pt idx="12">
                  <c:v>8.967840728757831E-2</c:v>
                </c:pt>
                <c:pt idx="13">
                  <c:v>8.967840728757831E-2</c:v>
                </c:pt>
                <c:pt idx="14">
                  <c:v>8.967840728757831E-2</c:v>
                </c:pt>
                <c:pt idx="15">
                  <c:v>8.6941327538505656E-2</c:v>
                </c:pt>
                <c:pt idx="16">
                  <c:v>8.3087068475695511E-2</c:v>
                </c:pt>
                <c:pt idx="17">
                  <c:v>7.6361781425845085E-2</c:v>
                </c:pt>
                <c:pt idx="18">
                  <c:v>7.1563718845574442E-2</c:v>
                </c:pt>
                <c:pt idx="19">
                  <c:v>6.1624787620941597E-2</c:v>
                </c:pt>
                <c:pt idx="20">
                  <c:v>5.5159924093119608E-2</c:v>
                </c:pt>
                <c:pt idx="21">
                  <c:v>5.0252574798814113E-2</c:v>
                </c:pt>
                <c:pt idx="22">
                  <c:v>4.8191692617809298E-2</c:v>
                </c:pt>
                <c:pt idx="23">
                  <c:v>4.6303175158862397E-2</c:v>
                </c:pt>
                <c:pt idx="24">
                  <c:v>4.6095923485412582E-2</c:v>
                </c:pt>
                <c:pt idx="25">
                  <c:v>4.5345812977483836E-2</c:v>
                </c:pt>
                <c:pt idx="26">
                  <c:v>4.4836433475158949E-2</c:v>
                </c:pt>
                <c:pt idx="27">
                  <c:v>4.4595600030573682E-2</c:v>
                </c:pt>
                <c:pt idx="28">
                  <c:v>4.4591570154023125E-2</c:v>
                </c:pt>
                <c:pt idx="29">
                  <c:v>4.3256520133888303E-2</c:v>
                </c:pt>
                <c:pt idx="30">
                  <c:v>4.3218921896212674E-2</c:v>
                </c:pt>
                <c:pt idx="31">
                  <c:v>4.321720588093924E-2</c:v>
                </c:pt>
                <c:pt idx="32">
                  <c:v>4.3128526265985886E-2</c:v>
                </c:pt>
                <c:pt idx="33">
                  <c:v>4.3128501798147062E-2</c:v>
                </c:pt>
                <c:pt idx="34">
                  <c:v>4.2401019990346366E-2</c:v>
                </c:pt>
                <c:pt idx="35">
                  <c:v>4.1784759161373954E-2</c:v>
                </c:pt>
                <c:pt idx="36">
                  <c:v>4.1783292955891206E-2</c:v>
                </c:pt>
                <c:pt idx="37">
                  <c:v>4.1435323194593837E-2</c:v>
                </c:pt>
                <c:pt idx="38">
                  <c:v>4.0260650936166403E-2</c:v>
                </c:pt>
                <c:pt idx="39">
                  <c:v>4.0260650871780122E-2</c:v>
                </c:pt>
                <c:pt idx="40">
                  <c:v>4.0256102580116401E-2</c:v>
                </c:pt>
                <c:pt idx="41">
                  <c:v>4.0253595683844637E-2</c:v>
                </c:pt>
                <c:pt idx="42">
                  <c:v>4.0250419817683979E-2</c:v>
                </c:pt>
                <c:pt idx="43">
                  <c:v>3.906018740436E-2</c:v>
                </c:pt>
              </c:numCache>
            </c:numRef>
          </c:val>
          <c:extLst>
            <c:ext xmlns:c16="http://schemas.microsoft.com/office/drawing/2014/chart" uri="{C3380CC4-5D6E-409C-BE32-E72D297353CC}">
              <c16:uniqueId val="{00000006-DB39-4576-9B96-0006C135E654}"/>
            </c:ext>
          </c:extLst>
        </c:ser>
        <c:ser>
          <c:idx val="0"/>
          <c:order val="7"/>
          <c:tx>
            <c:v>CU Base</c:v>
          </c:tx>
          <c:spPr>
            <a:solidFill>
              <a:schemeClr val="accent1">
                <a:alpha val="85000"/>
              </a:schemeClr>
            </a:solidFill>
            <a:ln>
              <a:noFill/>
            </a:ln>
            <a:effectLst>
              <a:innerShdw dist="12700" dir="16200000">
                <a:schemeClr val="lt1"/>
              </a:innerShdw>
            </a:effectLst>
          </c:spPr>
          <c:cat>
            <c:numRef>
              <c:f>'Mkt Pen Veh-Mi (2)'!$A$9:$A$52</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cat>
          <c:val>
            <c:numRef>
              <c:f>'Mkt Pen Veh-Mi (2)'!$B$9:$B$52</c:f>
              <c:numCache>
                <c:formatCode>0.0%</c:formatCode>
                <c:ptCount val="44"/>
                <c:pt idx="0">
                  <c:v>0.66842924773992651</c:v>
                </c:pt>
                <c:pt idx="1">
                  <c:v>0.66842924773992651</c:v>
                </c:pt>
                <c:pt idx="2">
                  <c:v>0.66842924773992651</c:v>
                </c:pt>
                <c:pt idx="3">
                  <c:v>0.66842924773992651</c:v>
                </c:pt>
                <c:pt idx="4">
                  <c:v>0.66842924773992651</c:v>
                </c:pt>
                <c:pt idx="5">
                  <c:v>0.66842924773992651</c:v>
                </c:pt>
                <c:pt idx="6">
                  <c:v>0.66842924773992651</c:v>
                </c:pt>
                <c:pt idx="7">
                  <c:v>0.66842924773992651</c:v>
                </c:pt>
                <c:pt idx="8">
                  <c:v>0.66842924773992651</c:v>
                </c:pt>
                <c:pt idx="9">
                  <c:v>0.66842924773992651</c:v>
                </c:pt>
                <c:pt idx="10">
                  <c:v>0.66842924773992651</c:v>
                </c:pt>
                <c:pt idx="11">
                  <c:v>0.66842924773992651</c:v>
                </c:pt>
                <c:pt idx="12">
                  <c:v>0.66842924773992651</c:v>
                </c:pt>
                <c:pt idx="13">
                  <c:v>0.66842924773992651</c:v>
                </c:pt>
                <c:pt idx="14">
                  <c:v>0.66842924773992651</c:v>
                </c:pt>
                <c:pt idx="15">
                  <c:v>0.65171936113568707</c:v>
                </c:pt>
                <c:pt idx="16">
                  <c:v>0.62532650223197228</c:v>
                </c:pt>
                <c:pt idx="17">
                  <c:v>0.5628872309280627</c:v>
                </c:pt>
                <c:pt idx="18">
                  <c:v>0.45733483167100669</c:v>
                </c:pt>
                <c:pt idx="19">
                  <c:v>0.40024470291908404</c:v>
                </c:pt>
                <c:pt idx="20">
                  <c:v>0.35103090338687387</c:v>
                </c:pt>
                <c:pt idx="21">
                  <c:v>0.32047824454843654</c:v>
                </c:pt>
                <c:pt idx="22">
                  <c:v>0.31677931820861671</c:v>
                </c:pt>
                <c:pt idx="23">
                  <c:v>0.31132291349534197</c:v>
                </c:pt>
                <c:pt idx="24">
                  <c:v>0.31183027953071474</c:v>
                </c:pt>
                <c:pt idx="25">
                  <c:v>0.31436622111120621</c:v>
                </c:pt>
                <c:pt idx="26">
                  <c:v>0.30541702026663081</c:v>
                </c:pt>
                <c:pt idx="27">
                  <c:v>0.30208637739661631</c:v>
                </c:pt>
                <c:pt idx="28">
                  <c:v>0.29947430029122962</c:v>
                </c:pt>
                <c:pt idx="29">
                  <c:v>0.28033841752673205</c:v>
                </c:pt>
                <c:pt idx="30">
                  <c:v>0.26727082293000387</c:v>
                </c:pt>
                <c:pt idx="31">
                  <c:v>0.23717574997366664</c:v>
                </c:pt>
                <c:pt idx="32">
                  <c:v>0.20693390917616858</c:v>
                </c:pt>
                <c:pt idx="33">
                  <c:v>0.17756776339639846</c:v>
                </c:pt>
                <c:pt idx="34">
                  <c:v>0.15415771002942691</c:v>
                </c:pt>
                <c:pt idx="35">
                  <c:v>0.1410340656631465</c:v>
                </c:pt>
                <c:pt idx="36">
                  <c:v>0.13889637104716254</c:v>
                </c:pt>
                <c:pt idx="37">
                  <c:v>0.13825192257719873</c:v>
                </c:pt>
                <c:pt idx="38">
                  <c:v>0.13860534520835438</c:v>
                </c:pt>
                <c:pt idx="39">
                  <c:v>0.13993112259587509</c:v>
                </c:pt>
                <c:pt idx="40">
                  <c:v>0.13330997054969726</c:v>
                </c:pt>
                <c:pt idx="41">
                  <c:v>0.13264657672106014</c:v>
                </c:pt>
                <c:pt idx="42">
                  <c:v>0.13044493881634539</c:v>
                </c:pt>
                <c:pt idx="43">
                  <c:v>0.13132614363608353</c:v>
                </c:pt>
              </c:numCache>
            </c:numRef>
          </c:val>
          <c:extLst>
            <c:ext xmlns:c16="http://schemas.microsoft.com/office/drawing/2014/chart" uri="{C3380CC4-5D6E-409C-BE32-E72D297353CC}">
              <c16:uniqueId val="{00000007-DB39-4576-9B96-0006C135E654}"/>
            </c:ext>
          </c:extLst>
        </c:ser>
        <c:ser>
          <c:idx val="8"/>
          <c:order val="8"/>
          <c:tx>
            <c:v>CU D</c:v>
          </c:tx>
          <c:spPr>
            <a:solidFill>
              <a:schemeClr val="accent3">
                <a:lumMod val="60000"/>
                <a:alpha val="85000"/>
              </a:schemeClr>
            </a:solidFill>
            <a:ln>
              <a:noFill/>
            </a:ln>
            <a:effectLst>
              <a:innerShdw dist="12700" dir="16200000">
                <a:schemeClr val="lt1"/>
              </a:innerShdw>
            </a:effectLst>
          </c:spPr>
          <c:val>
            <c:numRef>
              <c:f>'Mkt Pen Veh-Mi (2)'!$F$9:$F$52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5.696576851505908E-6</c:v>
                </c:pt>
                <c:pt idx="35">
                  <c:v>3.8903550387155465E-4</c:v>
                </c:pt>
                <c:pt idx="36">
                  <c:v>1.5326980192359996E-3</c:v>
                </c:pt>
                <c:pt idx="37">
                  <c:v>4.098850493684734E-3</c:v>
                </c:pt>
                <c:pt idx="38">
                  <c:v>8.4458666644245256E-3</c:v>
                </c:pt>
                <c:pt idx="39">
                  <c:v>1.2672356775257668E-2</c:v>
                </c:pt>
                <c:pt idx="40">
                  <c:v>1.8692410885092357E-2</c:v>
                </c:pt>
                <c:pt idx="41">
                  <c:v>2.4859355534864753E-2</c:v>
                </c:pt>
                <c:pt idx="42">
                  <c:v>3.2698200920646465E-2</c:v>
                </c:pt>
                <c:pt idx="43">
                  <c:v>3.9173941752226826E-2</c:v>
                </c:pt>
              </c:numCache>
            </c:numRef>
          </c:val>
          <c:extLst>
            <c:ext xmlns:c16="http://schemas.microsoft.com/office/drawing/2014/chart" uri="{C3380CC4-5D6E-409C-BE32-E72D297353CC}">
              <c16:uniqueId val="{00000000-7AC4-4145-B2A2-72F7384C5F7D}"/>
            </c:ext>
          </c:extLst>
        </c:ser>
        <c:ser>
          <c:idx val="9"/>
          <c:order val="9"/>
          <c:tx>
            <c:v>CU E</c:v>
          </c:tx>
          <c:spPr>
            <a:solidFill>
              <a:schemeClr val="accent4">
                <a:lumMod val="60000"/>
                <a:alpha val="85000"/>
              </a:schemeClr>
            </a:solidFill>
            <a:ln>
              <a:noFill/>
            </a:ln>
            <a:effectLst>
              <a:innerShdw dist="12700" dir="16200000">
                <a:schemeClr val="lt1"/>
              </a:innerShdw>
            </a:effectLst>
          </c:spPr>
          <c:val>
            <c:numRef>
              <c:f>'Mkt Pen Veh-Mi (2)'!$G$9:$G$52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extLst>
            <c:ext xmlns:c16="http://schemas.microsoft.com/office/drawing/2014/chart" uri="{C3380CC4-5D6E-409C-BE32-E72D297353CC}">
              <c16:uniqueId val="{00000001-7AC4-4145-B2A2-72F7384C5F7D}"/>
            </c:ext>
          </c:extLst>
        </c:ser>
        <c:ser>
          <c:idx val="10"/>
          <c:order val="10"/>
          <c:tx>
            <c:v>SU D</c:v>
          </c:tx>
          <c:spPr>
            <a:solidFill>
              <a:schemeClr val="accent5">
                <a:lumMod val="60000"/>
                <a:alpha val="85000"/>
              </a:schemeClr>
            </a:solidFill>
            <a:ln>
              <a:noFill/>
            </a:ln>
            <a:effectLst>
              <a:innerShdw dist="12700" dir="16200000">
                <a:schemeClr val="lt1"/>
              </a:innerShdw>
            </a:effectLst>
          </c:spPr>
          <c:val>
            <c:numRef>
              <c:f>'Mkt Pen Veh-Mi (2)'!$R$9:$R$52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8.0430116983467532E-8</c:v>
                </c:pt>
                <c:pt idx="20">
                  <c:v>1.0739115790105966E-6</c:v>
                </c:pt>
                <c:pt idx="21">
                  <c:v>1.0724544396228984E-5</c:v>
                </c:pt>
                <c:pt idx="22">
                  <c:v>5.4015366152236254E-5</c:v>
                </c:pt>
                <c:pt idx="23">
                  <c:v>2.0673555781435741E-4</c:v>
                </c:pt>
                <c:pt idx="24">
                  <c:v>3.4757870862966935E-4</c:v>
                </c:pt>
                <c:pt idx="25">
                  <c:v>5.1299363261953315E-4</c:v>
                </c:pt>
                <c:pt idx="26">
                  <c:v>7.1991000822373803E-4</c:v>
                </c:pt>
                <c:pt idx="27">
                  <c:v>9.4901067174728575E-4</c:v>
                </c:pt>
                <c:pt idx="28">
                  <c:v>1.2864972560918681E-3</c:v>
                </c:pt>
                <c:pt idx="29">
                  <c:v>1.4059094552639961E-3</c:v>
                </c:pt>
                <c:pt idx="30">
                  <c:v>1.5023615063868587E-3</c:v>
                </c:pt>
                <c:pt idx="31">
                  <c:v>1.6276307304260282E-3</c:v>
                </c:pt>
                <c:pt idx="32">
                  <c:v>1.8110233232550724E-3</c:v>
                </c:pt>
                <c:pt idx="33">
                  <c:v>2.0421592726605187E-3</c:v>
                </c:pt>
                <c:pt idx="34">
                  <c:v>2.4260501964526917E-3</c:v>
                </c:pt>
                <c:pt idx="35">
                  <c:v>3.0700920809336846E-3</c:v>
                </c:pt>
                <c:pt idx="36">
                  <c:v>3.9117024523922777E-3</c:v>
                </c:pt>
                <c:pt idx="37">
                  <c:v>4.9821502409125931E-3</c:v>
                </c:pt>
                <c:pt idx="38">
                  <c:v>6.3303339296295648E-3</c:v>
                </c:pt>
                <c:pt idx="39">
                  <c:v>7.1672180636662792E-3</c:v>
                </c:pt>
                <c:pt idx="40">
                  <c:v>7.6154510749303662E-3</c:v>
                </c:pt>
                <c:pt idx="41">
                  <c:v>7.9170085275443742E-3</c:v>
                </c:pt>
                <c:pt idx="42">
                  <c:v>8.0254871179322278E-3</c:v>
                </c:pt>
                <c:pt idx="43">
                  <c:v>8.3416036025525768E-3</c:v>
                </c:pt>
              </c:numCache>
            </c:numRef>
          </c:val>
          <c:extLst>
            <c:ext xmlns:c16="http://schemas.microsoft.com/office/drawing/2014/chart" uri="{C3380CC4-5D6E-409C-BE32-E72D297353CC}">
              <c16:uniqueId val="{00000002-7AC4-4145-B2A2-72F7384C5F7D}"/>
            </c:ext>
          </c:extLst>
        </c:ser>
        <c:ser>
          <c:idx val="11"/>
          <c:order val="11"/>
          <c:tx>
            <c:v>SU E</c:v>
          </c:tx>
          <c:spPr>
            <a:solidFill>
              <a:schemeClr val="accent6">
                <a:lumMod val="60000"/>
                <a:alpha val="85000"/>
              </a:schemeClr>
            </a:solidFill>
            <a:ln>
              <a:noFill/>
            </a:ln>
            <a:effectLst>
              <a:innerShdw dist="12700" dir="16200000">
                <a:schemeClr val="lt1"/>
              </a:innerShdw>
            </a:effectLst>
          </c:spPr>
          <c:val>
            <c:numRef>
              <c:f>'Mkt Pen Veh-Mi (2)'!$S$9:$S$52</c:f>
              <c:numCache>
                <c:formatCode>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3.5277318061214091E-6</c:v>
                </c:pt>
                <c:pt idx="33">
                  <c:v>2.6916409642125411E-5</c:v>
                </c:pt>
                <c:pt idx="34">
                  <c:v>1.606312417319365E-4</c:v>
                </c:pt>
                <c:pt idx="35">
                  <c:v>6.4160282744559665E-4</c:v>
                </c:pt>
                <c:pt idx="36">
                  <c:v>1.4226590456596327E-3</c:v>
                </c:pt>
                <c:pt idx="37">
                  <c:v>2.4335927151402305E-3</c:v>
                </c:pt>
                <c:pt idx="38">
                  <c:v>3.7634316748851367E-3</c:v>
                </c:pt>
                <c:pt idx="39">
                  <c:v>4.5957889237172216E-3</c:v>
                </c:pt>
                <c:pt idx="40">
                  <c:v>5.340260092573385E-3</c:v>
                </c:pt>
                <c:pt idx="41">
                  <c:v>5.8284971862031113E-3</c:v>
                </c:pt>
                <c:pt idx="42">
                  <c:v>6.3040252050518735E-3</c:v>
                </c:pt>
                <c:pt idx="43">
                  <c:v>6.6490949856628841E-3</c:v>
                </c:pt>
              </c:numCache>
            </c:numRef>
          </c:val>
          <c:extLst>
            <c:ext xmlns:c16="http://schemas.microsoft.com/office/drawing/2014/chart" uri="{C3380CC4-5D6E-409C-BE32-E72D297353CC}">
              <c16:uniqueId val="{00000003-7AC4-4145-B2A2-72F7384C5F7D}"/>
            </c:ext>
          </c:extLst>
        </c:ser>
        <c:dLbls>
          <c:showLegendKey val="0"/>
          <c:showVal val="0"/>
          <c:showCatName val="0"/>
          <c:showSerName val="0"/>
          <c:showPercent val="0"/>
          <c:showBubbleSize val="0"/>
        </c:dLbls>
        <c:axId val="660893760"/>
        <c:axId val="660894320"/>
      </c:areaChart>
      <c:catAx>
        <c:axId val="66089376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660894320"/>
        <c:crosses val="autoZero"/>
        <c:auto val="1"/>
        <c:lblAlgn val="ctr"/>
        <c:lblOffset val="100"/>
        <c:noMultiLvlLbl val="0"/>
      </c:catAx>
      <c:valAx>
        <c:axId val="660894320"/>
        <c:scaling>
          <c:orientation val="minMax"/>
        </c:scaling>
        <c:delete val="0"/>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crossAx val="660893760"/>
        <c:crosses val="autoZero"/>
        <c:crossBetween val="midCat"/>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zero"/>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Sleeper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CentShrbyTech!$B$10:$B$53</c:f>
              <c:numCache>
                <c:formatCode>0.0%</c:formatCode>
                <c:ptCount val="44"/>
                <c:pt idx="0">
                  <c:v>0.23038147668861172</c:v>
                </c:pt>
                <c:pt idx="1">
                  <c:v>0.23038147668861172</c:v>
                </c:pt>
                <c:pt idx="2">
                  <c:v>0.23038147668861172</c:v>
                </c:pt>
                <c:pt idx="3">
                  <c:v>0.23038147668861172</c:v>
                </c:pt>
                <c:pt idx="4">
                  <c:v>0.23038147668861172</c:v>
                </c:pt>
                <c:pt idx="5">
                  <c:v>0.23038147668861172</c:v>
                </c:pt>
                <c:pt idx="6">
                  <c:v>0.23038147668861172</c:v>
                </c:pt>
                <c:pt idx="7">
                  <c:v>0.23038147668861172</c:v>
                </c:pt>
                <c:pt idx="8">
                  <c:v>0.23038147668861172</c:v>
                </c:pt>
                <c:pt idx="9">
                  <c:v>0.23038147668861172</c:v>
                </c:pt>
                <c:pt idx="10">
                  <c:v>0.23038147668861172</c:v>
                </c:pt>
                <c:pt idx="11">
                  <c:v>0.23038147668861172</c:v>
                </c:pt>
                <c:pt idx="12">
                  <c:v>0.23038147668861172</c:v>
                </c:pt>
                <c:pt idx="13">
                  <c:v>0.23038147668861172</c:v>
                </c:pt>
                <c:pt idx="14">
                  <c:v>0.23038147668861172</c:v>
                </c:pt>
                <c:pt idx="15">
                  <c:v>0.23040353781707437</c:v>
                </c:pt>
                <c:pt idx="16">
                  <c:v>0.23026379520905613</c:v>
                </c:pt>
                <c:pt idx="17">
                  <c:v>0.23063051727875197</c:v>
                </c:pt>
                <c:pt idx="18">
                  <c:v>0.23020863148363349</c:v>
                </c:pt>
                <c:pt idx="19">
                  <c:v>0.23132588409183796</c:v>
                </c:pt>
                <c:pt idx="20">
                  <c:v>0.23266381558921728</c:v>
                </c:pt>
                <c:pt idx="21">
                  <c:v>0.2328833653117349</c:v>
                </c:pt>
                <c:pt idx="22">
                  <c:v>0.23205610699924503</c:v>
                </c:pt>
                <c:pt idx="23">
                  <c:v>0.2325368127144869</c:v>
                </c:pt>
                <c:pt idx="24">
                  <c:v>0.23299118766940238</c:v>
                </c:pt>
                <c:pt idx="25">
                  <c:v>0.2318928847240504</c:v>
                </c:pt>
                <c:pt idx="26">
                  <c:v>0.23875154645474539</c:v>
                </c:pt>
                <c:pt idx="27">
                  <c:v>0.23765872386667919</c:v>
                </c:pt>
                <c:pt idx="28">
                  <c:v>0.23567996874223934</c:v>
                </c:pt>
                <c:pt idx="29">
                  <c:v>0.24028745677616672</c:v>
                </c:pt>
                <c:pt idx="30">
                  <c:v>0.24864519028071697</c:v>
                </c:pt>
                <c:pt idx="31">
                  <c:v>0.25433556979125205</c:v>
                </c:pt>
                <c:pt idx="32">
                  <c:v>0.26017310827920725</c:v>
                </c:pt>
                <c:pt idx="33">
                  <c:v>0.25911316630997649</c:v>
                </c:pt>
                <c:pt idx="34">
                  <c:v>0.26691439429992297</c:v>
                </c:pt>
                <c:pt idx="35">
                  <c:v>0.2585540042277088</c:v>
                </c:pt>
                <c:pt idx="36">
                  <c:v>0.26397895164744128</c:v>
                </c:pt>
                <c:pt idx="37">
                  <c:v>0.2604252503092444</c:v>
                </c:pt>
                <c:pt idx="38">
                  <c:v>0.24979558310783509</c:v>
                </c:pt>
                <c:pt idx="39">
                  <c:v>0.25076780622533784</c:v>
                </c:pt>
                <c:pt idx="40">
                  <c:v>0.26219441307862434</c:v>
                </c:pt>
                <c:pt idx="41">
                  <c:v>0.26322958132501956</c:v>
                </c:pt>
                <c:pt idx="42">
                  <c:v>0.26284240740374293</c:v>
                </c:pt>
                <c:pt idx="43">
                  <c:v>0.26275055789079438</c:v>
                </c:pt>
              </c:numCache>
            </c:numRef>
          </c:yVal>
          <c:smooth val="1"/>
          <c:extLst>
            <c:ext xmlns:c16="http://schemas.microsoft.com/office/drawing/2014/chart" uri="{C3380CC4-5D6E-409C-BE32-E72D297353CC}">
              <c16:uniqueId val="{00000000-0CF0-467A-BAB4-84623D474472}"/>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Daycab Baseline Centrally Refueled Share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CentShrbyTech!$H$10:$H$53</c:f>
              <c:numCache>
                <c:formatCode>0.0%</c:formatCode>
                <c:ptCount val="44"/>
                <c:pt idx="0">
                  <c:v>0.61452169476443286</c:v>
                </c:pt>
                <c:pt idx="1">
                  <c:v>0.61452169476443286</c:v>
                </c:pt>
                <c:pt idx="2">
                  <c:v>0.61452169476443286</c:v>
                </c:pt>
                <c:pt idx="3">
                  <c:v>0.61452169476443286</c:v>
                </c:pt>
                <c:pt idx="4">
                  <c:v>0.61452169476443286</c:v>
                </c:pt>
                <c:pt idx="5">
                  <c:v>0.61452169476443286</c:v>
                </c:pt>
                <c:pt idx="6">
                  <c:v>0.61452169476443286</c:v>
                </c:pt>
                <c:pt idx="7">
                  <c:v>0.61452169476443286</c:v>
                </c:pt>
                <c:pt idx="8">
                  <c:v>0.61452169476443286</c:v>
                </c:pt>
                <c:pt idx="9">
                  <c:v>0.61452169476443286</c:v>
                </c:pt>
                <c:pt idx="10">
                  <c:v>0.61452169476443286</c:v>
                </c:pt>
                <c:pt idx="11">
                  <c:v>0.61452169476443286</c:v>
                </c:pt>
                <c:pt idx="12">
                  <c:v>0.61452169476443286</c:v>
                </c:pt>
                <c:pt idx="13">
                  <c:v>0.61452169476443286</c:v>
                </c:pt>
                <c:pt idx="14">
                  <c:v>0.6143836986154696</c:v>
                </c:pt>
                <c:pt idx="15">
                  <c:v>0.61396683866068513</c:v>
                </c:pt>
                <c:pt idx="16">
                  <c:v>0.61281619387145114</c:v>
                </c:pt>
                <c:pt idx="17">
                  <c:v>0.61129930390216158</c:v>
                </c:pt>
                <c:pt idx="18">
                  <c:v>0.60496046250110891</c:v>
                </c:pt>
                <c:pt idx="19">
                  <c:v>0.60447880478251936</c:v>
                </c:pt>
                <c:pt idx="20">
                  <c:v>0.60182648482328105</c:v>
                </c:pt>
                <c:pt idx="21">
                  <c:v>0.59648142693806583</c:v>
                </c:pt>
                <c:pt idx="22">
                  <c:v>0.59179834377647</c:v>
                </c:pt>
                <c:pt idx="23">
                  <c:v>0.5956133335417596</c:v>
                </c:pt>
                <c:pt idx="24">
                  <c:v>0.59583106677124942</c:v>
                </c:pt>
                <c:pt idx="25">
                  <c:v>0.60102524775762556</c:v>
                </c:pt>
                <c:pt idx="26">
                  <c:v>0.59554112544141802</c:v>
                </c:pt>
                <c:pt idx="27">
                  <c:v>0.59553430792170359</c:v>
                </c:pt>
                <c:pt idx="28">
                  <c:v>0.59595634728121261</c:v>
                </c:pt>
                <c:pt idx="29">
                  <c:v>0.60197942856930176</c:v>
                </c:pt>
                <c:pt idx="30">
                  <c:v>0.59024495549530254</c:v>
                </c:pt>
                <c:pt idx="31">
                  <c:v>0.59024478572642725</c:v>
                </c:pt>
                <c:pt idx="32">
                  <c:v>0.59011140417559982</c:v>
                </c:pt>
                <c:pt idx="33">
                  <c:v>0.59011138101437965</c:v>
                </c:pt>
                <c:pt idx="34">
                  <c:v>0.6006148636923222</c:v>
                </c:pt>
                <c:pt idx="35">
                  <c:v>0.59809367101139221</c:v>
                </c:pt>
                <c:pt idx="36">
                  <c:v>0.59645392341613679</c:v>
                </c:pt>
                <c:pt idx="37">
                  <c:v>0.5995124368183915</c:v>
                </c:pt>
                <c:pt idx="38">
                  <c:v>0.48619873773972139</c:v>
                </c:pt>
                <c:pt idx="39">
                  <c:v>0.43600456493157891</c:v>
                </c:pt>
                <c:pt idx="40">
                  <c:v>0.3649923404710852</c:v>
                </c:pt>
                <c:pt idx="41">
                  <c:v>0.3034514324563663</c:v>
                </c:pt>
                <c:pt idx="42">
                  <c:v>0.25052627094383312</c:v>
                </c:pt>
                <c:pt idx="43">
                  <c:v>0.18757982011335786</c:v>
                </c:pt>
              </c:numCache>
            </c:numRef>
          </c:yVal>
          <c:smooth val="1"/>
          <c:extLst>
            <c:ext xmlns:c16="http://schemas.microsoft.com/office/drawing/2014/chart" uri="{C3380CC4-5D6E-409C-BE32-E72D297353CC}">
              <c16:uniqueId val="{00000000-91A0-44C0-B2AC-F6F9E0B077CD}"/>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SU Baseline Centrally Refueled Share</a:t>
            </a:r>
          </a:p>
        </c:rich>
      </c:tx>
      <c:layout>
        <c:manualLayout>
          <c:xMode val="edge"/>
          <c:yMode val="edge"/>
          <c:x val="0.14660038356132635"/>
          <c:y val="3.3333333333333333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spPr>
            <a:ln w="19050" cap="rnd">
              <a:solidFill>
                <a:schemeClr val="accent1"/>
              </a:solidFill>
              <a:round/>
            </a:ln>
            <a:effectLst/>
          </c:spPr>
          <c:marker>
            <c:symbol val="none"/>
          </c:marker>
          <c:xVal>
            <c:numRef>
              <c:f>CentShrbyTech!$A$10:$A$53</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CentShrbyTech!$N$10:$N$53</c:f>
              <c:numCache>
                <c:formatCode>0.0%</c:formatCode>
                <c:ptCount val="44"/>
                <c:pt idx="0">
                  <c:v>0.39932829612730575</c:v>
                </c:pt>
                <c:pt idx="1">
                  <c:v>0.39932829612730575</c:v>
                </c:pt>
                <c:pt idx="2">
                  <c:v>0.39932829612730575</c:v>
                </c:pt>
                <c:pt idx="3">
                  <c:v>0.39932829612730575</c:v>
                </c:pt>
                <c:pt idx="4">
                  <c:v>0.39932829612730575</c:v>
                </c:pt>
                <c:pt idx="5">
                  <c:v>0.39932829612730575</c:v>
                </c:pt>
                <c:pt idx="6">
                  <c:v>0.39932829612730575</c:v>
                </c:pt>
                <c:pt idx="7">
                  <c:v>0.39932829612730575</c:v>
                </c:pt>
                <c:pt idx="8">
                  <c:v>0.39932829612730575</c:v>
                </c:pt>
                <c:pt idx="9">
                  <c:v>0.39932829612730575</c:v>
                </c:pt>
                <c:pt idx="10">
                  <c:v>0.39932829612730575</c:v>
                </c:pt>
                <c:pt idx="11">
                  <c:v>0.39932829612730575</c:v>
                </c:pt>
                <c:pt idx="12">
                  <c:v>0.39932829612730575</c:v>
                </c:pt>
                <c:pt idx="13">
                  <c:v>0.39932829612730575</c:v>
                </c:pt>
                <c:pt idx="14">
                  <c:v>0.39932829612730575</c:v>
                </c:pt>
                <c:pt idx="15">
                  <c:v>0.39919947592731392</c:v>
                </c:pt>
                <c:pt idx="16">
                  <c:v>0.39923566666700477</c:v>
                </c:pt>
                <c:pt idx="17">
                  <c:v>0.39922236229771424</c:v>
                </c:pt>
                <c:pt idx="18">
                  <c:v>0.39928999956144412</c:v>
                </c:pt>
                <c:pt idx="19">
                  <c:v>0.39969985181908479</c:v>
                </c:pt>
                <c:pt idx="20">
                  <c:v>0.3974987760889841</c:v>
                </c:pt>
                <c:pt idx="21">
                  <c:v>0.39777949117065226</c:v>
                </c:pt>
                <c:pt idx="22">
                  <c:v>0.39498491223701887</c:v>
                </c:pt>
                <c:pt idx="23">
                  <c:v>0.39327984324354387</c:v>
                </c:pt>
                <c:pt idx="24">
                  <c:v>0.39341978267649186</c:v>
                </c:pt>
                <c:pt idx="25">
                  <c:v>0.39931751410826127</c:v>
                </c:pt>
                <c:pt idx="26">
                  <c:v>0.39543319323571191</c:v>
                </c:pt>
                <c:pt idx="27">
                  <c:v>0.39747205069174879</c:v>
                </c:pt>
                <c:pt idx="28">
                  <c:v>0.3974763333470952</c:v>
                </c:pt>
                <c:pt idx="29">
                  <c:v>0.39515137072445128</c:v>
                </c:pt>
                <c:pt idx="30">
                  <c:v>0.39480109856562079</c:v>
                </c:pt>
                <c:pt idx="31">
                  <c:v>0.39479654702484818</c:v>
                </c:pt>
                <c:pt idx="32">
                  <c:v>0.39357336120732639</c:v>
                </c:pt>
                <c:pt idx="33">
                  <c:v>0.39357335491746653</c:v>
                </c:pt>
                <c:pt idx="34">
                  <c:v>0.4003258767522298</c:v>
                </c:pt>
                <c:pt idx="35">
                  <c:v>0.39679500164478232</c:v>
                </c:pt>
                <c:pt idx="36">
                  <c:v>0.39680891341904478</c:v>
                </c:pt>
                <c:pt idx="37">
                  <c:v>0.3941975314351433</c:v>
                </c:pt>
                <c:pt idx="38">
                  <c:v>0.39558980724123466</c:v>
                </c:pt>
                <c:pt idx="39">
                  <c:v>0.395589807230385</c:v>
                </c:pt>
                <c:pt idx="40">
                  <c:v>0.39558124076290108</c:v>
                </c:pt>
                <c:pt idx="41">
                  <c:v>0.39554359902907882</c:v>
                </c:pt>
                <c:pt idx="42">
                  <c:v>0.39556605278964957</c:v>
                </c:pt>
                <c:pt idx="43">
                  <c:v>0.39686362990324553</c:v>
                </c:pt>
              </c:numCache>
            </c:numRef>
          </c:yVal>
          <c:smooth val="1"/>
          <c:extLst>
            <c:ext xmlns:c16="http://schemas.microsoft.com/office/drawing/2014/chart" uri="{C3380CC4-5D6E-409C-BE32-E72D297353CC}">
              <c16:uniqueId val="{00000000-FE5E-41BE-B4DA-7994EC2F409B}"/>
            </c:ext>
          </c:extLst>
        </c:ser>
        <c:dLbls>
          <c:showLegendKey val="0"/>
          <c:showVal val="0"/>
          <c:showCatName val="0"/>
          <c:showSerName val="0"/>
          <c:showPercent val="0"/>
          <c:showBubbleSize val="0"/>
        </c:dLbls>
        <c:axId val="638489232"/>
        <c:axId val="638489560"/>
      </c:scatterChart>
      <c:valAx>
        <c:axId val="63848923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560"/>
        <c:crosses val="autoZero"/>
        <c:crossBetween val="midCat"/>
      </c:valAx>
      <c:valAx>
        <c:axId val="638489560"/>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38489232"/>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MPG!$AS$8</c:f>
              <c:strCache>
                <c:ptCount val="1"/>
                <c:pt idx="0">
                  <c:v>7&amp;8 Sleeper</c:v>
                </c:pt>
              </c:strCache>
            </c:strRef>
          </c:tx>
          <c:spPr>
            <a:ln w="28575" cap="rnd">
              <a:solidFill>
                <a:schemeClr val="accent1"/>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MPG!$AS$9:$AS$52</c15:sqref>
                  </c15:fullRef>
                </c:ext>
              </c:extLst>
              <c:f>MPG!$AS$18:$AS$52</c:f>
              <c:numCache>
                <c:formatCode>0.00</c:formatCode>
                <c:ptCount val="35"/>
                <c:pt idx="0">
                  <c:v>1</c:v>
                </c:pt>
                <c:pt idx="1">
                  <c:v>1</c:v>
                </c:pt>
                <c:pt idx="2">
                  <c:v>1</c:v>
                </c:pt>
                <c:pt idx="3">
                  <c:v>1</c:v>
                </c:pt>
                <c:pt idx="4">
                  <c:v>1</c:v>
                </c:pt>
                <c:pt idx="5">
                  <c:v>1</c:v>
                </c:pt>
                <c:pt idx="6">
                  <c:v>1.000753772178506</c:v>
                </c:pt>
                <c:pt idx="7">
                  <c:v>1.0024074824026084</c:v>
                </c:pt>
                <c:pt idx="8">
                  <c:v>1.0071766822665582</c:v>
                </c:pt>
                <c:pt idx="9">
                  <c:v>1.0154209580822413</c:v>
                </c:pt>
                <c:pt idx="10">
                  <c:v>1.0169711855663599</c:v>
                </c:pt>
                <c:pt idx="11">
                  <c:v>1.0164829784965563</c:v>
                </c:pt>
                <c:pt idx="12">
                  <c:v>1.0219212503417059</c:v>
                </c:pt>
                <c:pt idx="13">
                  <c:v>1.0198787678956096</c:v>
                </c:pt>
                <c:pt idx="14">
                  <c:v>1.0226330850033847</c:v>
                </c:pt>
                <c:pt idx="15">
                  <c:v>1.0239734930344473</c:v>
                </c:pt>
                <c:pt idx="16">
                  <c:v>1.024531369010413</c:v>
                </c:pt>
                <c:pt idx="17">
                  <c:v>1.0279374379826813</c:v>
                </c:pt>
                <c:pt idx="18">
                  <c:v>1.0284031608397319</c:v>
                </c:pt>
                <c:pt idx="19">
                  <c:v>1.0290743348490738</c:v>
                </c:pt>
                <c:pt idx="20">
                  <c:v>1.0434088297244899</c:v>
                </c:pt>
                <c:pt idx="21">
                  <c:v>1.0511854561777012</c:v>
                </c:pt>
                <c:pt idx="22">
                  <c:v>1.0612950238179184</c:v>
                </c:pt>
                <c:pt idx="23">
                  <c:v>1.0759089783161238</c:v>
                </c:pt>
                <c:pt idx="24">
                  <c:v>1.0990843755572677</c:v>
                </c:pt>
                <c:pt idx="25">
                  <c:v>1.1302535886745462</c:v>
                </c:pt>
                <c:pt idx="26">
                  <c:v>1.1659045792981164</c:v>
                </c:pt>
                <c:pt idx="27">
                  <c:v>1.2006796548013059</c:v>
                </c:pt>
                <c:pt idx="28">
                  <c:v>1.2335136969361369</c:v>
                </c:pt>
                <c:pt idx="29">
                  <c:v>1.2608332887800202</c:v>
                </c:pt>
                <c:pt idx="30">
                  <c:v>1.2823290365370987</c:v>
                </c:pt>
                <c:pt idx="31">
                  <c:v>1.3088057516984937</c:v>
                </c:pt>
                <c:pt idx="32">
                  <c:v>1.3323957907666575</c:v>
                </c:pt>
                <c:pt idx="33">
                  <c:v>1.3630812454481849</c:v>
                </c:pt>
                <c:pt idx="34">
                  <c:v>1.4034088925609109</c:v>
                </c:pt>
              </c:numCache>
            </c:numRef>
          </c:val>
          <c:smooth val="0"/>
          <c:extLst>
            <c:ext xmlns:c16="http://schemas.microsoft.com/office/drawing/2014/chart" uri="{C3380CC4-5D6E-409C-BE32-E72D297353CC}">
              <c16:uniqueId val="{00000000-FD4D-48AD-8BA3-E16EE7C4E73B}"/>
            </c:ext>
          </c:extLst>
        </c:ser>
        <c:ser>
          <c:idx val="1"/>
          <c:order val="1"/>
          <c:tx>
            <c:strRef>
              <c:f>MPG!$AT$8</c:f>
              <c:strCache>
                <c:ptCount val="1"/>
                <c:pt idx="0">
                  <c:v>7&amp;8 Day</c:v>
                </c:pt>
              </c:strCache>
            </c:strRef>
          </c:tx>
          <c:spPr>
            <a:ln w="28575" cap="rnd">
              <a:solidFill>
                <a:schemeClr val="accent2"/>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MPG!$AT$9:$AT$52</c15:sqref>
                  </c15:fullRef>
                </c:ext>
              </c:extLst>
              <c:f>MPG!$AT$18:$AT$52</c:f>
              <c:numCache>
                <c:formatCode>0.00</c:formatCode>
                <c:ptCount val="35"/>
                <c:pt idx="0">
                  <c:v>1</c:v>
                </c:pt>
                <c:pt idx="1">
                  <c:v>1</c:v>
                </c:pt>
                <c:pt idx="2">
                  <c:v>1</c:v>
                </c:pt>
                <c:pt idx="3">
                  <c:v>1</c:v>
                </c:pt>
                <c:pt idx="4">
                  <c:v>1</c:v>
                </c:pt>
                <c:pt idx="5">
                  <c:v>1.0007155073743423</c:v>
                </c:pt>
                <c:pt idx="6">
                  <c:v>1.0033979745739756</c:v>
                </c:pt>
                <c:pt idx="7">
                  <c:v>1.0105785912318768</c:v>
                </c:pt>
                <c:pt idx="8">
                  <c:v>1.0234641080606126</c:v>
                </c:pt>
                <c:pt idx="9">
                  <c:v>1.0404104886479379</c:v>
                </c:pt>
                <c:pt idx="10">
                  <c:v>1.06290420002379</c:v>
                </c:pt>
                <c:pt idx="11">
                  <c:v>1.0821907259598695</c:v>
                </c:pt>
                <c:pt idx="12">
                  <c:v>1.1004921109617121</c:v>
                </c:pt>
                <c:pt idx="13">
                  <c:v>1.1153212103479071</c:v>
                </c:pt>
                <c:pt idx="14">
                  <c:v>1.1310346121038635</c:v>
                </c:pt>
                <c:pt idx="15">
                  <c:v>1.1313697501945545</c:v>
                </c:pt>
                <c:pt idx="16">
                  <c:v>1.13276644616661</c:v>
                </c:pt>
                <c:pt idx="17">
                  <c:v>1.1344238333710837</c:v>
                </c:pt>
                <c:pt idx="18">
                  <c:v>1.1354118588767419</c:v>
                </c:pt>
                <c:pt idx="19">
                  <c:v>1.1385768954245101</c:v>
                </c:pt>
                <c:pt idx="20">
                  <c:v>1.1413196420505227</c:v>
                </c:pt>
                <c:pt idx="21">
                  <c:v>1.1445932833493253</c:v>
                </c:pt>
                <c:pt idx="22">
                  <c:v>1.1469199977494393</c:v>
                </c:pt>
                <c:pt idx="23">
                  <c:v>1.1506384018083891</c:v>
                </c:pt>
                <c:pt idx="24">
                  <c:v>1.1555952789665445</c:v>
                </c:pt>
                <c:pt idx="25">
                  <c:v>1.1717685487215777</c:v>
                </c:pt>
                <c:pt idx="26">
                  <c:v>1.1928771005906846</c:v>
                </c:pt>
                <c:pt idx="27">
                  <c:v>1.2097733260558505</c:v>
                </c:pt>
                <c:pt idx="28">
                  <c:v>1.2272258909754548</c:v>
                </c:pt>
                <c:pt idx="29">
                  <c:v>1.2592609895775708</c:v>
                </c:pt>
                <c:pt idx="30">
                  <c:v>1.2775830188246462</c:v>
                </c:pt>
                <c:pt idx="31">
                  <c:v>1.2957407671503596</c:v>
                </c:pt>
                <c:pt idx="32">
                  <c:v>1.3105450113043224</c:v>
                </c:pt>
                <c:pt idx="33">
                  <c:v>1.3215491571040137</c:v>
                </c:pt>
                <c:pt idx="34">
                  <c:v>1.3324351194222623</c:v>
                </c:pt>
              </c:numCache>
            </c:numRef>
          </c:val>
          <c:smooth val="0"/>
          <c:extLst>
            <c:ext xmlns:c16="http://schemas.microsoft.com/office/drawing/2014/chart" uri="{C3380CC4-5D6E-409C-BE32-E72D297353CC}">
              <c16:uniqueId val="{00000001-FD4D-48AD-8BA3-E16EE7C4E73B}"/>
            </c:ext>
          </c:extLst>
        </c:ser>
        <c:ser>
          <c:idx val="2"/>
          <c:order val="2"/>
          <c:tx>
            <c:strRef>
              <c:f>MPG!$AU$8</c:f>
              <c:strCache>
                <c:ptCount val="1"/>
                <c:pt idx="0">
                  <c:v>7&amp;8 Single-Unit</c:v>
                </c:pt>
              </c:strCache>
            </c:strRef>
          </c:tx>
          <c:spPr>
            <a:ln w="28575" cap="rnd">
              <a:solidFill>
                <a:schemeClr val="accent3"/>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MPG!$AU$9:$AU$52</c15:sqref>
                  </c15:fullRef>
                </c:ext>
              </c:extLst>
              <c:f>MPG!$AU$18:$AU$52</c:f>
              <c:numCache>
                <c:formatCode>0.00</c:formatCode>
                <c:ptCount val="35"/>
                <c:pt idx="0">
                  <c:v>1</c:v>
                </c:pt>
                <c:pt idx="1">
                  <c:v>1</c:v>
                </c:pt>
                <c:pt idx="2">
                  <c:v>1</c:v>
                </c:pt>
                <c:pt idx="3">
                  <c:v>1</c:v>
                </c:pt>
                <c:pt idx="4">
                  <c:v>1</c:v>
                </c:pt>
                <c:pt idx="5">
                  <c:v>1</c:v>
                </c:pt>
                <c:pt idx="6">
                  <c:v>1.0021536580162651</c:v>
                </c:pt>
                <c:pt idx="7">
                  <c:v>1.0065777855648941</c:v>
                </c:pt>
                <c:pt idx="8">
                  <c:v>1.0162361663458734</c:v>
                </c:pt>
                <c:pt idx="9">
                  <c:v>1.0273471399422589</c:v>
                </c:pt>
                <c:pt idx="10">
                  <c:v>1.0482016944380086</c:v>
                </c:pt>
                <c:pt idx="11">
                  <c:v>1.0669908064424314</c:v>
                </c:pt>
                <c:pt idx="12">
                  <c:v>1.0839455303475853</c:v>
                </c:pt>
                <c:pt idx="13">
                  <c:v>1.0957184063036653</c:v>
                </c:pt>
                <c:pt idx="14">
                  <c:v>1.1079119709503185</c:v>
                </c:pt>
                <c:pt idx="15">
                  <c:v>1.1097577914689474</c:v>
                </c:pt>
                <c:pt idx="16">
                  <c:v>1.113334959068077</c:v>
                </c:pt>
                <c:pt idx="17">
                  <c:v>1.1163246175533965</c:v>
                </c:pt>
                <c:pt idx="18">
                  <c:v>1.1188703491979419</c:v>
                </c:pt>
                <c:pt idx="19">
                  <c:v>1.1212201117676666</c:v>
                </c:pt>
                <c:pt idx="20">
                  <c:v>1.1248478423453034</c:v>
                </c:pt>
                <c:pt idx="21">
                  <c:v>1.1255441664104158</c:v>
                </c:pt>
                <c:pt idx="22">
                  <c:v>1.1263235306851755</c:v>
                </c:pt>
                <c:pt idx="23">
                  <c:v>1.1272980862726762</c:v>
                </c:pt>
                <c:pt idx="24">
                  <c:v>1.128551852577069</c:v>
                </c:pt>
                <c:pt idx="25">
                  <c:v>1.1334167562097122</c:v>
                </c:pt>
                <c:pt idx="26">
                  <c:v>1.1425879906786598</c:v>
                </c:pt>
                <c:pt idx="27">
                  <c:v>1.1532468287232343</c:v>
                </c:pt>
                <c:pt idx="28">
                  <c:v>1.1693294974972179</c:v>
                </c:pt>
                <c:pt idx="29">
                  <c:v>1.19333209269545</c:v>
                </c:pt>
                <c:pt idx="30">
                  <c:v>1.2067342636980773</c:v>
                </c:pt>
                <c:pt idx="31">
                  <c:v>1.21675105795529</c:v>
                </c:pt>
                <c:pt idx="32">
                  <c:v>1.2235431437149189</c:v>
                </c:pt>
                <c:pt idx="33">
                  <c:v>1.2291303397855464</c:v>
                </c:pt>
                <c:pt idx="34">
                  <c:v>1.2391479286957128</c:v>
                </c:pt>
              </c:numCache>
            </c:numRef>
          </c:val>
          <c:smooth val="0"/>
          <c:extLst>
            <c:ext xmlns:c16="http://schemas.microsoft.com/office/drawing/2014/chart" uri="{C3380CC4-5D6E-409C-BE32-E72D297353CC}">
              <c16:uniqueId val="{00000002-FD4D-48AD-8BA3-E16EE7C4E73B}"/>
            </c:ext>
          </c:extLst>
        </c:ser>
        <c:ser>
          <c:idx val="3"/>
          <c:order val="3"/>
          <c:tx>
            <c:strRef>
              <c:f>MPG!$AV$8</c:f>
              <c:strCache>
                <c:ptCount val="1"/>
                <c:pt idx="0">
                  <c:v>4-6 Vocational</c:v>
                </c:pt>
              </c:strCache>
            </c:strRef>
          </c:tx>
          <c:spPr>
            <a:ln w="28575" cap="rnd">
              <a:solidFill>
                <a:schemeClr val="accent4"/>
              </a:solidFill>
              <a:round/>
            </a:ln>
            <a:effectLst/>
          </c:spPr>
          <c:marker>
            <c:symbol val="none"/>
          </c:marker>
          <c:cat>
            <c:numRef>
              <c:extLst>
                <c:ext xmlns:c15="http://schemas.microsoft.com/office/drawing/2012/chart" uri="{02D57815-91ED-43cb-92C2-25804820EDAC}">
                  <c15:fullRef>
                    <c15:sqref>MPG!$AR$9:$AR$52</c15:sqref>
                  </c15:fullRef>
                </c:ext>
              </c:extLst>
              <c:f>MPG!$AR$18:$AR$52</c:f>
              <c:numCache>
                <c:formatCode>General</c:formatCode>
                <c:ptCount val="35"/>
                <c:pt idx="0">
                  <c:v>2016</c:v>
                </c:pt>
                <c:pt idx="1">
                  <c:v>2017</c:v>
                </c:pt>
                <c:pt idx="2">
                  <c:v>2018</c:v>
                </c:pt>
                <c:pt idx="3">
                  <c:v>2019</c:v>
                </c:pt>
                <c:pt idx="4">
                  <c:v>2020</c:v>
                </c:pt>
                <c:pt idx="5">
                  <c:v>2021</c:v>
                </c:pt>
                <c:pt idx="6">
                  <c:v>2022</c:v>
                </c:pt>
                <c:pt idx="7">
                  <c:v>2023</c:v>
                </c:pt>
                <c:pt idx="8">
                  <c:v>2024</c:v>
                </c:pt>
                <c:pt idx="9">
                  <c:v>2025</c:v>
                </c:pt>
                <c:pt idx="10">
                  <c:v>2026</c:v>
                </c:pt>
                <c:pt idx="11">
                  <c:v>2027</c:v>
                </c:pt>
                <c:pt idx="12">
                  <c:v>2028</c:v>
                </c:pt>
                <c:pt idx="13">
                  <c:v>2029</c:v>
                </c:pt>
                <c:pt idx="14">
                  <c:v>2030</c:v>
                </c:pt>
                <c:pt idx="15">
                  <c:v>2031</c:v>
                </c:pt>
                <c:pt idx="16">
                  <c:v>2032</c:v>
                </c:pt>
                <c:pt idx="17">
                  <c:v>2033</c:v>
                </c:pt>
                <c:pt idx="18">
                  <c:v>2034</c:v>
                </c:pt>
                <c:pt idx="19">
                  <c:v>2035</c:v>
                </c:pt>
                <c:pt idx="20">
                  <c:v>2036</c:v>
                </c:pt>
                <c:pt idx="21">
                  <c:v>2037</c:v>
                </c:pt>
                <c:pt idx="22">
                  <c:v>2038</c:v>
                </c:pt>
                <c:pt idx="23">
                  <c:v>2039</c:v>
                </c:pt>
                <c:pt idx="24">
                  <c:v>2040</c:v>
                </c:pt>
                <c:pt idx="25">
                  <c:v>2041</c:v>
                </c:pt>
                <c:pt idx="26">
                  <c:v>2042</c:v>
                </c:pt>
                <c:pt idx="27">
                  <c:v>2043</c:v>
                </c:pt>
                <c:pt idx="28">
                  <c:v>2044</c:v>
                </c:pt>
                <c:pt idx="29">
                  <c:v>2045</c:v>
                </c:pt>
                <c:pt idx="30">
                  <c:v>2046</c:v>
                </c:pt>
                <c:pt idx="31">
                  <c:v>2047</c:v>
                </c:pt>
                <c:pt idx="32">
                  <c:v>2048</c:v>
                </c:pt>
                <c:pt idx="33">
                  <c:v>2049</c:v>
                </c:pt>
                <c:pt idx="34">
                  <c:v>2050</c:v>
                </c:pt>
              </c:numCache>
            </c:numRef>
          </c:cat>
          <c:val>
            <c:numRef>
              <c:extLst>
                <c:ext xmlns:c15="http://schemas.microsoft.com/office/drawing/2012/chart" uri="{02D57815-91ED-43cb-92C2-25804820EDAC}">
                  <c15:fullRef>
                    <c15:sqref>MPG!$AV$9:$AV$52</c15:sqref>
                  </c15:fullRef>
                </c:ext>
              </c:extLst>
              <c:f>MPG!$AV$18:$AV$52</c:f>
              <c:numCache>
                <c:formatCode>0.00</c:formatCode>
                <c:ptCount val="35"/>
                <c:pt idx="0">
                  <c:v>1</c:v>
                </c:pt>
                <c:pt idx="1">
                  <c:v>1</c:v>
                </c:pt>
                <c:pt idx="2">
                  <c:v>1</c:v>
                </c:pt>
                <c:pt idx="3">
                  <c:v>1</c:v>
                </c:pt>
                <c:pt idx="4">
                  <c:v>1</c:v>
                </c:pt>
                <c:pt idx="5">
                  <c:v>1.0014357770328348</c:v>
                </c:pt>
                <c:pt idx="6">
                  <c:v>1.0062505931411208</c:v>
                </c:pt>
                <c:pt idx="7">
                  <c:v>1.0208046069018777</c:v>
                </c:pt>
                <c:pt idx="8">
                  <c:v>1.0542395624100738</c:v>
                </c:pt>
                <c:pt idx="9">
                  <c:v>1.0972655221641847</c:v>
                </c:pt>
                <c:pt idx="10">
                  <c:v>1.1088315108256861</c:v>
                </c:pt>
                <c:pt idx="11">
                  <c:v>1.1157356459109145</c:v>
                </c:pt>
                <c:pt idx="12">
                  <c:v>1.128298781955815</c:v>
                </c:pt>
                <c:pt idx="13">
                  <c:v>1.1453205018890817</c:v>
                </c:pt>
                <c:pt idx="14">
                  <c:v>1.1812981817033279</c:v>
                </c:pt>
                <c:pt idx="15">
                  <c:v>1.2181775878152028</c:v>
                </c:pt>
                <c:pt idx="16">
                  <c:v>1.2746723773692126</c:v>
                </c:pt>
                <c:pt idx="17">
                  <c:v>1.3942553676087848</c:v>
                </c:pt>
                <c:pt idx="18">
                  <c:v>1.5544037088823743</c:v>
                </c:pt>
                <c:pt idx="19">
                  <c:v>1.733471734567664</c:v>
                </c:pt>
                <c:pt idx="20">
                  <c:v>1.9033105938350969</c:v>
                </c:pt>
                <c:pt idx="21">
                  <c:v>2.0330617296005014</c:v>
                </c:pt>
                <c:pt idx="22">
                  <c:v>2.0837866625663999</c:v>
                </c:pt>
                <c:pt idx="23">
                  <c:v>2.111395266587011</c:v>
                </c:pt>
                <c:pt idx="24">
                  <c:v>2.1489389429026087</c:v>
                </c:pt>
                <c:pt idx="25">
                  <c:v>2.1717496436120078</c:v>
                </c:pt>
                <c:pt idx="26">
                  <c:v>2.1924471877980629</c:v>
                </c:pt>
                <c:pt idx="27">
                  <c:v>2.2174143154278179</c:v>
                </c:pt>
                <c:pt idx="28">
                  <c:v>2.2420204999328672</c:v>
                </c:pt>
                <c:pt idx="29">
                  <c:v>2.2603379864801605</c:v>
                </c:pt>
                <c:pt idx="30">
                  <c:v>2.2751084089886593</c:v>
                </c:pt>
                <c:pt idx="31">
                  <c:v>2.2883161082475314</c:v>
                </c:pt>
                <c:pt idx="32">
                  <c:v>2.2967875867465612</c:v>
                </c:pt>
                <c:pt idx="33">
                  <c:v>2.3322687300900027</c:v>
                </c:pt>
                <c:pt idx="34">
                  <c:v>2.3546741005366987</c:v>
                </c:pt>
              </c:numCache>
            </c:numRef>
          </c:val>
          <c:smooth val="0"/>
          <c:extLst>
            <c:ext xmlns:c16="http://schemas.microsoft.com/office/drawing/2014/chart" uri="{C3380CC4-5D6E-409C-BE32-E72D297353CC}">
              <c16:uniqueId val="{00000003-FD4D-48AD-8BA3-E16EE7C4E73B}"/>
            </c:ext>
          </c:extLst>
        </c:ser>
        <c:dLbls>
          <c:showLegendKey val="0"/>
          <c:showVal val="0"/>
          <c:showCatName val="0"/>
          <c:showSerName val="0"/>
          <c:showPercent val="0"/>
          <c:showBubbleSize val="0"/>
        </c:dLbls>
        <c:smooth val="0"/>
        <c:axId val="1879078879"/>
        <c:axId val="1790723983"/>
      </c:lineChart>
      <c:dateAx>
        <c:axId val="187907887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90723983"/>
        <c:crosses val="autoZero"/>
        <c:auto val="0"/>
        <c:lblOffset val="100"/>
        <c:baseTimeUnit val="days"/>
      </c:dateAx>
      <c:valAx>
        <c:axId val="1790723983"/>
        <c:scaling>
          <c:orientation val="minMax"/>
          <c:min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 economy multiplier, versus base</a:t>
                </a:r>
              </a:p>
            </c:rich>
          </c:tx>
          <c:layout>
            <c:manualLayout>
              <c:xMode val="edge"/>
              <c:yMode val="edge"/>
              <c:x val="2.2315295348211521E-2"/>
              <c:y val="9.4289915567782948E-2"/>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7907887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MPG, Daycab</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MPG!$AB$6</c:f>
              <c:strCache>
                <c:ptCount val="1"/>
                <c:pt idx="0">
                  <c:v>Base</c:v>
                </c:pt>
              </c:strCache>
            </c:strRef>
          </c:tx>
          <c:spPr>
            <a:ln w="19050" cap="rnd">
              <a:solidFill>
                <a:schemeClr val="accent1"/>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MPG!$AB$22:$AB$52</c:f>
              <c:numCache>
                <c:formatCode>0.00</c:formatCode>
                <c:ptCount val="31"/>
                <c:pt idx="0">
                  <c:v>6.5937589910582313</c:v>
                </c:pt>
                <c:pt idx="1">
                  <c:v>6.610100853808035</c:v>
                </c:pt>
                <c:pt idx="2">
                  <c:v>6.7005254493390005</c:v>
                </c:pt>
                <c:pt idx="3">
                  <c:v>6.7836459413167711</c:v>
                </c:pt>
                <c:pt idx="4">
                  <c:v>6.8935028575399588</c:v>
                </c:pt>
                <c:pt idx="5">
                  <c:v>7.0085428042454856</c:v>
                </c:pt>
                <c:pt idx="6">
                  <c:v>7.1518705692126217</c:v>
                </c:pt>
                <c:pt idx="7">
                  <c:v>7.285737346405269</c:v>
                </c:pt>
                <c:pt idx="8">
                  <c:v>7.3498347364013634</c:v>
                </c:pt>
                <c:pt idx="9">
                  <c:v>7.4265021351464533</c:v>
                </c:pt>
                <c:pt idx="10">
                  <c:v>7.4306901675713188</c:v>
                </c:pt>
                <c:pt idx="11">
                  <c:v>7.4348781999961817</c:v>
                </c:pt>
                <c:pt idx="12">
                  <c:v>7.4390662324210455</c:v>
                </c:pt>
                <c:pt idx="13">
                  <c:v>7.4432542648459084</c:v>
                </c:pt>
                <c:pt idx="14">
                  <c:v>7.4474422972707748</c:v>
                </c:pt>
                <c:pt idx="15">
                  <c:v>7.4516303296956377</c:v>
                </c:pt>
                <c:pt idx="16">
                  <c:v>7.4551478614568492</c:v>
                </c:pt>
                <c:pt idx="17">
                  <c:v>7.4551644145974123</c:v>
                </c:pt>
                <c:pt idx="18">
                  <c:v>7.4551809677379772</c:v>
                </c:pt>
                <c:pt idx="19">
                  <c:v>7.4551975208785422</c:v>
                </c:pt>
                <c:pt idx="20">
                  <c:v>7.4552140740191053</c:v>
                </c:pt>
                <c:pt idx="21">
                  <c:v>7.4552306271596702</c:v>
                </c:pt>
                <c:pt idx="22">
                  <c:v>7.455247180300236</c:v>
                </c:pt>
                <c:pt idx="23">
                  <c:v>7.4552637334407992</c:v>
                </c:pt>
                <c:pt idx="24">
                  <c:v>7.4552802865813641</c:v>
                </c:pt>
                <c:pt idx="25">
                  <c:v>7.455296839721929</c:v>
                </c:pt>
                <c:pt idx="26">
                  <c:v>7.4553133928624931</c:v>
                </c:pt>
                <c:pt idx="27">
                  <c:v>7.4553299460030589</c:v>
                </c:pt>
                <c:pt idx="28">
                  <c:v>7.455346499143622</c:v>
                </c:pt>
                <c:pt idx="29">
                  <c:v>7.4553630522841869</c:v>
                </c:pt>
                <c:pt idx="30">
                  <c:v>7.455379605424751</c:v>
                </c:pt>
              </c:numCache>
            </c:numRef>
          </c:yVal>
          <c:smooth val="0"/>
          <c:extLst>
            <c:ext xmlns:c16="http://schemas.microsoft.com/office/drawing/2014/chart" uri="{C3380CC4-5D6E-409C-BE32-E72D297353CC}">
              <c16:uniqueId val="{00000000-E2D6-4B54-B168-79F9FDCB9851}"/>
            </c:ext>
          </c:extLst>
        </c:ser>
        <c:ser>
          <c:idx val="1"/>
          <c:order val="1"/>
          <c:tx>
            <c:strRef>
              <c:f>MPG!$AC$7</c:f>
              <c:strCache>
                <c:ptCount val="1"/>
                <c:pt idx="0">
                  <c:v>Adv Conv</c:v>
                </c:pt>
              </c:strCache>
            </c:strRef>
          </c:tx>
          <c:spPr>
            <a:ln w="19050" cap="rnd">
              <a:solidFill>
                <a:schemeClr val="accent2"/>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MPG!$AC$22:$AC$52</c:f>
              <c:numCache>
                <c:formatCode>0.00</c:formatCode>
                <c:ptCount val="31"/>
                <c:pt idx="0">
                  <c:v>0</c:v>
                </c:pt>
                <c:pt idx="1">
                  <c:v>6.7450424840493035</c:v>
                </c:pt>
                <c:pt idx="2">
                  <c:v>6.9690689215323394</c:v>
                </c:pt>
                <c:pt idx="3">
                  <c:v>7.1840928879382586</c:v>
                </c:pt>
                <c:pt idx="4">
                  <c:v>7.4264535186122629</c:v>
                </c:pt>
                <c:pt idx="5">
                  <c:v>7.6740426808692392</c:v>
                </c:pt>
                <c:pt idx="6">
                  <c:v>7.9528406682628203</c:v>
                </c:pt>
                <c:pt idx="7">
                  <c:v>8.2216592425265489</c:v>
                </c:pt>
                <c:pt idx="8">
                  <c:v>8.4109962645064513</c:v>
                </c:pt>
                <c:pt idx="9">
                  <c:v>8.6131061487827569</c:v>
                </c:pt>
                <c:pt idx="10">
                  <c:v>8.7287315275043209</c:v>
                </c:pt>
                <c:pt idx="11">
                  <c:v>8.7336511527128469</c:v>
                </c:pt>
                <c:pt idx="12">
                  <c:v>8.738570777921371</c:v>
                </c:pt>
                <c:pt idx="13">
                  <c:v>8.7434904031298952</c:v>
                </c:pt>
                <c:pt idx="14">
                  <c:v>8.7484100283384194</c:v>
                </c:pt>
                <c:pt idx="15">
                  <c:v>8.7533296535469436</c:v>
                </c:pt>
                <c:pt idx="16">
                  <c:v>8.757461650668434</c:v>
                </c:pt>
                <c:pt idx="17">
                  <c:v>8.7574810954194149</c:v>
                </c:pt>
                <c:pt idx="18">
                  <c:v>8.7575005401703958</c:v>
                </c:pt>
                <c:pt idx="19">
                  <c:v>8.7575199849213785</c:v>
                </c:pt>
                <c:pt idx="20">
                  <c:v>8.7575394296723594</c:v>
                </c:pt>
                <c:pt idx="21">
                  <c:v>8.7575588744233404</c:v>
                </c:pt>
                <c:pt idx="22">
                  <c:v>8.7575783191743213</c:v>
                </c:pt>
                <c:pt idx="23">
                  <c:v>8.757597763925304</c:v>
                </c:pt>
                <c:pt idx="24">
                  <c:v>8.7576172086762831</c:v>
                </c:pt>
                <c:pt idx="25">
                  <c:v>8.7576366534272641</c:v>
                </c:pt>
                <c:pt idx="26">
                  <c:v>8.757656098178245</c:v>
                </c:pt>
                <c:pt idx="27">
                  <c:v>8.7576755429292259</c:v>
                </c:pt>
                <c:pt idx="28">
                  <c:v>8.7576949876802068</c:v>
                </c:pt>
                <c:pt idx="29">
                  <c:v>8.7577144324311877</c:v>
                </c:pt>
                <c:pt idx="30">
                  <c:v>8.7577338771821687</c:v>
                </c:pt>
              </c:numCache>
            </c:numRef>
          </c:yVal>
          <c:smooth val="0"/>
          <c:extLst>
            <c:ext xmlns:c16="http://schemas.microsoft.com/office/drawing/2014/chart" uri="{C3380CC4-5D6E-409C-BE32-E72D297353CC}">
              <c16:uniqueId val="{00000001-E2D6-4B54-B168-79F9FDCB9851}"/>
            </c:ext>
          </c:extLst>
        </c:ser>
        <c:ser>
          <c:idx val="2"/>
          <c:order val="2"/>
          <c:tx>
            <c:strRef>
              <c:f>MPG!$AD$7</c:f>
              <c:strCache>
                <c:ptCount val="1"/>
                <c:pt idx="0">
                  <c:v>ISG</c:v>
                </c:pt>
              </c:strCache>
            </c:strRef>
          </c:tx>
          <c:spPr>
            <a:ln w="19050" cap="rnd">
              <a:solidFill>
                <a:schemeClr val="accent3"/>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MPG!$AD$22:$AD$52</c:f>
              <c:numCache>
                <c:formatCode>0.00</c:formatCode>
                <c:ptCount val="31"/>
                <c:pt idx="0">
                  <c:v>0</c:v>
                </c:pt>
                <c:pt idx="1">
                  <c:v>6.7496952407848143</c:v>
                </c:pt>
                <c:pt idx="2">
                  <c:v>6.978762914555956</c:v>
                </c:pt>
                <c:pt idx="3">
                  <c:v>7.1987644467737528</c:v>
                </c:pt>
                <c:pt idx="4">
                  <c:v>7.4461235189702206</c:v>
                </c:pt>
                <c:pt idx="5">
                  <c:v>7.6987124926565631</c:v>
                </c:pt>
                <c:pt idx="6">
                  <c:v>7.9826187386488376</c:v>
                </c:pt>
                <c:pt idx="7">
                  <c:v>8.2565266231786616</c:v>
                </c:pt>
                <c:pt idx="8">
                  <c:v>8.4505907397396012</c:v>
                </c:pt>
                <c:pt idx="9">
                  <c:v>8.657434535593751</c:v>
                </c:pt>
                <c:pt idx="10">
                  <c:v>8.7772696090206512</c:v>
                </c:pt>
                <c:pt idx="11">
                  <c:v>8.782216590915386</c:v>
                </c:pt>
                <c:pt idx="12">
                  <c:v>8.7871635728101189</c:v>
                </c:pt>
                <c:pt idx="13">
                  <c:v>8.7921105547048519</c:v>
                </c:pt>
                <c:pt idx="14">
                  <c:v>8.7970575365995849</c:v>
                </c:pt>
                <c:pt idx="15">
                  <c:v>8.8020045184943179</c:v>
                </c:pt>
                <c:pt idx="16">
                  <c:v>8.8061594925182902</c:v>
                </c:pt>
                <c:pt idx="17">
                  <c:v>8.8061790453961972</c:v>
                </c:pt>
                <c:pt idx="18">
                  <c:v>8.8061985982741025</c:v>
                </c:pt>
                <c:pt idx="19">
                  <c:v>8.8062181511520112</c:v>
                </c:pt>
                <c:pt idx="20">
                  <c:v>8.8062377040299182</c:v>
                </c:pt>
                <c:pt idx="21">
                  <c:v>8.8062572569078252</c:v>
                </c:pt>
                <c:pt idx="22">
                  <c:v>8.8062768097857322</c:v>
                </c:pt>
                <c:pt idx="23">
                  <c:v>8.8062963626636392</c:v>
                </c:pt>
                <c:pt idx="24">
                  <c:v>8.8063159155415462</c:v>
                </c:pt>
                <c:pt idx="25">
                  <c:v>8.8063354684194532</c:v>
                </c:pt>
                <c:pt idx="26">
                  <c:v>8.8063550212973603</c:v>
                </c:pt>
                <c:pt idx="27">
                  <c:v>8.8063745741752673</c:v>
                </c:pt>
                <c:pt idx="28">
                  <c:v>8.8063941270531743</c:v>
                </c:pt>
                <c:pt idx="29">
                  <c:v>8.8064136799310795</c:v>
                </c:pt>
                <c:pt idx="30">
                  <c:v>8.8064332328089865</c:v>
                </c:pt>
              </c:numCache>
            </c:numRef>
          </c:yVal>
          <c:smooth val="0"/>
          <c:extLst>
            <c:ext xmlns:c16="http://schemas.microsoft.com/office/drawing/2014/chart" uri="{C3380CC4-5D6E-409C-BE32-E72D297353CC}">
              <c16:uniqueId val="{00000002-E2D6-4B54-B168-79F9FDCB9851}"/>
            </c:ext>
          </c:extLst>
        </c:ser>
        <c:ser>
          <c:idx val="3"/>
          <c:order val="3"/>
          <c:tx>
            <c:strRef>
              <c:f>MPG!$AE$7</c:f>
              <c:strCache>
                <c:ptCount val="1"/>
                <c:pt idx="0">
                  <c:v>PHEV</c:v>
                </c:pt>
              </c:strCache>
            </c:strRef>
          </c:tx>
          <c:spPr>
            <a:ln w="19050" cap="rnd">
              <a:solidFill>
                <a:schemeClr val="accent4"/>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MPG!$AE$22:$AE$52</c:f>
              <c:numCache>
                <c:formatCode>0.00</c:formatCode>
                <c:ptCount val="31"/>
                <c:pt idx="0">
                  <c:v>0</c:v>
                </c:pt>
                <c:pt idx="1">
                  <c:v>0</c:v>
                </c:pt>
                <c:pt idx="2">
                  <c:v>0</c:v>
                </c:pt>
                <c:pt idx="3">
                  <c:v>0</c:v>
                </c:pt>
                <c:pt idx="4">
                  <c:v>0</c:v>
                </c:pt>
                <c:pt idx="5">
                  <c:v>0</c:v>
                </c:pt>
                <c:pt idx="6">
                  <c:v>0</c:v>
                </c:pt>
                <c:pt idx="7">
                  <c:v>0</c:v>
                </c:pt>
                <c:pt idx="8">
                  <c:v>0</c:v>
                </c:pt>
                <c:pt idx="9">
                  <c:v>0</c:v>
                </c:pt>
                <c:pt idx="10">
                  <c:v>0</c:v>
                </c:pt>
                <c:pt idx="11">
                  <c:v>9.0537193688056607</c:v>
                </c:pt>
                <c:pt idx="12">
                  <c:v>9.2437016969730283</c:v>
                </c:pt>
                <c:pt idx="13">
                  <c:v>9.4628516236880476</c:v>
                </c:pt>
                <c:pt idx="14">
                  <c:v>9.730230286192965</c:v>
                </c:pt>
                <c:pt idx="15">
                  <c:v>10.085696444168304</c:v>
                </c:pt>
                <c:pt idx="16">
                  <c:v>10.215392328737179</c:v>
                </c:pt>
                <c:pt idx="17">
                  <c:v>10.337966762048136</c:v>
                </c:pt>
                <c:pt idx="18">
                  <c:v>10.459191289305608</c:v>
                </c:pt>
                <c:pt idx="19">
                  <c:v>10.606872772398599</c:v>
                </c:pt>
                <c:pt idx="20">
                  <c:v>10.766750377574549</c:v>
                </c:pt>
                <c:pt idx="21">
                  <c:v>10.986735162529801</c:v>
                </c:pt>
                <c:pt idx="22">
                  <c:v>11.240116338145574</c:v>
                </c:pt>
                <c:pt idx="23">
                  <c:v>11.499987550828783</c:v>
                </c:pt>
                <c:pt idx="24">
                  <c:v>11.727946560664167</c:v>
                </c:pt>
                <c:pt idx="25">
                  <c:v>11.959523782890669</c:v>
                </c:pt>
                <c:pt idx="26">
                  <c:v>12.137180064803058</c:v>
                </c:pt>
                <c:pt idx="27">
                  <c:v>12.280420754231407</c:v>
                </c:pt>
                <c:pt idx="28">
                  <c:v>12.414638629435174</c:v>
                </c:pt>
                <c:pt idx="29">
                  <c:v>12.505611351288948</c:v>
                </c:pt>
                <c:pt idx="30">
                  <c:v>12.600161584483534</c:v>
                </c:pt>
              </c:numCache>
            </c:numRef>
          </c:yVal>
          <c:smooth val="0"/>
          <c:extLst>
            <c:ext xmlns:c16="http://schemas.microsoft.com/office/drawing/2014/chart" uri="{C3380CC4-5D6E-409C-BE32-E72D297353CC}">
              <c16:uniqueId val="{00000003-E2D6-4B54-B168-79F9FDCB9851}"/>
            </c:ext>
          </c:extLst>
        </c:ser>
        <c:ser>
          <c:idx val="4"/>
          <c:order val="4"/>
          <c:tx>
            <c:strRef>
              <c:f>MPG!$AF$7</c:f>
              <c:strCache>
                <c:ptCount val="1"/>
                <c:pt idx="0">
                  <c:v>BEV</c:v>
                </c:pt>
              </c:strCache>
            </c:strRef>
          </c:tx>
          <c:spPr>
            <a:ln w="19050" cap="rnd">
              <a:solidFill>
                <a:schemeClr val="accent5"/>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MPG!$AF$22:$AF$52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20.01574261553893</c:v>
                </c:pt>
                <c:pt idx="24">
                  <c:v>20.095885356726619</c:v>
                </c:pt>
                <c:pt idx="25">
                  <c:v>20.176028453602722</c:v>
                </c:pt>
                <c:pt idx="26">
                  <c:v>20.256171906167243</c:v>
                </c:pt>
                <c:pt idx="27">
                  <c:v>20.336315714420177</c:v>
                </c:pt>
                <c:pt idx="28">
                  <c:v>20.416459878361525</c:v>
                </c:pt>
                <c:pt idx="29">
                  <c:v>20.496604397991288</c:v>
                </c:pt>
                <c:pt idx="30">
                  <c:v>20.576749273309449</c:v>
                </c:pt>
              </c:numCache>
            </c:numRef>
          </c:yVal>
          <c:smooth val="0"/>
          <c:extLst>
            <c:ext xmlns:c16="http://schemas.microsoft.com/office/drawing/2014/chart" uri="{C3380CC4-5D6E-409C-BE32-E72D297353CC}">
              <c16:uniqueId val="{00000004-E2D6-4B54-B168-79F9FDCB9851}"/>
            </c:ext>
          </c:extLst>
        </c:ser>
        <c:ser>
          <c:idx val="5"/>
          <c:order val="5"/>
          <c:tx>
            <c:strRef>
              <c:f>MPG!$AG$7</c:f>
              <c:strCache>
                <c:ptCount val="1"/>
                <c:pt idx="0">
                  <c:v>FCHEV</c:v>
                </c:pt>
              </c:strCache>
            </c:strRef>
          </c:tx>
          <c:spPr>
            <a:ln w="19050" cap="rnd">
              <a:solidFill>
                <a:schemeClr val="accent6"/>
              </a:solidFill>
              <a:round/>
            </a:ln>
            <a:effectLst/>
          </c:spPr>
          <c:marker>
            <c:symbol val="none"/>
          </c:marker>
          <c:xVal>
            <c:numRef>
              <c:f>MPG!$U$22:$U$52</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MPG!$AG$22:$AG$52</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10.421552184850116</c:v>
                </c:pt>
                <c:pt idx="20">
                  <c:v>10.524839640070761</c:v>
                </c:pt>
                <c:pt idx="21">
                  <c:v>10.628127553856038</c:v>
                </c:pt>
                <c:pt idx="22">
                  <c:v>10.731415926205942</c:v>
                </c:pt>
                <c:pt idx="23">
                  <c:v>10.834704757120475</c:v>
                </c:pt>
                <c:pt idx="24">
                  <c:v>10.937994046599632</c:v>
                </c:pt>
                <c:pt idx="25">
                  <c:v>11.041283794643421</c:v>
                </c:pt>
                <c:pt idx="26">
                  <c:v>11.144574001251836</c:v>
                </c:pt>
                <c:pt idx="27">
                  <c:v>11.24786466642488</c:v>
                </c:pt>
                <c:pt idx="28">
                  <c:v>11.351155790162549</c:v>
                </c:pt>
                <c:pt idx="29">
                  <c:v>11.454447372464848</c:v>
                </c:pt>
                <c:pt idx="30">
                  <c:v>11.557739413331781</c:v>
                </c:pt>
              </c:numCache>
            </c:numRef>
          </c:yVal>
          <c:smooth val="0"/>
          <c:extLst>
            <c:ext xmlns:c16="http://schemas.microsoft.com/office/drawing/2014/chart" uri="{C3380CC4-5D6E-409C-BE32-E72D297353CC}">
              <c16:uniqueId val="{00000005-E2D6-4B54-B168-79F9FDCB9851}"/>
            </c:ext>
          </c:extLst>
        </c:ser>
        <c:dLbls>
          <c:showLegendKey val="0"/>
          <c:showVal val="0"/>
          <c:showCatName val="0"/>
          <c:showSerName val="0"/>
          <c:showPercent val="0"/>
          <c:showBubbleSize val="0"/>
        </c:dLbls>
        <c:axId val="371733248"/>
        <c:axId val="402765840"/>
      </c:scatterChart>
      <c:valAx>
        <c:axId val="371733248"/>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02765840"/>
        <c:crosses val="autoZero"/>
        <c:crossBetween val="midCat"/>
      </c:valAx>
      <c:valAx>
        <c:axId val="402765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7173324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Re-fueling infrastructure,  Source: AFDC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v>Gasoline</c:v>
          </c:tx>
          <c:spPr>
            <a:ln w="19050" cap="rnd">
              <a:solidFill>
                <a:schemeClr val="accent1"/>
              </a:solidFill>
              <a:round/>
            </a:ln>
            <a:effectLst/>
          </c:spPr>
          <c:marker>
            <c:symbol val="none"/>
          </c:marker>
          <c:xVal>
            <c:numRef>
              <c:f>FuelAvail!$P$12:$P$66</c:f>
              <c:numCache>
                <c:formatCode>0</c:formatCode>
                <c:ptCount val="55"/>
                <c:pt idx="0">
                  <c:v>1996</c:v>
                </c:pt>
                <c:pt idx="1">
                  <c:v>1997</c:v>
                </c:pt>
                <c:pt idx="2">
                  <c:v>1998</c:v>
                </c:pt>
                <c:pt idx="3">
                  <c:v>1999</c:v>
                </c:pt>
                <c:pt idx="4">
                  <c:v>2000</c:v>
                </c:pt>
                <c:pt idx="5">
                  <c:v>2001</c:v>
                </c:pt>
                <c:pt idx="6">
                  <c:v>2002</c:v>
                </c:pt>
                <c:pt idx="7">
                  <c:v>2003</c:v>
                </c:pt>
                <c:pt idx="8">
                  <c:v>2004</c:v>
                </c:pt>
                <c:pt idx="9">
                  <c:v>2005</c:v>
                </c:pt>
                <c:pt idx="10">
                  <c:v>2006</c:v>
                </c:pt>
                <c:pt idx="11">
                  <c:v>2007</c:v>
                </c:pt>
                <c:pt idx="12">
                  <c:v>2008</c:v>
                </c:pt>
                <c:pt idx="13">
                  <c:v>2009</c:v>
                </c:pt>
                <c:pt idx="14">
                  <c:v>2010</c:v>
                </c:pt>
                <c:pt idx="15">
                  <c:v>2011</c:v>
                </c:pt>
                <c:pt idx="16">
                  <c:v>2012</c:v>
                </c:pt>
                <c:pt idx="17">
                  <c:v>2013</c:v>
                </c:pt>
                <c:pt idx="18">
                  <c:v>2014</c:v>
                </c:pt>
                <c:pt idx="19">
                  <c:v>2015</c:v>
                </c:pt>
                <c:pt idx="20">
                  <c:v>2016</c:v>
                </c:pt>
                <c:pt idx="21">
                  <c:v>2017</c:v>
                </c:pt>
                <c:pt idx="22">
                  <c:v>2018</c:v>
                </c:pt>
                <c:pt idx="23">
                  <c:v>2019</c:v>
                </c:pt>
                <c:pt idx="24">
                  <c:v>2020</c:v>
                </c:pt>
                <c:pt idx="25">
                  <c:v>2021</c:v>
                </c:pt>
                <c:pt idx="26">
                  <c:v>2022</c:v>
                </c:pt>
                <c:pt idx="27">
                  <c:v>2023</c:v>
                </c:pt>
                <c:pt idx="28">
                  <c:v>2024</c:v>
                </c:pt>
                <c:pt idx="29">
                  <c:v>2025</c:v>
                </c:pt>
                <c:pt idx="30">
                  <c:v>2026</c:v>
                </c:pt>
                <c:pt idx="31">
                  <c:v>2027</c:v>
                </c:pt>
                <c:pt idx="32">
                  <c:v>2028</c:v>
                </c:pt>
                <c:pt idx="33">
                  <c:v>2029</c:v>
                </c:pt>
                <c:pt idx="34">
                  <c:v>2030</c:v>
                </c:pt>
                <c:pt idx="35">
                  <c:v>2031</c:v>
                </c:pt>
                <c:pt idx="36">
                  <c:v>2032</c:v>
                </c:pt>
                <c:pt idx="37">
                  <c:v>2033</c:v>
                </c:pt>
                <c:pt idx="38">
                  <c:v>2034</c:v>
                </c:pt>
                <c:pt idx="39">
                  <c:v>2035</c:v>
                </c:pt>
                <c:pt idx="40">
                  <c:v>2036</c:v>
                </c:pt>
                <c:pt idx="41">
                  <c:v>2037</c:v>
                </c:pt>
                <c:pt idx="42">
                  <c:v>2038</c:v>
                </c:pt>
                <c:pt idx="43">
                  <c:v>2039</c:v>
                </c:pt>
                <c:pt idx="44">
                  <c:v>2040</c:v>
                </c:pt>
                <c:pt idx="45">
                  <c:v>2041</c:v>
                </c:pt>
                <c:pt idx="46">
                  <c:v>2042</c:v>
                </c:pt>
                <c:pt idx="47">
                  <c:v>2043</c:v>
                </c:pt>
                <c:pt idx="48">
                  <c:v>2044</c:v>
                </c:pt>
                <c:pt idx="49">
                  <c:v>2045</c:v>
                </c:pt>
                <c:pt idx="50">
                  <c:v>2046</c:v>
                </c:pt>
                <c:pt idx="51">
                  <c:v>2047</c:v>
                </c:pt>
                <c:pt idx="52">
                  <c:v>2048</c:v>
                </c:pt>
                <c:pt idx="53">
                  <c:v>2049</c:v>
                </c:pt>
                <c:pt idx="54">
                  <c:v>2050</c:v>
                </c:pt>
              </c:numCache>
            </c:numRef>
          </c:xVal>
          <c:yVal>
            <c:numRef>
              <c:f>FuelAvail!$Y$12:$Y$66</c:f>
              <c:numCache>
                <c:formatCode>_(* #,##0_);_(* \(#,##0\);_(* "-"??_);_(@_)</c:formatCode>
                <c:ptCount val="55"/>
                <c:pt idx="0">
                  <c:v>190246</c:v>
                </c:pt>
                <c:pt idx="1">
                  <c:v>187892</c:v>
                </c:pt>
                <c:pt idx="2">
                  <c:v>182596</c:v>
                </c:pt>
                <c:pt idx="3">
                  <c:v>180567</c:v>
                </c:pt>
                <c:pt idx="4">
                  <c:v>175941</c:v>
                </c:pt>
                <c:pt idx="5">
                  <c:v>172169</c:v>
                </c:pt>
                <c:pt idx="6">
                  <c:v>170018</c:v>
                </c:pt>
                <c:pt idx="7">
                  <c:v>167571</c:v>
                </c:pt>
                <c:pt idx="8">
                  <c:v>167346</c:v>
                </c:pt>
                <c:pt idx="9">
                  <c:v>168987</c:v>
                </c:pt>
                <c:pt idx="10">
                  <c:v>167476</c:v>
                </c:pt>
                <c:pt idx="11">
                  <c:v>164292</c:v>
                </c:pt>
                <c:pt idx="12">
                  <c:v>161078</c:v>
                </c:pt>
                <c:pt idx="13">
                  <c:v>162350</c:v>
                </c:pt>
                <c:pt idx="14">
                  <c:v>159006</c:v>
                </c:pt>
                <c:pt idx="15">
                  <c:v>157393</c:v>
                </c:pt>
                <c:pt idx="16">
                  <c:v>156065</c:v>
                </c:pt>
                <c:pt idx="17">
                  <c:v>156065</c:v>
                </c:pt>
                <c:pt idx="18">
                  <c:v>156065</c:v>
                </c:pt>
                <c:pt idx="19">
                  <c:v>156065</c:v>
                </c:pt>
                <c:pt idx="20">
                  <c:v>156065</c:v>
                </c:pt>
                <c:pt idx="21">
                  <c:v>156065</c:v>
                </c:pt>
                <c:pt idx="22">
                  <c:v>156065</c:v>
                </c:pt>
                <c:pt idx="23">
                  <c:v>156065</c:v>
                </c:pt>
                <c:pt idx="24">
                  <c:v>156065</c:v>
                </c:pt>
                <c:pt idx="25">
                  <c:v>156065</c:v>
                </c:pt>
                <c:pt idx="26">
                  <c:v>156065</c:v>
                </c:pt>
                <c:pt idx="27">
                  <c:v>156065</c:v>
                </c:pt>
                <c:pt idx="28">
                  <c:v>156065</c:v>
                </c:pt>
                <c:pt idx="29">
                  <c:v>156065</c:v>
                </c:pt>
                <c:pt idx="30">
                  <c:v>156065</c:v>
                </c:pt>
                <c:pt idx="31">
                  <c:v>156065</c:v>
                </c:pt>
                <c:pt idx="32">
                  <c:v>156065</c:v>
                </c:pt>
                <c:pt idx="33">
                  <c:v>156065</c:v>
                </c:pt>
                <c:pt idx="34">
                  <c:v>156065</c:v>
                </c:pt>
                <c:pt idx="35">
                  <c:v>156065</c:v>
                </c:pt>
                <c:pt idx="36">
                  <c:v>156065</c:v>
                </c:pt>
                <c:pt idx="37">
                  <c:v>156065</c:v>
                </c:pt>
                <c:pt idx="38">
                  <c:v>156065</c:v>
                </c:pt>
                <c:pt idx="39">
                  <c:v>156065</c:v>
                </c:pt>
                <c:pt idx="40">
                  <c:v>156065</c:v>
                </c:pt>
                <c:pt idx="41">
                  <c:v>156065</c:v>
                </c:pt>
                <c:pt idx="42">
                  <c:v>156065</c:v>
                </c:pt>
                <c:pt idx="43">
                  <c:v>156065</c:v>
                </c:pt>
                <c:pt idx="44">
                  <c:v>156065</c:v>
                </c:pt>
                <c:pt idx="45">
                  <c:v>156065</c:v>
                </c:pt>
                <c:pt idx="46">
                  <c:v>156065</c:v>
                </c:pt>
                <c:pt idx="47">
                  <c:v>156065</c:v>
                </c:pt>
                <c:pt idx="48">
                  <c:v>156065</c:v>
                </c:pt>
                <c:pt idx="49">
                  <c:v>156065</c:v>
                </c:pt>
                <c:pt idx="50">
                  <c:v>156065</c:v>
                </c:pt>
                <c:pt idx="51">
                  <c:v>156065</c:v>
                </c:pt>
                <c:pt idx="52">
                  <c:v>156065</c:v>
                </c:pt>
                <c:pt idx="53">
                  <c:v>156065</c:v>
                </c:pt>
                <c:pt idx="54">
                  <c:v>156065</c:v>
                </c:pt>
              </c:numCache>
            </c:numRef>
          </c:yVal>
          <c:smooth val="1"/>
          <c:extLst>
            <c:ext xmlns:c16="http://schemas.microsoft.com/office/drawing/2014/chart" uri="{C3380CC4-5D6E-409C-BE32-E72D297353CC}">
              <c16:uniqueId val="{00000000-796E-41BA-B8A5-347BA63AD86E}"/>
            </c:ext>
          </c:extLst>
        </c:ser>
        <c:ser>
          <c:idx val="1"/>
          <c:order val="1"/>
          <c:tx>
            <c:strRef>
              <c:f>FuelAvail!$Q$7</c:f>
              <c:strCache>
                <c:ptCount val="1"/>
                <c:pt idx="0">
                  <c:v> Electricity </c:v>
                </c:pt>
              </c:strCache>
            </c:strRef>
          </c:tx>
          <c:spPr>
            <a:ln w="19050" cap="rnd">
              <a:solidFill>
                <a:schemeClr val="accent2"/>
              </a:solidFill>
              <a:round/>
            </a:ln>
            <a:effectLst/>
          </c:spPr>
          <c:marker>
            <c:symbol val="none"/>
          </c:marker>
          <c:trendline>
            <c:spPr>
              <a:ln w="19050" cap="rnd">
                <a:solidFill>
                  <a:schemeClr val="accent2"/>
                </a:solidFill>
                <a:prstDash val="sysDot"/>
              </a:ln>
              <a:effectLst/>
            </c:spPr>
            <c:trendlineType val="linear"/>
            <c:forward val="32"/>
            <c:dispRSqr val="0"/>
            <c:dispEq val="0"/>
          </c:trendline>
          <c:xVal>
            <c:numRef>
              <c:f>FuelAvail!$P$26:$P$66</c:f>
              <c:numCache>
                <c:formatCode>0</c:formatCode>
                <c:ptCount val="41"/>
                <c:pt idx="0">
                  <c:v>2010</c:v>
                </c:pt>
                <c:pt idx="1">
                  <c:v>2011</c:v>
                </c:pt>
                <c:pt idx="2">
                  <c:v>2012</c:v>
                </c:pt>
                <c:pt idx="3">
                  <c:v>2013</c:v>
                </c:pt>
                <c:pt idx="4">
                  <c:v>2014</c:v>
                </c:pt>
                <c:pt idx="5">
                  <c:v>2015</c:v>
                </c:pt>
                <c:pt idx="6">
                  <c:v>2016</c:v>
                </c:pt>
                <c:pt idx="7">
                  <c:v>2017</c:v>
                </c:pt>
                <c:pt idx="8">
                  <c:v>2018</c:v>
                </c:pt>
                <c:pt idx="9">
                  <c:v>2019</c:v>
                </c:pt>
                <c:pt idx="10">
                  <c:v>2020</c:v>
                </c:pt>
                <c:pt idx="11">
                  <c:v>2021</c:v>
                </c:pt>
                <c:pt idx="12">
                  <c:v>2022</c:v>
                </c:pt>
                <c:pt idx="13">
                  <c:v>2023</c:v>
                </c:pt>
                <c:pt idx="14">
                  <c:v>2024</c:v>
                </c:pt>
                <c:pt idx="15">
                  <c:v>2025</c:v>
                </c:pt>
                <c:pt idx="16">
                  <c:v>2026</c:v>
                </c:pt>
                <c:pt idx="17">
                  <c:v>2027</c:v>
                </c:pt>
                <c:pt idx="18">
                  <c:v>2028</c:v>
                </c:pt>
                <c:pt idx="19">
                  <c:v>2029</c:v>
                </c:pt>
                <c:pt idx="20">
                  <c:v>2030</c:v>
                </c:pt>
                <c:pt idx="21">
                  <c:v>2031</c:v>
                </c:pt>
                <c:pt idx="22">
                  <c:v>2032</c:v>
                </c:pt>
                <c:pt idx="23">
                  <c:v>2033</c:v>
                </c:pt>
                <c:pt idx="24">
                  <c:v>2034</c:v>
                </c:pt>
                <c:pt idx="25">
                  <c:v>2035</c:v>
                </c:pt>
                <c:pt idx="26">
                  <c:v>2036</c:v>
                </c:pt>
                <c:pt idx="27">
                  <c:v>2037</c:v>
                </c:pt>
                <c:pt idx="28">
                  <c:v>2038</c:v>
                </c:pt>
                <c:pt idx="29">
                  <c:v>2039</c:v>
                </c:pt>
                <c:pt idx="30">
                  <c:v>2040</c:v>
                </c:pt>
                <c:pt idx="31">
                  <c:v>2041</c:v>
                </c:pt>
                <c:pt idx="32">
                  <c:v>2042</c:v>
                </c:pt>
                <c:pt idx="33">
                  <c:v>2043</c:v>
                </c:pt>
                <c:pt idx="34">
                  <c:v>2044</c:v>
                </c:pt>
                <c:pt idx="35">
                  <c:v>2045</c:v>
                </c:pt>
                <c:pt idx="36">
                  <c:v>2046</c:v>
                </c:pt>
                <c:pt idx="37">
                  <c:v>2047</c:v>
                </c:pt>
                <c:pt idx="38">
                  <c:v>2048</c:v>
                </c:pt>
                <c:pt idx="39">
                  <c:v>2049</c:v>
                </c:pt>
                <c:pt idx="40">
                  <c:v>2050</c:v>
                </c:pt>
              </c:numCache>
            </c:numRef>
          </c:xVal>
          <c:yVal>
            <c:numRef>
              <c:f>FuelAvail!$Q$26:$Q$34</c:f>
              <c:numCache>
                <c:formatCode>_(* #,##0_);_(* \(#,##0\);_(* "-"??_);_(@_)</c:formatCode>
                <c:ptCount val="9"/>
                <c:pt idx="0">
                  <c:v>541</c:v>
                </c:pt>
                <c:pt idx="1">
                  <c:v>1697</c:v>
                </c:pt>
                <c:pt idx="2">
                  <c:v>6696</c:v>
                </c:pt>
                <c:pt idx="3">
                  <c:v>9705</c:v>
                </c:pt>
                <c:pt idx="4">
                  <c:v>12801</c:v>
                </c:pt>
                <c:pt idx="5">
                  <c:v>15472.5</c:v>
                </c:pt>
                <c:pt idx="6">
                  <c:v>21014.5</c:v>
                </c:pt>
                <c:pt idx="7">
                  <c:v>25313.5</c:v>
                </c:pt>
                <c:pt idx="8">
                  <c:v>30533.5</c:v>
                </c:pt>
              </c:numCache>
            </c:numRef>
          </c:yVal>
          <c:smooth val="1"/>
          <c:extLst>
            <c:ext xmlns:c16="http://schemas.microsoft.com/office/drawing/2014/chart" uri="{C3380CC4-5D6E-409C-BE32-E72D297353CC}">
              <c16:uniqueId val="{00000001-B7C7-4326-B650-ECBC40D5F5BC}"/>
            </c:ext>
          </c:extLst>
        </c:ser>
        <c:ser>
          <c:idx val="2"/>
          <c:order val="2"/>
          <c:tx>
            <c:strRef>
              <c:f>FuelAvail!$U$7</c:f>
              <c:strCache>
                <c:ptCount val="1"/>
                <c:pt idx="0">
                  <c:v> Hydrogen </c:v>
                </c:pt>
              </c:strCache>
            </c:strRef>
          </c:tx>
          <c:spPr>
            <a:ln w="19050" cap="rnd">
              <a:solidFill>
                <a:schemeClr val="accent3"/>
              </a:solidFill>
              <a:round/>
            </a:ln>
            <a:effectLst/>
          </c:spPr>
          <c:marker>
            <c:symbol val="none"/>
          </c:marker>
          <c:xVal>
            <c:numRef>
              <c:f>FuelAvail!$P$11:$P$66</c:f>
              <c:numCache>
                <c:formatCode>0</c:formatCode>
                <c:ptCount val="56"/>
                <c:pt idx="0">
                  <c:v>1995</c:v>
                </c:pt>
                <c:pt idx="1">
                  <c:v>1996</c:v>
                </c:pt>
                <c:pt idx="2">
                  <c:v>1997</c:v>
                </c:pt>
                <c:pt idx="3">
                  <c:v>1998</c:v>
                </c:pt>
                <c:pt idx="4">
                  <c:v>1999</c:v>
                </c:pt>
                <c:pt idx="5">
                  <c:v>2000</c:v>
                </c:pt>
                <c:pt idx="6">
                  <c:v>2001</c:v>
                </c:pt>
                <c:pt idx="7">
                  <c:v>2002</c:v>
                </c:pt>
                <c:pt idx="8">
                  <c:v>2003</c:v>
                </c:pt>
                <c:pt idx="9">
                  <c:v>2004</c:v>
                </c:pt>
                <c:pt idx="10">
                  <c:v>2005</c:v>
                </c:pt>
                <c:pt idx="11">
                  <c:v>2006</c:v>
                </c:pt>
                <c:pt idx="12">
                  <c:v>2007</c:v>
                </c:pt>
                <c:pt idx="13">
                  <c:v>2008</c:v>
                </c:pt>
                <c:pt idx="14">
                  <c:v>2009</c:v>
                </c:pt>
                <c:pt idx="15">
                  <c:v>2010</c:v>
                </c:pt>
                <c:pt idx="16">
                  <c:v>2011</c:v>
                </c:pt>
                <c:pt idx="17">
                  <c:v>2012</c:v>
                </c:pt>
                <c:pt idx="18">
                  <c:v>2013</c:v>
                </c:pt>
                <c:pt idx="19">
                  <c:v>2014</c:v>
                </c:pt>
                <c:pt idx="20">
                  <c:v>2015</c:v>
                </c:pt>
                <c:pt idx="21">
                  <c:v>2016</c:v>
                </c:pt>
                <c:pt idx="22">
                  <c:v>2017</c:v>
                </c:pt>
                <c:pt idx="23">
                  <c:v>2018</c:v>
                </c:pt>
                <c:pt idx="24">
                  <c:v>2019</c:v>
                </c:pt>
                <c:pt idx="25">
                  <c:v>2020</c:v>
                </c:pt>
                <c:pt idx="26">
                  <c:v>2021</c:v>
                </c:pt>
                <c:pt idx="27">
                  <c:v>2022</c:v>
                </c:pt>
                <c:pt idx="28">
                  <c:v>2023</c:v>
                </c:pt>
                <c:pt idx="29">
                  <c:v>2024</c:v>
                </c:pt>
                <c:pt idx="30">
                  <c:v>2025</c:v>
                </c:pt>
                <c:pt idx="31">
                  <c:v>2026</c:v>
                </c:pt>
                <c:pt idx="32">
                  <c:v>2027</c:v>
                </c:pt>
                <c:pt idx="33">
                  <c:v>2028</c:v>
                </c:pt>
                <c:pt idx="34">
                  <c:v>2029</c:v>
                </c:pt>
                <c:pt idx="35">
                  <c:v>2030</c:v>
                </c:pt>
                <c:pt idx="36">
                  <c:v>2031</c:v>
                </c:pt>
                <c:pt idx="37">
                  <c:v>2032</c:v>
                </c:pt>
                <c:pt idx="38">
                  <c:v>2033</c:v>
                </c:pt>
                <c:pt idx="39">
                  <c:v>2034</c:v>
                </c:pt>
                <c:pt idx="40">
                  <c:v>2035</c:v>
                </c:pt>
                <c:pt idx="41">
                  <c:v>2036</c:v>
                </c:pt>
                <c:pt idx="42">
                  <c:v>2037</c:v>
                </c:pt>
                <c:pt idx="43">
                  <c:v>2038</c:v>
                </c:pt>
                <c:pt idx="44">
                  <c:v>2039</c:v>
                </c:pt>
                <c:pt idx="45">
                  <c:v>2040</c:v>
                </c:pt>
                <c:pt idx="46">
                  <c:v>2041</c:v>
                </c:pt>
                <c:pt idx="47">
                  <c:v>2042</c:v>
                </c:pt>
                <c:pt idx="48">
                  <c:v>2043</c:v>
                </c:pt>
                <c:pt idx="49">
                  <c:v>2044</c:v>
                </c:pt>
                <c:pt idx="50">
                  <c:v>2045</c:v>
                </c:pt>
                <c:pt idx="51">
                  <c:v>2046</c:v>
                </c:pt>
                <c:pt idx="52">
                  <c:v>2047</c:v>
                </c:pt>
                <c:pt idx="53">
                  <c:v>2048</c:v>
                </c:pt>
                <c:pt idx="54">
                  <c:v>2049</c:v>
                </c:pt>
                <c:pt idx="55">
                  <c:v>2050</c:v>
                </c:pt>
              </c:numCache>
            </c:numRef>
          </c:xVal>
          <c:yVal>
            <c:numRef>
              <c:f>FuelAvail!$U$11:$U$66</c:f>
              <c:numCache>
                <c:formatCode>_(* #,##0_);_(* \(#,##0\);_(* "-"??_);_(@_)</c:formatCode>
                <c:ptCount val="56"/>
                <c:pt idx="7">
                  <c:v>100000</c:v>
                </c:pt>
                <c:pt idx="8">
                  <c:v>100000</c:v>
                </c:pt>
                <c:pt idx="9">
                  <c:v>100000</c:v>
                </c:pt>
                <c:pt idx="10">
                  <c:v>100000</c:v>
                </c:pt>
                <c:pt idx="11">
                  <c:v>100000</c:v>
                </c:pt>
                <c:pt idx="12">
                  <c:v>100000</c:v>
                </c:pt>
                <c:pt idx="13">
                  <c:v>100000</c:v>
                </c:pt>
                <c:pt idx="14">
                  <c:v>100000</c:v>
                </c:pt>
                <c:pt idx="15">
                  <c:v>100000</c:v>
                </c:pt>
                <c:pt idx="16">
                  <c:v>100000</c:v>
                </c:pt>
                <c:pt idx="17">
                  <c:v>100000</c:v>
                </c:pt>
                <c:pt idx="18">
                  <c:v>100000</c:v>
                </c:pt>
                <c:pt idx="19">
                  <c:v>100000</c:v>
                </c:pt>
                <c:pt idx="20">
                  <c:v>100000</c:v>
                </c:pt>
                <c:pt idx="21">
                  <c:v>100000</c:v>
                </c:pt>
                <c:pt idx="22">
                  <c:v>100000</c:v>
                </c:pt>
                <c:pt idx="23">
                  <c:v>100000</c:v>
                </c:pt>
                <c:pt idx="24">
                  <c:v>100000</c:v>
                </c:pt>
                <c:pt idx="25">
                  <c:v>100000</c:v>
                </c:pt>
                <c:pt idx="26">
                  <c:v>100000</c:v>
                </c:pt>
                <c:pt idx="27">
                  <c:v>100000</c:v>
                </c:pt>
                <c:pt idx="28">
                  <c:v>100000</c:v>
                </c:pt>
                <c:pt idx="29">
                  <c:v>100000</c:v>
                </c:pt>
                <c:pt idx="30">
                  <c:v>100000</c:v>
                </c:pt>
                <c:pt idx="31">
                  <c:v>100000</c:v>
                </c:pt>
                <c:pt idx="32">
                  <c:v>100000</c:v>
                </c:pt>
                <c:pt idx="33">
                  <c:v>100000</c:v>
                </c:pt>
                <c:pt idx="34">
                  <c:v>100000</c:v>
                </c:pt>
                <c:pt idx="35">
                  <c:v>100000</c:v>
                </c:pt>
                <c:pt idx="36">
                  <c:v>100000</c:v>
                </c:pt>
                <c:pt idx="37">
                  <c:v>100000</c:v>
                </c:pt>
                <c:pt idx="38">
                  <c:v>100000</c:v>
                </c:pt>
                <c:pt idx="39">
                  <c:v>100000</c:v>
                </c:pt>
                <c:pt idx="40">
                  <c:v>100000</c:v>
                </c:pt>
                <c:pt idx="41">
                  <c:v>100000</c:v>
                </c:pt>
                <c:pt idx="42">
                  <c:v>100000</c:v>
                </c:pt>
                <c:pt idx="43">
                  <c:v>100000</c:v>
                </c:pt>
                <c:pt idx="44">
                  <c:v>100000</c:v>
                </c:pt>
                <c:pt idx="45">
                  <c:v>100000</c:v>
                </c:pt>
                <c:pt idx="46">
                  <c:v>100000</c:v>
                </c:pt>
                <c:pt idx="47">
                  <c:v>100000</c:v>
                </c:pt>
                <c:pt idx="48">
                  <c:v>100000</c:v>
                </c:pt>
                <c:pt idx="49">
                  <c:v>100000</c:v>
                </c:pt>
                <c:pt idx="50">
                  <c:v>100000</c:v>
                </c:pt>
                <c:pt idx="51">
                  <c:v>100000</c:v>
                </c:pt>
                <c:pt idx="52">
                  <c:v>100000</c:v>
                </c:pt>
                <c:pt idx="53">
                  <c:v>100000</c:v>
                </c:pt>
                <c:pt idx="54">
                  <c:v>100000</c:v>
                </c:pt>
                <c:pt idx="55">
                  <c:v>100000</c:v>
                </c:pt>
              </c:numCache>
            </c:numRef>
          </c:yVal>
          <c:smooth val="1"/>
          <c:extLst>
            <c:ext xmlns:c16="http://schemas.microsoft.com/office/drawing/2014/chart" uri="{C3380CC4-5D6E-409C-BE32-E72D297353CC}">
              <c16:uniqueId val="{00000002-B7C7-4326-B650-ECBC40D5F5BC}"/>
            </c:ext>
          </c:extLst>
        </c:ser>
        <c:dLbls>
          <c:showLegendKey val="0"/>
          <c:showVal val="0"/>
          <c:showCatName val="0"/>
          <c:showSerName val="0"/>
          <c:showPercent val="0"/>
          <c:showBubbleSize val="0"/>
        </c:dLbls>
        <c:axId val="741246024"/>
        <c:axId val="741251928"/>
      </c:scatterChart>
      <c:valAx>
        <c:axId val="741246024"/>
        <c:scaling>
          <c:orientation val="minMax"/>
          <c:max val="2050"/>
          <c:min val="1990"/>
        </c:scaling>
        <c:delete val="0"/>
        <c:axPos val="b"/>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51928"/>
        <c:crosses val="autoZero"/>
        <c:crossBetween val="midCat"/>
      </c:valAx>
      <c:valAx>
        <c:axId val="741251928"/>
        <c:scaling>
          <c:orientation val="minMax"/>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a:t>
                </a:r>
              </a:p>
            </c:rich>
          </c:tx>
          <c:layout>
            <c:manualLayout>
              <c:xMode val="edge"/>
              <c:yMode val="edge"/>
              <c:x val="2.2148394241417499E-2"/>
              <c:y val="0.36909178450859847"/>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 #,##0_);_(* \(#,##0\);_(* &quot;-&quot;??_);_(@_)"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1246024"/>
        <c:crosses val="autoZero"/>
        <c:crossBetween val="midCat"/>
      </c:valAx>
      <c:spPr>
        <a:noFill/>
        <a:ln>
          <a:noFill/>
        </a:ln>
        <a:effectLst/>
      </c:spPr>
    </c:plotArea>
    <c:legend>
      <c:legendPos val="t"/>
      <c:layout>
        <c:manualLayout>
          <c:xMode val="edge"/>
          <c:yMode val="edge"/>
          <c:x val="4.1849074389263427E-2"/>
          <c:y val="0.11695861759313536"/>
          <c:w val="0.92495420363598058"/>
          <c:h val="5.6111591972369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Fuel Availability</a:t>
            </a:r>
            <a:r>
              <a:rPr lang="en-US" baseline="0"/>
              <a:t> </a:t>
            </a:r>
            <a:r>
              <a:rPr lang="en-US"/>
              <a:t>Preference Factor Multiplier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none"/>
          </c:marker>
          <c:xVal>
            <c:numRef>
              <c:f>FuelAvail!$M$9:$M$109</c:f>
              <c:numCache>
                <c:formatCode>0%</c:formatCode>
                <c:ptCount val="101"/>
                <c:pt idx="0">
                  <c:v>0</c:v>
                </c:pt>
                <c:pt idx="1">
                  <c:v>0.01</c:v>
                </c:pt>
                <c:pt idx="2">
                  <c:v>0.02</c:v>
                </c:pt>
                <c:pt idx="3">
                  <c:v>0.03</c:v>
                </c:pt>
                <c:pt idx="4">
                  <c:v>0.04</c:v>
                </c:pt>
                <c:pt idx="5">
                  <c:v>0.05</c:v>
                </c:pt>
                <c:pt idx="6">
                  <c:v>6.0000000000000005E-2</c:v>
                </c:pt>
                <c:pt idx="7">
                  <c:v>7.0000000000000007E-2</c:v>
                </c:pt>
                <c:pt idx="8">
                  <c:v>0.08</c:v>
                </c:pt>
                <c:pt idx="9">
                  <c:v>0.09</c:v>
                </c:pt>
                <c:pt idx="10">
                  <c:v>9.9999999999999992E-2</c:v>
                </c:pt>
                <c:pt idx="11">
                  <c:v>0.10999999999999999</c:v>
                </c:pt>
                <c:pt idx="12">
                  <c:v>0.11999999999999998</c:v>
                </c:pt>
                <c:pt idx="13">
                  <c:v>0.12999999999999998</c:v>
                </c:pt>
                <c:pt idx="14">
                  <c:v>0.13999999999999999</c:v>
                </c:pt>
                <c:pt idx="15">
                  <c:v>0.15</c:v>
                </c:pt>
                <c:pt idx="16">
                  <c:v>0.16</c:v>
                </c:pt>
                <c:pt idx="17">
                  <c:v>0.17</c:v>
                </c:pt>
                <c:pt idx="18">
                  <c:v>0.18000000000000002</c:v>
                </c:pt>
                <c:pt idx="19">
                  <c:v>0.19000000000000003</c:v>
                </c:pt>
                <c:pt idx="20">
                  <c:v>0.20000000000000004</c:v>
                </c:pt>
                <c:pt idx="21">
                  <c:v>0.21000000000000005</c:v>
                </c:pt>
                <c:pt idx="22">
                  <c:v>0.22000000000000006</c:v>
                </c:pt>
                <c:pt idx="23">
                  <c:v>0.23000000000000007</c:v>
                </c:pt>
                <c:pt idx="24">
                  <c:v>0.24000000000000007</c:v>
                </c:pt>
                <c:pt idx="25">
                  <c:v>0.25000000000000006</c:v>
                </c:pt>
                <c:pt idx="26">
                  <c:v>0.26000000000000006</c:v>
                </c:pt>
                <c:pt idx="27">
                  <c:v>0.27000000000000007</c:v>
                </c:pt>
                <c:pt idx="28">
                  <c:v>0.28000000000000008</c:v>
                </c:pt>
                <c:pt idx="29">
                  <c:v>0.29000000000000009</c:v>
                </c:pt>
                <c:pt idx="30">
                  <c:v>0.3000000000000001</c:v>
                </c:pt>
                <c:pt idx="31">
                  <c:v>0.31000000000000011</c:v>
                </c:pt>
                <c:pt idx="32">
                  <c:v>0.32000000000000012</c:v>
                </c:pt>
                <c:pt idx="33">
                  <c:v>0.33000000000000013</c:v>
                </c:pt>
                <c:pt idx="34">
                  <c:v>0.34000000000000014</c:v>
                </c:pt>
                <c:pt idx="35">
                  <c:v>0.35000000000000014</c:v>
                </c:pt>
                <c:pt idx="36">
                  <c:v>0.36000000000000015</c:v>
                </c:pt>
                <c:pt idx="37">
                  <c:v>0.37000000000000016</c:v>
                </c:pt>
                <c:pt idx="38">
                  <c:v>0.38000000000000017</c:v>
                </c:pt>
                <c:pt idx="39">
                  <c:v>0.39000000000000018</c:v>
                </c:pt>
                <c:pt idx="40">
                  <c:v>0.40000000000000019</c:v>
                </c:pt>
                <c:pt idx="41">
                  <c:v>0.4100000000000002</c:v>
                </c:pt>
                <c:pt idx="42">
                  <c:v>0.42000000000000021</c:v>
                </c:pt>
                <c:pt idx="43">
                  <c:v>0.43000000000000022</c:v>
                </c:pt>
                <c:pt idx="44">
                  <c:v>0.44000000000000022</c:v>
                </c:pt>
                <c:pt idx="45">
                  <c:v>0.45000000000000023</c:v>
                </c:pt>
                <c:pt idx="46">
                  <c:v>0.46000000000000024</c:v>
                </c:pt>
                <c:pt idx="47">
                  <c:v>0.47000000000000025</c:v>
                </c:pt>
                <c:pt idx="48">
                  <c:v>0.48000000000000026</c:v>
                </c:pt>
                <c:pt idx="49">
                  <c:v>0.49000000000000027</c:v>
                </c:pt>
                <c:pt idx="50">
                  <c:v>0.50000000000000022</c:v>
                </c:pt>
                <c:pt idx="51">
                  <c:v>0.51000000000000023</c:v>
                </c:pt>
                <c:pt idx="52">
                  <c:v>0.52000000000000024</c:v>
                </c:pt>
                <c:pt idx="53">
                  <c:v>0.53000000000000025</c:v>
                </c:pt>
                <c:pt idx="54">
                  <c:v>0.54000000000000026</c:v>
                </c:pt>
                <c:pt idx="55">
                  <c:v>0.55000000000000027</c:v>
                </c:pt>
                <c:pt idx="56">
                  <c:v>0.56000000000000028</c:v>
                </c:pt>
                <c:pt idx="57">
                  <c:v>0.57000000000000028</c:v>
                </c:pt>
                <c:pt idx="58">
                  <c:v>0.58000000000000029</c:v>
                </c:pt>
                <c:pt idx="59">
                  <c:v>0.5900000000000003</c:v>
                </c:pt>
                <c:pt idx="60">
                  <c:v>0.60000000000000031</c:v>
                </c:pt>
                <c:pt idx="61">
                  <c:v>0.61000000000000032</c:v>
                </c:pt>
                <c:pt idx="62">
                  <c:v>0.62000000000000033</c:v>
                </c:pt>
                <c:pt idx="63">
                  <c:v>0.63000000000000034</c:v>
                </c:pt>
                <c:pt idx="64">
                  <c:v>0.64000000000000035</c:v>
                </c:pt>
                <c:pt idx="65">
                  <c:v>0.65000000000000036</c:v>
                </c:pt>
                <c:pt idx="66">
                  <c:v>0.66000000000000036</c:v>
                </c:pt>
                <c:pt idx="67">
                  <c:v>0.67000000000000037</c:v>
                </c:pt>
                <c:pt idx="68">
                  <c:v>0.68000000000000038</c:v>
                </c:pt>
                <c:pt idx="69">
                  <c:v>0.69000000000000039</c:v>
                </c:pt>
                <c:pt idx="70">
                  <c:v>0.7000000000000004</c:v>
                </c:pt>
                <c:pt idx="71">
                  <c:v>0.71000000000000041</c:v>
                </c:pt>
                <c:pt idx="72">
                  <c:v>0.72000000000000042</c:v>
                </c:pt>
                <c:pt idx="73">
                  <c:v>0.73000000000000043</c:v>
                </c:pt>
                <c:pt idx="74">
                  <c:v>0.74000000000000044</c:v>
                </c:pt>
                <c:pt idx="75">
                  <c:v>0.75000000000000044</c:v>
                </c:pt>
                <c:pt idx="76">
                  <c:v>0.76000000000000045</c:v>
                </c:pt>
                <c:pt idx="77">
                  <c:v>0.77000000000000046</c:v>
                </c:pt>
                <c:pt idx="78">
                  <c:v>0.78000000000000047</c:v>
                </c:pt>
                <c:pt idx="79">
                  <c:v>0.79000000000000048</c:v>
                </c:pt>
                <c:pt idx="80">
                  <c:v>0.80000000000000049</c:v>
                </c:pt>
                <c:pt idx="81">
                  <c:v>0.8100000000000005</c:v>
                </c:pt>
                <c:pt idx="82">
                  <c:v>0.82000000000000051</c:v>
                </c:pt>
                <c:pt idx="83">
                  <c:v>0.83000000000000052</c:v>
                </c:pt>
                <c:pt idx="84">
                  <c:v>0.84000000000000052</c:v>
                </c:pt>
                <c:pt idx="85">
                  <c:v>0.85000000000000053</c:v>
                </c:pt>
                <c:pt idx="86">
                  <c:v>0.86000000000000054</c:v>
                </c:pt>
                <c:pt idx="87">
                  <c:v>0.87000000000000055</c:v>
                </c:pt>
                <c:pt idx="88">
                  <c:v>0.88000000000000056</c:v>
                </c:pt>
                <c:pt idx="89">
                  <c:v>0.89000000000000057</c:v>
                </c:pt>
                <c:pt idx="90">
                  <c:v>0.90000000000000058</c:v>
                </c:pt>
                <c:pt idx="91">
                  <c:v>0.91000000000000059</c:v>
                </c:pt>
                <c:pt idx="92">
                  <c:v>0.9200000000000006</c:v>
                </c:pt>
                <c:pt idx="93">
                  <c:v>0.9300000000000006</c:v>
                </c:pt>
                <c:pt idx="94">
                  <c:v>0.94000000000000061</c:v>
                </c:pt>
                <c:pt idx="95">
                  <c:v>0.95000000000000062</c:v>
                </c:pt>
                <c:pt idx="96">
                  <c:v>0.96000000000000063</c:v>
                </c:pt>
                <c:pt idx="97">
                  <c:v>0.97000000000000064</c:v>
                </c:pt>
                <c:pt idx="98">
                  <c:v>0.98000000000000065</c:v>
                </c:pt>
                <c:pt idx="99">
                  <c:v>0.99000000000000066</c:v>
                </c:pt>
                <c:pt idx="100">
                  <c:v>1.0000000000000007</c:v>
                </c:pt>
              </c:numCache>
            </c:numRef>
          </c:xVal>
          <c:yVal>
            <c:numRef>
              <c:f>FuelAvail!$N$9:$N$109</c:f>
              <c:numCache>
                <c:formatCode>0%</c:formatCode>
                <c:ptCount val="101"/>
                <c:pt idx="0">
                  <c:v>0</c:v>
                </c:pt>
                <c:pt idx="1">
                  <c:v>1.5999998720000074E-7</c:v>
                </c:pt>
                <c:pt idx="2">
                  <c:v>2.559996723202798E-6</c:v>
                </c:pt>
                <c:pt idx="3">
                  <c:v>1.2959916019562793E-5</c:v>
                </c:pt>
                <c:pt idx="4">
                  <c:v>4.0959161150653103E-5</c:v>
                </c:pt>
                <c:pt idx="5">
                  <c:v>9.999500016666259E-5</c:v>
                </c:pt>
                <c:pt idx="6">
                  <c:v>2.0733850240113979E-4</c:v>
                </c:pt>
                <c:pt idx="7">
                  <c:v>3.8408621999527803E-4</c:v>
                </c:pt>
                <c:pt idx="8">
                  <c:v>6.5514529854001074E-4</c:v>
                </c:pt>
                <c:pt idx="9">
                  <c:v>1.0492091947258413E-3</c:v>
                </c:pt>
                <c:pt idx="10">
                  <c:v>1.5987206823936864E-3</c:v>
                </c:pt>
                <c:pt idx="11">
                  <c:v>2.3398183475694901E-3</c:v>
                </c:pt>
                <c:pt idx="12">
                  <c:v>3.3122623159705469E-3</c:v>
                </c:pt>
                <c:pt idx="13">
                  <c:v>4.5593345334435922E-3</c:v>
                </c:pt>
                <c:pt idx="14">
                  <c:v>6.1277085437277685E-3</c:v>
                </c:pt>
                <c:pt idx="15">
                  <c:v>8.0672833944288314E-3</c:v>
                </c:pt>
                <c:pt idx="16">
                  <c:v>1.0430976069530742E-2</c:v>
                </c:pt>
                <c:pt idx="17">
                  <c:v>1.3274466716304363E-2</c:v>
                </c:pt>
                <c:pt idx="18">
                  <c:v>1.665589092984994E-2</c:v>
                </c:pt>
                <c:pt idx="19">
                  <c:v>2.063547350575257E-2</c:v>
                </c:pt>
                <c:pt idx="20">
                  <c:v>2.5275098398206075E-2</c:v>
                </c:pt>
                <c:pt idx="21">
                  <c:v>3.0637810156220375E-2</c:v>
                </c:pt>
                <c:pt idx="22">
                  <c:v>3.6787242882874376E-2</c:v>
                </c:pt>
                <c:pt idx="23">
                  <c:v>4.3786973799347463E-2</c:v>
                </c:pt>
                <c:pt idx="24">
                  <c:v>5.1699799821003561E-2</c:v>
                </c:pt>
                <c:pt idx="25">
                  <c:v>6.0586937186524262E-2</c:v>
                </c:pt>
                <c:pt idx="26">
                  <c:v>7.0507146135246307E-2</c:v>
                </c:pt>
                <c:pt idx="27">
                  <c:v>8.1515784905052846E-2</c:v>
                </c:pt>
                <c:pt idx="28">
                  <c:v>9.3663799913688631E-2</c:v>
                </c:pt>
                <c:pt idx="29">
                  <c:v>0.10699666186542625</c:v>
                </c:pt>
                <c:pt idx="30">
                  <c:v>0.12155326065006883</c:v>
                </c:pt>
                <c:pt idx="31">
                  <c:v>0.13736477520959006</c:v>
                </c:pt>
                <c:pt idx="32">
                  <c:v>0.15445353795437128</c:v>
                </c:pt>
                <c:pt idx="33">
                  <c:v>0.17283191670766812</c:v>
                </c:pt>
                <c:pt idx="34">
                  <c:v>0.19250124041164726</c:v>
                </c:pt>
                <c:pt idx="35">
                  <c:v>0.21345079778654535</c:v>
                </c:pt>
                <c:pt idx="36">
                  <c:v>0.23565694062183914</c:v>
                </c:pt>
                <c:pt idx="37">
                  <c:v>0.25908232520512747</c:v>
                </c:pt>
                <c:pt idx="38">
                  <c:v>0.28367532636244841</c:v>
                </c:pt>
                <c:pt idx="39">
                  <c:v>0.30936965849496828</c:v>
                </c:pt>
                <c:pt idx="40">
                  <c:v>0.33608423666452697</c:v>
                </c:pt>
                <c:pt idx="41">
                  <c:v>0.36372330804167707</c:v>
                </c:pt>
                <c:pt idx="42">
                  <c:v>0.39217687976031146</c:v>
                </c:pt>
                <c:pt idx="43">
                  <c:v>0.42132146335212817</c:v>
                </c:pt>
                <c:pt idx="44">
                  <c:v>0.45102114846019115</c:v>
                </c:pt>
                <c:pt idx="45">
                  <c:v>0.48112900953454829</c:v>
                </c:pt>
                <c:pt idx="46">
                  <c:v>0.51148883886909147</c:v>
                </c:pt>
                <c:pt idx="47">
                  <c:v>0.54193718792371426</c:v>
                </c:pt>
                <c:pt idx="48">
                  <c:v>0.57230568676862981</c:v>
                </c:pt>
                <c:pt idx="49">
                  <c:v>0.60242359916581223</c:v>
                </c:pt>
                <c:pt idx="50">
                  <c:v>0.63212055882855833</c:v>
                </c:pt>
                <c:pt idx="51">
                  <c:v>0.66122942140045338</c:v>
                </c:pt>
                <c:pt idx="52">
                  <c:v>0.68958915732970893</c:v>
                </c:pt>
                <c:pt idx="53">
                  <c:v>0.71704770374006288</c:v>
                </c:pt>
                <c:pt idx="54">
                  <c:v>0.74346468922347331</c:v>
                </c:pt>
                <c:pt idx="55">
                  <c:v>0.768713944715672</c:v>
                </c:pt>
                <c:pt idx="56">
                  <c:v>0.79268571663322196</c:v>
                </c:pt>
                <c:pt idx="57">
                  <c:v>0.81528850543313935</c:v>
                </c:pt>
                <c:pt idx="58">
                  <c:v>0.83645046366396225</c:v>
                </c:pt>
                <c:pt idx="59">
                  <c:v>0.85612030212542312</c:v>
                </c:pt>
                <c:pt idx="60">
                  <c:v>0.87426767040557263</c:v>
                </c:pt>
                <c:pt idx="61">
                  <c:v>0.89088299804314675</c:v>
                </c:pt>
                <c:pt idx="62">
                  <c:v>0.90597680388751134</c:v>
                </c:pt>
                <c:pt idx="63">
                  <c:v>0.91957850276566688</c:v>
                </c:pt>
                <c:pt idx="64">
                  <c:v>0.93173475910294257</c:v>
                </c:pt>
                <c:pt idx="65">
                  <c:v>0.94250745547383585</c:v>
                </c:pt>
                <c:pt idx="66">
                  <c:v>0.95197135907101305</c:v>
                </c:pt>
                <c:pt idx="67">
                  <c:v>0.96021157984875782</c:v>
                </c:pt>
                <c:pt idx="68">
                  <c:v>0.96732091996204717</c:v>
                </c:pt>
                <c:pt idx="69">
                  <c:v>0.97339721474921714</c:v>
                </c:pt>
                <c:pt idx="70">
                  <c:v>0.97854076091991982</c:v>
                </c:pt>
                <c:pt idx="71">
                  <c:v>0.9828519181996197</c:v>
                </c:pt>
                <c:pt idx="72">
                  <c:v>0.98642895717144563</c:v>
                </c:pt>
                <c:pt idx="73">
                  <c:v>0.98936620944626497</c:v>
                </c:pt>
                <c:pt idx="74">
                  <c:v>0.99175255777467719</c:v>
                </c:pt>
                <c:pt idx="75">
                  <c:v>0.99367028457251438</c:v>
                </c:pt>
                <c:pt idx="76">
                  <c:v>0.9951942788280157</c:v>
                </c:pt>
                <c:pt idx="77">
                  <c:v>0.9963915846347442</c:v>
                </c:pt>
                <c:pt idx="78">
                  <c:v>0.99732126057789017</c:v>
                </c:pt>
                <c:pt idx="79">
                  <c:v>0.99803450854380882</c:v>
                </c:pt>
                <c:pt idx="80">
                  <c:v>0.99857502356180761</c:v>
                </c:pt>
                <c:pt idx="81">
                  <c:v>0.99897951304628008</c:v>
                </c:pt>
                <c:pt idx="82">
                  <c:v>0.99927833402166177</c:v>
                </c:pt>
                <c:pt idx="83">
                  <c:v>0.99949620008360773</c:v>
                </c:pt>
                <c:pt idx="84">
                  <c:v>0.99965291531541611</c:v>
                </c:pt>
                <c:pt idx="85">
                  <c:v>0.99976409939337041</c:v>
                </c:pt>
                <c:pt idx="86">
                  <c:v>0.9998418759268497</c:v>
                </c:pt>
                <c:pt idx="87">
                  <c:v>0.999895503999498</c:v>
                </c:pt>
                <c:pt idx="88">
                  <c:v>0.99993194033152688</c:v>
                </c:pt>
                <c:pt idx="89">
                  <c:v>0.99995632604198814</c:v>
                </c:pt>
                <c:pt idx="90">
                  <c:v>0.99997239738380339</c:v>
                </c:pt>
                <c:pt idx="91">
                  <c:v>0.99998282393580651</c:v>
                </c:pt>
                <c:pt idx="92">
                  <c:v>0.99998948057868242</c:v>
                </c:pt>
                <c:pt idx="93">
                  <c:v>0.9999936612702216</c:v>
                </c:pt>
                <c:pt idx="94">
                  <c:v>0.99999624335152093</c:v>
                </c:pt>
                <c:pt idx="95">
                  <c:v>0.99999781107499508</c:v>
                </c:pt>
                <c:pt idx="96">
                  <c:v>0.99999874646745956</c:v>
                </c:pt>
                <c:pt idx="97">
                  <c:v>0.99999929472988103</c:v>
                </c:pt>
                <c:pt idx="98">
                  <c:v>0.99999961030075424</c:v>
                </c:pt>
                <c:pt idx="99">
                  <c:v>0.9999997886047346</c:v>
                </c:pt>
                <c:pt idx="100">
                  <c:v>0.99999988746482527</c:v>
                </c:pt>
              </c:numCache>
            </c:numRef>
          </c:yVal>
          <c:smooth val="0"/>
          <c:extLst>
            <c:ext xmlns:c16="http://schemas.microsoft.com/office/drawing/2014/chart" uri="{C3380CC4-5D6E-409C-BE32-E72D297353CC}">
              <c16:uniqueId val="{00000000-561E-4F39-82FB-E8842AE0438A}"/>
            </c:ext>
          </c:extLst>
        </c:ser>
        <c:dLbls>
          <c:showLegendKey val="0"/>
          <c:showVal val="0"/>
          <c:showCatName val="0"/>
          <c:showSerName val="0"/>
          <c:showPercent val="0"/>
          <c:showBubbleSize val="0"/>
        </c:dLbls>
        <c:axId val="746521408"/>
        <c:axId val="746522392"/>
      </c:scatterChart>
      <c:valAx>
        <c:axId val="74652140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Fuel</a:t>
                </a:r>
                <a:r>
                  <a:rPr lang="en-US" baseline="0"/>
                  <a:t> availability</a:t>
                </a:r>
                <a:endParaRPr lang="en-US"/>
              </a:p>
            </c:rich>
          </c:tx>
          <c:layout>
            <c:manualLayout>
              <c:xMode val="edge"/>
              <c:yMode val="edge"/>
              <c:x val="0.40153340588523995"/>
              <c:y val="0.8996755755725086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2392"/>
        <c:crosses val="autoZero"/>
        <c:crossBetween val="midCat"/>
      </c:valAx>
      <c:valAx>
        <c:axId val="746522392"/>
        <c:scaling>
          <c:orientation val="minMax"/>
          <c:max val="1"/>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4390243902439025E-2"/>
              <c:y val="0.2628981688572975"/>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46521408"/>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LD fuel</a:t>
            </a:r>
            <a:r>
              <a:rPr lang="en-US" baseline="0"/>
              <a:t> availability versus gasoline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smoothMarker"/>
        <c:varyColors val="0"/>
        <c:ser>
          <c:idx val="0"/>
          <c:order val="0"/>
          <c:tx>
            <c:strRef>
              <c:f>FuelAvail!$AD$7</c:f>
              <c:strCache>
                <c:ptCount val="1"/>
                <c:pt idx="0">
                  <c:v>Electricity</c:v>
                </c:pt>
              </c:strCache>
            </c:strRef>
          </c:tx>
          <c:spPr>
            <a:ln w="19050" cap="rnd">
              <a:solidFill>
                <a:schemeClr val="accent1"/>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FuelAvail!$AD$21:$AD$66</c:f>
              <c:numCache>
                <c:formatCode>0.0%</c:formatCode>
                <c:ptCount val="46"/>
                <c:pt idx="0">
                  <c:v>3.4795575991052566E-3</c:v>
                </c:pt>
                <c:pt idx="1">
                  <c:v>2.7765172323198548E-3</c:v>
                </c:pt>
                <c:pt idx="2">
                  <c:v>2.6903318481727658E-3</c:v>
                </c:pt>
                <c:pt idx="3">
                  <c:v>2.6695141484249867E-3</c:v>
                </c:pt>
                <c:pt idx="4">
                  <c:v>2.864182322143517E-3</c:v>
                </c:pt>
                <c:pt idx="5">
                  <c:v>3.4023873312956743E-3</c:v>
                </c:pt>
                <c:pt idx="6">
                  <c:v>1.0781928040001779E-2</c:v>
                </c:pt>
                <c:pt idx="7">
                  <c:v>4.2905199756511712E-2</c:v>
                </c:pt>
                <c:pt idx="8">
                  <c:v>6.2185627783295422E-2</c:v>
                </c:pt>
                <c:pt idx="9">
                  <c:v>8.2023515842757827E-2</c:v>
                </c:pt>
                <c:pt idx="10">
                  <c:v>9.9141383397943164E-2</c:v>
                </c:pt>
                <c:pt idx="11">
                  <c:v>0.13465222823823406</c:v>
                </c:pt>
                <c:pt idx="12">
                  <c:v>0.16219844295646044</c:v>
                </c:pt>
                <c:pt idx="13">
                  <c:v>0.19564604491718193</c:v>
                </c:pt>
                <c:pt idx="14">
                  <c:v>0.20838325911212607</c:v>
                </c:pt>
                <c:pt idx="15">
                  <c:v>0.23243563045312754</c:v>
                </c:pt>
                <c:pt idx="16">
                  <c:v>0.25648800179412901</c:v>
                </c:pt>
                <c:pt idx="17">
                  <c:v>0.28054037313513047</c:v>
                </c:pt>
                <c:pt idx="18">
                  <c:v>0.30459274447613199</c:v>
                </c:pt>
                <c:pt idx="19">
                  <c:v>0.32864511581713346</c:v>
                </c:pt>
                <c:pt idx="20">
                  <c:v>0.35269748715813493</c:v>
                </c:pt>
                <c:pt idx="21">
                  <c:v>0.37674985849913045</c:v>
                </c:pt>
                <c:pt idx="22">
                  <c:v>0.40080222984013192</c:v>
                </c:pt>
                <c:pt idx="23">
                  <c:v>0.42485460118113338</c:v>
                </c:pt>
                <c:pt idx="24">
                  <c:v>0.44890697252213485</c:v>
                </c:pt>
                <c:pt idx="25">
                  <c:v>0.47295934386313632</c:v>
                </c:pt>
                <c:pt idx="26">
                  <c:v>0.49701171520413784</c:v>
                </c:pt>
                <c:pt idx="27">
                  <c:v>0.52106408654513925</c:v>
                </c:pt>
                <c:pt idx="28">
                  <c:v>0.54511645788614072</c:v>
                </c:pt>
                <c:pt idx="29">
                  <c:v>0.56916882922714229</c:v>
                </c:pt>
                <c:pt idx="30">
                  <c:v>0.59322120056814376</c:v>
                </c:pt>
                <c:pt idx="31">
                  <c:v>0.61727357190914522</c:v>
                </c:pt>
                <c:pt idx="32">
                  <c:v>0.64132594325014669</c:v>
                </c:pt>
                <c:pt idx="33">
                  <c:v>0.66537831459114816</c:v>
                </c:pt>
                <c:pt idx="34">
                  <c:v>0.68943068593214962</c:v>
                </c:pt>
                <c:pt idx="35">
                  <c:v>0.71348305727315109</c:v>
                </c:pt>
                <c:pt idx="36">
                  <c:v>0.73753542861414656</c:v>
                </c:pt>
                <c:pt idx="37">
                  <c:v>0.76158779995514814</c:v>
                </c:pt>
                <c:pt idx="38">
                  <c:v>0.7856401712961496</c:v>
                </c:pt>
                <c:pt idx="39">
                  <c:v>0.80969254263715107</c:v>
                </c:pt>
                <c:pt idx="40">
                  <c:v>0.83374491397815254</c:v>
                </c:pt>
                <c:pt idx="41">
                  <c:v>0.857797285319154</c:v>
                </c:pt>
                <c:pt idx="42">
                  <c:v>0.88184965666015547</c:v>
                </c:pt>
                <c:pt idx="43">
                  <c:v>0.90590202800115693</c:v>
                </c:pt>
                <c:pt idx="44">
                  <c:v>0.9299543993421584</c:v>
                </c:pt>
                <c:pt idx="45">
                  <c:v>0.95400677068315987</c:v>
                </c:pt>
              </c:numCache>
            </c:numRef>
          </c:yVal>
          <c:smooth val="1"/>
          <c:extLst>
            <c:ext xmlns:c16="http://schemas.microsoft.com/office/drawing/2014/chart" uri="{C3380CC4-5D6E-409C-BE32-E72D297353CC}">
              <c16:uniqueId val="{00000000-1681-427E-AF9C-F380925C94CA}"/>
            </c:ext>
          </c:extLst>
        </c:ser>
        <c:ser>
          <c:idx val="1"/>
          <c:order val="1"/>
          <c:tx>
            <c:strRef>
              <c:f>FuelAvail!$AE$7</c:f>
              <c:strCache>
                <c:ptCount val="1"/>
                <c:pt idx="0">
                  <c:v>Hydrogen</c:v>
                </c:pt>
              </c:strCache>
            </c:strRef>
          </c:tx>
          <c:spPr>
            <a:ln w="19050" cap="rnd">
              <a:solidFill>
                <a:schemeClr val="accent2"/>
              </a:solidFill>
              <a:round/>
            </a:ln>
            <a:effectLst/>
          </c:spPr>
          <c:marker>
            <c:symbol val="none"/>
          </c:marker>
          <c:xVal>
            <c:numRef>
              <c:f>FuelAvail!$AC$21:$AC$66</c:f>
              <c:numCache>
                <c:formatCode>General</c:formatCode>
                <c:ptCount val="46"/>
                <c:pt idx="0">
                  <c:v>2005</c:v>
                </c:pt>
                <c:pt idx="1">
                  <c:v>2006</c:v>
                </c:pt>
                <c:pt idx="2">
                  <c:v>2007</c:v>
                </c:pt>
                <c:pt idx="3">
                  <c:v>2008</c:v>
                </c:pt>
                <c:pt idx="4">
                  <c:v>2009</c:v>
                </c:pt>
                <c:pt idx="5">
                  <c:v>2010</c:v>
                </c:pt>
                <c:pt idx="6">
                  <c:v>2011</c:v>
                </c:pt>
                <c:pt idx="7">
                  <c:v>2012</c:v>
                </c:pt>
                <c:pt idx="8">
                  <c:v>2013</c:v>
                </c:pt>
                <c:pt idx="9">
                  <c:v>2014</c:v>
                </c:pt>
                <c:pt idx="10">
                  <c:v>2015</c:v>
                </c:pt>
                <c:pt idx="11">
                  <c:v>2016</c:v>
                </c:pt>
                <c:pt idx="12">
                  <c:v>2017</c:v>
                </c:pt>
                <c:pt idx="13">
                  <c:v>2018</c:v>
                </c:pt>
                <c:pt idx="14">
                  <c:v>2019</c:v>
                </c:pt>
                <c:pt idx="15" formatCode="#,##0">
                  <c:v>2020</c:v>
                </c:pt>
                <c:pt idx="16">
                  <c:v>2021</c:v>
                </c:pt>
                <c:pt idx="17">
                  <c:v>2022</c:v>
                </c:pt>
                <c:pt idx="18">
                  <c:v>2023</c:v>
                </c:pt>
                <c:pt idx="19">
                  <c:v>2024</c:v>
                </c:pt>
                <c:pt idx="20">
                  <c:v>2025</c:v>
                </c:pt>
                <c:pt idx="21">
                  <c:v>2026</c:v>
                </c:pt>
                <c:pt idx="22">
                  <c:v>2027</c:v>
                </c:pt>
                <c:pt idx="23">
                  <c:v>2028</c:v>
                </c:pt>
                <c:pt idx="24">
                  <c:v>2029</c:v>
                </c:pt>
                <c:pt idx="25">
                  <c:v>2030</c:v>
                </c:pt>
                <c:pt idx="26">
                  <c:v>2031</c:v>
                </c:pt>
                <c:pt idx="27">
                  <c:v>2032</c:v>
                </c:pt>
                <c:pt idx="28">
                  <c:v>2033</c:v>
                </c:pt>
                <c:pt idx="29">
                  <c:v>2034</c:v>
                </c:pt>
                <c:pt idx="30">
                  <c:v>2035</c:v>
                </c:pt>
                <c:pt idx="31">
                  <c:v>2036</c:v>
                </c:pt>
                <c:pt idx="32">
                  <c:v>2037</c:v>
                </c:pt>
                <c:pt idx="33">
                  <c:v>2038</c:v>
                </c:pt>
                <c:pt idx="34">
                  <c:v>2039</c:v>
                </c:pt>
                <c:pt idx="35">
                  <c:v>2040</c:v>
                </c:pt>
                <c:pt idx="36">
                  <c:v>2041</c:v>
                </c:pt>
                <c:pt idx="37">
                  <c:v>2042</c:v>
                </c:pt>
                <c:pt idx="38">
                  <c:v>2043</c:v>
                </c:pt>
                <c:pt idx="39">
                  <c:v>2044</c:v>
                </c:pt>
                <c:pt idx="40">
                  <c:v>2045</c:v>
                </c:pt>
                <c:pt idx="41">
                  <c:v>2046</c:v>
                </c:pt>
                <c:pt idx="42">
                  <c:v>2047</c:v>
                </c:pt>
                <c:pt idx="43">
                  <c:v>2048</c:v>
                </c:pt>
                <c:pt idx="44">
                  <c:v>2049</c:v>
                </c:pt>
                <c:pt idx="45">
                  <c:v>2050</c:v>
                </c:pt>
              </c:numCache>
            </c:numRef>
          </c:xVal>
          <c:yVal>
            <c:numRef>
              <c:f>FuelAvail!$AE$21:$AE$66</c:f>
              <c:numCache>
                <c:formatCode>0.0%</c:formatCode>
                <c:ptCount val="46"/>
                <c:pt idx="0">
                  <c:v>0.59176149644647225</c:v>
                </c:pt>
                <c:pt idx="1">
                  <c:v>0.59710048006878602</c:v>
                </c:pt>
                <c:pt idx="2">
                  <c:v>0.60867236383999224</c:v>
                </c:pt>
                <c:pt idx="3">
                  <c:v>0.62081724381976433</c:v>
                </c:pt>
                <c:pt idx="4">
                  <c:v>0.61595318755774564</c:v>
                </c:pt>
                <c:pt idx="5">
                  <c:v>0.62890708526722261</c:v>
                </c:pt>
                <c:pt idx="6">
                  <c:v>0.6353522710666929</c:v>
                </c:pt>
                <c:pt idx="7">
                  <c:v>0.64075865825136957</c:v>
                </c:pt>
                <c:pt idx="8">
                  <c:v>0.64075865825136957</c:v>
                </c:pt>
                <c:pt idx="9">
                  <c:v>0.64075865825136957</c:v>
                </c:pt>
                <c:pt idx="10">
                  <c:v>0.64075865825136957</c:v>
                </c:pt>
                <c:pt idx="11">
                  <c:v>0.64075865825136957</c:v>
                </c:pt>
                <c:pt idx="12">
                  <c:v>0.64075865825136957</c:v>
                </c:pt>
                <c:pt idx="13">
                  <c:v>0.64075865825136957</c:v>
                </c:pt>
                <c:pt idx="14">
                  <c:v>0.64075865825136957</c:v>
                </c:pt>
                <c:pt idx="15">
                  <c:v>0.64075865825136957</c:v>
                </c:pt>
                <c:pt idx="16">
                  <c:v>0.64075865825136957</c:v>
                </c:pt>
                <c:pt idx="17">
                  <c:v>0.64075865825136957</c:v>
                </c:pt>
                <c:pt idx="18">
                  <c:v>0.64075865825136957</c:v>
                </c:pt>
                <c:pt idx="19">
                  <c:v>0.64075865825136957</c:v>
                </c:pt>
                <c:pt idx="20">
                  <c:v>0.64075865825136957</c:v>
                </c:pt>
                <c:pt idx="21">
                  <c:v>0.64075865825136957</c:v>
                </c:pt>
                <c:pt idx="22">
                  <c:v>0.64075865825136957</c:v>
                </c:pt>
                <c:pt idx="23">
                  <c:v>0.64075865825136957</c:v>
                </c:pt>
                <c:pt idx="24">
                  <c:v>0.64075865825136957</c:v>
                </c:pt>
                <c:pt idx="25">
                  <c:v>0.64075865825136957</c:v>
                </c:pt>
                <c:pt idx="26">
                  <c:v>0.64075865825136957</c:v>
                </c:pt>
                <c:pt idx="27">
                  <c:v>0.64075865825136957</c:v>
                </c:pt>
                <c:pt idx="28">
                  <c:v>0.64075865825136957</c:v>
                </c:pt>
                <c:pt idx="29">
                  <c:v>0.64075865825136957</c:v>
                </c:pt>
                <c:pt idx="30">
                  <c:v>0.64075865825136957</c:v>
                </c:pt>
                <c:pt idx="31">
                  <c:v>0.64075865825136957</c:v>
                </c:pt>
                <c:pt idx="32">
                  <c:v>0.64075865825136957</c:v>
                </c:pt>
                <c:pt idx="33">
                  <c:v>0.64075865825136957</c:v>
                </c:pt>
                <c:pt idx="34">
                  <c:v>0.64075865825136957</c:v>
                </c:pt>
                <c:pt idx="35">
                  <c:v>0.64075865825136957</c:v>
                </c:pt>
                <c:pt idx="36">
                  <c:v>0.64075865825136957</c:v>
                </c:pt>
                <c:pt idx="37">
                  <c:v>0.64075865825136957</c:v>
                </c:pt>
                <c:pt idx="38">
                  <c:v>0.64075865825136957</c:v>
                </c:pt>
                <c:pt idx="39">
                  <c:v>0.64075865825136957</c:v>
                </c:pt>
                <c:pt idx="40">
                  <c:v>0.64075865825136957</c:v>
                </c:pt>
                <c:pt idx="41">
                  <c:v>0.64075865825136957</c:v>
                </c:pt>
                <c:pt idx="42">
                  <c:v>0.64075865825136957</c:v>
                </c:pt>
                <c:pt idx="43">
                  <c:v>0.64075865825136957</c:v>
                </c:pt>
                <c:pt idx="44">
                  <c:v>0.64075865825136957</c:v>
                </c:pt>
                <c:pt idx="45">
                  <c:v>0.64075865825136957</c:v>
                </c:pt>
              </c:numCache>
            </c:numRef>
          </c:yVal>
          <c:smooth val="1"/>
          <c:extLst>
            <c:ext xmlns:c16="http://schemas.microsoft.com/office/drawing/2014/chart" uri="{C3380CC4-5D6E-409C-BE32-E72D297353CC}">
              <c16:uniqueId val="{00000001-1681-427E-AF9C-F380925C94CA}"/>
            </c:ext>
          </c:extLst>
        </c:ser>
        <c:dLbls>
          <c:showLegendKey val="0"/>
          <c:showVal val="0"/>
          <c:showCatName val="0"/>
          <c:showSerName val="0"/>
          <c:showPercent val="0"/>
          <c:showBubbleSize val="0"/>
        </c:dLbls>
        <c:axId val="485013536"/>
        <c:axId val="1023702703"/>
      </c:scatterChart>
      <c:valAx>
        <c:axId val="485013536"/>
        <c:scaling>
          <c:orientation val="minMax"/>
          <c:max val="2050"/>
          <c:min val="200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23702703"/>
        <c:crosses val="autoZero"/>
        <c:crossBetween val="midCat"/>
      </c:valAx>
      <c:valAx>
        <c:axId val="1023702703"/>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Station count / gas station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50135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tx>
            <c:strRef>
              <c:f>FuelAvail!$J$5</c:f>
              <c:strCache>
                <c:ptCount val="1"/>
                <c:pt idx="0">
                  <c:v>Electricity</c:v>
                </c:pt>
              </c:strCache>
            </c:strRef>
          </c:tx>
          <c:spPr>
            <a:ln w="19050" cap="rnd">
              <a:solidFill>
                <a:schemeClr val="accent1"/>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FuelAvail!$J$6:$J$49</c:f>
              <c:numCache>
                <c:formatCode>0.00%</c:formatCode>
                <c:ptCount val="44"/>
                <c:pt idx="0">
                  <c:v>0</c:v>
                </c:pt>
                <c:pt idx="1">
                  <c:v>0</c:v>
                </c:pt>
                <c:pt idx="2">
                  <c:v>0</c:v>
                </c:pt>
                <c:pt idx="3">
                  <c:v>0</c:v>
                </c:pt>
                <c:pt idx="4">
                  <c:v>1.5999998720000074E-7</c:v>
                </c:pt>
                <c:pt idx="5">
                  <c:v>4.0959161150653103E-5</c:v>
                </c:pt>
                <c:pt idx="6">
                  <c:v>2.0733850240113979E-4</c:v>
                </c:pt>
                <c:pt idx="7">
                  <c:v>6.5514529854001074E-4</c:v>
                </c:pt>
                <c:pt idx="8">
                  <c:v>1.0492091947258413E-3</c:v>
                </c:pt>
                <c:pt idx="9">
                  <c:v>4.5593345334435922E-3</c:v>
                </c:pt>
                <c:pt idx="10">
                  <c:v>1.0430976069530742E-2</c:v>
                </c:pt>
                <c:pt idx="11">
                  <c:v>2.063547350575257E-2</c:v>
                </c:pt>
                <c:pt idx="12">
                  <c:v>2.5275098398206075E-2</c:v>
                </c:pt>
                <c:pt idx="13">
                  <c:v>4.3786973799347463E-2</c:v>
                </c:pt>
                <c:pt idx="14">
                  <c:v>6.0586937186524262E-2</c:v>
                </c:pt>
                <c:pt idx="15">
                  <c:v>9.3663799913688631E-2</c:v>
                </c:pt>
                <c:pt idx="16">
                  <c:v>0.12155326065006883</c:v>
                </c:pt>
                <c:pt idx="17">
                  <c:v>0.15445353795437128</c:v>
                </c:pt>
                <c:pt idx="18">
                  <c:v>0.21345079778654535</c:v>
                </c:pt>
                <c:pt idx="19">
                  <c:v>0.25908232520512747</c:v>
                </c:pt>
                <c:pt idx="20">
                  <c:v>0.33608423666452697</c:v>
                </c:pt>
                <c:pt idx="21">
                  <c:v>0.39217687976031146</c:v>
                </c:pt>
                <c:pt idx="22">
                  <c:v>0.45102114846019115</c:v>
                </c:pt>
                <c:pt idx="23">
                  <c:v>0.54193718792371426</c:v>
                </c:pt>
                <c:pt idx="24">
                  <c:v>0.60242359916581223</c:v>
                </c:pt>
                <c:pt idx="25">
                  <c:v>0.68958915732970893</c:v>
                </c:pt>
                <c:pt idx="26">
                  <c:v>0.74346468922347331</c:v>
                </c:pt>
                <c:pt idx="27">
                  <c:v>0.79268571663322196</c:v>
                </c:pt>
                <c:pt idx="28">
                  <c:v>0.85612030212542312</c:v>
                </c:pt>
                <c:pt idx="29">
                  <c:v>0.89088299804314675</c:v>
                </c:pt>
                <c:pt idx="30">
                  <c:v>0.93173475910294257</c:v>
                </c:pt>
                <c:pt idx="31">
                  <c:v>0.95197135907101305</c:v>
                </c:pt>
                <c:pt idx="32">
                  <c:v>0.96732091996204717</c:v>
                </c:pt>
                <c:pt idx="33">
                  <c:v>0.9828519181996197</c:v>
                </c:pt>
                <c:pt idx="34">
                  <c:v>0.98936620944626497</c:v>
                </c:pt>
                <c:pt idx="35">
                  <c:v>0.9951942788280157</c:v>
                </c:pt>
                <c:pt idx="36">
                  <c:v>0.99732126057789017</c:v>
                </c:pt>
                <c:pt idx="37">
                  <c:v>0.99857502356180761</c:v>
                </c:pt>
                <c:pt idx="38">
                  <c:v>0.99949620008360773</c:v>
                </c:pt>
                <c:pt idx="39">
                  <c:v>0.99976409939337041</c:v>
                </c:pt>
                <c:pt idx="40">
                  <c:v>0.99993194033152688</c:v>
                </c:pt>
                <c:pt idx="41">
                  <c:v>0.99997239738380339</c:v>
                </c:pt>
                <c:pt idx="42">
                  <c:v>0.99998948057868242</c:v>
                </c:pt>
                <c:pt idx="43">
                  <c:v>0.99999781107499508</c:v>
                </c:pt>
              </c:numCache>
            </c:numRef>
          </c:yVal>
          <c:smooth val="1"/>
          <c:extLst>
            <c:ext xmlns:c16="http://schemas.microsoft.com/office/drawing/2014/chart" uri="{C3380CC4-5D6E-409C-BE32-E72D297353CC}">
              <c16:uniqueId val="{00000000-FCFC-4E7F-A6E9-7DE0EB811A40}"/>
            </c:ext>
          </c:extLst>
        </c:ser>
        <c:ser>
          <c:idx val="1"/>
          <c:order val="1"/>
          <c:tx>
            <c:strRef>
              <c:f>FuelAvail!$K$5</c:f>
              <c:strCache>
                <c:ptCount val="1"/>
                <c:pt idx="0">
                  <c:v>Hydrogen</c:v>
                </c:pt>
              </c:strCache>
            </c:strRef>
          </c:tx>
          <c:spPr>
            <a:ln w="19050" cap="rnd">
              <a:solidFill>
                <a:schemeClr val="accent2"/>
              </a:solidFill>
              <a:round/>
            </a:ln>
            <a:effectLst/>
          </c:spPr>
          <c:marker>
            <c:symbol val="none"/>
          </c:marker>
          <c:xVal>
            <c:numRef>
              <c:f>FuelAvail!$B$6:$B$49</c:f>
              <c:numCache>
                <c:formatCode>General</c:formatCode>
                <c:ptCount val="44"/>
                <c:pt idx="0">
                  <c:v>2007</c:v>
                </c:pt>
                <c:pt idx="1">
                  <c:v>2008</c:v>
                </c:pt>
                <c:pt idx="2">
                  <c:v>2009</c:v>
                </c:pt>
                <c:pt idx="3">
                  <c:v>2010</c:v>
                </c:pt>
                <c:pt idx="4">
                  <c:v>2011</c:v>
                </c:pt>
                <c:pt idx="5">
                  <c:v>2012</c:v>
                </c:pt>
                <c:pt idx="6">
                  <c:v>2013</c:v>
                </c:pt>
                <c:pt idx="7">
                  <c:v>2014</c:v>
                </c:pt>
                <c:pt idx="8">
                  <c:v>2015</c:v>
                </c:pt>
                <c:pt idx="9">
                  <c:v>2016</c:v>
                </c:pt>
                <c:pt idx="10">
                  <c:v>2017</c:v>
                </c:pt>
                <c:pt idx="11">
                  <c:v>2018</c:v>
                </c:pt>
                <c:pt idx="12">
                  <c:v>2019</c:v>
                </c:pt>
                <c:pt idx="13">
                  <c:v>2020</c:v>
                </c:pt>
                <c:pt idx="14">
                  <c:v>2021</c:v>
                </c:pt>
                <c:pt idx="15">
                  <c:v>2022</c:v>
                </c:pt>
                <c:pt idx="16">
                  <c:v>2023</c:v>
                </c:pt>
                <c:pt idx="17">
                  <c:v>2024</c:v>
                </c:pt>
                <c:pt idx="18">
                  <c:v>2025</c:v>
                </c:pt>
                <c:pt idx="19">
                  <c:v>2026</c:v>
                </c:pt>
                <c:pt idx="20">
                  <c:v>2027</c:v>
                </c:pt>
                <c:pt idx="21">
                  <c:v>2028</c:v>
                </c:pt>
                <c:pt idx="22">
                  <c:v>2029</c:v>
                </c:pt>
                <c:pt idx="23">
                  <c:v>2030</c:v>
                </c:pt>
                <c:pt idx="24">
                  <c:v>2031</c:v>
                </c:pt>
                <c:pt idx="25">
                  <c:v>2032</c:v>
                </c:pt>
                <c:pt idx="26">
                  <c:v>2033</c:v>
                </c:pt>
                <c:pt idx="27">
                  <c:v>2034</c:v>
                </c:pt>
                <c:pt idx="28">
                  <c:v>2035</c:v>
                </c:pt>
                <c:pt idx="29">
                  <c:v>2036</c:v>
                </c:pt>
                <c:pt idx="30">
                  <c:v>2037</c:v>
                </c:pt>
                <c:pt idx="31">
                  <c:v>2038</c:v>
                </c:pt>
                <c:pt idx="32">
                  <c:v>2039</c:v>
                </c:pt>
                <c:pt idx="33">
                  <c:v>2040</c:v>
                </c:pt>
                <c:pt idx="34">
                  <c:v>2041</c:v>
                </c:pt>
                <c:pt idx="35">
                  <c:v>2042</c:v>
                </c:pt>
                <c:pt idx="36">
                  <c:v>2043</c:v>
                </c:pt>
                <c:pt idx="37">
                  <c:v>2044</c:v>
                </c:pt>
                <c:pt idx="38">
                  <c:v>2045</c:v>
                </c:pt>
                <c:pt idx="39">
                  <c:v>2046</c:v>
                </c:pt>
                <c:pt idx="40">
                  <c:v>2047</c:v>
                </c:pt>
                <c:pt idx="41">
                  <c:v>2048</c:v>
                </c:pt>
                <c:pt idx="42">
                  <c:v>2049</c:v>
                </c:pt>
                <c:pt idx="43">
                  <c:v>2050</c:v>
                </c:pt>
              </c:numCache>
            </c:numRef>
          </c:xVal>
          <c:yVal>
            <c:numRef>
              <c:f>FuelAvail!$K$6:$K$49</c:f>
              <c:numCache>
                <c:formatCode>0.00%</c:formatCode>
                <c:ptCount val="44"/>
                <c:pt idx="0">
                  <c:v>0.87426767040557263</c:v>
                </c:pt>
                <c:pt idx="1">
                  <c:v>0.90597680388751134</c:v>
                </c:pt>
                <c:pt idx="2">
                  <c:v>0.89088299804314675</c:v>
                </c:pt>
                <c:pt idx="3">
                  <c:v>0.90597680388751134</c:v>
                </c:pt>
                <c:pt idx="4">
                  <c:v>0.91957850276566688</c:v>
                </c:pt>
                <c:pt idx="5">
                  <c:v>0.93173475910294257</c:v>
                </c:pt>
                <c:pt idx="6">
                  <c:v>0.93173475910294257</c:v>
                </c:pt>
                <c:pt idx="7">
                  <c:v>0.93173475910294257</c:v>
                </c:pt>
                <c:pt idx="8">
                  <c:v>0.93173475910294257</c:v>
                </c:pt>
                <c:pt idx="9">
                  <c:v>0.93173475910294257</c:v>
                </c:pt>
                <c:pt idx="10">
                  <c:v>0.93173475910294257</c:v>
                </c:pt>
                <c:pt idx="11">
                  <c:v>0.93173475910294257</c:v>
                </c:pt>
                <c:pt idx="12">
                  <c:v>0.93173475910294257</c:v>
                </c:pt>
                <c:pt idx="13">
                  <c:v>0.93173475910294257</c:v>
                </c:pt>
                <c:pt idx="14">
                  <c:v>0.93173475910294257</c:v>
                </c:pt>
                <c:pt idx="15">
                  <c:v>0.93173475910294257</c:v>
                </c:pt>
                <c:pt idx="16">
                  <c:v>0.93173475910294257</c:v>
                </c:pt>
                <c:pt idx="17">
                  <c:v>0.93173475910294257</c:v>
                </c:pt>
                <c:pt idx="18">
                  <c:v>0.93173475910294257</c:v>
                </c:pt>
                <c:pt idx="19">
                  <c:v>0.93173475910294257</c:v>
                </c:pt>
                <c:pt idx="20">
                  <c:v>0.93173475910294257</c:v>
                </c:pt>
                <c:pt idx="21">
                  <c:v>0.93173475910294257</c:v>
                </c:pt>
                <c:pt idx="22">
                  <c:v>0.93173475910294257</c:v>
                </c:pt>
                <c:pt idx="23">
                  <c:v>0.93173475910294257</c:v>
                </c:pt>
                <c:pt idx="24">
                  <c:v>0.93173475910294257</c:v>
                </c:pt>
                <c:pt idx="25">
                  <c:v>0.93173475910294257</c:v>
                </c:pt>
                <c:pt idx="26">
                  <c:v>0.93173475910294257</c:v>
                </c:pt>
                <c:pt idx="27">
                  <c:v>0.93173475910294257</c:v>
                </c:pt>
                <c:pt idx="28">
                  <c:v>0.93173475910294257</c:v>
                </c:pt>
                <c:pt idx="29">
                  <c:v>0.93173475910294257</c:v>
                </c:pt>
                <c:pt idx="30">
                  <c:v>0.93173475910294257</c:v>
                </c:pt>
                <c:pt idx="31">
                  <c:v>0.93173475910294257</c:v>
                </c:pt>
                <c:pt idx="32">
                  <c:v>0.93173475910294257</c:v>
                </c:pt>
                <c:pt idx="33">
                  <c:v>0.93173475910294257</c:v>
                </c:pt>
                <c:pt idx="34">
                  <c:v>0.93173475910294257</c:v>
                </c:pt>
                <c:pt idx="35">
                  <c:v>0.93173475910294257</c:v>
                </c:pt>
                <c:pt idx="36">
                  <c:v>0.93173475910294257</c:v>
                </c:pt>
                <c:pt idx="37">
                  <c:v>0.93173475910294257</c:v>
                </c:pt>
                <c:pt idx="38">
                  <c:v>0.93173475910294257</c:v>
                </c:pt>
                <c:pt idx="39">
                  <c:v>0.93173475910294257</c:v>
                </c:pt>
                <c:pt idx="40">
                  <c:v>0.93173475910294257</c:v>
                </c:pt>
                <c:pt idx="41">
                  <c:v>0.93173475910294257</c:v>
                </c:pt>
                <c:pt idx="42">
                  <c:v>0.93173475910294257</c:v>
                </c:pt>
                <c:pt idx="43">
                  <c:v>0.93173475910294257</c:v>
                </c:pt>
              </c:numCache>
            </c:numRef>
          </c:yVal>
          <c:smooth val="1"/>
          <c:extLst>
            <c:ext xmlns:c16="http://schemas.microsoft.com/office/drawing/2014/chart" uri="{C3380CC4-5D6E-409C-BE32-E72D297353CC}">
              <c16:uniqueId val="{00000001-FCFC-4E7F-A6E9-7DE0EB811A40}"/>
            </c:ext>
          </c:extLst>
        </c:ser>
        <c:dLbls>
          <c:showLegendKey val="0"/>
          <c:showVal val="0"/>
          <c:showCatName val="0"/>
          <c:showSerName val="0"/>
          <c:showPercent val="0"/>
          <c:showBubbleSize val="0"/>
        </c:dLbls>
        <c:axId val="998949424"/>
        <c:axId val="1758884080"/>
      </c:scatterChart>
      <c:valAx>
        <c:axId val="998949424"/>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8884080"/>
        <c:crosses val="autoZero"/>
        <c:crossBetween val="midCat"/>
      </c:valAx>
      <c:valAx>
        <c:axId val="1758884080"/>
        <c:scaling>
          <c:orientation val="minMax"/>
          <c:max val="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Probability of adoption</a:t>
                </a:r>
              </a:p>
            </c:rich>
          </c:tx>
          <c:layout>
            <c:manualLayout>
              <c:xMode val="edge"/>
              <c:yMode val="edge"/>
              <c:x val="2.2222222222222223E-2"/>
              <c:y val="0.29374234470691168"/>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98949424"/>
        <c:crosses val="autoZero"/>
        <c:crossBetween val="midCat"/>
      </c:valAx>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r>
              <a:rPr lang="en-US"/>
              <a:t>Adoption Decision</a:t>
            </a:r>
          </a:p>
        </c:rich>
      </c:tx>
      <c:overlay val="0"/>
      <c:spPr>
        <a:noFill/>
        <a:ln>
          <a:noFill/>
        </a:ln>
        <a:effectLst/>
      </c:spPr>
      <c:txPr>
        <a:bodyPr rot="0" spcFirstLastPara="1" vertOverflow="ellipsis" vert="horz" wrap="square" anchor="ctr" anchorCtr="1"/>
        <a:lstStyle/>
        <a:p>
          <a:pPr>
            <a:defRPr sz="1600" b="0" i="0" u="none" strike="noStrike" kern="1200" cap="none" spc="50" normalizeH="0" baseline="0">
              <a:solidFill>
                <a:schemeClr val="tx1">
                  <a:lumMod val="65000"/>
                  <a:lumOff val="35000"/>
                </a:schemeClr>
              </a:solidFill>
              <a:latin typeface="+mj-lt"/>
              <a:ea typeface="+mj-ea"/>
              <a:cs typeface="+mj-cs"/>
            </a:defRPr>
          </a:pPr>
          <a:endParaRPr lang="en-US"/>
        </a:p>
      </c:txPr>
    </c:title>
    <c:autoTitleDeleted val="0"/>
    <c:plotArea>
      <c:layout>
        <c:manualLayout>
          <c:layoutTarget val="inner"/>
          <c:xMode val="edge"/>
          <c:yMode val="edge"/>
          <c:x val="0.1627454096687532"/>
          <c:y val="0.11936339522546419"/>
          <c:w val="0.78039365118269599"/>
          <c:h val="0.71883289124668437"/>
        </c:manualLayout>
      </c:layout>
      <c:scatterChart>
        <c:scatterStyle val="lineMarker"/>
        <c:varyColors val="0"/>
        <c:ser>
          <c:idx val="0"/>
          <c:order val="0"/>
          <c:tx>
            <c:strRef>
              <c:f>'Adoption Decision'!$C$11</c:f>
              <c:strCache>
                <c:ptCount val="1"/>
                <c:pt idx="0">
                  <c:v>Survey data</c:v>
                </c:pt>
              </c:strCache>
            </c:strRef>
          </c:tx>
          <c:spPr>
            <a:ln w="19050" cap="rnd">
              <a:noFill/>
              <a:round/>
            </a:ln>
            <a:effectLst/>
          </c:spPr>
          <c:marker>
            <c:symbol val="circle"/>
            <c:size val="6"/>
            <c:spPr>
              <a:solidFill>
                <a:schemeClr val="lt1"/>
              </a:solidFill>
              <a:ln w="38100">
                <a:solidFill>
                  <a:schemeClr val="accent1">
                    <a:alpha val="60000"/>
                  </a:schemeClr>
                </a:solidFill>
              </a:ln>
              <a:effectLst/>
            </c:spPr>
          </c:marker>
          <c:dLbls>
            <c:dLbl>
              <c:idx val="12"/>
              <c:layout>
                <c:manualLayout>
                  <c:x val="-2.7784468117955747E-3"/>
                  <c:y val="-5.172399869114503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DF5C-4A46-9EE0-C7D985A96E55}"/>
                </c:ext>
              </c:extLst>
            </c:dLbl>
            <c:dLbl>
              <c:idx val="24"/>
              <c:layout>
                <c:manualLayout>
                  <c:x val="-3.2751788379394183E-4"/>
                  <c:y val="-3.3253827356461069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DF5C-4A46-9EE0-C7D985A96E55}"/>
                </c:ext>
              </c:extLst>
            </c:dLbl>
            <c:dLbl>
              <c:idx val="36"/>
              <c:layout>
                <c:manualLayout>
                  <c:x val="-1.7983634398641471E-3"/>
                  <c:y val="-4.476339661786309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2-DF5C-4A46-9EE0-C7D985A96E55}"/>
                </c:ext>
              </c:extLst>
            </c:dLbl>
            <c:dLbl>
              <c:idx val="48"/>
              <c:layout>
                <c:manualLayout>
                  <c:x val="4.5739282589675884E-3"/>
                  <c:y val="-4.2122015915119305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3-DF5C-4A46-9EE0-C7D985A96E5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1"/>
            <c:showSerName val="0"/>
            <c:showPercent val="0"/>
            <c:showBubbleSize val="0"/>
            <c:showLeaderLines val="0"/>
            <c:extLst>
              <c:ext xmlns:c15="http://schemas.microsoft.com/office/drawing/2012/chart" uri="{CE6537A1-D6FC-4f65-9D91-7224C49458BB}">
                <c15:showLeaderLines val="0"/>
              </c:ext>
            </c:extLst>
          </c:dLbls>
          <c:xVal>
            <c:numRef>
              <c:f>'Adoption Decision'!$B$12:$B$60</c:f>
              <c:numCache>
                <c:formatCode>General</c:formatCode>
                <c:ptCount val="49"/>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numCache>
            </c:numRef>
          </c:xVal>
          <c:yVal>
            <c:numRef>
              <c:f>'Adoption Decision'!$C$12:$C$60</c:f>
              <c:numCache>
                <c:formatCode>General</c:formatCode>
                <c:ptCount val="49"/>
                <c:pt idx="12" formatCode="0.0%">
                  <c:v>1</c:v>
                </c:pt>
                <c:pt idx="24" formatCode="0.0%">
                  <c:v>0.83599999999999997</c:v>
                </c:pt>
                <c:pt idx="36" formatCode="0.0%">
                  <c:v>0.219</c:v>
                </c:pt>
                <c:pt idx="48" formatCode="0.0%">
                  <c:v>6.4000000000000001E-2</c:v>
                </c:pt>
              </c:numCache>
            </c:numRef>
          </c:yVal>
          <c:smooth val="0"/>
          <c:extLst>
            <c:ext xmlns:c16="http://schemas.microsoft.com/office/drawing/2014/chart" uri="{C3380CC4-5D6E-409C-BE32-E72D297353CC}">
              <c16:uniqueId val="{00000004-DF5C-4A46-9EE0-C7D985A96E55}"/>
            </c:ext>
          </c:extLst>
        </c:ser>
        <c:ser>
          <c:idx val="4"/>
          <c:order val="1"/>
          <c:tx>
            <c:strRef>
              <c:f>'Adoption Decision'!$D$11</c:f>
              <c:strCache>
                <c:ptCount val="1"/>
                <c:pt idx="0">
                  <c:v>Aggressive</c:v>
                </c:pt>
              </c:strCache>
            </c:strRef>
          </c:tx>
          <c:spPr>
            <a:ln w="19050" cap="rnd">
              <a:solidFill>
                <a:schemeClr val="accent5">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Decision'!$D$12:$D$97</c:f>
              <c:numCache>
                <c:formatCode>0.000%</c:formatCode>
                <c:ptCount val="86"/>
                <c:pt idx="0">
                  <c:v>1</c:v>
                </c:pt>
                <c:pt idx="1">
                  <c:v>1</c:v>
                </c:pt>
                <c:pt idx="2">
                  <c:v>1</c:v>
                </c:pt>
                <c:pt idx="3">
                  <c:v>1</c:v>
                </c:pt>
                <c:pt idx="4">
                  <c:v>1</c:v>
                </c:pt>
                <c:pt idx="5">
                  <c:v>1</c:v>
                </c:pt>
                <c:pt idx="6">
                  <c:v>1</c:v>
                </c:pt>
                <c:pt idx="7">
                  <c:v>1</c:v>
                </c:pt>
                <c:pt idx="8">
                  <c:v>1</c:v>
                </c:pt>
                <c:pt idx="9">
                  <c:v>1</c:v>
                </c:pt>
                <c:pt idx="10">
                  <c:v>1</c:v>
                </c:pt>
                <c:pt idx="11">
                  <c:v>1</c:v>
                </c:pt>
                <c:pt idx="12">
                  <c:v>1</c:v>
                </c:pt>
                <c:pt idx="13">
                  <c:v>0.99964568058937042</c:v>
                </c:pt>
                <c:pt idx="14">
                  <c:v>0.99799731961111438</c:v>
                </c:pt>
                <c:pt idx="15">
                  <c:v>0.99449095900190587</c:v>
                </c:pt>
                <c:pt idx="16">
                  <c:v>0.9887238277478988</c:v>
                </c:pt>
                <c:pt idx="17">
                  <c:v>0.9803843728316719</c:v>
                </c:pt>
                <c:pt idx="18">
                  <c:v>0.96923323447634413</c:v>
                </c:pt>
                <c:pt idx="19">
                  <c:v>0.95509663904843412</c:v>
                </c:pt>
                <c:pt idx="20">
                  <c:v>0.93786428128134647</c:v>
                </c:pt>
                <c:pt idx="21">
                  <c:v>0.9174888297657835</c:v>
                </c:pt>
                <c:pt idx="22">
                  <c:v>0.89398570815371281</c:v>
                </c:pt>
                <c:pt idx="23">
                  <c:v>0.86743240787387288</c:v>
                </c:pt>
                <c:pt idx="24">
                  <c:v>0.83796688557875576</c:v>
                </c:pt>
                <c:pt idx="25">
                  <c:v>0.80578477749724886</c:v>
                </c:pt>
                <c:pt idx="26">
                  <c:v>0.77113529134046965</c:v>
                </c:pt>
                <c:pt idx="27">
                  <c:v>0.73431574119168719</c:v>
                </c:pt>
                <c:pt idx="28">
                  <c:v>0.69566478229732487</c:v>
                </c:pt>
                <c:pt idx="29">
                  <c:v>0.65555448400571326</c:v>
                </c:pt>
                <c:pt idx="30">
                  <c:v>0.61438145002028</c:v>
                </c:pt>
                <c:pt idx="31">
                  <c:v>0.57255725386160194</c:v>
                </c:pt>
                <c:pt idx="32">
                  <c:v>0.53049850169371948</c:v>
                </c:pt>
                <c:pt idx="33">
                  <c:v>0.48861686235154222</c:v>
                </c:pt>
                <c:pt idx="34">
                  <c:v>0.44730941399885382</c:v>
                </c:pt>
                <c:pt idx="35">
                  <c:v>0.406949647740664</c:v>
                </c:pt>
                <c:pt idx="36">
                  <c:v>0.36787944117144233</c:v>
                </c:pt>
                <c:pt idx="37">
                  <c:v>0.33040227085122265</c:v>
                </c:pt>
                <c:pt idx="38">
                  <c:v>0.29477787472512929</c:v>
                </c:pt>
                <c:pt idx="39">
                  <c:v>0.26121850711209382</c:v>
                </c:pt>
                <c:pt idx="40">
                  <c:v>0.22988685432773637</c:v>
                </c:pt>
                <c:pt idx="41">
                  <c:v>0.20089560287817543</c:v>
                </c:pt>
                <c:pt idx="42">
                  <c:v>0.17430857908883035</c:v>
                </c:pt>
                <c:pt idx="43">
                  <c:v>0.15014331331304309</c:v>
                </c:pt>
                <c:pt idx="44">
                  <c:v>0.12837482715790938</c:v>
                </c:pt>
                <c:pt idx="45">
                  <c:v>0.10894040123194071</c:v>
                </c:pt>
                <c:pt idx="46">
                  <c:v>9.1745055453900104E-2</c:v>
                </c:pt>
                <c:pt idx="47">
                  <c:v>7.6667464508156202E-2</c:v>
                </c:pt>
                <c:pt idx="48">
                  <c:v>6.3566037004625375E-2</c:v>
                </c:pt>
                <c:pt idx="49">
                  <c:v>5.22849067021115E-2</c:v>
                </c:pt>
                <c:pt idx="50">
                  <c:v>4.2659615362509729E-2</c:v>
                </c:pt>
                <c:pt idx="51">
                  <c:v>3.45223064271728E-2</c:v>
                </c:pt>
                <c:pt idx="52">
                  <c:v>2.7706293458343301E-2</c:v>
                </c:pt>
                <c:pt idx="53">
                  <c:v>2.2049913865499482E-2</c:v>
                </c:pt>
                <c:pt idx="54">
                  <c:v>1.7399623775943063E-2</c:v>
                </c:pt>
                <c:pt idx="55">
                  <c:v>1.3612331396869903E-2</c:v>
                </c:pt>
                <c:pt idx="56">
                  <c:v>1.055700183503927E-2</c:v>
                </c:pt>
                <c:pt idx="57">
                  <c:v>8.1155947493921632E-3</c:v>
                </c:pt>
                <c:pt idx="58">
                  <c:v>6.1834167604025714E-3</c:v>
                </c:pt>
                <c:pt idx="59">
                  <c:v>4.6689832182131852E-3</c:v>
                </c:pt>
                <c:pt idx="60">
                  <c:v>3.4934892766461667E-3</c:v>
                </c:pt>
                <c:pt idx="61">
                  <c:v>2.589989187540831E-3</c:v>
                </c:pt>
                <c:pt idx="62">
                  <c:v>1.9023765504646573E-3</c:v>
                </c:pt>
                <c:pt idx="63">
                  <c:v>1.3842482900661146E-3</c:v>
                </c:pt>
                <c:pt idx="64">
                  <c:v>9.9772275358522844E-4</c:v>
                </c:pt>
                <c:pt idx="65">
                  <c:v>7.122687876760514E-4</c:v>
                </c:pt>
                <c:pt idx="66">
                  <c:v>5.0358904973690777E-4</c:v>
                </c:pt>
                <c:pt idx="67">
                  <c:v>3.525879905724727E-4</c:v>
                </c:pt>
                <c:pt idx="68">
                  <c:v>2.4444352404873193E-4</c:v>
                </c:pt>
                <c:pt idx="69">
                  <c:v>1.677917494864456E-4</c:v>
                </c:pt>
                <c:pt idx="70">
                  <c:v>1.1402637597712761E-4</c:v>
                </c:pt>
                <c:pt idx="71">
                  <c:v>7.6708702562489073E-5</c:v>
                </c:pt>
                <c:pt idx="72">
                  <c:v>5.1079991764568788E-5</c:v>
                </c:pt>
                <c:pt idx="73">
                  <c:v>3.3665607341304415E-5</c:v>
                </c:pt>
                <c:pt idx="74">
                  <c:v>2.1959095184986843E-5</c:v>
                </c:pt>
                <c:pt idx="75">
                  <c:v>1.4174181270143471E-5</c:v>
                </c:pt>
                <c:pt idx="76">
                  <c:v>9.0531678970107166E-6</c:v>
                </c:pt>
                <c:pt idx="77">
                  <c:v>5.7211851592908758E-6</c:v>
                </c:pt>
                <c:pt idx="78">
                  <c:v>3.5769950249564531E-6</c:v>
                </c:pt>
                <c:pt idx="79">
                  <c:v>2.2123911661564577E-6</c:v>
                </c:pt>
                <c:pt idx="80">
                  <c:v>1.3535719757262754E-6</c:v>
                </c:pt>
                <c:pt idx="81">
                  <c:v>8.1910867733014925E-7</c:v>
                </c:pt>
                <c:pt idx="82">
                  <c:v>4.9023867043640479E-7</c:v>
                </c:pt>
                <c:pt idx="83">
                  <c:v>2.9016488611866009E-7</c:v>
                </c:pt>
                <c:pt idx="84">
                  <c:v>1.6983180561869204E-7</c:v>
                </c:pt>
                <c:pt idx="85">
                  <c:v>9.8286971117467203E-8</c:v>
                </c:pt>
              </c:numCache>
            </c:numRef>
          </c:yVal>
          <c:smooth val="0"/>
          <c:extLst>
            <c:ext xmlns:c16="http://schemas.microsoft.com/office/drawing/2014/chart" uri="{C3380CC4-5D6E-409C-BE32-E72D297353CC}">
              <c16:uniqueId val="{00000005-DF5C-4A46-9EE0-C7D985A96E55}"/>
            </c:ext>
          </c:extLst>
        </c:ser>
        <c:ser>
          <c:idx val="1"/>
          <c:order val="2"/>
          <c:tx>
            <c:strRef>
              <c:f>'Adoption Decision'!$E$11</c:f>
              <c:strCache>
                <c:ptCount val="1"/>
                <c:pt idx="0">
                  <c:v>Moderate</c:v>
                </c:pt>
              </c:strCache>
            </c:strRef>
          </c:tx>
          <c:spPr>
            <a:ln w="19050" cap="rnd">
              <a:solidFill>
                <a:schemeClr val="accent2">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Decision'!$E$12:$E$97</c:f>
              <c:numCache>
                <c:formatCode>0.000%</c:formatCode>
                <c:ptCount val="86"/>
                <c:pt idx="0">
                  <c:v>1</c:v>
                </c:pt>
                <c:pt idx="1">
                  <c:v>1</c:v>
                </c:pt>
                <c:pt idx="2">
                  <c:v>1</c:v>
                </c:pt>
                <c:pt idx="3">
                  <c:v>1</c:v>
                </c:pt>
                <c:pt idx="4">
                  <c:v>1</c:v>
                </c:pt>
                <c:pt idx="5">
                  <c:v>1</c:v>
                </c:pt>
                <c:pt idx="6">
                  <c:v>1</c:v>
                </c:pt>
                <c:pt idx="7">
                  <c:v>0.99672728540702971</c:v>
                </c:pt>
                <c:pt idx="8">
                  <c:v>0.98864996001381644</c:v>
                </c:pt>
                <c:pt idx="9">
                  <c:v>0.97659517170432097</c:v>
                </c:pt>
                <c:pt idx="10">
                  <c:v>0.9610304919278353</c:v>
                </c:pt>
                <c:pt idx="11">
                  <c:v>0.94233242615650892</c:v>
                </c:pt>
                <c:pt idx="12">
                  <c:v>0.92083975837910714</c:v>
                </c:pt>
                <c:pt idx="13">
                  <c:v>0.89687217424956167</c:v>
                </c:pt>
                <c:pt idx="14">
                  <c:v>0.87073765362737421</c:v>
                </c:pt>
                <c:pt idx="15">
                  <c:v>0.84273521299425513</c:v>
                </c:pt>
                <c:pt idx="16">
                  <c:v>0.8131554612767673</c:v>
                </c:pt>
                <c:pt idx="17">
                  <c:v>0.78228006940691508</c:v>
                </c:pt>
                <c:pt idx="18">
                  <c:v>0.7503807093706214</c:v>
                </c:pt>
                <c:pt idx="19">
                  <c:v>0.71771776988961988</c:v>
                </c:pt>
                <c:pt idx="20">
                  <c:v>0.68453902988131765</c:v>
                </c:pt>
                <c:pt idx="21">
                  <c:v>0.65107840109915838</c:v>
                </c:pt>
                <c:pt idx="22">
                  <c:v>0.61755480964169096</c:v>
                </c:pt>
                <c:pt idx="23">
                  <c:v>0.58417125928962133</c:v>
                </c:pt>
                <c:pt idx="24">
                  <c:v>0.55111410145330775</c:v>
                </c:pt>
                <c:pt idx="25">
                  <c:v>0.51855252354036319</c:v>
                </c:pt>
                <c:pt idx="26">
                  <c:v>0.48663825796023608</c:v>
                </c:pt>
                <c:pt idx="27">
                  <c:v>0.45550550673418788</c:v>
                </c:pt>
                <c:pt idx="28">
                  <c:v>0.42527107116174789</c:v>
                </c:pt>
                <c:pt idx="29">
                  <c:v>0.39603467182812513</c:v>
                </c:pt>
                <c:pt idx="30">
                  <c:v>0.36787944117144233</c:v>
                </c:pt>
                <c:pt idx="31">
                  <c:v>0.34087256868851834</c:v>
                </c:pt>
                <c:pt idx="32">
                  <c:v>0.31506607751012794</c:v>
                </c:pt>
                <c:pt idx="33">
                  <c:v>0.29049771041246508</c:v>
                </c:pt>
                <c:pt idx="34">
                  <c:v>0.26719190325625874</c:v>
                </c:pt>
                <c:pt idx="35">
                  <c:v>0.24516082427257391</c:v>
                </c:pt>
                <c:pt idx="36">
                  <c:v>0.22440545846436388</c:v>
                </c:pt>
                <c:pt idx="37">
                  <c:v>0.20491671758931851</c:v>
                </c:pt>
                <c:pt idx="38">
                  <c:v>0.18667655766055047</c:v>
                </c:pt>
                <c:pt idx="39">
                  <c:v>0.16965908757950587</c:v>
                </c:pt>
                <c:pt idx="40">
                  <c:v>0.1538316543371343</c:v>
                </c:pt>
                <c:pt idx="41">
                  <c:v>0.13915589212694768</c:v>
                </c:pt>
                <c:pt idx="42">
                  <c:v>0.12558872465487203</c:v>
                </c:pt>
                <c:pt idx="43">
                  <c:v>0.11308331185949427</c:v>
                </c:pt>
                <c:pt idx="44">
                  <c:v>0.10158993413238182</c:v>
                </c:pt>
                <c:pt idx="45">
                  <c:v>9.1056808917926668E-2</c:v>
                </c:pt>
                <c:pt idx="46">
                  <c:v>8.1430836248249538E-2</c:v>
                </c:pt>
                <c:pt idx="47">
                  <c:v>7.2658271309812839E-2</c:v>
                </c:pt>
                <c:pt idx="48">
                  <c:v>6.4685323529124261E-2</c:v>
                </c:pt>
                <c:pt idx="49">
                  <c:v>5.7458682895245139E-2</c:v>
                </c:pt>
                <c:pt idx="50">
                  <c:v>5.0925975301708948E-2</c:v>
                </c:pt>
                <c:pt idx="51">
                  <c:v>4.5036149589259722E-2</c:v>
                </c:pt>
                <c:pt idx="52">
                  <c:v>3.9739799706733026E-2</c:v>
                </c:pt>
                <c:pt idx="53">
                  <c:v>3.4989425986837186E-2</c:v>
                </c:pt>
                <c:pt idx="54">
                  <c:v>3.0739639965612686E-2</c:v>
                </c:pt>
                <c:pt idx="55">
                  <c:v>2.6947317470043308E-2</c:v>
                </c:pt>
                <c:pt idx="56">
                  <c:v>2.3571704870276933E-2</c:v>
                </c:pt>
                <c:pt idx="57">
                  <c:v>2.0574483454742554E-2</c:v>
                </c:pt>
                <c:pt idx="58">
                  <c:v>1.7919796852235992E-2</c:v>
                </c:pt>
                <c:pt idx="59">
                  <c:v>1.5574246308966644E-2</c:v>
                </c:pt>
                <c:pt idx="60">
                  <c:v>1.3506858444565117E-2</c:v>
                </c:pt>
                <c:pt idx="61">
                  <c:v>1.1689029872536283E-2</c:v>
                </c:pt>
                <c:pt idx="62">
                  <c:v>1.009445279022525E-2</c:v>
                </c:pt>
                <c:pt idx="63">
                  <c:v>8.699025332679633E-3</c:v>
                </c:pt>
                <c:pt idx="64">
                  <c:v>7.4807501544102983E-3</c:v>
                </c:pt>
                <c:pt idx="65">
                  <c:v>6.4196243623374505E-3</c:v>
                </c:pt>
                <c:pt idx="66">
                  <c:v>5.4975235803325084E-3</c:v>
                </c:pt>
                <c:pt idx="67">
                  <c:v>4.6980825876707932E-3</c:v>
                </c:pt>
                <c:pt idx="68">
                  <c:v>4.0065746461579455E-3</c:v>
                </c:pt>
                <c:pt idx="69">
                  <c:v>3.4097913183015471E-3</c:v>
                </c:pt>
                <c:pt idx="70">
                  <c:v>2.8959242852554246E-3</c:v>
                </c:pt>
                <c:pt idx="71">
                  <c:v>2.4544504009351709E-3</c:v>
                </c:pt>
                <c:pt idx="72">
                  <c:v>2.0760209694462572E-3</c:v>
                </c:pt>
                <c:pt idx="73">
                  <c:v>1.7523560077112865E-3</c:v>
                </c:pt>
                <c:pt idx="74">
                  <c:v>1.4761440542468973E-3</c:v>
                </c:pt>
                <c:pt idx="75">
                  <c:v>1.2409479081468833E-3</c:v>
                </c:pt>
                <c:pt idx="76">
                  <c:v>1.0411165287640411E-3</c:v>
                </c:pt>
                <c:pt idx="77">
                  <c:v>8.7170319526963524E-4</c:v>
                </c:pt>
                <c:pt idx="78">
                  <c:v>7.2838991483914484E-4</c:v>
                </c:pt>
                <c:pt idx="79">
                  <c:v>6.0741797712760004E-4</c:v>
                </c:pt>
                <c:pt idx="80">
                  <c:v>5.0552447925789057E-4</c:v>
                </c:pt>
                <c:pt idx="81">
                  <c:v>4.1988458802177941E-4</c:v>
                </c:pt>
                <c:pt idx="82">
                  <c:v>3.4805926261005649E-4</c:v>
                </c:pt>
                <c:pt idx="83">
                  <c:v>2.8794813021293386E-4</c:v>
                </c:pt>
                <c:pt idx="84">
                  <c:v>2.3774718659497207E-4</c:v>
                </c:pt>
                <c:pt idx="85">
                  <c:v>1.9591098265292484E-4</c:v>
                </c:pt>
              </c:numCache>
            </c:numRef>
          </c:yVal>
          <c:smooth val="0"/>
          <c:extLst>
            <c:ext xmlns:c16="http://schemas.microsoft.com/office/drawing/2014/chart" uri="{C3380CC4-5D6E-409C-BE32-E72D297353CC}">
              <c16:uniqueId val="{00000006-DF5C-4A46-9EE0-C7D985A96E55}"/>
            </c:ext>
          </c:extLst>
        </c:ser>
        <c:ser>
          <c:idx val="2"/>
          <c:order val="3"/>
          <c:tx>
            <c:strRef>
              <c:f>'Adoption Decision'!$F$11</c:f>
              <c:strCache>
                <c:ptCount val="1"/>
                <c:pt idx="0">
                  <c:v>Conservative</c:v>
                </c:pt>
              </c:strCache>
            </c:strRef>
          </c:tx>
          <c:spPr>
            <a:ln w="19050" cap="rnd">
              <a:solidFill>
                <a:schemeClr val="accent3">
                  <a:alpha val="60000"/>
                </a:schemeClr>
              </a:solidFill>
              <a:round/>
            </a:ln>
            <a:effectLst/>
          </c:spPr>
          <c:marker>
            <c:symbol val="none"/>
          </c:marker>
          <c:xVal>
            <c:numRef>
              <c:f>'Adoption Decision'!$B$12:$B$97</c:f>
              <c:numCache>
                <c:formatCode>General</c:formatCode>
                <c:ptCount val="8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numCache>
            </c:numRef>
          </c:xVal>
          <c:yVal>
            <c:numRef>
              <c:f>'Adoption Decision'!$F$12:$F$97</c:f>
              <c:numCache>
                <c:formatCode>0.000%</c:formatCode>
                <c:ptCount val="86"/>
                <c:pt idx="0">
                  <c:v>1</c:v>
                </c:pt>
                <c:pt idx="1">
                  <c:v>0.99511353784223089</c:v>
                </c:pt>
                <c:pt idx="2">
                  <c:v>0.98308729447888632</c:v>
                </c:pt>
                <c:pt idx="3">
                  <c:v>0.96522925875930121</c:v>
                </c:pt>
                <c:pt idx="4">
                  <c:v>0.94233242615650892</c:v>
                </c:pt>
                <c:pt idx="5">
                  <c:v>0.91506768709608055</c:v>
                </c:pt>
                <c:pt idx="6">
                  <c:v>0.88405689607151994</c:v>
                </c:pt>
                <c:pt idx="7">
                  <c:v>0.849894901833256</c:v>
                </c:pt>
                <c:pt idx="8">
                  <c:v>0.8131554612767673</c:v>
                </c:pt>
                <c:pt idx="9">
                  <c:v>0.77439085187439527</c:v>
                </c:pt>
                <c:pt idx="10">
                  <c:v>0.73412889005897974</c:v>
                </c:pt>
                <c:pt idx="11">
                  <c:v>0.6928690310460901</c:v>
                </c:pt>
                <c:pt idx="12">
                  <c:v>0.65107840109915838</c:v>
                </c:pt>
                <c:pt idx="13">
                  <c:v>0.60918822454710841</c:v>
                </c:pt>
                <c:pt idx="14">
                  <c:v>0.56759090033085191</c:v>
                </c:pt>
                <c:pt idx="15">
                  <c:v>0.52663785977915145</c:v>
                </c:pt>
                <c:pt idx="16">
                  <c:v>0.48663825796023608</c:v>
                </c:pt>
                <c:pt idx="17">
                  <c:v>0.44785849671753875</c:v>
                </c:pt>
                <c:pt idx="18">
                  <c:v>0.41052253926958016</c:v>
                </c:pt>
                <c:pt idx="19">
                  <c:v>0.374812949261631</c:v>
                </c:pt>
                <c:pt idx="20">
                  <c:v>0.34087256868851834</c:v>
                </c:pt>
                <c:pt idx="21">
                  <c:v>0.30880673745940412</c:v>
                </c:pt>
                <c:pt idx="22">
                  <c:v>0.27868595134134</c:v>
                </c:pt>
                <c:pt idx="23">
                  <c:v>0.25054885364370327</c:v>
                </c:pt>
                <c:pt idx="24">
                  <c:v>0.22440545846436388</c:v>
                </c:pt>
                <c:pt idx="25">
                  <c:v>0.20024050885898936</c:v>
                </c:pt>
                <c:pt idx="26">
                  <c:v>0.17801688121859338</c:v>
                </c:pt>
                <c:pt idx="27">
                  <c:v>0.15767895679748034</c:v>
                </c:pt>
                <c:pt idx="28">
                  <c:v>0.13915589212694768</c:v>
                </c:pt>
                <c:pt idx="29">
                  <c:v>0.12236473144151083</c:v>
                </c:pt>
                <c:pt idx="30">
                  <c:v>0.10721331576175563</c:v>
                </c:pt>
                <c:pt idx="31">
                  <c:v>9.3602954519502735E-2</c:v>
                </c:pt>
                <c:pt idx="32">
                  <c:v>8.1430836248249538E-2</c:v>
                </c:pt>
                <c:pt idx="33">
                  <c:v>7.0592164639350474E-2</c:v>
                </c:pt>
                <c:pt idx="34">
                  <c:v>6.0982014997255418E-2</c:v>
                </c:pt>
                <c:pt idx="35">
                  <c:v>5.2496913696447711E-2</c:v>
                </c:pt>
                <c:pt idx="36">
                  <c:v>4.5036149589259722E-2</c:v>
                </c:pt>
                <c:pt idx="37">
                  <c:v>3.850283143025035E-2</c:v>
                </c:pt>
                <c:pt idx="38">
                  <c:v>3.2804709305761293E-2</c:v>
                </c:pt>
                <c:pt idx="39">
                  <c:v>2.7854780858086459E-2</c:v>
                </c:pt>
                <c:pt idx="40">
                  <c:v>2.3571704870276933E-2</c:v>
                </c:pt>
                <c:pt idx="41">
                  <c:v>1.9880045646170408E-2</c:v>
                </c:pt>
                <c:pt idx="42">
                  <c:v>1.6710371707806315E-2</c:v>
                </c:pt>
                <c:pt idx="43">
                  <c:v>1.3999231770300269E-2</c:v>
                </c:pt>
                <c:pt idx="44">
                  <c:v>1.1689029872536283E-2</c:v>
                </c:pt>
                <c:pt idx="45">
                  <c:v>9.7278200649436597E-3</c:v>
                </c:pt>
                <c:pt idx="46">
                  <c:v>8.0690392981475068E-3</c:v>
                </c:pt>
                <c:pt idx="47">
                  <c:v>6.6711952216890191E-3</c:v>
                </c:pt>
                <c:pt idx="48">
                  <c:v>5.4975235803325084E-3</c:v>
                </c:pt>
                <c:pt idx="49">
                  <c:v>4.5156278627150881E-3</c:v>
                </c:pt>
                <c:pt idx="50">
                  <c:v>3.6971118752440191E-3</c:v>
                </c:pt>
                <c:pt idx="51">
                  <c:v>3.0172140316164775E-3</c:v>
                </c:pt>
                <c:pt idx="52">
                  <c:v>2.4544504009351709E-3</c:v>
                </c:pt>
                <c:pt idx="53">
                  <c:v>1.9902719695228388E-3</c:v>
                </c:pt>
                <c:pt idx="54">
                  <c:v>1.6087401576061477E-3</c:v>
                </c:pt>
                <c:pt idx="55">
                  <c:v>1.2962233980006177E-3</c:v>
                </c:pt>
                <c:pt idx="56">
                  <c:v>1.0411165287640411E-3</c:v>
                </c:pt>
                <c:pt idx="57">
                  <c:v>8.3358386900855841E-4</c:v>
                </c:pt>
                <c:pt idx="58">
                  <c:v>6.653261260685106E-4</c:v>
                </c:pt>
                <c:pt idx="59">
                  <c:v>5.2937070953729126E-4</c:v>
                </c:pt>
                <c:pt idx="60">
                  <c:v>4.1988458802177941E-4</c:v>
                </c:pt>
                <c:pt idx="61">
                  <c:v>3.3200850167025564E-4</c:v>
                </c:pt>
                <c:pt idx="62">
                  <c:v>2.6171112129524943E-4</c:v>
                </c:pt>
                <c:pt idx="63">
                  <c:v>2.0566160738733075E-4</c:v>
                </c:pt>
                <c:pt idx="64">
                  <c:v>1.6111895453663205E-4</c:v>
                </c:pt>
                <c:pt idx="65">
                  <c:v>1.258364949808799E-4</c:v>
                </c:pt>
                <c:pt idx="66">
                  <c:v>9.7979966796168938E-5</c:v>
                </c:pt>
                <c:pt idx="67">
                  <c:v>7.6057616771540992E-5</c:v>
                </c:pt>
                <c:pt idx="68">
                  <c:v>5.8860895872037133E-5</c:v>
                </c:pt>
                <c:pt idx="69">
                  <c:v>4.5414408506361248E-5</c:v>
                </c:pt>
                <c:pt idx="70">
                  <c:v>3.4933889061616874E-5</c:v>
                </c:pt>
                <c:pt idx="71">
                  <c:v>2.6791095119715891E-5</c:v>
                </c:pt>
                <c:pt idx="72">
                  <c:v>2.0484622330063651E-5</c:v>
                </c:pt>
                <c:pt idx="73">
                  <c:v>1.5615758009790426E-5</c:v>
                </c:pt>
                <c:pt idx="74">
                  <c:v>1.1868596933584108E-5</c:v>
                </c:pt>
                <c:pt idx="75">
                  <c:v>8.9937419665009344E-6</c:v>
                </c:pt>
                <c:pt idx="76">
                  <c:v>6.7950032648367298E-6</c:v>
                </c:pt>
                <c:pt idx="77">
                  <c:v>5.1185922865792932E-6</c:v>
                </c:pt>
                <c:pt idx="78">
                  <c:v>3.8443807318655487E-6</c:v>
                </c:pt>
                <c:pt idx="79">
                  <c:v>2.8788599886198085E-6</c:v>
                </c:pt>
                <c:pt idx="80">
                  <c:v>2.1494940882771374E-6</c:v>
                </c:pt>
                <c:pt idx="81">
                  <c:v>1.600209107888162E-6</c:v>
                </c:pt>
                <c:pt idx="82">
                  <c:v>1.18780502178506E-6</c:v>
                </c:pt>
                <c:pt idx="83">
                  <c:v>8.7911285406860884E-7</c:v>
                </c:pt>
                <c:pt idx="84">
                  <c:v>6.4875128347186006E-7</c:v>
                </c:pt>
                <c:pt idx="85">
                  <c:v>4.773632539256667E-7</c:v>
                </c:pt>
              </c:numCache>
            </c:numRef>
          </c:yVal>
          <c:smooth val="0"/>
          <c:extLst>
            <c:ext xmlns:c16="http://schemas.microsoft.com/office/drawing/2014/chart" uri="{C3380CC4-5D6E-409C-BE32-E72D297353CC}">
              <c16:uniqueId val="{00000007-DF5C-4A46-9EE0-C7D985A96E55}"/>
            </c:ext>
          </c:extLst>
        </c:ser>
        <c:dLbls>
          <c:showLegendKey val="0"/>
          <c:showVal val="0"/>
          <c:showCatName val="0"/>
          <c:showSerName val="0"/>
          <c:showPercent val="0"/>
          <c:showBubbleSize val="0"/>
        </c:dLbls>
        <c:axId val="660898800"/>
        <c:axId val="660899360"/>
      </c:scatterChart>
      <c:valAx>
        <c:axId val="660898800"/>
        <c:scaling>
          <c:orientation val="minMax"/>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Payback Period (months)</a:t>
                </a:r>
              </a:p>
            </c:rich>
          </c:tx>
          <c:overlay val="0"/>
          <c:spPr>
            <a:noFill/>
            <a:ln>
              <a:noFill/>
            </a:ln>
            <a:effectLst/>
          </c:spPr>
          <c:txPr>
            <a:bodyPr rot="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9360"/>
        <c:crosses val="autoZero"/>
        <c:crossBetween val="midCat"/>
        <c:majorUnit val="12"/>
        <c:minorUnit val="4"/>
      </c:valAx>
      <c:valAx>
        <c:axId val="660899360"/>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r>
                  <a:rPr lang="en-US"/>
                  <a:t>Adoption Rate</a:t>
                </a:r>
              </a:p>
            </c:rich>
          </c:tx>
          <c:overlay val="0"/>
          <c:spPr>
            <a:noFill/>
            <a:ln>
              <a:noFill/>
            </a:ln>
            <a:effectLst/>
          </c:spPr>
          <c:txPr>
            <a:bodyPr rot="-5400000" spcFirstLastPara="1" vertOverflow="ellipsis" vert="horz" wrap="square" anchor="ctr" anchorCtr="1"/>
            <a:lstStyle/>
            <a:p>
              <a:pPr>
                <a:defRPr sz="900" b="0" i="0" u="none" strike="noStrike" kern="1200" cap="all"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solidFill>
              <a:schemeClr val="tx1">
                <a:lumMod val="25000"/>
                <a:lumOff val="75000"/>
              </a:schemeClr>
            </a:solidFill>
          </a:ln>
          <a:effectLst/>
        </c:spPr>
        <c:txPr>
          <a:bodyPr rot="0" spcFirstLastPara="1" vertOverflow="ellipsis"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660898800"/>
        <c:crosses val="autoZero"/>
        <c:crossBetween val="midCat"/>
      </c:valAx>
      <c:spPr>
        <a:noFill/>
        <a:ln>
          <a:noFill/>
        </a:ln>
        <a:effectLst/>
      </c:spPr>
    </c:plotArea>
    <c:legend>
      <c:legendPos val="r"/>
      <c:layout>
        <c:manualLayout>
          <c:xMode val="edge"/>
          <c:yMode val="edge"/>
          <c:x val="0.71840041609182936"/>
          <c:y val="0.16880311188298813"/>
          <c:w val="0.19743738038866029"/>
          <c:h val="0.2487579599813705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lt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89" r="0.75000000000000089" t="1" header="0.5" footer="0.5"/>
    <c:pageSetup orientation="portrait"/>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498644040686048"/>
          <c:y val="3.3232628398791542E-2"/>
        </c:manualLayout>
      </c:layout>
      <c:overlay val="0"/>
      <c:spPr>
        <a:noFill/>
        <a:ln w="25400">
          <a:noFill/>
        </a:ln>
      </c:spPr>
      <c:txPr>
        <a:bodyPr/>
        <a:lstStyle/>
        <a:p>
          <a:pPr>
            <a:defRPr sz="1100" b="1"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0.16620521095536886"/>
          <c:y val="0.20241721702879684"/>
          <c:w val="0.79501492573651444"/>
          <c:h val="0.58912473612858784"/>
        </c:manualLayout>
      </c:layout>
      <c:barChart>
        <c:barDir val="col"/>
        <c:grouping val="clustered"/>
        <c:varyColors val="0"/>
        <c:ser>
          <c:idx val="0"/>
          <c:order val="0"/>
          <c:tx>
            <c:v>Cumulative % Willing to Adopt</c:v>
          </c:tx>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Decision'!$C$3:$C$6</c:f>
              <c:numCache>
                <c:formatCode>0.0%</c:formatCode>
                <c:ptCount val="4"/>
                <c:pt idx="0">
                  <c:v>1</c:v>
                </c:pt>
                <c:pt idx="1">
                  <c:v>0.83599999999999997</c:v>
                </c:pt>
                <c:pt idx="2">
                  <c:v>0.219</c:v>
                </c:pt>
                <c:pt idx="3">
                  <c:v>6.4000000000000001E-2</c:v>
                </c:pt>
              </c:numCache>
            </c:numRef>
          </c:val>
          <c:extLst>
            <c:ext xmlns:c16="http://schemas.microsoft.com/office/drawing/2014/chart" uri="{C3380CC4-5D6E-409C-BE32-E72D297353CC}">
              <c16:uniqueId val="{00000000-CC57-42B2-BC65-560C4DFF9717}"/>
            </c:ext>
          </c:extLst>
        </c:ser>
        <c:dLbls>
          <c:showLegendKey val="0"/>
          <c:showVal val="0"/>
          <c:showCatName val="0"/>
          <c:showSerName val="0"/>
          <c:showPercent val="0"/>
          <c:showBubbleSize val="0"/>
        </c:dLbls>
        <c:gapWidth val="0"/>
        <c:axId val="678071888"/>
        <c:axId val="678072448"/>
      </c:barChart>
      <c:catAx>
        <c:axId val="6780718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45712187638595"/>
              <c:y val="0.885197643345941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2448"/>
        <c:crosses val="autoZero"/>
        <c:auto val="1"/>
        <c:lblAlgn val="ctr"/>
        <c:lblOffset val="100"/>
        <c:tickLblSkip val="1"/>
        <c:tickMarkSkip val="1"/>
        <c:noMultiLvlLbl val="0"/>
      </c:catAx>
      <c:valAx>
        <c:axId val="6780724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18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100" b="1" i="0" u="none" strike="noStrike" baseline="0">
                <a:solidFill>
                  <a:srgbClr val="000000"/>
                </a:solidFill>
                <a:latin typeface="Arial"/>
                <a:ea typeface="Arial"/>
                <a:cs typeface="Arial"/>
              </a:defRPr>
            </a:pPr>
            <a:r>
              <a:rPr lang="en-US"/>
              <a:t>% Willing to Adopt</a:t>
            </a:r>
          </a:p>
        </c:rich>
      </c:tx>
      <c:layout>
        <c:manualLayout>
          <c:xMode val="edge"/>
          <c:yMode val="edge"/>
          <c:x val="0.32044198895027626"/>
          <c:y val="3.313253012048193E-2"/>
        </c:manualLayout>
      </c:layout>
      <c:overlay val="0"/>
      <c:spPr>
        <a:noFill/>
        <a:ln w="25400">
          <a:noFill/>
        </a:ln>
      </c:spPr>
    </c:title>
    <c:autoTitleDeleted val="0"/>
    <c:plotArea>
      <c:layout>
        <c:manualLayout>
          <c:layoutTarget val="inner"/>
          <c:xMode val="edge"/>
          <c:yMode val="edge"/>
          <c:x val="0.16574585635359115"/>
          <c:y val="0.20180722891566266"/>
          <c:w val="0.79558011049723754"/>
          <c:h val="0.59036144578313254"/>
        </c:manualLayout>
      </c:layout>
      <c:barChart>
        <c:barDir val="col"/>
        <c:grouping val="clustered"/>
        <c:varyColors val="0"/>
        <c:ser>
          <c:idx val="0"/>
          <c:order val="0"/>
          <c:spPr>
            <a:solidFill>
              <a:srgbClr val="9999FF"/>
            </a:solidFill>
            <a:ln w="12700">
              <a:solidFill>
                <a:srgbClr val="000000"/>
              </a:solidFill>
              <a:prstDash val="solid"/>
            </a:ln>
          </c:spPr>
          <c:invertIfNegative val="0"/>
          <c:cat>
            <c:numRef>
              <c:f>'Adoption Decision'!$A$3:$A$6</c:f>
              <c:numCache>
                <c:formatCode>General</c:formatCode>
                <c:ptCount val="4"/>
                <c:pt idx="0">
                  <c:v>1</c:v>
                </c:pt>
                <c:pt idx="1">
                  <c:v>2</c:v>
                </c:pt>
                <c:pt idx="2">
                  <c:v>3</c:v>
                </c:pt>
                <c:pt idx="3">
                  <c:v>4</c:v>
                </c:pt>
              </c:numCache>
            </c:numRef>
          </c:cat>
          <c:val>
            <c:numRef>
              <c:f>'Adoption Decision'!$B$3:$B$6</c:f>
              <c:numCache>
                <c:formatCode>0.0%</c:formatCode>
                <c:ptCount val="4"/>
                <c:pt idx="0">
                  <c:v>0.16400000000000001</c:v>
                </c:pt>
                <c:pt idx="1">
                  <c:v>0.61699999999999999</c:v>
                </c:pt>
                <c:pt idx="2">
                  <c:v>0.155</c:v>
                </c:pt>
                <c:pt idx="3">
                  <c:v>6.4000000000000001E-2</c:v>
                </c:pt>
              </c:numCache>
            </c:numRef>
          </c:val>
          <c:extLst>
            <c:ext xmlns:c16="http://schemas.microsoft.com/office/drawing/2014/chart" uri="{C3380CC4-5D6E-409C-BE32-E72D297353CC}">
              <c16:uniqueId val="{00000000-9AD8-4CDB-8072-A5DB294CF1DC}"/>
            </c:ext>
          </c:extLst>
        </c:ser>
        <c:dLbls>
          <c:showLegendKey val="0"/>
          <c:showVal val="0"/>
          <c:showCatName val="0"/>
          <c:showSerName val="0"/>
          <c:showPercent val="0"/>
          <c:showBubbleSize val="0"/>
        </c:dLbls>
        <c:gapWidth val="0"/>
        <c:axId val="678074688"/>
        <c:axId val="678075248"/>
      </c:barChart>
      <c:catAx>
        <c:axId val="678074688"/>
        <c:scaling>
          <c:orientation val="minMax"/>
        </c:scaling>
        <c:delete val="0"/>
        <c:axPos val="b"/>
        <c:title>
          <c:tx>
            <c:rich>
              <a:bodyPr/>
              <a:lstStyle/>
              <a:p>
                <a:pPr>
                  <a:defRPr sz="1000" b="1" i="0" u="none" strike="noStrike" baseline="0">
                    <a:solidFill>
                      <a:srgbClr val="000000"/>
                    </a:solidFill>
                    <a:latin typeface="Arial"/>
                    <a:ea typeface="Arial"/>
                    <a:cs typeface="Arial"/>
                  </a:defRPr>
                </a:pPr>
                <a:r>
                  <a:rPr lang="en-US"/>
                  <a:t>Payback Period (years)</a:t>
                </a:r>
              </a:p>
            </c:rich>
          </c:tx>
          <c:layout>
            <c:manualLayout>
              <c:xMode val="edge"/>
              <c:yMode val="edge"/>
              <c:x val="0.35635359116022097"/>
              <c:y val="0.88554216867469882"/>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5248"/>
        <c:crosses val="autoZero"/>
        <c:auto val="1"/>
        <c:lblAlgn val="ctr"/>
        <c:lblOffset val="100"/>
        <c:tickLblSkip val="1"/>
        <c:tickMarkSkip val="1"/>
        <c:noMultiLvlLbl val="0"/>
      </c:catAx>
      <c:valAx>
        <c:axId val="678075248"/>
        <c:scaling>
          <c:orientation val="minMax"/>
          <c:max val="1"/>
        </c:scaling>
        <c:delete val="0"/>
        <c:axPos val="l"/>
        <c:majorGridlines>
          <c:spPr>
            <a:ln w="3175">
              <a:solidFill>
                <a:srgbClr val="000000"/>
              </a:solidFill>
              <a:prstDash val="solid"/>
            </a:ln>
          </c:spPr>
        </c:majorGridlines>
        <c:numFmt formatCode="0%" sourceLinked="0"/>
        <c:majorTickMark val="out"/>
        <c:minorTickMark val="none"/>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en-US"/>
          </a:p>
        </c:txPr>
        <c:crossAx val="678074688"/>
        <c:crosses val="autoZero"/>
        <c:crossBetween val="between"/>
      </c:valAx>
      <c:spPr>
        <a:solidFill>
          <a:srgbClr val="C0C0C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horizontalDpi="1200" verticalDpi="1200"/>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Preference Factor Phase In</a:t>
            </a:r>
          </a:p>
        </c:rich>
      </c:tx>
      <c:layout>
        <c:manualLayout>
          <c:xMode val="edge"/>
          <c:yMode val="edge"/>
          <c:x val="0.32703213610586013"/>
          <c:y val="3.23928944618599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066241089320524E-2"/>
          <c:y val="0.15778507310410647"/>
          <c:w val="0.87145638093725963"/>
          <c:h val="0.67607204271879795"/>
        </c:manualLayout>
      </c:layout>
      <c:scatterChart>
        <c:scatterStyle val="lineMarker"/>
        <c:varyColors val="0"/>
        <c:ser>
          <c:idx val="0"/>
          <c:order val="0"/>
          <c:tx>
            <c:strRef>
              <c:f>'S-curves'!$B$8</c:f>
              <c:strCache>
                <c:ptCount val="1"/>
                <c:pt idx="0">
                  <c:v>Adjusted Logistic</c:v>
                </c:pt>
              </c:strCache>
            </c:strRef>
          </c:tx>
          <c:spPr>
            <a:ln w="19050" cap="rnd">
              <a:solidFill>
                <a:schemeClr val="accent1"/>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'S-curves'!$B$9:$B$34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C1F7-4DF5-8D1F-D50A906BB85A}"/>
            </c:ext>
          </c:extLst>
        </c:ser>
        <c:ser>
          <c:idx val="1"/>
          <c:order val="1"/>
          <c:tx>
            <c:strRef>
              <c:f>'S-curves'!$C$8</c:f>
              <c:strCache>
                <c:ptCount val="1"/>
                <c:pt idx="0">
                  <c:v>Logistic</c:v>
                </c:pt>
              </c:strCache>
            </c:strRef>
          </c:tx>
          <c:spPr>
            <a:ln w="19050" cap="rnd">
              <a:solidFill>
                <a:schemeClr val="accent2"/>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'S-curves'!$C$9:$C$34</c:f>
              <c:numCache>
                <c:formatCode>General</c:formatCode>
                <c:ptCount val="26"/>
                <c:pt idx="0">
                  <c:v>0</c:v>
                </c:pt>
                <c:pt idx="1">
                  <c:v>4.7425873177566781E-2</c:v>
                </c:pt>
                <c:pt idx="2">
                  <c:v>0.11920292202211755</c:v>
                </c:pt>
                <c:pt idx="3">
                  <c:v>0.2689414213699951</c:v>
                </c:pt>
                <c:pt idx="4">
                  <c:v>0.5</c:v>
                </c:pt>
                <c:pt idx="5">
                  <c:v>0.7310585786300049</c:v>
                </c:pt>
                <c:pt idx="6">
                  <c:v>0.88079707797788231</c:v>
                </c:pt>
                <c:pt idx="7">
                  <c:v>0.95257412682243336</c:v>
                </c:pt>
                <c:pt idx="8">
                  <c:v>0.98201379003790845</c:v>
                </c:pt>
                <c:pt idx="9">
                  <c:v>0.99330714907571527</c:v>
                </c:pt>
                <c:pt idx="10">
                  <c:v>0.99752737684336534</c:v>
                </c:pt>
                <c:pt idx="11">
                  <c:v>0.9990889488055994</c:v>
                </c:pt>
                <c:pt idx="12">
                  <c:v>0.99966464986953363</c:v>
                </c:pt>
                <c:pt idx="13">
                  <c:v>0.99987660542401369</c:v>
                </c:pt>
                <c:pt idx="14">
                  <c:v>0.99995460213129761</c:v>
                </c:pt>
                <c:pt idx="15">
                  <c:v>0.99998329857815205</c:v>
                </c:pt>
                <c:pt idx="16">
                  <c:v>0.99999385582539779</c:v>
                </c:pt>
                <c:pt idx="17">
                  <c:v>0.99999773967570205</c:v>
                </c:pt>
                <c:pt idx="18">
                  <c:v>0.99999916847197223</c:v>
                </c:pt>
                <c:pt idx="19">
                  <c:v>0.99999969409777301</c:v>
                </c:pt>
                <c:pt idx="20">
                  <c:v>0.99999988746483792</c:v>
                </c:pt>
                <c:pt idx="21">
                  <c:v>0.99999995860062441</c:v>
                </c:pt>
                <c:pt idx="22">
                  <c:v>0.9999999847700205</c:v>
                </c:pt>
                <c:pt idx="23">
                  <c:v>0.99999999439720355</c:v>
                </c:pt>
                <c:pt idx="24">
                  <c:v>0.99999999793884631</c:v>
                </c:pt>
                <c:pt idx="25">
                  <c:v>0.99999999924174388</c:v>
                </c:pt>
              </c:numCache>
            </c:numRef>
          </c:yVal>
          <c:smooth val="0"/>
          <c:extLst>
            <c:ext xmlns:c16="http://schemas.microsoft.com/office/drawing/2014/chart" uri="{C3380CC4-5D6E-409C-BE32-E72D297353CC}">
              <c16:uniqueId val="{00000000-64AA-48AF-B823-FAF16C016ACE}"/>
            </c:ext>
          </c:extLst>
        </c:ser>
        <c:ser>
          <c:idx val="2"/>
          <c:order val="2"/>
          <c:tx>
            <c:strRef>
              <c:f>'S-curves'!$D$8</c:f>
              <c:strCache>
                <c:ptCount val="1"/>
                <c:pt idx="0">
                  <c:v>Gompertz</c:v>
                </c:pt>
              </c:strCache>
            </c:strRef>
          </c:tx>
          <c:spPr>
            <a:ln w="19050" cap="rnd">
              <a:solidFill>
                <a:schemeClr val="accent3"/>
              </a:solidFill>
              <a:round/>
            </a:ln>
            <a:effectLst/>
          </c:spPr>
          <c:marker>
            <c:symbol val="none"/>
          </c:marker>
          <c:xVal>
            <c:numRef>
              <c:f>'S-curves'!$A$9:$A$34</c:f>
              <c:numCache>
                <c:formatCode>General</c:formatCode>
                <c:ptCount val="26"/>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numCache>
            </c:numRef>
          </c:xVal>
          <c:yVal>
            <c:numRef>
              <c:f>'S-curves'!$D$9:$D$34</c:f>
              <c:numCache>
                <c:formatCode>General</c:formatCode>
                <c:ptCount val="26"/>
                <c:pt idx="0">
                  <c:v>0</c:v>
                </c:pt>
                <c:pt idx="1">
                  <c:v>9.1146632754213197E-4</c:v>
                </c:pt>
                <c:pt idx="2">
                  <c:v>2.4756826072475091E-3</c:v>
                </c:pt>
                <c:pt idx="3">
                  <c:v>6.715297932158526E-3</c:v>
                </c:pt>
                <c:pt idx="4">
                  <c:v>1.8148926938333476E-2</c:v>
                </c:pt>
                <c:pt idx="5">
                  <c:v>4.8568007099546562E-2</c:v>
                </c:pt>
                <c:pt idx="6">
                  <c:v>0.12657698150688335</c:v>
                </c:pt>
                <c:pt idx="7">
                  <c:v>0.30779937244465361</c:v>
                </c:pt>
                <c:pt idx="8">
                  <c:v>0.63212055882855767</c:v>
                </c:pt>
                <c:pt idx="9">
                  <c:v>0.93401196415468746</c:v>
                </c:pt>
                <c:pt idx="10">
                  <c:v>0.99938202101066886</c:v>
                </c:pt>
                <c:pt idx="11">
                  <c:v>0.99999999810782125</c:v>
                </c:pt>
                <c:pt idx="12">
                  <c:v>1</c:v>
                </c:pt>
                <c:pt idx="13">
                  <c:v>1</c:v>
                </c:pt>
                <c:pt idx="14">
                  <c:v>1</c:v>
                </c:pt>
                <c:pt idx="15">
                  <c:v>1</c:v>
                </c:pt>
                <c:pt idx="16">
                  <c:v>1</c:v>
                </c:pt>
                <c:pt idx="17">
                  <c:v>1</c:v>
                </c:pt>
                <c:pt idx="18">
                  <c:v>1</c:v>
                </c:pt>
                <c:pt idx="19">
                  <c:v>1</c:v>
                </c:pt>
                <c:pt idx="20">
                  <c:v>1</c:v>
                </c:pt>
                <c:pt idx="21">
                  <c:v>1</c:v>
                </c:pt>
                <c:pt idx="22">
                  <c:v>1</c:v>
                </c:pt>
                <c:pt idx="23">
                  <c:v>1</c:v>
                </c:pt>
                <c:pt idx="24">
                  <c:v>1</c:v>
                </c:pt>
                <c:pt idx="25">
                  <c:v>1</c:v>
                </c:pt>
              </c:numCache>
            </c:numRef>
          </c:yVal>
          <c:smooth val="0"/>
          <c:extLst>
            <c:ext xmlns:c16="http://schemas.microsoft.com/office/drawing/2014/chart" uri="{C3380CC4-5D6E-409C-BE32-E72D297353CC}">
              <c16:uniqueId val="{00000001-64AA-48AF-B823-FAF16C016ACE}"/>
            </c:ext>
          </c:extLst>
        </c:ser>
        <c:dLbls>
          <c:showLegendKey val="0"/>
          <c:showVal val="0"/>
          <c:showCatName val="0"/>
          <c:showSerName val="0"/>
          <c:showPercent val="0"/>
          <c:showBubbleSize val="0"/>
        </c:dLbls>
        <c:axId val="678077488"/>
        <c:axId val="678078048"/>
      </c:scatterChart>
      <c:valAx>
        <c:axId val="678077488"/>
        <c:scaling>
          <c:orientation val="minMax"/>
          <c:max val="15"/>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Years Since Introduction</a:t>
                </a:r>
              </a:p>
            </c:rich>
          </c:tx>
          <c:layout>
            <c:manualLayout>
              <c:xMode val="edge"/>
              <c:yMode val="edge"/>
              <c:x val="0.37366099558916194"/>
              <c:y val="0.9101358411703239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8048"/>
        <c:crosses val="autoZero"/>
        <c:crossBetween val="midCat"/>
      </c:valAx>
      <c:valAx>
        <c:axId val="678078048"/>
        <c:scaling>
          <c:orientation val="minMax"/>
          <c:max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77488"/>
        <c:crosses val="autoZero"/>
        <c:crossBetween val="midCat"/>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78" r="0.75000000000000078" t="1" header="0.5" footer="0.5"/>
    <c:pageSetup orientation="portrait"/>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Purchase Probability</a:t>
            </a:r>
          </a:p>
        </c:rich>
      </c:tx>
      <c:layout>
        <c:manualLayout>
          <c:xMode val="edge"/>
          <c:yMode val="edge"/>
          <c:x val="0.38649155722326456"/>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7.5046904315197033E-2"/>
          <c:y val="0.12225738240400198"/>
          <c:w val="0.8818011257035645"/>
          <c:h val="0.6802517710364574"/>
        </c:manualLayout>
      </c:layout>
      <c:scatterChart>
        <c:scatterStyle val="lineMarker"/>
        <c:varyColors val="0"/>
        <c:ser>
          <c:idx val="0"/>
          <c:order val="0"/>
          <c:spPr>
            <a:ln w="19050" cap="rnd">
              <a:solidFill>
                <a:schemeClr val="accent1"/>
              </a:solidFill>
              <a:round/>
            </a:ln>
            <a:effectLst/>
          </c:spPr>
          <c:marker>
            <c:symbol val="none"/>
          </c:marker>
          <c:xVal>
            <c:numRef>
              <c:f>'S-curves'!$L$10:$L$48</c:f>
              <c:numCache>
                <c:formatCode>General</c:formatCode>
                <c:ptCount val="39"/>
                <c:pt idx="0">
                  <c:v>2.5000000000000001E-2</c:v>
                </c:pt>
                <c:pt idx="1">
                  <c:v>0.05</c:v>
                </c:pt>
                <c:pt idx="2">
                  <c:v>7.4999999999999997E-2</c:v>
                </c:pt>
                <c:pt idx="3">
                  <c:v>0.1</c:v>
                </c:pt>
                <c:pt idx="4">
                  <c:v>0.15</c:v>
                </c:pt>
                <c:pt idx="5">
                  <c:v>0.17499999999999999</c:v>
                </c:pt>
                <c:pt idx="6">
                  <c:v>0.2</c:v>
                </c:pt>
                <c:pt idx="7">
                  <c:v>0.22500000000000001</c:v>
                </c:pt>
                <c:pt idx="8">
                  <c:v>0.25</c:v>
                </c:pt>
                <c:pt idx="9">
                  <c:v>0.27500000000000002</c:v>
                </c:pt>
                <c:pt idx="10">
                  <c:v>0.3</c:v>
                </c:pt>
                <c:pt idx="11">
                  <c:v>0.32500000000000001</c:v>
                </c:pt>
                <c:pt idx="12">
                  <c:v>0.35</c:v>
                </c:pt>
                <c:pt idx="13">
                  <c:v>0.375</c:v>
                </c:pt>
                <c:pt idx="14">
                  <c:v>0.4</c:v>
                </c:pt>
                <c:pt idx="15">
                  <c:v>0.42499999999999999</c:v>
                </c:pt>
                <c:pt idx="16">
                  <c:v>0.45</c:v>
                </c:pt>
                <c:pt idx="17">
                  <c:v>0.47499999999999998</c:v>
                </c:pt>
                <c:pt idx="18">
                  <c:v>0.5</c:v>
                </c:pt>
                <c:pt idx="19">
                  <c:v>0.52500000000000002</c:v>
                </c:pt>
                <c:pt idx="20">
                  <c:v>0.55000000000000004</c:v>
                </c:pt>
                <c:pt idx="21">
                  <c:v>0.57499999999999996</c:v>
                </c:pt>
                <c:pt idx="22">
                  <c:v>0.6</c:v>
                </c:pt>
                <c:pt idx="23">
                  <c:v>0.625</c:v>
                </c:pt>
                <c:pt idx="24">
                  <c:v>0.65</c:v>
                </c:pt>
                <c:pt idx="25">
                  <c:v>0.67500000000000004</c:v>
                </c:pt>
                <c:pt idx="26">
                  <c:v>0.7</c:v>
                </c:pt>
                <c:pt idx="27">
                  <c:v>0.72499999999999998</c:v>
                </c:pt>
                <c:pt idx="28">
                  <c:v>0.75</c:v>
                </c:pt>
                <c:pt idx="29">
                  <c:v>0.77500000000000002</c:v>
                </c:pt>
                <c:pt idx="30">
                  <c:v>0.8</c:v>
                </c:pt>
                <c:pt idx="31">
                  <c:v>0.82499999999999996</c:v>
                </c:pt>
                <c:pt idx="32">
                  <c:v>0.85</c:v>
                </c:pt>
                <c:pt idx="33">
                  <c:v>0.875</c:v>
                </c:pt>
                <c:pt idx="34">
                  <c:v>0.9</c:v>
                </c:pt>
                <c:pt idx="35">
                  <c:v>0.92500000000000004</c:v>
                </c:pt>
                <c:pt idx="36">
                  <c:v>0.95</c:v>
                </c:pt>
                <c:pt idx="37">
                  <c:v>0.97499999999999998</c:v>
                </c:pt>
                <c:pt idx="38">
                  <c:v>1</c:v>
                </c:pt>
              </c:numCache>
            </c:numRef>
          </c:xVal>
          <c:yVal>
            <c:numRef>
              <c:f>'S-curves'!$M$10:$M$48</c:f>
              <c:numCache>
                <c:formatCode>General</c:formatCode>
                <c:ptCount val="39"/>
                <c:pt idx="0">
                  <c:v>0.99999999997089617</c:v>
                </c:pt>
                <c:pt idx="1">
                  <c:v>0.9999999962747097</c:v>
                </c:pt>
                <c:pt idx="2">
                  <c:v>0.99999993634992479</c:v>
                </c:pt>
                <c:pt idx="3">
                  <c:v>0.99999952316295548</c:v>
                </c:pt>
                <c:pt idx="4">
                  <c:v>0.99999185282330572</c:v>
                </c:pt>
                <c:pt idx="5">
                  <c:v>0.99997603203139052</c:v>
                </c:pt>
                <c:pt idx="6">
                  <c:v>0.99993896670635729</c:v>
                </c:pt>
                <c:pt idx="7">
                  <c:v>0.99986080696939306</c:v>
                </c:pt>
                <c:pt idx="8">
                  <c:v>0.99970900404297169</c:v>
                </c:pt>
                <c:pt idx="9">
                  <c:v>0.99943300947904423</c:v>
                </c:pt>
                <c:pt idx="10">
                  <c:v>0.99895770070666057</c:v>
                </c:pt>
                <c:pt idx="11">
                  <c:v>0.99817544432894423</c:v>
                </c:pt>
                <c:pt idx="12">
                  <c:v>0.9969367645606777</c:v>
                </c:pt>
                <c:pt idx="13">
                  <c:v>0.9950396809351163</c:v>
                </c:pt>
                <c:pt idx="14">
                  <c:v>0.99221793826024351</c:v>
                </c:pt>
                <c:pt idx="15">
                  <c:v>0.98812860058541385</c:v>
                </c:pt>
                <c:pt idx="16">
                  <c:v>0.98233985300209392</c:v>
                </c:pt>
                <c:pt idx="17">
                  <c:v>0.97432038550085287</c:v>
                </c:pt>
                <c:pt idx="18">
                  <c:v>0.9634324495939437</c:v>
                </c:pt>
                <c:pt idx="19">
                  <c:v>0.94893158415692824</c:v>
                </c:pt>
                <c:pt idx="20">
                  <c:v>0.92997705138372622</c:v>
                </c:pt>
                <c:pt idx="21">
                  <c:v>0.90565805896143126</c:v>
                </c:pt>
                <c:pt idx="22">
                  <c:v>0.87504156865492166</c:v>
                </c:pt>
                <c:pt idx="23">
                  <c:v>0.83724739060375519</c:v>
                </c:pt>
                <c:pt idx="24">
                  <c:v>0.79155458216907237</c:v>
                </c:pt>
                <c:pt idx="25">
                  <c:v>0.73753897394476564</c:v>
                </c:pt>
                <c:pt idx="26">
                  <c:v>0.67523405249260549</c:v>
                </c:pt>
                <c:pt idx="27">
                  <c:v>0.60529612644814879</c:v>
                </c:pt>
                <c:pt idx="28">
                  <c:v>0.52914077242073576</c:v>
                </c:pt>
                <c:pt idx="29">
                  <c:v>0.44900446071673594</c:v>
                </c:pt>
                <c:pt idx="30">
                  <c:v>0.36787944117144233</c:v>
                </c:pt>
                <c:pt idx="31">
                  <c:v>0.2892800760938834</c:v>
                </c:pt>
                <c:pt idx="32">
                  <c:v>0.21683237755298213</c:v>
                </c:pt>
                <c:pt idx="33">
                  <c:v>0.15373576100167052</c:v>
                </c:pt>
                <c:pt idx="34">
                  <c:v>0.10221290412453365</c:v>
                </c:pt>
                <c:pt idx="35">
                  <c:v>6.3109670968522158E-2</c:v>
                </c:pt>
                <c:pt idx="36">
                  <c:v>3.5795549198594179E-2</c:v>
                </c:pt>
                <c:pt idx="37">
                  <c:v>1.842682212202218E-2</c:v>
                </c:pt>
                <c:pt idx="38">
                  <c:v>8.4942010133964851E-3</c:v>
                </c:pt>
              </c:numCache>
            </c:numRef>
          </c:yVal>
          <c:smooth val="0"/>
          <c:extLst>
            <c:ext xmlns:c16="http://schemas.microsoft.com/office/drawing/2014/chart" uri="{C3380CC4-5D6E-409C-BE32-E72D297353CC}">
              <c16:uniqueId val="{00000000-79AC-4BC5-9445-D6FFC8DAB994}"/>
            </c:ext>
          </c:extLst>
        </c:ser>
        <c:dLbls>
          <c:showLegendKey val="0"/>
          <c:showVal val="0"/>
          <c:showCatName val="0"/>
          <c:showSerName val="0"/>
          <c:showPercent val="0"/>
          <c:showBubbleSize val="0"/>
        </c:dLbls>
        <c:axId val="678080288"/>
        <c:axId val="678080848"/>
      </c:scatterChart>
      <c:valAx>
        <c:axId val="678080288"/>
        <c:scaling>
          <c:orientation val="minMax"/>
          <c:max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Incremental Cost</a:t>
                </a:r>
              </a:p>
            </c:rich>
          </c:tx>
          <c:layout>
            <c:manualLayout>
              <c:xMode val="edge"/>
              <c:yMode val="edge"/>
              <c:x val="0.28893058161350843"/>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848"/>
        <c:crosses val="autoZero"/>
        <c:crossBetween val="midCat"/>
      </c:valAx>
      <c:valAx>
        <c:axId val="6780808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02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Probability of Purchase</a:t>
            </a:r>
          </a:p>
        </c:rich>
      </c:tx>
      <c:layout>
        <c:manualLayout>
          <c:xMode val="edge"/>
          <c:yMode val="edge"/>
          <c:x val="0.37335834896810505"/>
          <c:y val="3.448275862068965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8780487804878141E-2"/>
          <c:y val="0.12643711072166144"/>
          <c:w val="0.90431519699812379"/>
          <c:h val="0.67607204271879884"/>
        </c:manualLayout>
      </c:layout>
      <c:scatterChart>
        <c:scatterStyle val="lineMarker"/>
        <c:varyColors val="0"/>
        <c:ser>
          <c:idx val="0"/>
          <c:order val="0"/>
          <c:spPr>
            <a:ln w="19050" cap="rnd">
              <a:solidFill>
                <a:schemeClr val="accent1"/>
              </a:solidFill>
              <a:round/>
            </a:ln>
            <a:effectLst/>
          </c:spPr>
          <c:marker>
            <c:symbol val="none"/>
          </c:marker>
          <c:xVal>
            <c:numRef>
              <c:f>'S-curves'!$N$9:$N$48</c:f>
              <c:numCache>
                <c:formatCode>General</c:formatCode>
                <c:ptCount val="40"/>
                <c:pt idx="0">
                  <c:v>-1</c:v>
                </c:pt>
                <c:pt idx="1">
                  <c:v>-0.97499999999999998</c:v>
                </c:pt>
                <c:pt idx="2">
                  <c:v>-0.95</c:v>
                </c:pt>
                <c:pt idx="3">
                  <c:v>-0.92500000000000004</c:v>
                </c:pt>
                <c:pt idx="4">
                  <c:v>-0.9</c:v>
                </c:pt>
                <c:pt idx="5">
                  <c:v>-0.85</c:v>
                </c:pt>
                <c:pt idx="6">
                  <c:v>-0.82499999999999996</c:v>
                </c:pt>
                <c:pt idx="7">
                  <c:v>-0.8</c:v>
                </c:pt>
                <c:pt idx="8">
                  <c:v>-0.77500000000000002</c:v>
                </c:pt>
                <c:pt idx="9">
                  <c:v>-0.75</c:v>
                </c:pt>
                <c:pt idx="10">
                  <c:v>-0.72499999999999998</c:v>
                </c:pt>
                <c:pt idx="11">
                  <c:v>-0.7</c:v>
                </c:pt>
                <c:pt idx="12">
                  <c:v>-0.67500000000000004</c:v>
                </c:pt>
                <c:pt idx="13">
                  <c:v>-0.65</c:v>
                </c:pt>
                <c:pt idx="14">
                  <c:v>-0.625</c:v>
                </c:pt>
                <c:pt idx="15">
                  <c:v>-0.6</c:v>
                </c:pt>
                <c:pt idx="16">
                  <c:v>-0.57499999999999996</c:v>
                </c:pt>
                <c:pt idx="17">
                  <c:v>-0.55000000000000004</c:v>
                </c:pt>
                <c:pt idx="18">
                  <c:v>-0.52500000000000002</c:v>
                </c:pt>
                <c:pt idx="19">
                  <c:v>-0.5</c:v>
                </c:pt>
                <c:pt idx="20">
                  <c:v>-0.47499999999999998</c:v>
                </c:pt>
                <c:pt idx="21">
                  <c:v>-0.44999999999999996</c:v>
                </c:pt>
                <c:pt idx="22">
                  <c:v>-0.42500000000000004</c:v>
                </c:pt>
                <c:pt idx="23">
                  <c:v>-0.4</c:v>
                </c:pt>
                <c:pt idx="24">
                  <c:v>-0.375</c:v>
                </c:pt>
                <c:pt idx="25">
                  <c:v>-0.35</c:v>
                </c:pt>
                <c:pt idx="26">
                  <c:v>-0.32499999999999996</c:v>
                </c:pt>
                <c:pt idx="27">
                  <c:v>-0.30000000000000004</c:v>
                </c:pt>
                <c:pt idx="28">
                  <c:v>-0.27500000000000002</c:v>
                </c:pt>
                <c:pt idx="29">
                  <c:v>-0.25</c:v>
                </c:pt>
                <c:pt idx="30">
                  <c:v>-0.22499999999999998</c:v>
                </c:pt>
                <c:pt idx="31">
                  <c:v>-0.19999999999999996</c:v>
                </c:pt>
                <c:pt idx="32">
                  <c:v>-0.17500000000000004</c:v>
                </c:pt>
                <c:pt idx="33">
                  <c:v>-0.15000000000000002</c:v>
                </c:pt>
                <c:pt idx="34">
                  <c:v>-0.125</c:v>
                </c:pt>
                <c:pt idx="35">
                  <c:v>-9.9999999999999978E-2</c:v>
                </c:pt>
                <c:pt idx="36">
                  <c:v>-7.4999999999999956E-2</c:v>
                </c:pt>
                <c:pt idx="37">
                  <c:v>-5.0000000000000044E-2</c:v>
                </c:pt>
                <c:pt idx="38">
                  <c:v>-2.5000000000000022E-2</c:v>
                </c:pt>
                <c:pt idx="39">
                  <c:v>1</c:v>
                </c:pt>
              </c:numCache>
            </c:numRef>
          </c:xVal>
          <c:yVal>
            <c:numRef>
              <c:f>'S-curves'!$O$9:$O$48</c:f>
              <c:numCache>
                <c:formatCode>General</c:formatCode>
                <c:ptCount val="40"/>
                <c:pt idx="0">
                  <c:v>4.51761025491626E-3</c:v>
                </c:pt>
                <c:pt idx="1">
                  <c:v>6.7054850642854769E-3</c:v>
                </c:pt>
                <c:pt idx="2">
                  <c:v>9.7583726452178388E-3</c:v>
                </c:pt>
                <c:pt idx="3">
                  <c:v>1.3930612444768342E-2</c:v>
                </c:pt>
                <c:pt idx="4">
                  <c:v>1.9517693175015394E-2</c:v>
                </c:pt>
                <c:pt idx="5">
                  <c:v>3.6292830681643129E-2</c:v>
                </c:pt>
                <c:pt idx="6">
                  <c:v>4.8216382864641583E-2</c:v>
                </c:pt>
                <c:pt idx="7">
                  <c:v>6.2996045124450561E-2</c:v>
                </c:pt>
                <c:pt idx="8">
                  <c:v>8.0983523798384471E-2</c:v>
                </c:pt>
                <c:pt idx="9">
                  <c:v>0.10248602130851758</c:v>
                </c:pt>
                <c:pt idx="10">
                  <c:v>0.12774297538887924</c:v>
                </c:pt>
                <c:pt idx="11">
                  <c:v>0.1569038878395056</c:v>
                </c:pt>
                <c:pt idx="12">
                  <c:v>0.1900091511231311</c:v>
                </c:pt>
                <c:pt idx="13">
                  <c:v>0.22697567607520741</c:v>
                </c:pt>
                <c:pt idx="14">
                  <c:v>0.26758881673355606</c:v>
                </c:pt>
                <c:pt idx="15">
                  <c:v>0.31150160758012346</c:v>
                </c:pt>
                <c:pt idx="16">
                  <c:v>0.35824172723251291</c:v>
                </c:pt>
                <c:pt idx="17">
                  <c:v>0.40722594992410832</c:v>
                </c:pt>
                <c:pt idx="18">
                  <c:v>0.45778121686063711</c:v>
                </c:pt>
                <c:pt idx="19">
                  <c:v>0.50917092352272386</c:v>
                </c:pt>
                <c:pt idx="20">
                  <c:v>0.56062463136977081</c:v>
                </c:pt>
                <c:pt idx="21">
                  <c:v>0.61136920713398091</c:v>
                </c:pt>
                <c:pt idx="22">
                  <c:v>0.66065937979978262</c:v>
                </c:pt>
                <c:pt idx="23">
                  <c:v>0.7078058710663363</c:v>
                </c:pt>
                <c:pt idx="24">
                  <c:v>0.75219956714526204</c:v>
                </c:pt>
                <c:pt idx="25">
                  <c:v>0.79333061294042917</c:v>
                </c:pt>
                <c:pt idx="26">
                  <c:v>0.83080177321422377</c:v>
                </c:pt>
                <c:pt idx="27">
                  <c:v>0.86433586981998112</c:v>
                </c:pt>
                <c:pt idx="28">
                  <c:v>0.89377752699959134</c:v>
                </c:pt>
                <c:pt idx="29">
                  <c:v>0.91908980640374016</c:v>
                </c:pt>
                <c:pt idx="30">
                  <c:v>0.94034657071919869</c:v>
                </c:pt>
                <c:pt idx="31">
                  <c:v>0.95772157283543613</c:v>
                </c:pt>
                <c:pt idx="32">
                  <c:v>0.97147533043809331</c:v>
                </c:pt>
                <c:pt idx="33">
                  <c:v>0.98194082615872769</c:v>
                </c:pt>
                <c:pt idx="34">
                  <c:v>0.98950898865769854</c:v>
                </c:pt>
                <c:pt idx="35">
                  <c:v>0.99461478043461715</c:v>
                </c:pt>
                <c:pt idx="36">
                  <c:v>0.99772456387142661</c:v>
                </c:pt>
                <c:pt idx="37">
                  <c:v>0.99932525622582913</c:v>
                </c:pt>
                <c:pt idx="38">
                  <c:v>0.99991563211964452</c:v>
                </c:pt>
                <c:pt idx="39">
                  <c:v>1</c:v>
                </c:pt>
              </c:numCache>
            </c:numRef>
          </c:yVal>
          <c:smooth val="0"/>
          <c:extLst>
            <c:ext xmlns:c16="http://schemas.microsoft.com/office/drawing/2014/chart" uri="{C3380CC4-5D6E-409C-BE32-E72D297353CC}">
              <c16:uniqueId val="{00000000-BE1C-4DE9-A646-B3DC7C3D823D}"/>
            </c:ext>
          </c:extLst>
        </c:ser>
        <c:dLbls>
          <c:showLegendKey val="0"/>
          <c:showVal val="0"/>
          <c:showCatName val="0"/>
          <c:showSerName val="0"/>
          <c:showPercent val="0"/>
          <c:showBubbleSize val="0"/>
        </c:dLbls>
        <c:axId val="678083088"/>
        <c:axId val="678083648"/>
      </c:scatterChart>
      <c:valAx>
        <c:axId val="678083088"/>
        <c:scaling>
          <c:orientation val="minMax"/>
          <c:max val="1"/>
          <c:min val="-1"/>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Fraction of Indifference Value for Fuel Cost Savings</a:t>
                </a:r>
              </a:p>
            </c:rich>
          </c:tx>
          <c:layout>
            <c:manualLayout>
              <c:xMode val="edge"/>
              <c:yMode val="edge"/>
              <c:x val="0.2326454033771107"/>
              <c:y val="0.88714865187306124"/>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648"/>
        <c:crosses val="autoZero"/>
        <c:crossBetween val="midCat"/>
      </c:valAx>
      <c:valAx>
        <c:axId val="67808364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30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56" r="0.75000000000000056" t="1" header="0.5" footer="0.5"/>
    <c:pageSetup orientation="portrait"/>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Incremental Cost Adjustment Factor</a:t>
            </a:r>
          </a:p>
        </c:rich>
      </c:tx>
      <c:layout>
        <c:manualLayout>
          <c:xMode val="edge"/>
          <c:yMode val="edge"/>
          <c:x val="0.33081285444234404"/>
          <c:y val="2.821316614420062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6068052930056698"/>
          <c:y val="0.15360501567398119"/>
          <c:w val="0.79584120982986772"/>
          <c:h val="0.63009404388714763"/>
        </c:manualLayout>
      </c:layout>
      <c:scatterChart>
        <c:scatterStyle val="lineMarker"/>
        <c:varyColors val="0"/>
        <c:ser>
          <c:idx val="0"/>
          <c:order val="0"/>
          <c:tx>
            <c:strRef>
              <c:f>'S-curves'!$Z$8</c:f>
              <c:strCache>
                <c:ptCount val="1"/>
                <c:pt idx="0">
                  <c:v>Weibull</c:v>
                </c:pt>
              </c:strCache>
            </c:strRef>
          </c:tx>
          <c:spPr>
            <a:ln w="19050" cap="rnd">
              <a:solidFill>
                <a:schemeClr val="accent1"/>
              </a:solidFill>
              <a:round/>
            </a:ln>
            <a:effectLst/>
          </c:spPr>
          <c:marker>
            <c:symbol val="none"/>
          </c:marker>
          <c:dPt>
            <c:idx val="10"/>
            <c:marker>
              <c:symbol val="none"/>
            </c:marker>
            <c:bubble3D val="0"/>
            <c:extLst>
              <c:ext xmlns:c16="http://schemas.microsoft.com/office/drawing/2014/chart" uri="{C3380CC4-5D6E-409C-BE32-E72D297353CC}">
                <c16:uniqueId val="{00000000-9411-4DCB-A5E3-1D8EEBCC6F15}"/>
              </c:ext>
            </c:extLst>
          </c:dPt>
          <c:dPt>
            <c:idx val="20"/>
            <c:marker>
              <c:symbol val="none"/>
            </c:marker>
            <c:bubble3D val="0"/>
            <c:extLst>
              <c:ext xmlns:c16="http://schemas.microsoft.com/office/drawing/2014/chart" uri="{C3380CC4-5D6E-409C-BE32-E72D297353CC}">
                <c16:uniqueId val="{00000001-9411-4DCB-A5E3-1D8EEBCC6F15}"/>
              </c:ext>
            </c:extLst>
          </c:dPt>
          <c:dLbls>
            <c:dLbl>
              <c:idx val="10"/>
              <c:layout>
                <c:manualLayout>
                  <c:x val="2.853800888940132E-4"/>
                  <c:y val="-4.292051608785910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0-9411-4DCB-A5E3-1D8EEBCC6F15}"/>
                </c:ext>
              </c:extLst>
            </c:dLbl>
            <c:dLbl>
              <c:idx val="20"/>
              <c:layout>
                <c:manualLayout>
                  <c:x val="1.1126053339391095E-3"/>
                  <c:y val="-5.6170581995585521E-2"/>
                </c:manualLayout>
              </c:layout>
              <c:dLblPos val="r"/>
              <c:showLegendKey val="0"/>
              <c:showVal val="1"/>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411-4DCB-A5E3-1D8EEBCC6F15}"/>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'S-curves'!$Y$9:$Y$39</c:f>
              <c:numCache>
                <c:formatCode>0%</c:formatCode>
                <c:ptCount val="31"/>
                <c:pt idx="0">
                  <c:v>0</c:v>
                </c:pt>
                <c:pt idx="1">
                  <c:v>0.05</c:v>
                </c:pt>
                <c:pt idx="2">
                  <c:v>0.1</c:v>
                </c:pt>
                <c:pt idx="3">
                  <c:v>0.15</c:v>
                </c:pt>
                <c:pt idx="4">
                  <c:v>0.2</c:v>
                </c:pt>
                <c:pt idx="5">
                  <c:v>0.25</c:v>
                </c:pt>
                <c:pt idx="6">
                  <c:v>0.3</c:v>
                </c:pt>
                <c:pt idx="7">
                  <c:v>0.35</c:v>
                </c:pt>
                <c:pt idx="8">
                  <c:v>0.4</c:v>
                </c:pt>
                <c:pt idx="9">
                  <c:v>0.45</c:v>
                </c:pt>
                <c:pt idx="10">
                  <c:v>0.5</c:v>
                </c:pt>
                <c:pt idx="11">
                  <c:v>0.55000000000000004</c:v>
                </c:pt>
                <c:pt idx="12">
                  <c:v>0.6</c:v>
                </c:pt>
                <c:pt idx="13">
                  <c:v>0.65</c:v>
                </c:pt>
                <c:pt idx="14">
                  <c:v>0.7</c:v>
                </c:pt>
                <c:pt idx="15">
                  <c:v>0.75</c:v>
                </c:pt>
                <c:pt idx="16">
                  <c:v>0.8</c:v>
                </c:pt>
                <c:pt idx="17">
                  <c:v>0.85</c:v>
                </c:pt>
                <c:pt idx="18">
                  <c:v>0.9</c:v>
                </c:pt>
                <c:pt idx="19">
                  <c:v>0.95</c:v>
                </c:pt>
                <c:pt idx="20">
                  <c:v>1</c:v>
                </c:pt>
                <c:pt idx="21">
                  <c:v>1.05</c:v>
                </c:pt>
                <c:pt idx="22">
                  <c:v>1.1000000000000001</c:v>
                </c:pt>
                <c:pt idx="23">
                  <c:v>1.1499999999999999</c:v>
                </c:pt>
                <c:pt idx="24">
                  <c:v>1.2</c:v>
                </c:pt>
                <c:pt idx="25">
                  <c:v>1.25</c:v>
                </c:pt>
                <c:pt idx="26">
                  <c:v>1.3</c:v>
                </c:pt>
                <c:pt idx="27">
                  <c:v>1.35</c:v>
                </c:pt>
                <c:pt idx="28">
                  <c:v>1.4</c:v>
                </c:pt>
                <c:pt idx="29">
                  <c:v>1.45</c:v>
                </c:pt>
                <c:pt idx="30">
                  <c:v>1.5</c:v>
                </c:pt>
              </c:numCache>
            </c:numRef>
          </c:xVal>
          <c:yVal>
            <c:numRef>
              <c:f>'S-curves'!$Z$9:$Z$39</c:f>
              <c:numCache>
                <c:formatCode>0.000</c:formatCode>
                <c:ptCount val="31"/>
                <c:pt idx="0">
                  <c:v>1</c:v>
                </c:pt>
                <c:pt idx="1">
                  <c:v>0.99307961249031607</c:v>
                </c:pt>
                <c:pt idx="2">
                  <c:v>0.97260447711634834</c:v>
                </c:pt>
                <c:pt idx="3">
                  <c:v>0.93941306281347581</c:v>
                </c:pt>
                <c:pt idx="4">
                  <c:v>0.89483931681436979</c:v>
                </c:pt>
                <c:pt idx="5">
                  <c:v>0.84062374333450529</c:v>
                </c:pt>
                <c:pt idx="6">
                  <c:v>0.77880078307140488</c:v>
                </c:pt>
                <c:pt idx="7">
                  <c:v>0.7115726362417969</c:v>
                </c:pt>
                <c:pt idx="8">
                  <c:v>0.64118038842995451</c:v>
                </c:pt>
                <c:pt idx="9">
                  <c:v>0.56978282473092301</c:v>
                </c:pt>
                <c:pt idx="10">
                  <c:v>0.4993517885992762</c:v>
                </c:pt>
                <c:pt idx="11">
                  <c:v>0.43159062049319474</c:v>
                </c:pt>
                <c:pt idx="12">
                  <c:v>0.36787944117144233</c:v>
                </c:pt>
                <c:pt idx="13">
                  <c:v>0.30924819293334371</c:v>
                </c:pt>
                <c:pt idx="14">
                  <c:v>0.25637575668641222</c:v>
                </c:pt>
                <c:pt idx="15">
                  <c:v>0.20961138715109784</c:v>
                </c:pt>
                <c:pt idx="16">
                  <c:v>0.16901331540606601</c:v>
                </c:pt>
                <c:pt idx="17">
                  <c:v>0.13439871063288245</c:v>
                </c:pt>
                <c:pt idx="18">
                  <c:v>0.10539922456186435</c:v>
                </c:pt>
                <c:pt idx="19">
                  <c:v>8.1516938624689561E-2</c:v>
                </c:pt>
                <c:pt idx="20">
                  <c:v>6.2176524022116264E-2</c:v>
                </c:pt>
                <c:pt idx="21">
                  <c:v>4.6770622383959015E-2</c:v>
                </c:pt>
                <c:pt idx="22">
                  <c:v>3.4696685646156467E-2</c:v>
                </c:pt>
                <c:pt idx="23">
                  <c:v>2.538463749137676E-2</c:v>
                </c:pt>
                <c:pt idx="24">
                  <c:v>1.831563888873422E-2</c:v>
                </c:pt>
                <c:pt idx="25">
                  <c:v>1.3032907448509379E-2</c:v>
                </c:pt>
                <c:pt idx="26">
                  <c:v>9.1459470384278596E-3</c:v>
                </c:pt>
                <c:pt idx="27">
                  <c:v>6.329715427485727E-3</c:v>
                </c:pt>
                <c:pt idx="28">
                  <c:v>4.3202394740941008E-3</c:v>
                </c:pt>
                <c:pt idx="29">
                  <c:v>2.9080347261855044E-3</c:v>
                </c:pt>
                <c:pt idx="30">
                  <c:v>1.9304541362277217E-3</c:v>
                </c:pt>
              </c:numCache>
            </c:numRef>
          </c:yVal>
          <c:smooth val="0"/>
          <c:extLst>
            <c:ext xmlns:c16="http://schemas.microsoft.com/office/drawing/2014/chart" uri="{C3380CC4-5D6E-409C-BE32-E72D297353CC}">
              <c16:uniqueId val="{00000002-9411-4DCB-A5E3-1D8EEBCC6F15}"/>
            </c:ext>
          </c:extLst>
        </c:ser>
        <c:dLbls>
          <c:showLegendKey val="0"/>
          <c:showVal val="0"/>
          <c:showCatName val="0"/>
          <c:showSerName val="0"/>
          <c:showPercent val="0"/>
          <c:showBubbleSize val="0"/>
        </c:dLbls>
        <c:axId val="678085888"/>
        <c:axId val="678086448"/>
      </c:scatterChart>
      <c:valAx>
        <c:axId val="678085888"/>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Incremental Cost as a Percentage of Base Cost</a:t>
                </a:r>
              </a:p>
            </c:rich>
          </c:tx>
          <c:layout>
            <c:manualLayout>
              <c:xMode val="edge"/>
              <c:yMode val="edge"/>
              <c:x val="0.27788279773156899"/>
              <c:y val="0.8996865203761755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6448"/>
        <c:crosses val="autoZero"/>
        <c:crossBetween val="midCat"/>
      </c:valAx>
      <c:valAx>
        <c:axId val="67808644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Adjustment Factor</a:t>
                </a:r>
              </a:p>
            </c:rich>
          </c:tx>
          <c:layout>
            <c:manualLayout>
              <c:xMode val="edge"/>
              <c:yMode val="edge"/>
              <c:x val="6.0491493383742913E-2"/>
              <c:y val="0.2821316614420062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78085888"/>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alignWithMargins="0"/>
    <c:pageMargins b="1" l="0.75000000000000044" r="0.75000000000000044" t="1" header="0.5" footer="0.5"/>
    <c:pageSetup orientation="landscape"/>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'S-curves'!$AN$8</c:f>
              <c:strCache>
                <c:ptCount val="1"/>
                <c:pt idx="0">
                  <c:v>Elec Price Factor</c:v>
                </c:pt>
              </c:strCache>
            </c:strRef>
          </c:tx>
          <c:spPr>
            <a:ln w="19050" cap="rnd">
              <a:solidFill>
                <a:schemeClr val="accent1"/>
              </a:solidFill>
              <a:round/>
            </a:ln>
            <a:effectLst/>
          </c:spPr>
          <c:marker>
            <c:symbol val="none"/>
          </c:marker>
          <c:xVal>
            <c:numRef>
              <c:f>'S-curves'!$AK$9:$AK$39</c:f>
              <c:numCache>
                <c:formatCode>General</c:formatCode>
                <c:ptCount val="31"/>
                <c:pt idx="0">
                  <c:v>2020</c:v>
                </c:pt>
                <c:pt idx="1">
                  <c:v>2021</c:v>
                </c:pt>
                <c:pt idx="2">
                  <c:v>2022</c:v>
                </c:pt>
                <c:pt idx="3">
                  <c:v>2023</c:v>
                </c:pt>
                <c:pt idx="4">
                  <c:v>2024</c:v>
                </c:pt>
                <c:pt idx="5">
                  <c:v>2025</c:v>
                </c:pt>
                <c:pt idx="6">
                  <c:v>2026</c:v>
                </c:pt>
                <c:pt idx="7">
                  <c:v>2027</c:v>
                </c:pt>
                <c:pt idx="8">
                  <c:v>2028</c:v>
                </c:pt>
                <c:pt idx="9">
                  <c:v>2029</c:v>
                </c:pt>
                <c:pt idx="10">
                  <c:v>2030</c:v>
                </c:pt>
                <c:pt idx="11">
                  <c:v>2031</c:v>
                </c:pt>
                <c:pt idx="12">
                  <c:v>2032</c:v>
                </c:pt>
                <c:pt idx="13">
                  <c:v>2033</c:v>
                </c:pt>
                <c:pt idx="14">
                  <c:v>2034</c:v>
                </c:pt>
                <c:pt idx="15">
                  <c:v>2035</c:v>
                </c:pt>
                <c:pt idx="16">
                  <c:v>2036</c:v>
                </c:pt>
                <c:pt idx="17">
                  <c:v>2037</c:v>
                </c:pt>
                <c:pt idx="18">
                  <c:v>2038</c:v>
                </c:pt>
                <c:pt idx="19">
                  <c:v>2039</c:v>
                </c:pt>
                <c:pt idx="20">
                  <c:v>2040</c:v>
                </c:pt>
                <c:pt idx="21">
                  <c:v>2041</c:v>
                </c:pt>
                <c:pt idx="22">
                  <c:v>2042</c:v>
                </c:pt>
                <c:pt idx="23">
                  <c:v>2043</c:v>
                </c:pt>
                <c:pt idx="24">
                  <c:v>2044</c:v>
                </c:pt>
                <c:pt idx="25">
                  <c:v>2045</c:v>
                </c:pt>
                <c:pt idx="26">
                  <c:v>2046</c:v>
                </c:pt>
                <c:pt idx="27">
                  <c:v>2047</c:v>
                </c:pt>
                <c:pt idx="28">
                  <c:v>2048</c:v>
                </c:pt>
                <c:pt idx="29">
                  <c:v>2049</c:v>
                </c:pt>
                <c:pt idx="30">
                  <c:v>2050</c:v>
                </c:pt>
              </c:numCache>
            </c:numRef>
          </c:xVal>
          <c:yVal>
            <c:numRef>
              <c:f>'S-curves'!$AN$9:$AN$39</c:f>
              <c:numCache>
                <c:formatCode>0.000</c:formatCode>
                <c:ptCount val="31"/>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2</c:v>
                </c:pt>
                <c:pt idx="15">
                  <c:v>2</c:v>
                </c:pt>
                <c:pt idx="16">
                  <c:v>1.9998475958244206</c:v>
                </c:pt>
                <c:pt idx="17">
                  <c:v>1.997564318453297</c:v>
                </c:pt>
                <c:pt idx="18">
                  <c:v>1.9877302162356105</c:v>
                </c:pt>
                <c:pt idx="19">
                  <c:v>1.9617329724046002</c:v>
                </c:pt>
                <c:pt idx="20">
                  <c:v>1.9091366474068348</c:v>
                </c:pt>
                <c:pt idx="21">
                  <c:v>1.8207548082982679</c:v>
                </c:pt>
                <c:pt idx="22">
                  <c:v>1.6935372605193146</c:v>
                </c:pt>
                <c:pt idx="23">
                  <c:v>1.5356388796484046</c:v>
                </c:pt>
                <c:pt idx="24">
                  <c:v>1.3678794411714423</c:v>
                </c:pt>
                <c:pt idx="25">
                  <c:v>1.2178043921390924</c:v>
                </c:pt>
                <c:pt idx="26">
                  <c:v>1.1073651555863839</c:v>
                </c:pt>
                <c:pt idx="27">
                  <c:v>1.0424047952694926</c:v>
                </c:pt>
                <c:pt idx="28">
                  <c:v>1.0128662537190456</c:v>
                </c:pt>
                <c:pt idx="29">
                  <c:v>1.0028649482287073</c:v>
                </c:pt>
                <c:pt idx="30">
                  <c:v>1.000445617595592</c:v>
                </c:pt>
              </c:numCache>
            </c:numRef>
          </c:yVal>
          <c:smooth val="0"/>
          <c:extLst>
            <c:ext xmlns:c16="http://schemas.microsoft.com/office/drawing/2014/chart" uri="{C3380CC4-5D6E-409C-BE32-E72D297353CC}">
              <c16:uniqueId val="{00000000-FE26-4DDF-A8F4-43F1A5155818}"/>
            </c:ext>
          </c:extLst>
        </c:ser>
        <c:dLbls>
          <c:showLegendKey val="0"/>
          <c:showVal val="0"/>
          <c:showCatName val="0"/>
          <c:showSerName val="0"/>
          <c:showPercent val="0"/>
          <c:showBubbleSize val="0"/>
        </c:dLbls>
        <c:axId val="1737376495"/>
        <c:axId val="502299023"/>
      </c:scatterChart>
      <c:valAx>
        <c:axId val="1737376495"/>
        <c:scaling>
          <c:orientation val="minMax"/>
          <c:max val="2050"/>
          <c:min val="20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2299023"/>
        <c:crosses val="autoZero"/>
        <c:crossBetween val="midCat"/>
      </c:valAx>
      <c:valAx>
        <c:axId val="502299023"/>
        <c:scaling>
          <c:orientation val="minMax"/>
          <c:max val="2"/>
          <c:min val="1"/>
        </c:scaling>
        <c:delete val="0"/>
        <c:axPos val="l"/>
        <c:majorGridlines>
          <c:spPr>
            <a:ln w="9525" cap="flat" cmpd="sng" algn="ctr">
              <a:solidFill>
                <a:schemeClr val="tx1">
                  <a:lumMod val="15000"/>
                  <a:lumOff val="85000"/>
                </a:schemeClr>
              </a:solidFill>
              <a:round/>
            </a:ln>
            <a:effectLst/>
          </c:spPr>
        </c:majorGridlines>
        <c:numFmt formatCod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37376495"/>
        <c:crosses val="autoZero"/>
        <c:crossBetween val="midCat"/>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3.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4.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5.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6.xml><?xml version="1.0" encoding="utf-8"?>
<cs:chartStyle xmlns:cs="http://schemas.microsoft.com/office/drawing/2012/chartStyle" xmlns:a="http://schemas.openxmlformats.org/drawingml/2006/main" id="279">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dk1">
        <a:lumMod val="65000"/>
        <a:lumOff val="35000"/>
      </a:schemeClr>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
  <cs:dataPoint3D>
    <cs:lnRef idx="0"/>
    <cs:fillRef idx="0">
      <cs:styleClr val="auto"/>
    </cs:fillRef>
    <cs:effectRef idx="0"/>
    <cs:fontRef idx="minor">
      <a:schemeClr val="dk1"/>
    </cs:fontRef>
    <cs:spPr>
      <a:solidFill>
        <a:schemeClr val="phClr">
          <a:alpha val="85000"/>
        </a:schemeClr>
      </a:solidFill>
      <a:effectLst>
        <a:innerShdw dist="12700" dir="16200000">
          <a:schemeClr val="lt1"/>
        </a:inn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1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49">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a:solidFill>
          <a:schemeClr val="tx1">
            <a:lumMod val="15000"/>
            <a:lumOff val="85000"/>
          </a:schemeClr>
        </a:solidFill>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19050" cap="rnd">
        <a:solidFill>
          <a:schemeClr val="phClr">
            <a:alpha val="60000"/>
          </a:schemeClr>
        </a:solidFill>
        <a:round/>
      </a:ln>
    </cs:spPr>
  </cs:dataPointLine>
  <cs:dataPointMarker>
    <cs:lnRef idx="0">
      <cs:styleClr val="auto"/>
    </cs:lnRef>
    <cs:fillRef idx="0">
      <cs:styleClr val="auto"/>
    </cs:fillRef>
    <cs:effectRef idx="0"/>
    <cs:fontRef idx="minor">
      <a:schemeClr val="dk1"/>
    </cs:fontRef>
    <cs:spPr>
      <a:solidFill>
        <a:schemeClr val="lt1"/>
      </a:solidFill>
      <a:ln w="38100">
        <a:solidFill>
          <a:schemeClr val="phClr">
            <a:alpha val="60000"/>
          </a:schemeClr>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15000"/>
            <a:lumOff val="8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a:solidFill>
          <a:schemeClr val="tx1">
            <a:lumMod val="15000"/>
            <a:lumOff val="85000"/>
          </a:schemeClr>
        </a:solidFill>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spPr>
      <a:ln>
        <a:solidFill>
          <a:schemeClr val="tx1">
            <a:lumMod val="25000"/>
            <a:lumOff val="75000"/>
          </a:schemeClr>
        </a:solidFill>
      </a:ln>
    </cs:spPr>
    <cs:defRPr sz="900" kern="1200" spc="20" baseline="0"/>
  </cs:valueAxis>
  <cs:wall>
    <cs:lnRef idx="0"/>
    <cs:fillRef idx="0"/>
    <cs:effectRef idx="0"/>
    <cs:fontRef idx="minor">
      <a:schemeClr val="dk1"/>
    </cs:fontRef>
  </cs:wall>
</cs:chartStyle>
</file>

<file path=xl/charts/style2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chart" Target="../charts/chart4.xml"/><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s>
</file>

<file path=xl/drawings/_rels/drawing8.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18.xml"/><Relationship Id="rId2" Type="http://schemas.openxmlformats.org/officeDocument/2006/relationships/chart" Target="../charts/chart17.xml"/><Relationship Id="rId1" Type="http://schemas.openxmlformats.org/officeDocument/2006/relationships/image" Target="../media/image1.png"/><Relationship Id="rId4" Type="http://schemas.openxmlformats.org/officeDocument/2006/relationships/chart" Target="../charts/chart19.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24.xml"/><Relationship Id="rId2" Type="http://schemas.openxmlformats.org/officeDocument/2006/relationships/chart" Target="../charts/chart23.xml"/><Relationship Id="rId1" Type="http://schemas.openxmlformats.org/officeDocument/2006/relationships/chart" Target="../charts/chart22.xml"/><Relationship Id="rId4" Type="http://schemas.openxmlformats.org/officeDocument/2006/relationships/chart" Target="../charts/chart25.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chart" Target="../charts/chart27.xml"/><Relationship Id="rId1" Type="http://schemas.openxmlformats.org/officeDocument/2006/relationships/chart" Target="../charts/chart26.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31.xml"/><Relationship Id="rId2" Type="http://schemas.openxmlformats.org/officeDocument/2006/relationships/chart" Target="../charts/chart30.xml"/><Relationship Id="rId1" Type="http://schemas.openxmlformats.org/officeDocument/2006/relationships/chart" Target="../charts/chart29.xml"/><Relationship Id="rId5" Type="http://schemas.openxmlformats.org/officeDocument/2006/relationships/chart" Target="../charts/chart33.xml"/><Relationship Id="rId4" Type="http://schemas.openxmlformats.org/officeDocument/2006/relationships/chart" Target="../charts/chart32.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1181100</xdr:colOff>
          <xdr:row>9</xdr:row>
          <xdr:rowOff>76200</xdr:rowOff>
        </xdr:from>
        <xdr:to>
          <xdr:col>3</xdr:col>
          <xdr:colOff>406400</xdr:colOff>
          <xdr:row>11</xdr:row>
          <xdr:rowOff>114300</xdr:rowOff>
        </xdr:to>
        <xdr:sp macro="" textlink="">
          <xdr:nvSpPr>
            <xdr:cNvPr id="12298" name="Button 10" hidden="1">
              <a:extLst>
                <a:ext uri="{63B3BB69-23CF-44E3-9099-C40C66FF867C}">
                  <a14:compatExt spid="_x0000_s12298"/>
                </a:ext>
                <a:ext uri="{FF2B5EF4-FFF2-40B4-BE49-F238E27FC236}">
                  <a16:creationId xmlns:a16="http://schemas.microsoft.com/office/drawing/2014/main" id="{00000000-0008-0000-0200-00000A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88900</xdr:colOff>
          <xdr:row>8</xdr:row>
          <xdr:rowOff>0</xdr:rowOff>
        </xdr:from>
        <xdr:to>
          <xdr:col>18</xdr:col>
          <xdr:colOff>444500</xdr:colOff>
          <xdr:row>10</xdr:row>
          <xdr:rowOff>38100</xdr:rowOff>
        </xdr:to>
        <xdr:sp macro="" textlink="">
          <xdr:nvSpPr>
            <xdr:cNvPr id="1057" name="Button 33" hidden="1">
              <a:extLst>
                <a:ext uri="{63B3BB69-23CF-44E3-9099-C40C66FF867C}">
                  <a14:compatExt spid="_x0000_s1057"/>
                </a:ext>
                <a:ext uri="{FF2B5EF4-FFF2-40B4-BE49-F238E27FC236}">
                  <a16:creationId xmlns:a16="http://schemas.microsoft.com/office/drawing/2014/main" id="{00000000-0008-0000-0300-00002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16</xdr:col>
          <xdr:colOff>254000</xdr:colOff>
          <xdr:row>8</xdr:row>
          <xdr:rowOff>127000</xdr:rowOff>
        </xdr:from>
        <xdr:to>
          <xdr:col>19</xdr:col>
          <xdr:colOff>482600</xdr:colOff>
          <xdr:row>11</xdr:row>
          <xdr:rowOff>0</xdr:rowOff>
        </xdr:to>
        <xdr:sp macro="" textlink="">
          <xdr:nvSpPr>
            <xdr:cNvPr id="148487" name="Button 7" hidden="1">
              <a:extLst>
                <a:ext uri="{63B3BB69-23CF-44E3-9099-C40C66FF867C}">
                  <a14:compatExt spid="_x0000_s148487"/>
                </a:ext>
                <a:ext uri="{FF2B5EF4-FFF2-40B4-BE49-F238E27FC236}">
                  <a16:creationId xmlns:a16="http://schemas.microsoft.com/office/drawing/2014/main" id="{00000000-0008-0000-0400-00000744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10</xdr:col>
      <xdr:colOff>0</xdr:colOff>
      <xdr:row>66</xdr:row>
      <xdr:rowOff>0</xdr:rowOff>
    </xdr:from>
    <xdr:to>
      <xdr:col>17</xdr:col>
      <xdr:colOff>612775</xdr:colOff>
      <xdr:row>83</xdr:row>
      <xdr:rowOff>31750</xdr:rowOff>
    </xdr:to>
    <xdr:graphicFrame macro="">
      <xdr:nvGraphicFramePr>
        <xdr:cNvPr id="4" name="Chart 3">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116416</xdr:colOff>
      <xdr:row>83</xdr:row>
      <xdr:rowOff>104776</xdr:rowOff>
    </xdr:from>
    <xdr:to>
      <xdr:col>18</xdr:col>
      <xdr:colOff>71966</xdr:colOff>
      <xdr:row>100</xdr:row>
      <xdr:rowOff>144992</xdr:rowOff>
    </xdr:to>
    <xdr:graphicFrame macro="">
      <xdr:nvGraphicFramePr>
        <xdr:cNvPr id="5" name="Chart 4">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xdr:from>
          <xdr:col>16</xdr:col>
          <xdr:colOff>25400</xdr:colOff>
          <xdr:row>11</xdr:row>
          <xdr:rowOff>0</xdr:rowOff>
        </xdr:from>
        <xdr:to>
          <xdr:col>18</xdr:col>
          <xdr:colOff>381000</xdr:colOff>
          <xdr:row>13</xdr:row>
          <xdr:rowOff>25400</xdr:rowOff>
        </xdr:to>
        <xdr:sp macro="" textlink="">
          <xdr:nvSpPr>
            <xdr:cNvPr id="167942" name="Button 6" hidden="1">
              <a:extLst>
                <a:ext uri="{63B3BB69-23CF-44E3-9099-C40C66FF867C}">
                  <a14:compatExt spid="_x0000_s167942"/>
                </a:ext>
                <a:ext uri="{FF2B5EF4-FFF2-40B4-BE49-F238E27FC236}">
                  <a16:creationId xmlns:a16="http://schemas.microsoft.com/office/drawing/2014/main" id="{00000000-0008-0000-0500-0000069002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400" b="0" i="0" u="none" strike="noStrike" baseline="0">
                  <a:solidFill>
                    <a:srgbClr val="000080"/>
                  </a:solidFill>
                  <a:latin typeface="Calibri" pitchFamily="2" charset="0"/>
                  <a:cs typeface="Calibri" pitchFamily="2" charset="0"/>
                </a:rPr>
                <a:t>Run Model</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11</xdr:col>
      <xdr:colOff>179917</xdr:colOff>
      <xdr:row>24</xdr:row>
      <xdr:rowOff>127007</xdr:rowOff>
    </xdr:from>
    <xdr:to>
      <xdr:col>19</xdr:col>
      <xdr:colOff>190500</xdr:colOff>
      <xdr:row>42</xdr:row>
      <xdr:rowOff>12707</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33</xdr:col>
      <xdr:colOff>95249</xdr:colOff>
      <xdr:row>23</xdr:row>
      <xdr:rowOff>127000</xdr:rowOff>
    </xdr:from>
    <xdr:to>
      <xdr:col>40</xdr:col>
      <xdr:colOff>370416</xdr:colOff>
      <xdr:row>41</xdr:row>
      <xdr:rowOff>12700</xdr:rowOff>
    </xdr:to>
    <xdr:graphicFrame macro="">
      <xdr:nvGraphicFramePr>
        <xdr:cNvPr id="3" name="Chart 2">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20</xdr:col>
      <xdr:colOff>142874</xdr:colOff>
      <xdr:row>26</xdr:row>
      <xdr:rowOff>4233</xdr:rowOff>
    </xdr:from>
    <xdr:to>
      <xdr:col>25</xdr:col>
      <xdr:colOff>455083</xdr:colOff>
      <xdr:row>43</xdr:row>
      <xdr:rowOff>42333</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xdr:col>
      <xdr:colOff>167925</xdr:colOff>
      <xdr:row>9</xdr:row>
      <xdr:rowOff>114774</xdr:rowOff>
    </xdr:from>
    <xdr:to>
      <xdr:col>6</xdr:col>
      <xdr:colOff>634762</xdr:colOff>
      <xdr:row>23</xdr:row>
      <xdr:rowOff>189405</xdr:rowOff>
    </xdr:to>
    <xdr:graphicFrame macro="">
      <xdr:nvGraphicFramePr>
        <xdr:cNvPr id="2" name="Chart 1">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17929</xdr:colOff>
      <xdr:row>9</xdr:row>
      <xdr:rowOff>136710</xdr:rowOff>
    </xdr:from>
    <xdr:to>
      <xdr:col>12</xdr:col>
      <xdr:colOff>533397</xdr:colOff>
      <xdr:row>23</xdr:row>
      <xdr:rowOff>188257</xdr:rowOff>
    </xdr:to>
    <xdr:graphicFrame macro="">
      <xdr:nvGraphicFramePr>
        <xdr:cNvPr id="3" name="Chart 2">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661145</xdr:colOff>
      <xdr:row>9</xdr:row>
      <xdr:rowOff>159123</xdr:rowOff>
    </xdr:from>
    <xdr:to>
      <xdr:col>18</xdr:col>
      <xdr:colOff>380998</xdr:colOff>
      <xdr:row>24</xdr:row>
      <xdr:rowOff>20170</xdr:rowOff>
    </xdr:to>
    <xdr:graphicFrame macro="">
      <xdr:nvGraphicFramePr>
        <xdr:cNvPr id="4" name="Chart 3">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72117</xdr:colOff>
      <xdr:row>11</xdr:row>
      <xdr:rowOff>84922</xdr:rowOff>
    </xdr:from>
    <xdr:to>
      <xdr:col>28</xdr:col>
      <xdr:colOff>711493</xdr:colOff>
      <xdr:row>25</xdr:row>
      <xdr:rowOff>186417</xdr:rowOff>
    </xdr:to>
    <xdr:graphicFrame macro="">
      <xdr:nvGraphicFramePr>
        <xdr:cNvPr id="5" name="Chart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29</xdr:col>
      <xdr:colOff>140955</xdr:colOff>
      <xdr:row>11</xdr:row>
      <xdr:rowOff>151839</xdr:rowOff>
    </xdr:from>
    <xdr:to>
      <xdr:col>34</xdr:col>
      <xdr:colOff>650823</xdr:colOff>
      <xdr:row>26</xdr:row>
      <xdr:rowOff>32096</xdr:rowOff>
    </xdr:to>
    <xdr:graphicFrame macro="">
      <xdr:nvGraphicFramePr>
        <xdr:cNvPr id="7" name="Chart 6">
          <a:extLst>
            <a:ext uri="{FF2B5EF4-FFF2-40B4-BE49-F238E27FC236}">
              <a16:creationId xmlns:a16="http://schemas.microsoft.com/office/drawing/2014/main" id="{00000000-0008-0000-0A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35</xdr:col>
      <xdr:colOff>45465</xdr:colOff>
      <xdr:row>12</xdr:row>
      <xdr:rowOff>35859</xdr:rowOff>
    </xdr:from>
    <xdr:to>
      <xdr:col>40</xdr:col>
      <xdr:colOff>656186</xdr:colOff>
      <xdr:row>26</xdr:row>
      <xdr:rowOff>104439</xdr:rowOff>
    </xdr:to>
    <xdr:graphicFrame macro="">
      <xdr:nvGraphicFramePr>
        <xdr:cNvPr id="8" name="Chart 7">
          <a:extLst>
            <a:ext uri="{FF2B5EF4-FFF2-40B4-BE49-F238E27FC236}">
              <a16:creationId xmlns:a16="http://schemas.microsoft.com/office/drawing/2014/main" id="{00000000-0008-0000-0A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291352</xdr:colOff>
      <xdr:row>26</xdr:row>
      <xdr:rowOff>33617</xdr:rowOff>
    </xdr:from>
    <xdr:to>
      <xdr:col>9</xdr:col>
      <xdr:colOff>459441</xdr:colOff>
      <xdr:row>39</xdr:row>
      <xdr:rowOff>153072</xdr:rowOff>
    </xdr:to>
    <xdr:graphicFrame macro="">
      <xdr:nvGraphicFramePr>
        <xdr:cNvPr id="9" name="Chart 8">
          <a:extLst>
            <a:ext uri="{FF2B5EF4-FFF2-40B4-BE49-F238E27FC236}">
              <a16:creationId xmlns:a16="http://schemas.microsoft.com/office/drawing/2014/main" id="{00000000-0008-0000-0A00-000009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381605</xdr:colOff>
      <xdr:row>24</xdr:row>
      <xdr:rowOff>73523</xdr:rowOff>
    </xdr:from>
    <xdr:to>
      <xdr:col>7</xdr:col>
      <xdr:colOff>171800</xdr:colOff>
      <xdr:row>41</xdr:row>
      <xdr:rowOff>187774</xdr:rowOff>
    </xdr:to>
    <xdr:graphicFrame macro="">
      <xdr:nvGraphicFramePr>
        <xdr:cNvPr id="3" name="Chart 2">
          <a:extLst>
            <a:ext uri="{FF2B5EF4-FFF2-40B4-BE49-F238E27FC236}">
              <a16:creationId xmlns:a16="http://schemas.microsoft.com/office/drawing/2014/main" id="{00000000-0008-0000-0B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20</xdr:col>
      <xdr:colOff>534504</xdr:colOff>
      <xdr:row>15</xdr:row>
      <xdr:rowOff>169241</xdr:rowOff>
    </xdr:from>
    <xdr:to>
      <xdr:col>28</xdr:col>
      <xdr:colOff>237101</xdr:colOff>
      <xdr:row>33</xdr:row>
      <xdr:rowOff>42101</xdr:rowOff>
    </xdr:to>
    <xdr:graphicFrame macro="">
      <xdr:nvGraphicFramePr>
        <xdr:cNvPr id="4" name="Chart 3">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21</xdr:col>
      <xdr:colOff>251634</xdr:colOff>
      <xdr:row>31</xdr:row>
      <xdr:rowOff>44569</xdr:rowOff>
    </xdr:from>
    <xdr:to>
      <xdr:col>29</xdr:col>
      <xdr:colOff>141770</xdr:colOff>
      <xdr:row>48</xdr:row>
      <xdr:rowOff>133655</xdr:rowOff>
    </xdr:to>
    <xdr:graphicFrame macro="">
      <xdr:nvGraphicFramePr>
        <xdr:cNvPr id="5" name="Chart 4">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21</xdr:col>
      <xdr:colOff>515470</xdr:colOff>
      <xdr:row>10</xdr:row>
      <xdr:rowOff>33624</xdr:rowOff>
    </xdr:from>
    <xdr:to>
      <xdr:col>36</xdr:col>
      <xdr:colOff>571500</xdr:colOff>
      <xdr:row>33</xdr:row>
      <xdr:rowOff>168088</xdr:rowOff>
    </xdr:to>
    <xdr:graphicFrame macro="">
      <xdr:nvGraphicFramePr>
        <xdr:cNvPr id="3" name="Chart 2">
          <a:extLst>
            <a:ext uri="{FF2B5EF4-FFF2-40B4-BE49-F238E27FC236}">
              <a16:creationId xmlns:a16="http://schemas.microsoft.com/office/drawing/2014/main" id="{00000000-0008-0000-0C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390525</xdr:colOff>
      <xdr:row>0</xdr:row>
      <xdr:rowOff>9525</xdr:rowOff>
    </xdr:from>
    <xdr:to>
      <xdr:col>8</xdr:col>
      <xdr:colOff>19050</xdr:colOff>
      <xdr:row>2</xdr:row>
      <xdr:rowOff>165039</xdr:rowOff>
    </xdr:to>
    <xdr:pic>
      <xdr:nvPicPr>
        <xdr:cNvPr id="12" name="Picture 11">
          <a:extLst>
            <a:ext uri="{FF2B5EF4-FFF2-40B4-BE49-F238E27FC236}">
              <a16:creationId xmlns:a16="http://schemas.microsoft.com/office/drawing/2014/main" id="{00000000-0008-0000-0D00-00000C000000}"/>
            </a:ext>
          </a:extLst>
        </xdr:cNvPr>
        <xdr:cNvPicPr>
          <a:picLocks noChangeAspect="1"/>
        </xdr:cNvPicPr>
      </xdr:nvPicPr>
      <xdr:blipFill>
        <a:blip xmlns:r="http://schemas.openxmlformats.org/officeDocument/2006/relationships" r:embed="rId1"/>
        <a:stretch>
          <a:fillRect/>
        </a:stretch>
      </xdr:blipFill>
      <xdr:spPr>
        <a:xfrm>
          <a:off x="2809875" y="9525"/>
          <a:ext cx="4152900" cy="546039"/>
        </a:xfrm>
        <a:prstGeom prst="rect">
          <a:avLst/>
        </a:prstGeom>
      </xdr:spPr>
    </xdr:pic>
    <xdr:clientData/>
  </xdr:twoCellAnchor>
  <xdr:twoCellAnchor>
    <xdr:from>
      <xdr:col>1</xdr:col>
      <xdr:colOff>47625</xdr:colOff>
      <xdr:row>36</xdr:row>
      <xdr:rowOff>38100</xdr:rowOff>
    </xdr:from>
    <xdr:to>
      <xdr:col>6</xdr:col>
      <xdr:colOff>685800</xdr:colOff>
      <xdr:row>48</xdr:row>
      <xdr:rowOff>28575</xdr:rowOff>
    </xdr:to>
    <xdr:graphicFrame macro="">
      <xdr:nvGraphicFramePr>
        <xdr:cNvPr id="13" name="Chart 12">
          <a:extLst>
            <a:ext uri="{FF2B5EF4-FFF2-40B4-BE49-F238E27FC236}">
              <a16:creationId xmlns:a16="http://schemas.microsoft.com/office/drawing/2014/main" id="{00000000-0008-0000-0D00-00000D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28575</xdr:colOff>
      <xdr:row>36</xdr:row>
      <xdr:rowOff>47625</xdr:rowOff>
    </xdr:from>
    <xdr:to>
      <xdr:col>12</xdr:col>
      <xdr:colOff>676275</xdr:colOff>
      <xdr:row>48</xdr:row>
      <xdr:rowOff>47625</xdr:rowOff>
    </xdr:to>
    <xdr:graphicFrame macro="">
      <xdr:nvGraphicFramePr>
        <xdr:cNvPr id="14" name="Chart 13">
          <a:extLst>
            <a:ext uri="{FF2B5EF4-FFF2-40B4-BE49-F238E27FC236}">
              <a16:creationId xmlns:a16="http://schemas.microsoft.com/office/drawing/2014/main" id="{00000000-0008-0000-0D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13</xdr:col>
      <xdr:colOff>38100</xdr:colOff>
      <xdr:row>36</xdr:row>
      <xdr:rowOff>19050</xdr:rowOff>
    </xdr:from>
    <xdr:to>
      <xdr:col>18</xdr:col>
      <xdr:colOff>685800</xdr:colOff>
      <xdr:row>48</xdr:row>
      <xdr:rowOff>19050</xdr:rowOff>
    </xdr:to>
    <xdr:graphicFrame macro="">
      <xdr:nvGraphicFramePr>
        <xdr:cNvPr id="15" name="Chart 14">
          <a:extLst>
            <a:ext uri="{FF2B5EF4-FFF2-40B4-BE49-F238E27FC236}">
              <a16:creationId xmlns:a16="http://schemas.microsoft.com/office/drawing/2014/main" id="{00000000-0008-0000-0D00-00000F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43</xdr:col>
      <xdr:colOff>396648</xdr:colOff>
      <xdr:row>8</xdr:row>
      <xdr:rowOff>171450</xdr:rowOff>
    </xdr:from>
    <xdr:to>
      <xdr:col>49</xdr:col>
      <xdr:colOff>85725</xdr:colOff>
      <xdr:row>25</xdr:row>
      <xdr:rowOff>85725</xdr:rowOff>
    </xdr:to>
    <xdr:graphicFrame macro="">
      <xdr:nvGraphicFramePr>
        <xdr:cNvPr id="2" name="Chart 1">
          <a:extLst>
            <a:ext uri="{FF2B5EF4-FFF2-40B4-BE49-F238E27FC236}">
              <a16:creationId xmlns:a16="http://schemas.microsoft.com/office/drawing/2014/main" id="{00000000-0008-0000-0F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263337</xdr:colOff>
      <xdr:row>12</xdr:row>
      <xdr:rowOff>152401</xdr:rowOff>
    </xdr:from>
    <xdr:to>
      <xdr:col>27</xdr:col>
      <xdr:colOff>364190</xdr:colOff>
      <xdr:row>27</xdr:row>
      <xdr:rowOff>38101</xdr:rowOff>
    </xdr:to>
    <xdr:graphicFrame macro="">
      <xdr:nvGraphicFramePr>
        <xdr:cNvPr id="3" name="Chart 2">
          <a:extLst>
            <a:ext uri="{FF2B5EF4-FFF2-40B4-BE49-F238E27FC236}">
              <a16:creationId xmlns:a16="http://schemas.microsoft.com/office/drawing/2014/main" id="{00000000-0008-0000-0F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21</xdr:col>
      <xdr:colOff>1071506</xdr:colOff>
      <xdr:row>10</xdr:row>
      <xdr:rowOff>64435</xdr:rowOff>
    </xdr:from>
    <xdr:to>
      <xdr:col>29</xdr:col>
      <xdr:colOff>126478</xdr:colOff>
      <xdr:row>27</xdr:row>
      <xdr:rowOff>140635</xdr:rowOff>
    </xdr:to>
    <xdr:graphicFrame macro="">
      <xdr:nvGraphicFramePr>
        <xdr:cNvPr id="2" name="Chart 1">
          <a:extLst>
            <a:ext uri="{FF2B5EF4-FFF2-40B4-BE49-F238E27FC236}">
              <a16:creationId xmlns:a16="http://schemas.microsoft.com/office/drawing/2014/main" id="{00000000-0008-0000-1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95250</xdr:colOff>
      <xdr:row>11</xdr:row>
      <xdr:rowOff>53340</xdr:rowOff>
    </xdr:from>
    <xdr:to>
      <xdr:col>9</xdr:col>
      <xdr:colOff>247650</xdr:colOff>
      <xdr:row>27</xdr:row>
      <xdr:rowOff>144780</xdr:rowOff>
    </xdr:to>
    <xdr:graphicFrame macro="">
      <xdr:nvGraphicFramePr>
        <xdr:cNvPr id="5" name="Chart 4">
          <a:extLst>
            <a:ext uri="{FF2B5EF4-FFF2-40B4-BE49-F238E27FC236}">
              <a16:creationId xmlns:a16="http://schemas.microsoft.com/office/drawing/2014/main" id="{00000000-0008-0000-1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22</xdr:col>
      <xdr:colOff>10757</xdr:colOff>
      <xdr:row>28</xdr:row>
      <xdr:rowOff>124984</xdr:rowOff>
    </xdr:from>
    <xdr:to>
      <xdr:col>29</xdr:col>
      <xdr:colOff>141494</xdr:colOff>
      <xdr:row>46</xdr:row>
      <xdr:rowOff>44302</xdr:rowOff>
    </xdr:to>
    <xdr:graphicFrame macro="">
      <xdr:nvGraphicFramePr>
        <xdr:cNvPr id="4" name="Chart 3">
          <a:extLst>
            <a:ext uri="{FF2B5EF4-FFF2-40B4-BE49-F238E27FC236}">
              <a16:creationId xmlns:a16="http://schemas.microsoft.com/office/drawing/2014/main" id="{00000000-0008-0000-1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83820</xdr:colOff>
      <xdr:row>28</xdr:row>
      <xdr:rowOff>160020</xdr:rowOff>
    </xdr:from>
    <xdr:to>
      <xdr:col>9</xdr:col>
      <xdr:colOff>121920</xdr:colOff>
      <xdr:row>44</xdr:row>
      <xdr:rowOff>99060</xdr:rowOff>
    </xdr:to>
    <xdr:graphicFrame macro="">
      <xdr:nvGraphicFramePr>
        <xdr:cNvPr id="3" name="Chart 2">
          <a:extLst>
            <a:ext uri="{FF2B5EF4-FFF2-40B4-BE49-F238E27FC236}">
              <a16:creationId xmlns:a16="http://schemas.microsoft.com/office/drawing/2014/main" id="{00000000-0008-0000-1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8</xdr:col>
      <xdr:colOff>247650</xdr:colOff>
      <xdr:row>1</xdr:row>
      <xdr:rowOff>38100</xdr:rowOff>
    </xdr:from>
    <xdr:to>
      <xdr:col>16</xdr:col>
      <xdr:colOff>228600</xdr:colOff>
      <xdr:row>19</xdr:row>
      <xdr:rowOff>9525</xdr:rowOff>
    </xdr:to>
    <xdr:graphicFrame macro="">
      <xdr:nvGraphicFramePr>
        <xdr:cNvPr id="5268" name="Chart 1">
          <a:extLst>
            <a:ext uri="{FF2B5EF4-FFF2-40B4-BE49-F238E27FC236}">
              <a16:creationId xmlns:a16="http://schemas.microsoft.com/office/drawing/2014/main" id="{00000000-0008-0000-1300-000094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371475</xdr:colOff>
      <xdr:row>19</xdr:row>
      <xdr:rowOff>85725</xdr:rowOff>
    </xdr:from>
    <xdr:to>
      <xdr:col>19</xdr:col>
      <xdr:colOff>152400</xdr:colOff>
      <xdr:row>36</xdr:row>
      <xdr:rowOff>0</xdr:rowOff>
    </xdr:to>
    <xdr:graphicFrame macro="">
      <xdr:nvGraphicFramePr>
        <xdr:cNvPr id="5269" name="Chart 2">
          <a:extLst>
            <a:ext uri="{FF2B5EF4-FFF2-40B4-BE49-F238E27FC236}">
              <a16:creationId xmlns:a16="http://schemas.microsoft.com/office/drawing/2014/main" id="{00000000-0008-0000-1300-000095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447675</xdr:colOff>
      <xdr:row>19</xdr:row>
      <xdr:rowOff>57150</xdr:rowOff>
    </xdr:from>
    <xdr:to>
      <xdr:col>13</xdr:col>
      <xdr:colOff>238125</xdr:colOff>
      <xdr:row>35</xdr:row>
      <xdr:rowOff>171450</xdr:rowOff>
    </xdr:to>
    <xdr:graphicFrame macro="">
      <xdr:nvGraphicFramePr>
        <xdr:cNvPr id="5270" name="Chart 3">
          <a:extLst>
            <a:ext uri="{FF2B5EF4-FFF2-40B4-BE49-F238E27FC236}">
              <a16:creationId xmlns:a16="http://schemas.microsoft.com/office/drawing/2014/main" id="{00000000-0008-0000-1300-0000961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4</xdr:col>
      <xdr:colOff>104775</xdr:colOff>
      <xdr:row>7</xdr:row>
      <xdr:rowOff>114300</xdr:rowOff>
    </xdr:from>
    <xdr:to>
      <xdr:col>12</xdr:col>
      <xdr:colOff>266700</xdr:colOff>
      <xdr:row>21</xdr:row>
      <xdr:rowOff>104775</xdr:rowOff>
    </xdr:to>
    <xdr:graphicFrame macro="">
      <xdr:nvGraphicFramePr>
        <xdr:cNvPr id="7411" name="Chart 1">
          <a:extLst>
            <a:ext uri="{FF2B5EF4-FFF2-40B4-BE49-F238E27FC236}">
              <a16:creationId xmlns:a16="http://schemas.microsoft.com/office/drawing/2014/main" id="{00000000-0008-0000-1400-0000F3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247650</xdr:colOff>
      <xdr:row>7</xdr:row>
      <xdr:rowOff>9525</xdr:rowOff>
    </xdr:from>
    <xdr:to>
      <xdr:col>23</xdr:col>
      <xdr:colOff>447675</xdr:colOff>
      <xdr:row>21</xdr:row>
      <xdr:rowOff>0</xdr:rowOff>
    </xdr:to>
    <xdr:graphicFrame macro="">
      <xdr:nvGraphicFramePr>
        <xdr:cNvPr id="7412" name="Chart 2">
          <a:extLst>
            <a:ext uri="{FF2B5EF4-FFF2-40B4-BE49-F238E27FC236}">
              <a16:creationId xmlns:a16="http://schemas.microsoft.com/office/drawing/2014/main" id="{00000000-0008-0000-1400-0000F4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257175</xdr:colOff>
      <xdr:row>21</xdr:row>
      <xdr:rowOff>47625</xdr:rowOff>
    </xdr:from>
    <xdr:to>
      <xdr:col>23</xdr:col>
      <xdr:colOff>457200</xdr:colOff>
      <xdr:row>37</xdr:row>
      <xdr:rowOff>38100</xdr:rowOff>
    </xdr:to>
    <xdr:graphicFrame macro="">
      <xdr:nvGraphicFramePr>
        <xdr:cNvPr id="7413" name="Chart 3">
          <a:extLst>
            <a:ext uri="{FF2B5EF4-FFF2-40B4-BE49-F238E27FC236}">
              <a16:creationId xmlns:a16="http://schemas.microsoft.com/office/drawing/2014/main" id="{00000000-0008-0000-1400-0000F5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26</xdr:col>
      <xdr:colOff>323850</xdr:colOff>
      <xdr:row>7</xdr:row>
      <xdr:rowOff>38100</xdr:rowOff>
    </xdr:from>
    <xdr:to>
      <xdr:col>34</xdr:col>
      <xdr:colOff>485775</xdr:colOff>
      <xdr:row>21</xdr:row>
      <xdr:rowOff>28575</xdr:rowOff>
    </xdr:to>
    <xdr:graphicFrame macro="">
      <xdr:nvGraphicFramePr>
        <xdr:cNvPr id="7414" name="Chart 1">
          <a:extLst>
            <a:ext uri="{FF2B5EF4-FFF2-40B4-BE49-F238E27FC236}">
              <a16:creationId xmlns:a16="http://schemas.microsoft.com/office/drawing/2014/main" id="{00000000-0008-0000-1400-0000F61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41</xdr:col>
      <xdr:colOff>76200</xdr:colOff>
      <xdr:row>8</xdr:row>
      <xdr:rowOff>47625</xdr:rowOff>
    </xdr:from>
    <xdr:to>
      <xdr:col>48</xdr:col>
      <xdr:colOff>514350</xdr:colOff>
      <xdr:row>22</xdr:row>
      <xdr:rowOff>123825</xdr:rowOff>
    </xdr:to>
    <xdr:graphicFrame macro="">
      <xdr:nvGraphicFramePr>
        <xdr:cNvPr id="2" name="Chart 1">
          <a:extLst>
            <a:ext uri="{FF2B5EF4-FFF2-40B4-BE49-F238E27FC236}">
              <a16:creationId xmlns:a16="http://schemas.microsoft.com/office/drawing/2014/main" id="{00000000-0008-0000-1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Birky, Alicia" id="{E03132CE-D391-402D-8A4C-B5D93BC670CE}" userId="S::abirky@nrel.gov::330be7e8-d8af-4601-b2da-017bb5065aa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P7:Z66" totalsRowShown="0" headerRowDxfId="12" dataDxfId="11" headerRowCellStyle="Comma">
  <autoFilter ref="P7:Z66" xr:uid="{00000000-0009-0000-0100-000001000000}"/>
  <tableColumns count="11">
    <tableColumn id="1" xr3:uid="{00000000-0010-0000-0000-000001000000}" name="Year" dataDxfId="10" dataCellStyle="Comma"/>
    <tableColumn id="2" xr3:uid="{00000000-0010-0000-0000-000002000000}" name="Electricity" dataDxfId="9"/>
    <tableColumn id="3" xr3:uid="{00000000-0010-0000-0000-000003000000}" name="Propane" dataDxfId="8"/>
    <tableColumn id="4" xr3:uid="{00000000-0010-0000-0000-000004000000}" name="Methanol (M85)" dataDxfId="7"/>
    <tableColumn id="5" xr3:uid="{00000000-0010-0000-0000-000005000000}" name="LNG" dataDxfId="6"/>
    <tableColumn id="6" xr3:uid="{00000000-0010-0000-0000-000006000000}" name="Hydrogen" dataDxfId="5">
      <calculatedColumnFormula>1.1*U7</calculatedColumnFormula>
    </tableColumn>
    <tableColumn id="7" xr3:uid="{00000000-0010-0000-0000-000007000000}" name="Biodiesel**" dataDxfId="4"/>
    <tableColumn id="8" xr3:uid="{00000000-0010-0000-0000-000008000000}" name="CNG" dataDxfId="3"/>
    <tableColumn id="9" xr3:uid="{00000000-0010-0000-0000-000009000000}" name="E85" dataDxfId="2"/>
    <tableColumn id="10" xr3:uid="{00000000-0010-0000-0000-00000A000000}" name="Gasoline" dataDxfId="1" dataCellStyle="Comma"/>
    <tableColumn id="11" xr3:uid="{3BCCA5A2-A156-413D-888C-AD65F0F4A02F}" name="Column1" dataDxfId="0">
      <calculatedColumnFormula>-1976.3*Table1[[#This Row],[Year]]+4130497.79</calculatedColumnFormula>
    </tableColumn>
  </tableColumns>
  <tableStyleInfo name="TableStyleLight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N20" dT="2020-01-17T23:36:21.55" personId="{E03132CE-D391-402D-8A4C-B5D93BC670CE}" id="{B0187843-2530-4EA3-9CAD-2198DBC8099E}">
    <text>baseline constrained to never fall</text>
  </threadedComment>
</ThreadedComment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mailto:Alicia.Birky@NREL.gov" TargetMode="Externa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6" Type="http://schemas.microsoft.com/office/2017/10/relationships/threadedComment" Target="../threadedComments/threadedComment1.xml"/><Relationship Id="rId5" Type="http://schemas.openxmlformats.org/officeDocument/2006/relationships/comments" Target="../comments1.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2.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4.xml"/><Relationship Id="rId4" Type="http://schemas.openxmlformats.org/officeDocument/2006/relationships/comments" Target="../comments3.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s://www.eia.gov/outlooks/aeo/" TargetMode="External"/><Relationship Id="rId5" Type="http://schemas.openxmlformats.org/officeDocument/2006/relationships/comments" Target="../comments4.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1.xml"/><Relationship Id="rId1" Type="http://schemas.openxmlformats.org/officeDocument/2006/relationships/hyperlink" Target="https://www.afdc.energy.gov/data/10332" TargetMode="External"/><Relationship Id="rId5" Type="http://schemas.openxmlformats.org/officeDocument/2006/relationships/comments" Target="../comments8.xml"/><Relationship Id="rId4" Type="http://schemas.openxmlformats.org/officeDocument/2006/relationships/table" Target="../tables/table1.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D8116-7D9D-4233-8801-D0A62099AF87}">
  <sheetPr codeName="Sheet2"/>
  <dimension ref="B2:D24"/>
  <sheetViews>
    <sheetView topLeftCell="A10" workbookViewId="0">
      <selection activeCell="D26" sqref="D26"/>
    </sheetView>
  </sheetViews>
  <sheetFormatPr baseColWidth="10" defaultColWidth="9.1640625" defaultRowHeight="13" x14ac:dyDescent="0.15"/>
  <cols>
    <col min="1" max="1" width="9.1640625" style="1339"/>
    <col min="2" max="2" width="10.1640625" style="1339" bestFit="1" customWidth="1"/>
    <col min="3" max="3" width="15.33203125" style="1339" bestFit="1" customWidth="1"/>
    <col min="4" max="4" width="72.6640625" style="1341" customWidth="1"/>
    <col min="5" max="16384" width="9.1640625" style="1339"/>
  </cols>
  <sheetData>
    <row r="2" spans="2:4" x14ac:dyDescent="0.15">
      <c r="B2" s="1337" t="s">
        <v>390</v>
      </c>
    </row>
    <row r="4" spans="2:4" ht="14" x14ac:dyDescent="0.15">
      <c r="B4" s="1337" t="s">
        <v>381</v>
      </c>
      <c r="C4" s="1337" t="s">
        <v>382</v>
      </c>
      <c r="D4" s="1338" t="s">
        <v>383</v>
      </c>
    </row>
    <row r="5" spans="2:4" ht="14" x14ac:dyDescent="0.15">
      <c r="B5" s="1340">
        <v>43763</v>
      </c>
      <c r="C5" s="1337" t="s">
        <v>384</v>
      </c>
      <c r="D5" s="1338" t="s">
        <v>411</v>
      </c>
    </row>
    <row r="6" spans="2:4" ht="14" x14ac:dyDescent="0.15">
      <c r="B6" s="1340">
        <v>43763</v>
      </c>
      <c r="C6" s="1337" t="s">
        <v>385</v>
      </c>
      <c r="D6" s="1338" t="s">
        <v>386</v>
      </c>
    </row>
    <row r="7" spans="2:4" ht="28" x14ac:dyDescent="0.15">
      <c r="B7" s="1340">
        <v>43763</v>
      </c>
      <c r="C7" s="1337" t="s">
        <v>387</v>
      </c>
      <c r="D7" s="1338" t="s">
        <v>388</v>
      </c>
    </row>
    <row r="8" spans="2:4" ht="28" x14ac:dyDescent="0.15">
      <c r="B8" s="1340">
        <v>43763</v>
      </c>
      <c r="C8" s="1337" t="s">
        <v>377</v>
      </c>
      <c r="D8" s="1338" t="s">
        <v>388</v>
      </c>
    </row>
    <row r="9" spans="2:4" ht="28" x14ac:dyDescent="0.15">
      <c r="B9" s="1340">
        <v>43763</v>
      </c>
      <c r="C9" s="1337" t="s">
        <v>389</v>
      </c>
      <c r="D9" s="1338" t="s">
        <v>388</v>
      </c>
    </row>
    <row r="10" spans="2:4" ht="42" x14ac:dyDescent="0.15">
      <c r="B10" s="1340">
        <v>43763</v>
      </c>
      <c r="C10" s="1337" t="s">
        <v>391</v>
      </c>
      <c r="D10" s="1338" t="s">
        <v>392</v>
      </c>
    </row>
    <row r="11" spans="2:4" ht="28" x14ac:dyDescent="0.15">
      <c r="B11" s="1340">
        <v>43763</v>
      </c>
      <c r="C11" s="1337" t="s">
        <v>387</v>
      </c>
      <c r="D11" s="1338" t="s">
        <v>393</v>
      </c>
    </row>
    <row r="12" spans="2:4" ht="28" x14ac:dyDescent="0.15">
      <c r="B12" s="1340">
        <v>43763</v>
      </c>
      <c r="C12" s="1337" t="s">
        <v>377</v>
      </c>
      <c r="D12" s="1338" t="s">
        <v>393</v>
      </c>
    </row>
    <row r="13" spans="2:4" ht="28" x14ac:dyDescent="0.15">
      <c r="B13" s="1340">
        <v>43763</v>
      </c>
      <c r="C13" s="1337" t="s">
        <v>389</v>
      </c>
      <c r="D13" s="1338" t="s">
        <v>393</v>
      </c>
    </row>
    <row r="14" spans="2:4" ht="42" x14ac:dyDescent="0.15">
      <c r="B14" s="1340">
        <v>43763</v>
      </c>
      <c r="C14" s="1337" t="s">
        <v>384</v>
      </c>
      <c r="D14" s="1338" t="s">
        <v>394</v>
      </c>
    </row>
    <row r="15" spans="2:4" ht="28" x14ac:dyDescent="0.15">
      <c r="B15" s="1340">
        <v>43768</v>
      </c>
      <c r="C15" s="1337" t="s">
        <v>402</v>
      </c>
      <c r="D15" s="1338" t="s">
        <v>405</v>
      </c>
    </row>
    <row r="16" spans="2:4" ht="14" x14ac:dyDescent="0.15">
      <c r="B16" s="1337" t="s">
        <v>404</v>
      </c>
      <c r="C16" s="1337" t="s">
        <v>406</v>
      </c>
      <c r="D16" s="1338" t="s">
        <v>407</v>
      </c>
    </row>
    <row r="17" spans="2:4" ht="14" x14ac:dyDescent="0.15">
      <c r="B17" s="1340">
        <v>43770</v>
      </c>
      <c r="C17" s="1337" t="s">
        <v>406</v>
      </c>
      <c r="D17" s="1338" t="s">
        <v>408</v>
      </c>
    </row>
    <row r="18" spans="2:4" ht="28" x14ac:dyDescent="0.15">
      <c r="B18" s="1518">
        <v>43770</v>
      </c>
      <c r="C18" s="1337" t="s">
        <v>409</v>
      </c>
      <c r="D18" s="1338" t="s">
        <v>410</v>
      </c>
    </row>
    <row r="19" spans="2:4" ht="14" x14ac:dyDescent="0.15">
      <c r="B19" s="1340">
        <v>43775</v>
      </c>
      <c r="C19" s="1337" t="s">
        <v>402</v>
      </c>
      <c r="D19" s="1338" t="s">
        <v>413</v>
      </c>
    </row>
    <row r="20" spans="2:4" ht="14" x14ac:dyDescent="0.15">
      <c r="B20" s="1340">
        <v>43775</v>
      </c>
      <c r="C20" s="1337" t="s">
        <v>409</v>
      </c>
      <c r="D20" s="1338" t="s">
        <v>414</v>
      </c>
    </row>
    <row r="21" spans="2:4" ht="28" x14ac:dyDescent="0.15">
      <c r="B21" s="1340">
        <v>43775</v>
      </c>
      <c r="C21" s="1337" t="s">
        <v>391</v>
      </c>
      <c r="D21" s="1338" t="s">
        <v>415</v>
      </c>
    </row>
    <row r="22" spans="2:4" ht="56" x14ac:dyDescent="0.15">
      <c r="B22" s="1340">
        <v>43775</v>
      </c>
      <c r="C22" s="1337" t="s">
        <v>409</v>
      </c>
      <c r="D22" s="1338" t="s">
        <v>416</v>
      </c>
    </row>
    <row r="23" spans="2:4" ht="14" x14ac:dyDescent="0.15">
      <c r="B23" s="1340">
        <v>43775</v>
      </c>
      <c r="C23" s="1337" t="s">
        <v>419</v>
      </c>
      <c r="D23" s="1338" t="s">
        <v>418</v>
      </c>
    </row>
    <row r="24" spans="2:4" ht="28" x14ac:dyDescent="0.15">
      <c r="B24" s="1340">
        <v>44019</v>
      </c>
      <c r="C24" s="1337" t="s">
        <v>406</v>
      </c>
      <c r="D24" s="1338" t="s">
        <v>449</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Notes"/>
  <dimension ref="A1:C41"/>
  <sheetViews>
    <sheetView workbookViewId="0">
      <selection activeCell="B19" sqref="B19"/>
    </sheetView>
  </sheetViews>
  <sheetFormatPr baseColWidth="10" defaultColWidth="9.1640625" defaultRowHeight="13" x14ac:dyDescent="0.15"/>
  <cols>
    <col min="1" max="1" width="3" style="353" customWidth="1"/>
    <col min="2" max="2" width="120" style="367" customWidth="1"/>
    <col min="3" max="16384" width="9.1640625" style="353"/>
  </cols>
  <sheetData>
    <row r="1" spans="1:3" ht="16" x14ac:dyDescent="0.2">
      <c r="A1" s="1522" t="s">
        <v>440</v>
      </c>
      <c r="B1" s="1522"/>
    </row>
    <row r="2" spans="1:3" x14ac:dyDescent="0.15">
      <c r="A2" s="1523" t="s">
        <v>373</v>
      </c>
      <c r="B2" s="1524"/>
    </row>
    <row r="3" spans="1:3" x14ac:dyDescent="0.15">
      <c r="A3" s="354"/>
      <c r="B3" s="355"/>
    </row>
    <row r="4" spans="1:3" ht="14" x14ac:dyDescent="0.15">
      <c r="A4" s="356" t="s">
        <v>130</v>
      </c>
      <c r="B4" s="357"/>
    </row>
    <row r="5" spans="1:3" ht="28" x14ac:dyDescent="0.15">
      <c r="A5" s="358">
        <v>1</v>
      </c>
      <c r="B5" s="1313" t="s">
        <v>442</v>
      </c>
      <c r="C5" s="376"/>
    </row>
    <row r="6" spans="1:3" ht="14" x14ac:dyDescent="0.15">
      <c r="A6" s="359">
        <v>2</v>
      </c>
      <c r="B6" s="1314" t="s">
        <v>443</v>
      </c>
    </row>
    <row r="7" spans="1:3" ht="14" x14ac:dyDescent="0.15">
      <c r="A7" s="359">
        <v>3</v>
      </c>
      <c r="B7" s="1315" t="s">
        <v>131</v>
      </c>
    </row>
    <row r="8" spans="1:3" ht="28" x14ac:dyDescent="0.15">
      <c r="A8" s="361"/>
      <c r="B8" s="1314" t="s">
        <v>132</v>
      </c>
    </row>
    <row r="9" spans="1:3" ht="28" x14ac:dyDescent="0.15">
      <c r="A9" s="363">
        <v>4</v>
      </c>
      <c r="B9" s="1316" t="s">
        <v>170</v>
      </c>
    </row>
    <row r="10" spans="1:3" ht="14" x14ac:dyDescent="0.15">
      <c r="A10" s="363">
        <v>5</v>
      </c>
      <c r="B10" s="1316" t="s">
        <v>134</v>
      </c>
    </row>
    <row r="11" spans="1:3" ht="28" x14ac:dyDescent="0.15">
      <c r="A11" s="363">
        <v>6</v>
      </c>
      <c r="B11" s="1316" t="s">
        <v>171</v>
      </c>
    </row>
    <row r="12" spans="1:3" ht="28" x14ac:dyDescent="0.15">
      <c r="A12" s="363">
        <v>7</v>
      </c>
      <c r="B12" s="1316" t="s">
        <v>148</v>
      </c>
    </row>
    <row r="13" spans="1:3" ht="28" x14ac:dyDescent="0.15">
      <c r="A13" s="360">
        <v>8</v>
      </c>
      <c r="B13" s="1317" t="s">
        <v>444</v>
      </c>
    </row>
    <row r="14" spans="1:3" ht="16.5" customHeight="1" x14ac:dyDescent="0.15">
      <c r="A14" s="360"/>
      <c r="B14" s="1317" t="s">
        <v>445</v>
      </c>
    </row>
    <row r="15" spans="1:3" ht="14" x14ac:dyDescent="0.15">
      <c r="A15" s="360"/>
      <c r="B15" s="1317" t="s">
        <v>447</v>
      </c>
    </row>
    <row r="16" spans="1:3" ht="14" x14ac:dyDescent="0.15">
      <c r="A16" s="360"/>
      <c r="B16" s="1317" t="s">
        <v>448</v>
      </c>
    </row>
    <row r="17" spans="1:3" x14ac:dyDescent="0.15">
      <c r="A17" s="360"/>
      <c r="B17" s="1317"/>
    </row>
    <row r="18" spans="1:3" ht="14" x14ac:dyDescent="0.15">
      <c r="A18" s="366"/>
      <c r="B18" s="1318" t="s">
        <v>446</v>
      </c>
    </row>
    <row r="20" spans="1:3" ht="14" x14ac:dyDescent="0.15">
      <c r="A20" s="356" t="s">
        <v>133</v>
      </c>
      <c r="B20" s="357"/>
    </row>
    <row r="21" spans="1:3" ht="18.75" customHeight="1" x14ac:dyDescent="0.15">
      <c r="A21" s="368">
        <v>1</v>
      </c>
      <c r="B21" s="369" t="s">
        <v>135</v>
      </c>
    </row>
    <row r="22" spans="1:3" ht="14" x14ac:dyDescent="0.15">
      <c r="A22" s="370"/>
      <c r="B22" s="371" t="s">
        <v>145</v>
      </c>
    </row>
    <row r="23" spans="1:3" ht="18.75" customHeight="1" x14ac:dyDescent="0.15">
      <c r="A23" s="368">
        <v>2</v>
      </c>
      <c r="B23" s="369" t="s">
        <v>146</v>
      </c>
      <c r="C23" s="376"/>
    </row>
    <row r="24" spans="1:3" ht="14" x14ac:dyDescent="0.15">
      <c r="A24" s="372"/>
      <c r="B24" s="407" t="s">
        <v>147</v>
      </c>
    </row>
    <row r="25" spans="1:3" ht="14" x14ac:dyDescent="0.15">
      <c r="A25" s="372"/>
      <c r="B25" s="406" t="s">
        <v>139</v>
      </c>
    </row>
    <row r="26" spans="1:3" ht="28" x14ac:dyDescent="0.15">
      <c r="A26" s="370"/>
      <c r="B26" s="456" t="s">
        <v>140</v>
      </c>
    </row>
    <row r="27" spans="1:3" ht="18.75" customHeight="1" x14ac:dyDescent="0.15">
      <c r="A27" s="368">
        <v>3</v>
      </c>
      <c r="B27" s="369" t="s">
        <v>141</v>
      </c>
    </row>
    <row r="28" spans="1:3" ht="14" x14ac:dyDescent="0.15">
      <c r="A28" s="372"/>
      <c r="B28" s="365" t="s">
        <v>370</v>
      </c>
    </row>
    <row r="29" spans="1:3" x14ac:dyDescent="0.15">
      <c r="A29" s="372"/>
      <c r="B29" s="406"/>
    </row>
    <row r="30" spans="1:3" ht="14" x14ac:dyDescent="0.15">
      <c r="A30" s="372"/>
      <c r="B30" s="406" t="s">
        <v>149</v>
      </c>
    </row>
    <row r="31" spans="1:3" ht="14" x14ac:dyDescent="0.15">
      <c r="A31" s="372"/>
      <c r="B31" s="409" t="s">
        <v>371</v>
      </c>
    </row>
    <row r="32" spans="1:3" x14ac:dyDescent="0.15">
      <c r="A32" s="370"/>
      <c r="B32" s="373"/>
    </row>
    <row r="33" spans="1:2" ht="18.75" customHeight="1" x14ac:dyDescent="0.15">
      <c r="A33" s="368">
        <v>4</v>
      </c>
      <c r="B33" s="369" t="s">
        <v>142</v>
      </c>
    </row>
    <row r="34" spans="1:2" ht="14" x14ac:dyDescent="0.15">
      <c r="A34" s="372"/>
      <c r="B34" s="364" t="s">
        <v>441</v>
      </c>
    </row>
    <row r="35" spans="1:2" ht="14" x14ac:dyDescent="0.15">
      <c r="A35" s="372"/>
      <c r="B35" s="364" t="s">
        <v>372</v>
      </c>
    </row>
    <row r="36" spans="1:2" x14ac:dyDescent="0.15">
      <c r="A36" s="372"/>
      <c r="B36" s="362"/>
    </row>
    <row r="37" spans="1:2" x14ac:dyDescent="0.15">
      <c r="A37" s="372"/>
      <c r="B37" s="364"/>
    </row>
    <row r="38" spans="1:2" x14ac:dyDescent="0.15">
      <c r="A38" s="372"/>
      <c r="B38" s="362"/>
    </row>
    <row r="39" spans="1:2" x14ac:dyDescent="0.15">
      <c r="A39" s="370"/>
      <c r="B39" s="374"/>
    </row>
    <row r="40" spans="1:2" ht="18.75" customHeight="1" x14ac:dyDescent="0.15">
      <c r="A40" s="368">
        <v>5</v>
      </c>
      <c r="B40" s="369" t="s">
        <v>143</v>
      </c>
    </row>
    <row r="41" spans="1:2" ht="14" x14ac:dyDescent="0.15">
      <c r="A41" s="372"/>
      <c r="B41" s="375" t="s">
        <v>144</v>
      </c>
    </row>
  </sheetData>
  <mergeCells count="2">
    <mergeCell ref="A1:B1"/>
    <mergeCell ref="A2:B2"/>
  </mergeCells>
  <phoneticPr fontId="59" type="noConversion"/>
  <hyperlinks>
    <hyperlink ref="B18" r:id="rId1" xr:uid="{26D5CFC4-4C63-426D-9B2F-C9779566F3C8}"/>
  </hyperlinks>
  <pageMargins left="0.7" right="0.7" top="0.75" bottom="0.75" header="0.3" footer="0.3"/>
  <pageSetup orientation="portrait"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unModel">
    <tabColor indexed="43"/>
  </sheetPr>
  <dimension ref="A1:G33"/>
  <sheetViews>
    <sheetView workbookViewId="0">
      <selection activeCell="P38" sqref="P38"/>
    </sheetView>
  </sheetViews>
  <sheetFormatPr baseColWidth="10" defaultColWidth="9.1640625" defaultRowHeight="14" x14ac:dyDescent="0.2"/>
  <cols>
    <col min="1" max="1" width="3" style="916" customWidth="1"/>
    <col min="2" max="2" width="20.33203125" style="912" customWidth="1"/>
    <col min="3" max="3" width="15.33203125" style="912" customWidth="1"/>
    <col min="4" max="4" width="18.5" style="912" customWidth="1"/>
    <col min="5" max="5" width="14.83203125" style="912" customWidth="1"/>
    <col min="6" max="16384" width="9.1640625" style="912"/>
  </cols>
  <sheetData>
    <row r="1" spans="1:7" x14ac:dyDescent="0.2">
      <c r="A1" s="475"/>
      <c r="B1" s="476"/>
      <c r="C1" s="476"/>
      <c r="D1" s="476"/>
      <c r="E1" s="477"/>
    </row>
    <row r="2" spans="1:7" s="921" customFormat="1" ht="15" x14ac:dyDescent="0.2">
      <c r="A2" s="917">
        <v>1</v>
      </c>
      <c r="B2" s="918" t="s">
        <v>115</v>
      </c>
      <c r="C2" s="918"/>
      <c r="D2" s="919"/>
      <c r="E2" s="920"/>
    </row>
    <row r="3" spans="1:7" x14ac:dyDescent="0.2">
      <c r="A3" s="479"/>
      <c r="B3" s="1525" t="s">
        <v>452</v>
      </c>
      <c r="C3" s="1526"/>
      <c r="D3" s="1527"/>
      <c r="E3" s="480"/>
      <c r="F3" s="913"/>
    </row>
    <row r="4" spans="1:7" x14ac:dyDescent="0.2">
      <c r="A4" s="479"/>
      <c r="B4" s="474"/>
      <c r="C4" s="474"/>
      <c r="D4" s="474"/>
      <c r="E4" s="478"/>
    </row>
    <row r="5" spans="1:7" s="921" customFormat="1" ht="15" x14ac:dyDescent="0.2">
      <c r="A5" s="917">
        <v>2</v>
      </c>
      <c r="B5" s="918" t="s">
        <v>114</v>
      </c>
      <c r="C5" s="918"/>
      <c r="D5" s="919"/>
      <c r="E5" s="920"/>
    </row>
    <row r="6" spans="1:7" x14ac:dyDescent="0.2">
      <c r="A6" s="479"/>
      <c r="B6" s="481" t="s">
        <v>53</v>
      </c>
      <c r="C6" s="910">
        <v>7.4999999999999997E-2</v>
      </c>
      <c r="D6" s="474"/>
      <c r="E6" s="478"/>
    </row>
    <row r="7" spans="1:7" x14ac:dyDescent="0.2">
      <c r="A7" s="479"/>
      <c r="B7" s="481" t="s">
        <v>54</v>
      </c>
      <c r="C7" s="911" t="s">
        <v>111</v>
      </c>
      <c r="D7" s="474"/>
      <c r="E7" s="478"/>
    </row>
    <row r="8" spans="1:7" x14ac:dyDescent="0.2">
      <c r="A8" s="479"/>
      <c r="B8" s="482"/>
      <c r="C8" s="482"/>
      <c r="D8" s="482"/>
      <c r="E8" s="483"/>
    </row>
    <row r="9" spans="1:7" s="921" customFormat="1" ht="15" x14ac:dyDescent="0.2">
      <c r="A9" s="917">
        <v>3</v>
      </c>
      <c r="B9" s="922" t="s">
        <v>201</v>
      </c>
      <c r="C9" s="922"/>
      <c r="D9" s="919"/>
      <c r="E9" s="920"/>
    </row>
    <row r="10" spans="1:7" x14ac:dyDescent="0.2">
      <c r="A10" s="479"/>
      <c r="B10" s="474"/>
      <c r="C10" s="474"/>
      <c r="D10" s="474"/>
      <c r="E10" s="478"/>
    </row>
    <row r="11" spans="1:7" x14ac:dyDescent="0.2">
      <c r="A11" s="479"/>
      <c r="B11" s="474"/>
      <c r="C11" s="474"/>
      <c r="D11" s="474"/>
      <c r="E11" s="478"/>
    </row>
    <row r="12" spans="1:7" x14ac:dyDescent="0.2">
      <c r="A12" s="906"/>
      <c r="B12" s="474"/>
      <c r="C12" s="474"/>
      <c r="D12" s="474"/>
      <c r="E12" s="478"/>
    </row>
    <row r="13" spans="1:7" x14ac:dyDescent="0.2">
      <c r="A13" s="906"/>
      <c r="B13" s="904"/>
      <c r="C13" s="474"/>
      <c r="D13" s="484"/>
      <c r="E13" s="478"/>
    </row>
    <row r="14" spans="1:7" x14ac:dyDescent="0.2">
      <c r="A14" s="479"/>
      <c r="B14" s="904"/>
      <c r="C14" s="481" t="s">
        <v>245</v>
      </c>
      <c r="D14" s="908">
        <v>44033.658958333333</v>
      </c>
      <c r="E14" s="478"/>
    </row>
    <row r="15" spans="1:7" x14ac:dyDescent="0.2">
      <c r="A15" s="479"/>
      <c r="B15" s="904"/>
      <c r="C15" s="481" t="s">
        <v>246</v>
      </c>
      <c r="D15" s="908">
        <v>44033.65896990741</v>
      </c>
      <c r="E15" s="478"/>
      <c r="G15" s="914"/>
    </row>
    <row r="16" spans="1:7" x14ac:dyDescent="0.2">
      <c r="A16" s="479"/>
      <c r="B16" s="904"/>
      <c r="C16" s="481" t="s">
        <v>247</v>
      </c>
      <c r="D16" s="908">
        <v>44033.65898148148</v>
      </c>
      <c r="E16" s="478"/>
      <c r="G16" s="914"/>
    </row>
    <row r="17" spans="1:7" x14ac:dyDescent="0.2">
      <c r="A17" s="479"/>
      <c r="B17" s="904"/>
      <c r="C17" s="481" t="s">
        <v>248</v>
      </c>
      <c r="D17" s="908">
        <v>44033.658993055556</v>
      </c>
      <c r="E17" s="478"/>
      <c r="G17" s="914"/>
    </row>
    <row r="18" spans="1:7" x14ac:dyDescent="0.2">
      <c r="A18" s="837"/>
      <c r="B18" s="905"/>
      <c r="C18" s="907" t="s">
        <v>200</v>
      </c>
      <c r="D18" s="909">
        <v>44033.659004629626</v>
      </c>
      <c r="E18" s="838"/>
      <c r="G18" s="914"/>
    </row>
    <row r="19" spans="1:7" x14ac:dyDescent="0.2">
      <c r="A19" s="837"/>
      <c r="B19" s="905"/>
      <c r="C19" s="907" t="s">
        <v>199</v>
      </c>
      <c r="D19" s="909">
        <v>44033.659004629626</v>
      </c>
      <c r="E19" s="838"/>
      <c r="G19" s="915"/>
    </row>
    <row r="20" spans="1:7" x14ac:dyDescent="0.2">
      <c r="A20" s="836"/>
      <c r="B20" s="839"/>
      <c r="C20" s="839"/>
      <c r="D20" s="839"/>
      <c r="E20" s="840"/>
    </row>
    <row r="25" spans="1:7" ht="12.75" customHeight="1" x14ac:dyDescent="0.2"/>
    <row r="33" ht="5.25" customHeight="1" x14ac:dyDescent="0.2"/>
  </sheetData>
  <mergeCells count="1">
    <mergeCell ref="B3:D3"/>
  </mergeCells>
  <phoneticPr fontId="21" type="noConversion"/>
  <dataValidations count="1">
    <dataValidation type="list" allowBlank="1" showInputMessage="1" showErrorMessage="1" sqref="C7" xr:uid="{00000000-0002-0000-0100-000000000000}">
      <formula1>AdoptCurve</formula1>
    </dataValidation>
  </dataValidation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98" r:id="rId4" name="Button 10">
              <controlPr defaultSize="0" print="0" autoFill="0" autoPict="0" macro="[0]!RunAll">
                <anchor moveWithCells="1" sizeWithCells="1">
                  <from>
                    <xdr:col>1</xdr:col>
                    <xdr:colOff>1181100</xdr:colOff>
                    <xdr:row>9</xdr:row>
                    <xdr:rowOff>76200</xdr:rowOff>
                  </from>
                  <to>
                    <xdr:col>3</xdr:col>
                    <xdr:colOff>406400</xdr:colOff>
                    <xdr:row>11</xdr:row>
                    <xdr:rowOff>114300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InputCls1">
    <tabColor rgb="FFFFFF99"/>
  </sheetPr>
  <dimension ref="A1:CB297"/>
  <sheetViews>
    <sheetView showGridLines="0" tabSelected="1" topLeftCell="A2" zoomScaleNormal="100" workbookViewId="0">
      <selection activeCell="K12" sqref="K12"/>
    </sheetView>
  </sheetViews>
  <sheetFormatPr baseColWidth="10" defaultColWidth="9.1640625" defaultRowHeight="14" x14ac:dyDescent="0.2"/>
  <cols>
    <col min="1" max="1" width="1.5" style="496" customWidth="1"/>
    <col min="2" max="2" width="8.33203125" style="496" customWidth="1"/>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ustomWidth="1"/>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0" t="s">
        <v>241</v>
      </c>
      <c r="C1" s="771"/>
      <c r="D1" s="771"/>
      <c r="E1" s="772"/>
      <c r="F1" s="771"/>
      <c r="G1" s="772"/>
    </row>
    <row r="2" spans="1:27" ht="5.25" customHeight="1" x14ac:dyDescent="0.2">
      <c r="B2" s="499"/>
      <c r="C2" s="497"/>
      <c r="D2" s="497"/>
      <c r="F2" s="497"/>
    </row>
    <row r="3" spans="1:27" customFormat="1" x14ac:dyDescent="0.2">
      <c r="A3" s="3"/>
      <c r="B3" s="1" t="s">
        <v>227</v>
      </c>
      <c r="C3" s="3"/>
      <c r="D3" s="765" t="s">
        <v>228</v>
      </c>
      <c r="E3" s="1380">
        <v>250</v>
      </c>
      <c r="F3" s="3"/>
      <c r="G3" s="2"/>
      <c r="H3" s="3"/>
      <c r="I3" s="3"/>
      <c r="J3" s="3"/>
      <c r="K3" s="3"/>
      <c r="L3" s="3"/>
      <c r="M3" s="3"/>
      <c r="N3" s="3"/>
      <c r="O3" s="3"/>
      <c r="P3" s="3"/>
    </row>
    <row r="4" spans="1:27" customFormat="1" x14ac:dyDescent="0.2">
      <c r="A4" s="3"/>
      <c r="B4" s="1"/>
      <c r="C4" s="3"/>
      <c r="D4" s="765"/>
      <c r="E4" s="769"/>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28" t="s">
        <v>76</v>
      </c>
      <c r="K6" s="1529"/>
      <c r="L6" s="1536" t="s">
        <v>83</v>
      </c>
      <c r="M6" s="1529"/>
      <c r="N6" s="1528" t="s">
        <v>109</v>
      </c>
      <c r="O6" s="1529"/>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1" t="s">
        <v>183</v>
      </c>
      <c r="D8" s="1382"/>
      <c r="E8" s="1383"/>
      <c r="F8" s="1384" t="s">
        <v>5</v>
      </c>
      <c r="G8" s="1384" t="s">
        <v>229</v>
      </c>
      <c r="H8" s="893" t="b">
        <f>IF(AND(F8="Electricity",G8="N/A"),TRUE,FALSE)</f>
        <v>0</v>
      </c>
      <c r="I8" s="512"/>
      <c r="J8" s="513"/>
      <c r="K8" s="514"/>
      <c r="L8" s="515"/>
      <c r="M8" s="516"/>
      <c r="N8" s="1415">
        <v>0</v>
      </c>
      <c r="O8" s="1416">
        <v>350</v>
      </c>
      <c r="P8" s="517"/>
    </row>
    <row r="9" spans="1:27" x14ac:dyDescent="0.2">
      <c r="B9" s="518" t="s">
        <v>65</v>
      </c>
      <c r="C9" s="1385" t="s">
        <v>329</v>
      </c>
      <c r="D9" s="1386"/>
      <c r="E9" s="1387"/>
      <c r="F9" s="1388" t="s">
        <v>5</v>
      </c>
      <c r="G9" s="1388" t="s">
        <v>229</v>
      </c>
      <c r="H9" s="894" t="b">
        <f t="shared" ref="H9:H13" si="0">IF(AND(F9="Electricity",G9="N/A"),TRUE,FALSE)</f>
        <v>0</v>
      </c>
      <c r="I9" s="1396">
        <v>2021</v>
      </c>
      <c r="J9" s="1397">
        <v>0</v>
      </c>
      <c r="K9" s="1398">
        <v>0</v>
      </c>
      <c r="L9" s="1399">
        <v>0.5</v>
      </c>
      <c r="M9" s="1400">
        <v>1</v>
      </c>
      <c r="N9" s="1401">
        <v>0</v>
      </c>
      <c r="O9" s="1402">
        <v>350</v>
      </c>
      <c r="R9" s="539"/>
    </row>
    <row r="10" spans="1:27" x14ac:dyDescent="0.2">
      <c r="B10" s="518" t="s">
        <v>66</v>
      </c>
      <c r="C10" s="1385" t="s">
        <v>322</v>
      </c>
      <c r="D10" s="1386"/>
      <c r="E10" s="1387"/>
      <c r="F10" s="1388" t="s">
        <v>5</v>
      </c>
      <c r="G10" s="1388" t="s">
        <v>229</v>
      </c>
      <c r="H10" s="894" t="b">
        <f t="shared" si="0"/>
        <v>0</v>
      </c>
      <c r="I10" s="1396">
        <v>2021</v>
      </c>
      <c r="J10" s="1397">
        <v>0</v>
      </c>
      <c r="K10" s="1398">
        <v>0</v>
      </c>
      <c r="L10" s="1399">
        <v>0.5</v>
      </c>
      <c r="M10" s="1400">
        <v>1</v>
      </c>
      <c r="N10" s="1401">
        <v>0</v>
      </c>
      <c r="O10" s="1402">
        <v>350</v>
      </c>
    </row>
    <row r="11" spans="1:27" x14ac:dyDescent="0.2">
      <c r="B11" s="542" t="s">
        <v>67</v>
      </c>
      <c r="C11" s="1385" t="s">
        <v>324</v>
      </c>
      <c r="D11" s="1389"/>
      <c r="E11" s="1390"/>
      <c r="F11" s="1391" t="s">
        <v>6</v>
      </c>
      <c r="G11" s="1391" t="s">
        <v>229</v>
      </c>
      <c r="H11" s="895" t="b">
        <f t="shared" si="0"/>
        <v>1</v>
      </c>
      <c r="I11" s="1396">
        <v>2021</v>
      </c>
      <c r="J11" s="1397">
        <v>0</v>
      </c>
      <c r="K11" s="1403">
        <v>0</v>
      </c>
      <c r="L11" s="1399">
        <v>0.5</v>
      </c>
      <c r="M11" s="1400">
        <v>1</v>
      </c>
      <c r="N11" s="1406">
        <v>0</v>
      </c>
      <c r="O11" s="1407">
        <v>350</v>
      </c>
      <c r="P11" s="497"/>
    </row>
    <row r="12" spans="1:27" x14ac:dyDescent="0.2">
      <c r="B12" s="542" t="s">
        <v>205</v>
      </c>
      <c r="C12" s="1385" t="s">
        <v>450</v>
      </c>
      <c r="D12" s="1389"/>
      <c r="E12" s="1390"/>
      <c r="F12" s="1391" t="s">
        <v>207</v>
      </c>
      <c r="G12" s="1391" t="s">
        <v>229</v>
      </c>
      <c r="H12" s="895" t="b">
        <f t="shared" si="0"/>
        <v>0</v>
      </c>
      <c r="I12" s="1396">
        <v>2021</v>
      </c>
      <c r="J12" s="1397">
        <v>0</v>
      </c>
      <c r="K12" s="1403">
        <v>0.5</v>
      </c>
      <c r="L12" s="1399">
        <v>0.5</v>
      </c>
      <c r="M12" s="1400">
        <v>1</v>
      </c>
      <c r="N12" s="1406">
        <v>0</v>
      </c>
      <c r="O12" s="1407">
        <v>350</v>
      </c>
    </row>
    <row r="13" spans="1:27" ht="15" thickBot="1" x14ac:dyDescent="0.25">
      <c r="B13" s="519" t="s">
        <v>206</v>
      </c>
      <c r="C13" s="1392"/>
      <c r="D13" s="1393"/>
      <c r="E13" s="1394"/>
      <c r="F13" s="1395" t="s">
        <v>5</v>
      </c>
      <c r="G13" s="1395" t="s">
        <v>229</v>
      </c>
      <c r="H13" s="896" t="b">
        <f t="shared" si="0"/>
        <v>0</v>
      </c>
      <c r="I13" s="1408">
        <v>2020</v>
      </c>
      <c r="J13" s="1409">
        <v>0</v>
      </c>
      <c r="K13" s="1410">
        <v>0</v>
      </c>
      <c r="L13" s="1399">
        <v>0.5</v>
      </c>
      <c r="M13" s="1400">
        <v>1</v>
      </c>
      <c r="N13" s="1413">
        <v>0</v>
      </c>
      <c r="O13" s="1414">
        <v>350</v>
      </c>
    </row>
    <row r="14" spans="1:27" ht="16" x14ac:dyDescent="0.2">
      <c r="B14" s="499"/>
      <c r="C14" s="496" t="s">
        <v>265</v>
      </c>
      <c r="D14" s="497"/>
      <c r="F14" s="497"/>
    </row>
    <row r="15" spans="1:27" ht="16" thickBot="1" x14ac:dyDescent="0.25">
      <c r="B15" s="520" t="s">
        <v>119</v>
      </c>
      <c r="C15" s="521"/>
      <c r="D15" s="497"/>
      <c r="F15" s="497"/>
    </row>
    <row r="16" spans="1:27" ht="15" thickBot="1" x14ac:dyDescent="0.25">
      <c r="B16" s="522"/>
      <c r="C16" s="521"/>
      <c r="D16" s="497"/>
      <c r="F16" s="497"/>
      <c r="T16" s="768" t="s">
        <v>230</v>
      </c>
      <c r="U16" s="496" t="s">
        <v>231</v>
      </c>
      <c r="Z16" s="901"/>
      <c r="AA16" s="496" t="s">
        <v>262</v>
      </c>
    </row>
    <row r="17" spans="1:31" s="232" customFormat="1" x14ac:dyDescent="0.2">
      <c r="A17" s="3"/>
      <c r="B17" s="231"/>
      <c r="C17" s="233"/>
      <c r="E17" s="2"/>
      <c r="F17" s="3"/>
      <c r="G17" s="5"/>
      <c r="H17" s="6"/>
      <c r="I17" s="832"/>
      <c r="J17" s="832"/>
      <c r="K17" s="6"/>
      <c r="L17" s="6"/>
      <c r="M17" s="6"/>
      <c r="N17" s="6"/>
      <c r="O17" s="6"/>
      <c r="P17" s="6"/>
      <c r="U17" s="496" t="s">
        <v>232</v>
      </c>
      <c r="AA17" s="496" t="s">
        <v>263</v>
      </c>
    </row>
    <row r="18" spans="1:31" s="232" customFormat="1" ht="15" thickBot="1" x14ac:dyDescent="0.25">
      <c r="A18" s="3"/>
      <c r="B18" s="230"/>
      <c r="C18" s="229"/>
      <c r="E18" s="2"/>
      <c r="F18" s="229"/>
      <c r="G18" s="5"/>
      <c r="H18" s="6"/>
      <c r="I18" s="832"/>
      <c r="J18" s="832"/>
      <c r="K18" s="6"/>
      <c r="L18" s="6"/>
      <c r="M18" s="6"/>
      <c r="N18" s="6"/>
      <c r="O18" s="6"/>
      <c r="P18" s="6"/>
      <c r="Z18" s="1357" t="s">
        <v>420</v>
      </c>
    </row>
    <row r="19" spans="1:31" ht="17" thickBot="1" x14ac:dyDescent="0.25">
      <c r="B19" s="747"/>
      <c r="C19" s="1530" t="s">
        <v>221</v>
      </c>
      <c r="D19" s="1531"/>
      <c r="E19" s="1531"/>
      <c r="F19" s="1531"/>
      <c r="G19" s="1531"/>
      <c r="H19" s="1531"/>
      <c r="I19" s="1531" t="s">
        <v>222</v>
      </c>
      <c r="J19" s="1531"/>
      <c r="K19" s="1531"/>
      <c r="L19" s="1531"/>
      <c r="M19" s="1532"/>
      <c r="N19" s="1533" t="s">
        <v>319</v>
      </c>
      <c r="O19" s="1534"/>
      <c r="P19" s="1534"/>
      <c r="Q19" s="1534"/>
      <c r="R19" s="1534"/>
      <c r="S19" s="1535"/>
      <c r="T19" s="1533" t="s">
        <v>320</v>
      </c>
      <c r="U19" s="1534"/>
      <c r="V19" s="1534"/>
      <c r="W19" s="1534"/>
      <c r="X19" s="1534"/>
      <c r="Y19" s="1535"/>
      <c r="Z19" s="1533" t="s">
        <v>226</v>
      </c>
      <c r="AA19" s="1534"/>
      <c r="AB19" s="1534"/>
      <c r="AC19" s="1534"/>
      <c r="AD19" s="1534"/>
      <c r="AE19" s="1535"/>
    </row>
    <row r="20" spans="1:31" ht="15" thickBot="1" x14ac:dyDescent="0.25">
      <c r="B20" s="759" t="s">
        <v>225</v>
      </c>
      <c r="C20" s="762" t="s">
        <v>69</v>
      </c>
      <c r="D20" s="748" t="s">
        <v>65</v>
      </c>
      <c r="E20" s="749" t="s">
        <v>66</v>
      </c>
      <c r="F20" s="748" t="s">
        <v>67</v>
      </c>
      <c r="G20" s="749" t="s">
        <v>205</v>
      </c>
      <c r="H20" s="748" t="s">
        <v>206</v>
      </c>
      <c r="I20" s="748" t="s">
        <v>65</v>
      </c>
      <c r="J20" s="749" t="s">
        <v>66</v>
      </c>
      <c r="K20" s="748" t="s">
        <v>67</v>
      </c>
      <c r="L20" s="749" t="s">
        <v>205</v>
      </c>
      <c r="M20" s="763" t="s">
        <v>206</v>
      </c>
      <c r="N20" s="764" t="s">
        <v>69</v>
      </c>
      <c r="O20" s="750" t="s">
        <v>65</v>
      </c>
      <c r="P20" s="751" t="s">
        <v>66</v>
      </c>
      <c r="Q20" s="750" t="s">
        <v>67</v>
      </c>
      <c r="R20" s="751" t="s">
        <v>205</v>
      </c>
      <c r="S20" s="752" t="s">
        <v>206</v>
      </c>
      <c r="T20" s="1283" t="s">
        <v>69</v>
      </c>
      <c r="U20" s="750" t="s">
        <v>65</v>
      </c>
      <c r="V20" s="751" t="s">
        <v>66</v>
      </c>
      <c r="W20" s="750" t="s">
        <v>67</v>
      </c>
      <c r="X20" s="751" t="s">
        <v>205</v>
      </c>
      <c r="Y20" s="752" t="s">
        <v>206</v>
      </c>
      <c r="Z20" s="750" t="s">
        <v>69</v>
      </c>
      <c r="AA20" s="750" t="s">
        <v>65</v>
      </c>
      <c r="AB20" s="751" t="s">
        <v>66</v>
      </c>
      <c r="AC20" s="750" t="s">
        <v>67</v>
      </c>
      <c r="AD20" s="751" t="s">
        <v>205</v>
      </c>
      <c r="AE20" s="752" t="s">
        <v>206</v>
      </c>
    </row>
    <row r="21" spans="1:31" ht="15" thickBot="1" x14ac:dyDescent="0.25">
      <c r="B21" s="760" t="s">
        <v>3</v>
      </c>
      <c r="C21" s="761"/>
      <c r="D21" s="1516" t="str">
        <f>INDEX($C$9:$C$13,MATCH(D20,$B$9:$B$13,0))</f>
        <v>Adv Conv</v>
      </c>
      <c r="E21" s="1516" t="str">
        <f t="shared" ref="E21:H21" si="1">INDEX($C$9:$C$13,MATCH(E20,$B$9:$B$13,0))</f>
        <v>HEV</v>
      </c>
      <c r="F21" s="1516" t="str">
        <f t="shared" si="1"/>
        <v>BEV</v>
      </c>
      <c r="G21" s="1516" t="str">
        <f t="shared" si="1"/>
        <v>FCEV</v>
      </c>
      <c r="H21" s="1517">
        <f t="shared" si="1"/>
        <v>0</v>
      </c>
      <c r="I21" s="1432">
        <v>0</v>
      </c>
      <c r="J21" s="1433">
        <v>0</v>
      </c>
      <c r="K21" s="1433">
        <v>0</v>
      </c>
      <c r="L21" s="1433">
        <v>0</v>
      </c>
      <c r="M21" s="1434">
        <v>0</v>
      </c>
      <c r="N21" s="753"/>
      <c r="O21" s="1516" t="str">
        <f>INDEX($C$9:$C$13,MATCH(O20,$B$9:$B$13,0))</f>
        <v>Adv Conv</v>
      </c>
      <c r="P21" s="1516" t="str">
        <f t="shared" ref="P21:S21" si="2">INDEX($C$9:$C$13,MATCH(P20,$B$9:$B$13,0))</f>
        <v>HEV</v>
      </c>
      <c r="Q21" s="1516" t="str">
        <f t="shared" si="2"/>
        <v>BEV</v>
      </c>
      <c r="R21" s="1516" t="str">
        <f t="shared" si="2"/>
        <v>FCEV</v>
      </c>
      <c r="S21" s="1517">
        <f t="shared" si="2"/>
        <v>0</v>
      </c>
      <c r="T21" s="754"/>
      <c r="U21" s="1516" t="str">
        <f>INDEX($C$9:$C$13,MATCH(U20,$B$9:$B$13,0))</f>
        <v>Adv Conv</v>
      </c>
      <c r="V21" s="1516" t="str">
        <f t="shared" ref="V21:Y21" si="3">INDEX($C$9:$C$13,MATCH(V20,$B$9:$B$13,0))</f>
        <v>HEV</v>
      </c>
      <c r="W21" s="1516" t="str">
        <f t="shared" si="3"/>
        <v>BEV</v>
      </c>
      <c r="X21" s="1516" t="str">
        <f t="shared" si="3"/>
        <v>FCEV</v>
      </c>
      <c r="Y21" s="1517">
        <f t="shared" si="3"/>
        <v>0</v>
      </c>
      <c r="Z21" s="753"/>
      <c r="AA21" s="1516" t="str">
        <f>INDEX($C$9:$C$13,MATCH(AA20,$B$9:$B$13,0))</f>
        <v>Adv Conv</v>
      </c>
      <c r="AB21" s="1516" t="str">
        <f t="shared" ref="AB21:AE21" si="4">INDEX($C$9:$C$13,MATCH(AB20,$B$9:$B$13,0))</f>
        <v>HEV</v>
      </c>
      <c r="AC21" s="1516" t="str">
        <f t="shared" si="4"/>
        <v>BEV</v>
      </c>
      <c r="AD21" s="1516" t="str">
        <f t="shared" si="4"/>
        <v>FCEV</v>
      </c>
      <c r="AE21" s="1517">
        <f t="shared" si="4"/>
        <v>0</v>
      </c>
    </row>
    <row r="22" spans="1:31" x14ac:dyDescent="0.2">
      <c r="B22" s="527">
        <v>2007</v>
      </c>
      <c r="C22" s="1417">
        <v>156000</v>
      </c>
      <c r="D22" s="1418">
        <f t="shared" ref="D22:H24" si="5">D23</f>
        <v>1000000</v>
      </c>
      <c r="E22" s="1418">
        <f t="shared" si="5"/>
        <v>1000000</v>
      </c>
      <c r="F22" s="1418">
        <f t="shared" si="5"/>
        <v>1000000</v>
      </c>
      <c r="G22" s="1418">
        <f t="shared" si="5"/>
        <v>1000000</v>
      </c>
      <c r="H22" s="1419">
        <f t="shared" si="5"/>
        <v>1000000</v>
      </c>
      <c r="I22" s="1358">
        <f>D22*I$21</f>
        <v>0</v>
      </c>
      <c r="J22" s="528">
        <f t="shared" ref="J22:K37" si="6">E22*J$21</f>
        <v>0</v>
      </c>
      <c r="K22" s="528">
        <f t="shared" si="6"/>
        <v>0</v>
      </c>
      <c r="L22" s="528">
        <f t="shared" ref="L22:M37" si="7">G22*L$21</f>
        <v>0</v>
      </c>
      <c r="M22" s="1363">
        <f t="shared" si="7"/>
        <v>0</v>
      </c>
      <c r="N22" s="1435">
        <v>5.9278738513698928</v>
      </c>
      <c r="O22" s="1436">
        <f t="shared" ref="O22:W24" si="8">O23</f>
        <v>1</v>
      </c>
      <c r="P22" s="1436">
        <f t="shared" si="8"/>
        <v>1</v>
      </c>
      <c r="Q22" s="1436">
        <f t="shared" si="8"/>
        <v>1</v>
      </c>
      <c r="R22" s="1436">
        <f t="shared" si="8"/>
        <v>1</v>
      </c>
      <c r="S22" s="1437">
        <f t="shared" si="8"/>
        <v>1</v>
      </c>
      <c r="T22" s="1438">
        <f t="shared" si="8"/>
        <v>1</v>
      </c>
      <c r="U22" s="1439">
        <f t="shared" si="8"/>
        <v>1</v>
      </c>
      <c r="V22" s="1439">
        <f t="shared" si="8"/>
        <v>1</v>
      </c>
      <c r="W22" s="1439">
        <f t="shared" si="8"/>
        <v>1</v>
      </c>
      <c r="X22" s="1439">
        <f t="shared" ref="X22:AE24" si="9">X23</f>
        <v>1</v>
      </c>
      <c r="Y22" s="1440">
        <f t="shared" si="9"/>
        <v>1</v>
      </c>
      <c r="Z22" s="1438">
        <f t="shared" si="9"/>
        <v>0</v>
      </c>
      <c r="AA22" s="1439">
        <f t="shared" si="9"/>
        <v>0</v>
      </c>
      <c r="AB22" s="1439">
        <f t="shared" si="9"/>
        <v>0</v>
      </c>
      <c r="AC22" s="1439">
        <f t="shared" si="9"/>
        <v>0</v>
      </c>
      <c r="AD22" s="1439">
        <f t="shared" si="9"/>
        <v>0</v>
      </c>
      <c r="AE22" s="1440">
        <f t="shared" si="9"/>
        <v>0</v>
      </c>
    </row>
    <row r="23" spans="1:31" x14ac:dyDescent="0.2">
      <c r="B23" s="523">
        <v>2008</v>
      </c>
      <c r="C23" s="1420">
        <v>156000</v>
      </c>
      <c r="D23" s="1421">
        <f t="shared" si="5"/>
        <v>1000000</v>
      </c>
      <c r="E23" s="1421">
        <f t="shared" si="5"/>
        <v>1000000</v>
      </c>
      <c r="F23" s="1421">
        <f t="shared" si="5"/>
        <v>1000000</v>
      </c>
      <c r="G23" s="1421">
        <f t="shared" si="5"/>
        <v>1000000</v>
      </c>
      <c r="H23" s="1422">
        <f t="shared" si="5"/>
        <v>1000000</v>
      </c>
      <c r="I23" s="1359">
        <f t="shared" ref="I23:I65" si="10">D23*I$21</f>
        <v>0</v>
      </c>
      <c r="J23" s="524">
        <f t="shared" ref="J23:J65" si="11">E23*J$21</f>
        <v>0</v>
      </c>
      <c r="K23" s="524">
        <f t="shared" si="6"/>
        <v>0</v>
      </c>
      <c r="L23" s="524">
        <f t="shared" si="7"/>
        <v>0</v>
      </c>
      <c r="M23" s="1364">
        <f t="shared" si="7"/>
        <v>0</v>
      </c>
      <c r="N23" s="1441">
        <v>5.9278738513698928</v>
      </c>
      <c r="O23" s="1442">
        <f t="shared" si="8"/>
        <v>1</v>
      </c>
      <c r="P23" s="1442">
        <f t="shared" si="8"/>
        <v>1</v>
      </c>
      <c r="Q23" s="1442">
        <f t="shared" si="8"/>
        <v>1</v>
      </c>
      <c r="R23" s="1442">
        <f t="shared" si="8"/>
        <v>1</v>
      </c>
      <c r="S23" s="1443">
        <f t="shared" si="8"/>
        <v>1</v>
      </c>
      <c r="T23" s="1444">
        <f t="shared" si="8"/>
        <v>1</v>
      </c>
      <c r="U23" s="1445">
        <f t="shared" si="8"/>
        <v>1</v>
      </c>
      <c r="V23" s="1445">
        <f t="shared" si="8"/>
        <v>1</v>
      </c>
      <c r="W23" s="1445">
        <f t="shared" si="8"/>
        <v>1</v>
      </c>
      <c r="X23" s="1445">
        <f t="shared" si="9"/>
        <v>1</v>
      </c>
      <c r="Y23" s="1446">
        <f t="shared" si="9"/>
        <v>1</v>
      </c>
      <c r="Z23" s="1444">
        <f t="shared" si="9"/>
        <v>0</v>
      </c>
      <c r="AA23" s="1445">
        <f t="shared" si="9"/>
        <v>0</v>
      </c>
      <c r="AB23" s="1445">
        <f t="shared" si="9"/>
        <v>0</v>
      </c>
      <c r="AC23" s="1445">
        <f t="shared" si="9"/>
        <v>0</v>
      </c>
      <c r="AD23" s="1445">
        <f t="shared" si="9"/>
        <v>0</v>
      </c>
      <c r="AE23" s="1446">
        <f t="shared" si="9"/>
        <v>0</v>
      </c>
    </row>
    <row r="24" spans="1:31" x14ac:dyDescent="0.2">
      <c r="B24" s="523">
        <v>2009</v>
      </c>
      <c r="C24" s="1420">
        <v>156000</v>
      </c>
      <c r="D24" s="1421">
        <f t="shared" si="5"/>
        <v>1000000</v>
      </c>
      <c r="E24" s="1421">
        <f t="shared" si="5"/>
        <v>1000000</v>
      </c>
      <c r="F24" s="1421">
        <f t="shared" si="5"/>
        <v>1000000</v>
      </c>
      <c r="G24" s="1421">
        <f t="shared" si="5"/>
        <v>1000000</v>
      </c>
      <c r="H24" s="1422">
        <f t="shared" si="5"/>
        <v>1000000</v>
      </c>
      <c r="I24" s="1359">
        <f t="shared" si="10"/>
        <v>0</v>
      </c>
      <c r="J24" s="524">
        <f t="shared" si="11"/>
        <v>0</v>
      </c>
      <c r="K24" s="524">
        <f t="shared" si="6"/>
        <v>0</v>
      </c>
      <c r="L24" s="524">
        <f t="shared" si="7"/>
        <v>0</v>
      </c>
      <c r="M24" s="1364">
        <f t="shared" si="7"/>
        <v>0</v>
      </c>
      <c r="N24" s="1441">
        <v>5.9278738513698928</v>
      </c>
      <c r="O24" s="1442">
        <f t="shared" si="8"/>
        <v>1</v>
      </c>
      <c r="P24" s="1442">
        <f t="shared" si="8"/>
        <v>1</v>
      </c>
      <c r="Q24" s="1442">
        <f t="shared" si="8"/>
        <v>1</v>
      </c>
      <c r="R24" s="1442">
        <f t="shared" si="8"/>
        <v>1</v>
      </c>
      <c r="S24" s="1443">
        <f t="shared" si="8"/>
        <v>1</v>
      </c>
      <c r="T24" s="1444">
        <f t="shared" si="8"/>
        <v>1</v>
      </c>
      <c r="U24" s="1445">
        <f t="shared" si="8"/>
        <v>1</v>
      </c>
      <c r="V24" s="1445">
        <f t="shared" si="8"/>
        <v>1</v>
      </c>
      <c r="W24" s="1445">
        <f t="shared" si="8"/>
        <v>1</v>
      </c>
      <c r="X24" s="1445">
        <f t="shared" si="9"/>
        <v>1</v>
      </c>
      <c r="Y24" s="1446">
        <f t="shared" si="9"/>
        <v>1</v>
      </c>
      <c r="Z24" s="1444">
        <f t="shared" si="9"/>
        <v>0</v>
      </c>
      <c r="AA24" s="1445">
        <f t="shared" si="9"/>
        <v>0</v>
      </c>
      <c r="AB24" s="1445">
        <f t="shared" si="9"/>
        <v>0</v>
      </c>
      <c r="AC24" s="1445">
        <f t="shared" si="9"/>
        <v>0</v>
      </c>
      <c r="AD24" s="1445">
        <f t="shared" si="9"/>
        <v>0</v>
      </c>
      <c r="AE24" s="1446">
        <f t="shared" si="9"/>
        <v>0</v>
      </c>
    </row>
    <row r="25" spans="1:31" ht="15" thickBot="1" x14ac:dyDescent="0.25">
      <c r="B25" s="525">
        <v>2010</v>
      </c>
      <c r="C25" s="1423">
        <v>156000</v>
      </c>
      <c r="D25" s="1424">
        <v>1000000</v>
      </c>
      <c r="E25" s="1424">
        <v>1000000</v>
      </c>
      <c r="F25" s="1424">
        <v>1000000</v>
      </c>
      <c r="G25" s="1424">
        <v>1000000</v>
      </c>
      <c r="H25" s="1425">
        <v>1000000</v>
      </c>
      <c r="I25" s="1360">
        <f t="shared" si="10"/>
        <v>0</v>
      </c>
      <c r="J25" s="526">
        <f t="shared" si="11"/>
        <v>0</v>
      </c>
      <c r="K25" s="526">
        <f t="shared" si="6"/>
        <v>0</v>
      </c>
      <c r="L25" s="526">
        <f t="shared" si="7"/>
        <v>0</v>
      </c>
      <c r="M25" s="1365">
        <f t="shared" si="7"/>
        <v>0</v>
      </c>
      <c r="N25" s="1447">
        <v>5.6529804659012148</v>
      </c>
      <c r="O25" s="1448">
        <v>1</v>
      </c>
      <c r="P25" s="1448">
        <v>1</v>
      </c>
      <c r="Q25" s="1448">
        <v>1</v>
      </c>
      <c r="R25" s="1448">
        <v>1</v>
      </c>
      <c r="S25" s="1449">
        <v>1</v>
      </c>
      <c r="T25" s="1450">
        <v>1</v>
      </c>
      <c r="U25" s="1451">
        <v>1</v>
      </c>
      <c r="V25" s="1451">
        <v>1</v>
      </c>
      <c r="W25" s="1451">
        <v>1</v>
      </c>
      <c r="X25" s="1451">
        <v>1</v>
      </c>
      <c r="Y25" s="1452">
        <v>1</v>
      </c>
      <c r="Z25" s="1450">
        <v>0</v>
      </c>
      <c r="AA25" s="1451">
        <v>0</v>
      </c>
      <c r="AB25" s="1451">
        <v>0</v>
      </c>
      <c r="AC25" s="1451">
        <v>0</v>
      </c>
      <c r="AD25" s="1451">
        <v>0</v>
      </c>
      <c r="AE25" s="1452">
        <v>0</v>
      </c>
    </row>
    <row r="26" spans="1:31" x14ac:dyDescent="0.2">
      <c r="B26" s="527">
        <v>2011</v>
      </c>
      <c r="C26" s="1426">
        <v>156000</v>
      </c>
      <c r="D26" s="1427">
        <v>1000000</v>
      </c>
      <c r="E26" s="1427">
        <v>1000000</v>
      </c>
      <c r="F26" s="1427">
        <v>1000000</v>
      </c>
      <c r="G26" s="1427">
        <v>1000000</v>
      </c>
      <c r="H26" s="1428">
        <v>1000000</v>
      </c>
      <c r="I26" s="1358">
        <f t="shared" si="10"/>
        <v>0</v>
      </c>
      <c r="J26" s="528">
        <f t="shared" si="11"/>
        <v>0</v>
      </c>
      <c r="K26" s="528">
        <f t="shared" si="6"/>
        <v>0</v>
      </c>
      <c r="L26" s="528">
        <f t="shared" si="7"/>
        <v>0</v>
      </c>
      <c r="M26" s="1363">
        <f t="shared" si="7"/>
        <v>0</v>
      </c>
      <c r="N26" s="1453">
        <v>5.7697883792198912</v>
      </c>
      <c r="O26" s="1454">
        <v>1</v>
      </c>
      <c r="P26" s="1454">
        <v>1</v>
      </c>
      <c r="Q26" s="1454">
        <v>1</v>
      </c>
      <c r="R26" s="1454">
        <v>1</v>
      </c>
      <c r="S26" s="1455">
        <v>1</v>
      </c>
      <c r="T26" s="1456">
        <v>1</v>
      </c>
      <c r="U26" s="1457">
        <v>1</v>
      </c>
      <c r="V26" s="1457">
        <v>1</v>
      </c>
      <c r="W26" s="1457">
        <v>1</v>
      </c>
      <c r="X26" s="1457">
        <v>1</v>
      </c>
      <c r="Y26" s="1458">
        <v>1</v>
      </c>
      <c r="Z26" s="1456">
        <v>0</v>
      </c>
      <c r="AA26" s="1457">
        <v>0</v>
      </c>
      <c r="AB26" s="1457">
        <v>0</v>
      </c>
      <c r="AC26" s="1457">
        <v>0</v>
      </c>
      <c r="AD26" s="1457">
        <v>0</v>
      </c>
      <c r="AE26" s="1458">
        <v>0</v>
      </c>
    </row>
    <row r="27" spans="1:31" x14ac:dyDescent="0.2">
      <c r="B27" s="523">
        <v>2012</v>
      </c>
      <c r="C27" s="1420">
        <v>156000</v>
      </c>
      <c r="D27" s="1421">
        <v>1000000</v>
      </c>
      <c r="E27" s="1421">
        <v>1000000</v>
      </c>
      <c r="F27" s="1421">
        <v>1000000</v>
      </c>
      <c r="G27" s="1421">
        <v>1000000</v>
      </c>
      <c r="H27" s="1422">
        <v>1000000</v>
      </c>
      <c r="I27" s="1359">
        <f t="shared" si="10"/>
        <v>0</v>
      </c>
      <c r="J27" s="524">
        <f t="shared" si="11"/>
        <v>0</v>
      </c>
      <c r="K27" s="524">
        <f t="shared" si="6"/>
        <v>0</v>
      </c>
      <c r="L27" s="524">
        <f t="shared" si="7"/>
        <v>0</v>
      </c>
      <c r="M27" s="1364">
        <f t="shared" si="7"/>
        <v>0</v>
      </c>
      <c r="N27" s="1441">
        <v>5.8156338758937807</v>
      </c>
      <c r="O27" s="1442">
        <v>1</v>
      </c>
      <c r="P27" s="1442">
        <v>1</v>
      </c>
      <c r="Q27" s="1442">
        <v>1</v>
      </c>
      <c r="R27" s="1442">
        <v>1</v>
      </c>
      <c r="S27" s="1443">
        <v>1</v>
      </c>
      <c r="T27" s="1444">
        <v>1</v>
      </c>
      <c r="U27" s="1445">
        <v>1</v>
      </c>
      <c r="V27" s="1445">
        <v>1</v>
      </c>
      <c r="W27" s="1445">
        <v>1</v>
      </c>
      <c r="X27" s="1445">
        <v>1</v>
      </c>
      <c r="Y27" s="1446">
        <v>1</v>
      </c>
      <c r="Z27" s="1444">
        <v>0</v>
      </c>
      <c r="AA27" s="1445">
        <v>0</v>
      </c>
      <c r="AB27" s="1445">
        <v>0</v>
      </c>
      <c r="AC27" s="1445">
        <v>0</v>
      </c>
      <c r="AD27" s="1445">
        <v>0</v>
      </c>
      <c r="AE27" s="1446">
        <v>0</v>
      </c>
    </row>
    <row r="28" spans="1:31" x14ac:dyDescent="0.2">
      <c r="B28" s="523">
        <v>2013</v>
      </c>
      <c r="C28" s="1420">
        <v>156000</v>
      </c>
      <c r="D28" s="1421">
        <v>1000000</v>
      </c>
      <c r="E28" s="1421">
        <v>1000000</v>
      </c>
      <c r="F28" s="1421">
        <v>1000000</v>
      </c>
      <c r="G28" s="1421">
        <v>1000000</v>
      </c>
      <c r="H28" s="1422">
        <v>1000000</v>
      </c>
      <c r="I28" s="1359">
        <f t="shared" si="10"/>
        <v>0</v>
      </c>
      <c r="J28" s="524">
        <f t="shared" si="11"/>
        <v>0</v>
      </c>
      <c r="K28" s="524">
        <f t="shared" si="6"/>
        <v>0</v>
      </c>
      <c r="L28" s="524">
        <f t="shared" si="7"/>
        <v>0</v>
      </c>
      <c r="M28" s="1364">
        <f t="shared" si="7"/>
        <v>0</v>
      </c>
      <c r="N28" s="1441">
        <v>5.9244625288706905</v>
      </c>
      <c r="O28" s="1442">
        <v>1</v>
      </c>
      <c r="P28" s="1442">
        <v>1</v>
      </c>
      <c r="Q28" s="1442">
        <v>1</v>
      </c>
      <c r="R28" s="1442">
        <v>1</v>
      </c>
      <c r="S28" s="1443">
        <v>1</v>
      </c>
      <c r="T28" s="1444">
        <v>1</v>
      </c>
      <c r="U28" s="1445">
        <v>1</v>
      </c>
      <c r="V28" s="1445">
        <v>1</v>
      </c>
      <c r="W28" s="1445">
        <v>1</v>
      </c>
      <c r="X28" s="1445">
        <v>1</v>
      </c>
      <c r="Y28" s="1446">
        <v>1</v>
      </c>
      <c r="Z28" s="1444">
        <v>0</v>
      </c>
      <c r="AA28" s="1445">
        <v>0</v>
      </c>
      <c r="AB28" s="1445">
        <v>0</v>
      </c>
      <c r="AC28" s="1445">
        <v>0</v>
      </c>
      <c r="AD28" s="1445">
        <v>0</v>
      </c>
      <c r="AE28" s="1446">
        <v>0</v>
      </c>
    </row>
    <row r="29" spans="1:31" x14ac:dyDescent="0.2">
      <c r="B29" s="523">
        <v>2014</v>
      </c>
      <c r="C29" s="1420">
        <v>156000</v>
      </c>
      <c r="D29" s="1421">
        <v>1000000</v>
      </c>
      <c r="E29" s="1421">
        <v>1000000</v>
      </c>
      <c r="F29" s="1421">
        <v>1000000</v>
      </c>
      <c r="G29" s="1421">
        <v>1000000</v>
      </c>
      <c r="H29" s="1422">
        <v>1000000</v>
      </c>
      <c r="I29" s="1359">
        <f t="shared" si="10"/>
        <v>0</v>
      </c>
      <c r="J29" s="524">
        <f t="shared" si="11"/>
        <v>0</v>
      </c>
      <c r="K29" s="524">
        <f t="shared" si="6"/>
        <v>0</v>
      </c>
      <c r="L29" s="524">
        <f t="shared" si="7"/>
        <v>0</v>
      </c>
      <c r="M29" s="1364">
        <f t="shared" si="7"/>
        <v>0</v>
      </c>
      <c r="N29" s="1441">
        <v>6.0583595281689906</v>
      </c>
      <c r="O29" s="1442">
        <v>1</v>
      </c>
      <c r="P29" s="1442">
        <v>1</v>
      </c>
      <c r="Q29" s="1442">
        <v>1</v>
      </c>
      <c r="R29" s="1442">
        <v>1</v>
      </c>
      <c r="S29" s="1443">
        <v>1</v>
      </c>
      <c r="T29" s="1444">
        <v>1</v>
      </c>
      <c r="U29" s="1445">
        <v>1</v>
      </c>
      <c r="V29" s="1445">
        <v>1</v>
      </c>
      <c r="W29" s="1445">
        <v>1</v>
      </c>
      <c r="X29" s="1445">
        <v>1</v>
      </c>
      <c r="Y29" s="1446">
        <v>1</v>
      </c>
      <c r="Z29" s="1444">
        <v>0</v>
      </c>
      <c r="AA29" s="1445">
        <v>0</v>
      </c>
      <c r="AB29" s="1445">
        <v>0</v>
      </c>
      <c r="AC29" s="1445">
        <v>0</v>
      </c>
      <c r="AD29" s="1445">
        <v>0</v>
      </c>
      <c r="AE29" s="1446">
        <v>0</v>
      </c>
    </row>
    <row r="30" spans="1:31" ht="15" thickBot="1" x14ac:dyDescent="0.25">
      <c r="B30" s="525">
        <v>2015</v>
      </c>
      <c r="C30" s="1423">
        <v>156000</v>
      </c>
      <c r="D30" s="1424">
        <v>1000000</v>
      </c>
      <c r="E30" s="1424">
        <v>1000000</v>
      </c>
      <c r="F30" s="1424">
        <v>1000000</v>
      </c>
      <c r="G30" s="1424">
        <v>1000000</v>
      </c>
      <c r="H30" s="1425">
        <v>1000000</v>
      </c>
      <c r="I30" s="1360">
        <f t="shared" si="10"/>
        <v>0</v>
      </c>
      <c r="J30" s="526">
        <f t="shared" si="11"/>
        <v>0</v>
      </c>
      <c r="K30" s="526">
        <f t="shared" si="6"/>
        <v>0</v>
      </c>
      <c r="L30" s="526">
        <f t="shared" si="7"/>
        <v>0</v>
      </c>
      <c r="M30" s="1365">
        <f t="shared" si="7"/>
        <v>0</v>
      </c>
      <c r="N30" s="1447">
        <v>6.1703756815216178</v>
      </c>
      <c r="O30" s="1448">
        <v>1</v>
      </c>
      <c r="P30" s="1448">
        <v>1</v>
      </c>
      <c r="Q30" s="1459">
        <v>1</v>
      </c>
      <c r="R30" s="1459">
        <v>1</v>
      </c>
      <c r="S30" s="1460">
        <v>1</v>
      </c>
      <c r="T30" s="1450">
        <v>1</v>
      </c>
      <c r="U30" s="1451">
        <v>1</v>
      </c>
      <c r="V30" s="1451">
        <v>1</v>
      </c>
      <c r="W30" s="1451">
        <v>1</v>
      </c>
      <c r="X30" s="1451">
        <v>1</v>
      </c>
      <c r="Y30" s="1452">
        <v>1</v>
      </c>
      <c r="Z30" s="1450">
        <v>0</v>
      </c>
      <c r="AA30" s="1451">
        <v>0</v>
      </c>
      <c r="AB30" s="1451">
        <v>0</v>
      </c>
      <c r="AC30" s="1451">
        <v>0</v>
      </c>
      <c r="AD30" s="1451">
        <v>0</v>
      </c>
      <c r="AE30" s="1452">
        <v>0</v>
      </c>
    </row>
    <row r="31" spans="1:31" x14ac:dyDescent="0.2">
      <c r="B31" s="527">
        <v>2016</v>
      </c>
      <c r="C31" s="1426">
        <v>156000</v>
      </c>
      <c r="D31" s="1427">
        <v>1000000</v>
      </c>
      <c r="E31" s="1427">
        <v>1000000</v>
      </c>
      <c r="F31" s="1427">
        <v>1000000</v>
      </c>
      <c r="G31" s="1427">
        <v>1000000</v>
      </c>
      <c r="H31" s="1428">
        <v>1000000</v>
      </c>
      <c r="I31" s="1358">
        <f t="shared" si="10"/>
        <v>0</v>
      </c>
      <c r="J31" s="528">
        <f t="shared" si="11"/>
        <v>0</v>
      </c>
      <c r="K31" s="528">
        <f t="shared" si="6"/>
        <v>0</v>
      </c>
      <c r="L31" s="528">
        <f t="shared" si="7"/>
        <v>0</v>
      </c>
      <c r="M31" s="1363">
        <f t="shared" si="7"/>
        <v>0</v>
      </c>
      <c r="N31" s="1453">
        <v>6.2992037959414615</v>
      </c>
      <c r="O31" s="1442">
        <v>1</v>
      </c>
      <c r="P31" s="1442">
        <v>1</v>
      </c>
      <c r="Q31" s="1461">
        <v>1</v>
      </c>
      <c r="R31" s="1461">
        <v>1</v>
      </c>
      <c r="S31" s="1462">
        <v>1</v>
      </c>
      <c r="T31" s="1456">
        <v>1</v>
      </c>
      <c r="U31" s="1457">
        <v>1</v>
      </c>
      <c r="V31" s="1457">
        <v>1</v>
      </c>
      <c r="W31" s="1457">
        <v>1</v>
      </c>
      <c r="X31" s="1457">
        <v>1</v>
      </c>
      <c r="Y31" s="1458">
        <v>1</v>
      </c>
      <c r="Z31" s="1456">
        <v>0</v>
      </c>
      <c r="AA31" s="1457">
        <v>0</v>
      </c>
      <c r="AB31" s="1457">
        <v>0</v>
      </c>
      <c r="AC31" s="1457">
        <v>0</v>
      </c>
      <c r="AD31" s="1457">
        <v>0</v>
      </c>
      <c r="AE31" s="1458">
        <v>0</v>
      </c>
    </row>
    <row r="32" spans="1:31" x14ac:dyDescent="0.2">
      <c r="B32" s="523">
        <v>2017</v>
      </c>
      <c r="C32" s="1420">
        <v>156000</v>
      </c>
      <c r="D32" s="1421">
        <v>1000000</v>
      </c>
      <c r="E32" s="1421">
        <v>1000000</v>
      </c>
      <c r="F32" s="1421">
        <v>1000000</v>
      </c>
      <c r="G32" s="1421">
        <v>1000000</v>
      </c>
      <c r="H32" s="1422">
        <v>1000000</v>
      </c>
      <c r="I32" s="1359">
        <f t="shared" si="10"/>
        <v>0</v>
      </c>
      <c r="J32" s="524">
        <f t="shared" si="11"/>
        <v>0</v>
      </c>
      <c r="K32" s="524">
        <f t="shared" si="6"/>
        <v>0</v>
      </c>
      <c r="L32" s="524">
        <f t="shared" si="7"/>
        <v>0</v>
      </c>
      <c r="M32" s="1364">
        <f t="shared" si="7"/>
        <v>0</v>
      </c>
      <c r="N32" s="1441">
        <v>6.429880170141046</v>
      </c>
      <c r="O32" s="1442">
        <v>1</v>
      </c>
      <c r="P32" s="1442">
        <v>1</v>
      </c>
      <c r="Q32" s="1461">
        <v>1</v>
      </c>
      <c r="R32" s="1461">
        <v>1</v>
      </c>
      <c r="S32" s="1462">
        <v>1</v>
      </c>
      <c r="T32" s="1444">
        <v>1</v>
      </c>
      <c r="U32" s="1445">
        <v>1</v>
      </c>
      <c r="V32" s="1445">
        <v>1</v>
      </c>
      <c r="W32" s="1445">
        <v>1</v>
      </c>
      <c r="X32" s="1445">
        <v>1</v>
      </c>
      <c r="Y32" s="1446">
        <v>1</v>
      </c>
      <c r="Z32" s="1444">
        <v>0</v>
      </c>
      <c r="AA32" s="1445">
        <v>0</v>
      </c>
      <c r="AB32" s="1445">
        <v>0</v>
      </c>
      <c r="AC32" s="1445">
        <v>0</v>
      </c>
      <c r="AD32" s="1445">
        <v>0</v>
      </c>
      <c r="AE32" s="1446">
        <v>0</v>
      </c>
    </row>
    <row r="33" spans="2:80" x14ac:dyDescent="0.2">
      <c r="B33" s="523">
        <v>2018</v>
      </c>
      <c r="C33" s="1420">
        <f>C32+1900</f>
        <v>157900</v>
      </c>
      <c r="D33" s="1421">
        <v>1000000</v>
      </c>
      <c r="E33" s="1421">
        <v>1000000</v>
      </c>
      <c r="F33" s="1421">
        <v>1000000</v>
      </c>
      <c r="G33" s="1421">
        <v>1000000</v>
      </c>
      <c r="H33" s="1422">
        <v>1000000</v>
      </c>
      <c r="I33" s="1359">
        <f t="shared" si="10"/>
        <v>0</v>
      </c>
      <c r="J33" s="524">
        <f t="shared" si="11"/>
        <v>0</v>
      </c>
      <c r="K33" s="524">
        <f t="shared" si="6"/>
        <v>0</v>
      </c>
      <c r="L33" s="524">
        <f t="shared" si="7"/>
        <v>0</v>
      </c>
      <c r="M33" s="1364">
        <f t="shared" si="7"/>
        <v>0</v>
      </c>
      <c r="N33" s="1441">
        <v>6.3927777584473002</v>
      </c>
      <c r="O33" s="1442">
        <v>1</v>
      </c>
      <c r="P33" s="1442">
        <v>1</v>
      </c>
      <c r="Q33" s="1461">
        <v>1</v>
      </c>
      <c r="R33" s="1461">
        <v>1</v>
      </c>
      <c r="S33" s="1462">
        <v>1</v>
      </c>
      <c r="T33" s="1444">
        <v>1</v>
      </c>
      <c r="U33" s="1445">
        <v>1</v>
      </c>
      <c r="V33" s="1445">
        <v>1</v>
      </c>
      <c r="W33" s="1445">
        <v>1</v>
      </c>
      <c r="X33" s="1445">
        <v>1</v>
      </c>
      <c r="Y33" s="1446">
        <v>1</v>
      </c>
      <c r="Z33" s="1444">
        <v>0</v>
      </c>
      <c r="AA33" s="1445">
        <v>0</v>
      </c>
      <c r="AB33" s="1445">
        <v>0</v>
      </c>
      <c r="AC33" s="1445">
        <v>0</v>
      </c>
      <c r="AD33" s="1445">
        <v>0</v>
      </c>
      <c r="AE33" s="1446">
        <v>0</v>
      </c>
    </row>
    <row r="34" spans="2:80" x14ac:dyDescent="0.2">
      <c r="B34" s="523">
        <v>2019</v>
      </c>
      <c r="C34" s="1420">
        <f>C32+3700</f>
        <v>159700</v>
      </c>
      <c r="D34" s="1421">
        <v>1000000</v>
      </c>
      <c r="E34" s="1421">
        <v>1000000</v>
      </c>
      <c r="F34" s="1421">
        <v>1000000</v>
      </c>
      <c r="G34" s="1421">
        <v>1000000</v>
      </c>
      <c r="H34" s="1422">
        <v>1000000</v>
      </c>
      <c r="I34" s="1359">
        <f t="shared" si="10"/>
        <v>0</v>
      </c>
      <c r="J34" s="524">
        <f t="shared" si="11"/>
        <v>0</v>
      </c>
      <c r="K34" s="524">
        <f t="shared" si="6"/>
        <v>0</v>
      </c>
      <c r="L34" s="524">
        <f t="shared" si="7"/>
        <v>0</v>
      </c>
      <c r="M34" s="1364">
        <f t="shared" si="7"/>
        <v>0</v>
      </c>
      <c r="N34" s="1441">
        <v>6.4333520263174488</v>
      </c>
      <c r="O34" s="1442">
        <v>1</v>
      </c>
      <c r="P34" s="1442">
        <v>1</v>
      </c>
      <c r="Q34" s="1461">
        <v>1</v>
      </c>
      <c r="R34" s="1461">
        <v>1</v>
      </c>
      <c r="S34" s="1462">
        <v>1</v>
      </c>
      <c r="T34" s="1444">
        <v>1</v>
      </c>
      <c r="U34" s="1445">
        <v>1</v>
      </c>
      <c r="V34" s="1445">
        <v>1</v>
      </c>
      <c r="W34" s="1445">
        <v>1</v>
      </c>
      <c r="X34" s="1445">
        <v>1</v>
      </c>
      <c r="Y34" s="1446">
        <v>1</v>
      </c>
      <c r="Z34" s="1444">
        <v>0</v>
      </c>
      <c r="AA34" s="1445">
        <v>0</v>
      </c>
      <c r="AB34" s="1445">
        <v>0</v>
      </c>
      <c r="AC34" s="1445">
        <v>0</v>
      </c>
      <c r="AD34" s="1445">
        <v>0</v>
      </c>
      <c r="AE34" s="1446">
        <v>0</v>
      </c>
      <c r="BP34"/>
      <c r="BQ34"/>
      <c r="BR34"/>
      <c r="BS34"/>
      <c r="BT34"/>
      <c r="BU34"/>
      <c r="BV34"/>
      <c r="BW34"/>
      <c r="BX34"/>
      <c r="BY34"/>
      <c r="BZ34"/>
      <c r="CA34"/>
      <c r="CB34"/>
    </row>
    <row r="35" spans="2:80" ht="15" thickBot="1" x14ac:dyDescent="0.25">
      <c r="B35" s="525">
        <v>2020</v>
      </c>
      <c r="C35" s="1423">
        <f>C32+5500</f>
        <v>161500</v>
      </c>
      <c r="D35" s="1424">
        <v>1000000</v>
      </c>
      <c r="E35" s="1424">
        <v>1000000</v>
      </c>
      <c r="F35" s="1424">
        <v>1000000</v>
      </c>
      <c r="G35" s="1424">
        <v>1000000</v>
      </c>
      <c r="H35" s="1425">
        <v>1000000</v>
      </c>
      <c r="I35" s="1360">
        <f t="shared" si="10"/>
        <v>0</v>
      </c>
      <c r="J35" s="526">
        <f t="shared" si="11"/>
        <v>0</v>
      </c>
      <c r="K35" s="526">
        <f t="shared" si="6"/>
        <v>0</v>
      </c>
      <c r="L35" s="526">
        <f t="shared" si="7"/>
        <v>0</v>
      </c>
      <c r="M35" s="1365">
        <f t="shared" si="7"/>
        <v>0</v>
      </c>
      <c r="N35" s="1447">
        <v>6.4864337636120455</v>
      </c>
      <c r="O35" s="1448">
        <v>1</v>
      </c>
      <c r="P35" s="1448">
        <v>1</v>
      </c>
      <c r="Q35" s="1459">
        <v>1</v>
      </c>
      <c r="R35" s="1459">
        <v>1</v>
      </c>
      <c r="S35" s="1460">
        <v>1</v>
      </c>
      <c r="T35" s="1450">
        <v>1</v>
      </c>
      <c r="U35" s="1451">
        <v>1</v>
      </c>
      <c r="V35" s="1451">
        <v>1</v>
      </c>
      <c r="W35" s="1451">
        <v>1</v>
      </c>
      <c r="X35" s="1451">
        <v>1</v>
      </c>
      <c r="Y35" s="1452">
        <v>1</v>
      </c>
      <c r="Z35" s="1450">
        <v>0</v>
      </c>
      <c r="AA35" s="1451">
        <v>0</v>
      </c>
      <c r="AB35" s="1451">
        <v>0</v>
      </c>
      <c r="AC35" s="1451">
        <v>0</v>
      </c>
      <c r="AD35" s="1451">
        <v>0</v>
      </c>
      <c r="AE35" s="1452">
        <v>0</v>
      </c>
      <c r="AF35" s="496">
        <v>7.2892680928012563</v>
      </c>
      <c r="BP35">
        <f>AF35/N35</f>
        <v>1.123771298443375</v>
      </c>
      <c r="BQ35"/>
      <c r="BR35"/>
      <c r="BS35"/>
      <c r="BT35"/>
      <c r="BU35"/>
      <c r="BV35"/>
      <c r="BW35"/>
      <c r="BX35"/>
      <c r="BY35"/>
      <c r="BZ35"/>
      <c r="CA35"/>
      <c r="CB35"/>
    </row>
    <row r="36" spans="2:80" x14ac:dyDescent="0.2">
      <c r="B36" s="527">
        <v>2021</v>
      </c>
      <c r="C36" s="1426">
        <v>163300</v>
      </c>
      <c r="D36" s="1427">
        <v>1</v>
      </c>
      <c r="E36" s="1427">
        <v>9691</v>
      </c>
      <c r="F36" s="1427">
        <v>803302</v>
      </c>
      <c r="G36" s="1427">
        <v>1</v>
      </c>
      <c r="H36" s="1428">
        <v>1000000</v>
      </c>
      <c r="I36" s="1358">
        <f t="shared" si="10"/>
        <v>0</v>
      </c>
      <c r="J36" s="528">
        <f t="shared" si="11"/>
        <v>0</v>
      </c>
      <c r="K36" s="528">
        <f t="shared" si="6"/>
        <v>0</v>
      </c>
      <c r="L36" s="528">
        <f t="shared" si="7"/>
        <v>0</v>
      </c>
      <c r="M36" s="1363">
        <f t="shared" si="7"/>
        <v>0</v>
      </c>
      <c r="N36" s="1453">
        <v>6.4888939494054592</v>
      </c>
      <c r="O36" s="1454">
        <v>6.5022154848345242</v>
      </c>
      <c r="P36" s="1454">
        <v>6.9282427260624955</v>
      </c>
      <c r="Q36" s="1461">
        <v>13.466656528420819</v>
      </c>
      <c r="R36" s="1461">
        <v>8.6465875654449835</v>
      </c>
      <c r="S36" s="1462">
        <v>1</v>
      </c>
      <c r="T36" s="1456">
        <v>1</v>
      </c>
      <c r="U36" s="1457">
        <v>1</v>
      </c>
      <c r="V36" s="1457">
        <v>1</v>
      </c>
      <c r="W36" s="1457">
        <v>1</v>
      </c>
      <c r="X36" s="1457">
        <v>1</v>
      </c>
      <c r="Y36" s="1458">
        <v>1</v>
      </c>
      <c r="Z36" s="1456">
        <v>0</v>
      </c>
      <c r="AA36" s="1457">
        <v>0</v>
      </c>
      <c r="AB36" s="1457">
        <v>0</v>
      </c>
      <c r="AC36" s="1457">
        <v>477.73950363038142</v>
      </c>
      <c r="AD36" s="1457">
        <v>0</v>
      </c>
      <c r="AE36" s="1458">
        <v>0</v>
      </c>
      <c r="AF36" s="496">
        <v>7.295170630607748</v>
      </c>
      <c r="BP36">
        <f t="shared" ref="BP36:BP65" si="12">AF36/N36</f>
        <v>1.1242548710903439</v>
      </c>
      <c r="BQ36"/>
      <c r="BR36"/>
      <c r="BS36"/>
      <c r="BT36"/>
      <c r="BU36"/>
      <c r="BV36"/>
      <c r="BW36"/>
      <c r="BX36"/>
      <c r="BY36"/>
      <c r="BZ36"/>
      <c r="CA36"/>
      <c r="CB36"/>
    </row>
    <row r="37" spans="2:80" x14ac:dyDescent="0.2">
      <c r="B37" s="523">
        <v>2022</v>
      </c>
      <c r="C37" s="1420">
        <v>163300</v>
      </c>
      <c r="D37" s="1421">
        <v>257.33623308312247</v>
      </c>
      <c r="E37" s="1421">
        <v>9515.5028997497866</v>
      </c>
      <c r="F37" s="1421">
        <v>746184.50289974979</v>
      </c>
      <c r="G37" s="1421">
        <v>1</v>
      </c>
      <c r="H37" s="1422">
        <v>1000000</v>
      </c>
      <c r="I37" s="1359">
        <f t="shared" si="10"/>
        <v>0</v>
      </c>
      <c r="J37" s="524">
        <f t="shared" si="11"/>
        <v>0</v>
      </c>
      <c r="K37" s="524">
        <f t="shared" si="6"/>
        <v>0</v>
      </c>
      <c r="L37" s="524">
        <f t="shared" si="7"/>
        <v>0</v>
      </c>
      <c r="M37" s="1364">
        <f t="shared" si="7"/>
        <v>0</v>
      </c>
      <c r="N37" s="1441">
        <v>6.618661358461285</v>
      </c>
      <c r="O37" s="1442">
        <v>6.6684443795976591</v>
      </c>
      <c r="P37" s="1442">
        <v>7.1163350034027939</v>
      </c>
      <c r="Q37" s="1463">
        <v>13.701270876526285</v>
      </c>
      <c r="R37" s="1463">
        <v>8.8503649261107586</v>
      </c>
      <c r="S37" s="1464">
        <v>1</v>
      </c>
      <c r="T37" s="1444">
        <v>1</v>
      </c>
      <c r="U37" s="1445">
        <v>1</v>
      </c>
      <c r="V37" s="1445">
        <v>1</v>
      </c>
      <c r="W37" s="1445">
        <v>1</v>
      </c>
      <c r="X37" s="1445">
        <v>1</v>
      </c>
      <c r="Y37" s="1446">
        <v>1</v>
      </c>
      <c r="Z37" s="1444">
        <v>0</v>
      </c>
      <c r="AA37" s="1445">
        <v>0</v>
      </c>
      <c r="AB37" s="1445">
        <v>0</v>
      </c>
      <c r="AC37" s="1445">
        <v>483.34573117598865</v>
      </c>
      <c r="AD37" s="1445">
        <v>0</v>
      </c>
      <c r="AE37" s="1446">
        <v>0</v>
      </c>
      <c r="AF37" s="496">
        <v>7.387146020152362</v>
      </c>
      <c r="BP37">
        <f t="shared" si="12"/>
        <v>1.116108774882197</v>
      </c>
      <c r="BQ37"/>
      <c r="BR37"/>
      <c r="BS37"/>
      <c r="BT37"/>
      <c r="BU37"/>
      <c r="BV37"/>
      <c r="BW37"/>
      <c r="BX37"/>
      <c r="BY37"/>
      <c r="BZ37"/>
      <c r="CA37"/>
      <c r="CB37"/>
    </row>
    <row r="38" spans="2:80" x14ac:dyDescent="0.2">
      <c r="B38" s="523">
        <v>2023</v>
      </c>
      <c r="C38" s="1420">
        <v>162800</v>
      </c>
      <c r="D38" s="1421">
        <v>490.70348051800948</v>
      </c>
      <c r="E38" s="1421">
        <v>9316.0368138513295</v>
      </c>
      <c r="F38" s="1421">
        <v>689043.03681385121</v>
      </c>
      <c r="G38" s="1427">
        <v>1</v>
      </c>
      <c r="H38" s="1422">
        <v>1000000</v>
      </c>
      <c r="I38" s="1359">
        <f t="shared" si="10"/>
        <v>0</v>
      </c>
      <c r="J38" s="524">
        <f t="shared" si="11"/>
        <v>0</v>
      </c>
      <c r="K38" s="524">
        <f t="shared" ref="K38:K65" si="13">F38*K$21</f>
        <v>0</v>
      </c>
      <c r="L38" s="524">
        <f t="shared" ref="L38:L65" si="14">G38*L$21</f>
        <v>0</v>
      </c>
      <c r="M38" s="1364">
        <f t="shared" ref="M38:M65" si="15">H38*M$21</f>
        <v>0</v>
      </c>
      <c r="N38" s="1441">
        <v>6.7394727631646916</v>
      </c>
      <c r="O38" s="1442">
        <v>6.8191902701014886</v>
      </c>
      <c r="P38" s="1442">
        <v>7.2869078625014438</v>
      </c>
      <c r="Q38" s="1463">
        <v>13.914032616177685</v>
      </c>
      <c r="R38" s="1463">
        <v>9.0351619178843876</v>
      </c>
      <c r="S38" s="1464">
        <v>1</v>
      </c>
      <c r="T38" s="1444">
        <v>1</v>
      </c>
      <c r="U38" s="1445">
        <v>1</v>
      </c>
      <c r="V38" s="1445">
        <v>1</v>
      </c>
      <c r="W38" s="1445">
        <v>1</v>
      </c>
      <c r="X38" s="1445">
        <v>1</v>
      </c>
      <c r="Y38" s="1446">
        <v>1</v>
      </c>
      <c r="Z38" s="1444">
        <v>0</v>
      </c>
      <c r="AA38" s="1445">
        <v>0</v>
      </c>
      <c r="AB38" s="1445">
        <v>0</v>
      </c>
      <c r="AC38" s="1445">
        <v>488.95195872159587</v>
      </c>
      <c r="AD38" s="1445">
        <v>0</v>
      </c>
      <c r="AE38" s="1446">
        <v>0</v>
      </c>
      <c r="AF38" s="496">
        <v>7.4855391580542259</v>
      </c>
      <c r="BP38">
        <f t="shared" si="12"/>
        <v>1.1107010030468911</v>
      </c>
      <c r="BQ38"/>
      <c r="BR38"/>
      <c r="BS38"/>
      <c r="BT38"/>
      <c r="BU38"/>
      <c r="BV38"/>
      <c r="BW38"/>
      <c r="BX38"/>
      <c r="BY38"/>
      <c r="BZ38"/>
      <c r="CA38"/>
      <c r="CB38"/>
    </row>
    <row r="39" spans="2:80" x14ac:dyDescent="0.2">
      <c r="B39" s="523">
        <v>2024</v>
      </c>
      <c r="C39" s="1420">
        <v>167400</v>
      </c>
      <c r="D39" s="1421">
        <v>809.90017938357482</v>
      </c>
      <c r="E39" s="1421">
        <v>9202.4001793835487</v>
      </c>
      <c r="F39" s="1421">
        <v>631987.40017938346</v>
      </c>
      <c r="G39" s="1421">
        <v>1</v>
      </c>
      <c r="H39" s="1422">
        <v>1000000</v>
      </c>
      <c r="I39" s="1359">
        <f t="shared" si="10"/>
        <v>0</v>
      </c>
      <c r="J39" s="524">
        <f t="shared" si="11"/>
        <v>0</v>
      </c>
      <c r="K39" s="524">
        <f t="shared" si="13"/>
        <v>0</v>
      </c>
      <c r="L39" s="524">
        <f t="shared" si="14"/>
        <v>0</v>
      </c>
      <c r="M39" s="1364">
        <f t="shared" si="15"/>
        <v>0</v>
      </c>
      <c r="N39" s="1441">
        <v>6.8995357521942369</v>
      </c>
      <c r="O39" s="1442">
        <v>7.0253785469281151</v>
      </c>
      <c r="P39" s="1442">
        <v>7.5202152102068727</v>
      </c>
      <c r="Q39" s="1463">
        <v>14.205045368344503</v>
      </c>
      <c r="R39" s="1463">
        <v>9.2879248500558678</v>
      </c>
      <c r="S39" s="1464">
        <v>1</v>
      </c>
      <c r="T39" s="1444">
        <v>1</v>
      </c>
      <c r="U39" s="1445">
        <v>1</v>
      </c>
      <c r="V39" s="1445">
        <v>1</v>
      </c>
      <c r="W39" s="1445">
        <v>1</v>
      </c>
      <c r="X39" s="1445">
        <v>1</v>
      </c>
      <c r="Y39" s="1446">
        <v>1</v>
      </c>
      <c r="Z39" s="1444">
        <v>0</v>
      </c>
      <c r="AA39" s="1445">
        <v>0</v>
      </c>
      <c r="AB39" s="1445">
        <v>0</v>
      </c>
      <c r="AC39" s="1445">
        <v>494.5581862672031</v>
      </c>
      <c r="AD39" s="1445">
        <v>0</v>
      </c>
      <c r="AE39" s="1446">
        <v>0</v>
      </c>
      <c r="AF39" s="496">
        <v>7.6353712468712809</v>
      </c>
      <c r="BP39">
        <f t="shared" si="12"/>
        <v>1.1066500009718812</v>
      </c>
      <c r="BQ39"/>
      <c r="BR39"/>
      <c r="BS39"/>
      <c r="BT39"/>
      <c r="BU39"/>
      <c r="BV39"/>
      <c r="BW39"/>
      <c r="BX39"/>
      <c r="BY39"/>
      <c r="BZ39"/>
      <c r="CA39"/>
      <c r="CB39"/>
    </row>
    <row r="40" spans="2:80" ht="15" thickBot="1" x14ac:dyDescent="0.25">
      <c r="B40" s="525">
        <v>2025</v>
      </c>
      <c r="C40" s="1423">
        <v>167100</v>
      </c>
      <c r="D40" s="1424">
        <v>1129.09687824914</v>
      </c>
      <c r="E40" s="1424">
        <v>9088.7635449157679</v>
      </c>
      <c r="F40" s="1424">
        <v>574931.76354491571</v>
      </c>
      <c r="G40" s="1427">
        <v>1</v>
      </c>
      <c r="H40" s="1425">
        <v>1000000</v>
      </c>
      <c r="I40" s="1360">
        <f t="shared" si="10"/>
        <v>0</v>
      </c>
      <c r="J40" s="526">
        <f t="shared" si="11"/>
        <v>0</v>
      </c>
      <c r="K40" s="526">
        <f t="shared" si="13"/>
        <v>0</v>
      </c>
      <c r="L40" s="526">
        <f t="shared" si="14"/>
        <v>0</v>
      </c>
      <c r="M40" s="1365">
        <f t="shared" si="15"/>
        <v>0</v>
      </c>
      <c r="N40" s="1447">
        <v>7.0826454244148485</v>
      </c>
      <c r="O40" s="1448">
        <v>7.2315668237547417</v>
      </c>
      <c r="P40" s="1448">
        <v>7.7535225579123015</v>
      </c>
      <c r="Q40" s="1459">
        <v>14.496058120511323</v>
      </c>
      <c r="R40" s="1459">
        <v>9.5406877822273479</v>
      </c>
      <c r="S40" s="1460">
        <v>1</v>
      </c>
      <c r="T40" s="1450">
        <v>1</v>
      </c>
      <c r="U40" s="1451">
        <v>1</v>
      </c>
      <c r="V40" s="1451">
        <v>1</v>
      </c>
      <c r="W40" s="1451">
        <v>1</v>
      </c>
      <c r="X40" s="1451">
        <v>1</v>
      </c>
      <c r="Y40" s="1452">
        <v>1</v>
      </c>
      <c r="Z40" s="1450">
        <v>0</v>
      </c>
      <c r="AA40" s="1451">
        <v>0</v>
      </c>
      <c r="AB40" s="1451">
        <v>0</v>
      </c>
      <c r="AC40" s="1451">
        <v>500.16441381281032</v>
      </c>
      <c r="AD40" s="1451">
        <v>0</v>
      </c>
      <c r="AE40" s="1452">
        <v>0</v>
      </c>
      <c r="AF40" s="496">
        <v>7.8149715088268348</v>
      </c>
      <c r="BP40">
        <f t="shared" si="12"/>
        <v>1.1033972535018566</v>
      </c>
      <c r="BQ40"/>
      <c r="BR40"/>
      <c r="BS40"/>
      <c r="BT40"/>
      <c r="BU40"/>
      <c r="BV40"/>
      <c r="BW40"/>
      <c r="BX40"/>
      <c r="BY40"/>
      <c r="BZ40"/>
      <c r="CA40"/>
      <c r="CB40"/>
    </row>
    <row r="41" spans="2:80" x14ac:dyDescent="0.2">
      <c r="B41" s="527">
        <v>2026</v>
      </c>
      <c r="C41" s="1426">
        <v>166900</v>
      </c>
      <c r="D41" s="1427">
        <v>1362.4641256840271</v>
      </c>
      <c r="E41" s="1427">
        <v>8889.2974590173108</v>
      </c>
      <c r="F41" s="1427">
        <v>517790.29745901714</v>
      </c>
      <c r="G41" s="1427">
        <v>1</v>
      </c>
      <c r="H41" s="1428">
        <v>1000000</v>
      </c>
      <c r="I41" s="1358">
        <f t="shared" si="10"/>
        <v>0</v>
      </c>
      <c r="J41" s="528">
        <f t="shared" si="11"/>
        <v>0</v>
      </c>
      <c r="K41" s="528">
        <f t="shared" si="13"/>
        <v>0</v>
      </c>
      <c r="L41" s="528">
        <f t="shared" si="14"/>
        <v>0</v>
      </c>
      <c r="M41" s="1363">
        <f t="shared" si="15"/>
        <v>0</v>
      </c>
      <c r="N41" s="1453">
        <v>7.294435606504738</v>
      </c>
      <c r="O41" s="1454">
        <v>7.3823127142585712</v>
      </c>
      <c r="P41" s="1454">
        <v>7.9240954170109541</v>
      </c>
      <c r="Q41" s="1461">
        <v>14.70881986016272</v>
      </c>
      <c r="R41" s="1461">
        <v>9.7254847740009769</v>
      </c>
      <c r="S41" s="1462">
        <v>1</v>
      </c>
      <c r="T41" s="1456">
        <v>1</v>
      </c>
      <c r="U41" s="1457">
        <v>1</v>
      </c>
      <c r="V41" s="1457">
        <v>1</v>
      </c>
      <c r="W41" s="1457">
        <v>1</v>
      </c>
      <c r="X41" s="1457">
        <v>1</v>
      </c>
      <c r="Y41" s="1458">
        <v>1</v>
      </c>
      <c r="Z41" s="1456">
        <v>0</v>
      </c>
      <c r="AA41" s="1457">
        <v>0</v>
      </c>
      <c r="AB41" s="1457">
        <v>0</v>
      </c>
      <c r="AC41" s="1457">
        <v>505.77064135841755</v>
      </c>
      <c r="AD41" s="1457">
        <v>0</v>
      </c>
      <c r="AE41" s="1458">
        <v>0</v>
      </c>
      <c r="AF41" s="496">
        <v>8.0156870895877077</v>
      </c>
      <c r="BP41">
        <f t="shared" si="12"/>
        <v>1.0988769415470336</v>
      </c>
      <c r="BQ41"/>
      <c r="BR41"/>
      <c r="BS41"/>
      <c r="BT41"/>
      <c r="BU41"/>
      <c r="BV41"/>
      <c r="BW41"/>
      <c r="BX41"/>
      <c r="BY41"/>
      <c r="BZ41"/>
      <c r="CA41"/>
      <c r="CB41"/>
    </row>
    <row r="42" spans="2:80" x14ac:dyDescent="0.2">
      <c r="B42" s="523">
        <v>2027</v>
      </c>
      <c r="C42" s="1420">
        <v>169800</v>
      </c>
      <c r="D42" s="1421">
        <v>1619.8003587671496</v>
      </c>
      <c r="E42" s="1421">
        <v>8713.8003587671556</v>
      </c>
      <c r="F42" s="1421">
        <v>460672.80035876716</v>
      </c>
      <c r="G42" s="1421">
        <v>1</v>
      </c>
      <c r="H42" s="1422">
        <v>1000000</v>
      </c>
      <c r="I42" s="1359">
        <f t="shared" si="10"/>
        <v>0</v>
      </c>
      <c r="J42" s="524">
        <f t="shared" si="11"/>
        <v>0</v>
      </c>
      <c r="K42" s="524">
        <f t="shared" si="13"/>
        <v>0</v>
      </c>
      <c r="L42" s="524">
        <f t="shared" si="14"/>
        <v>0</v>
      </c>
      <c r="M42" s="1364">
        <f t="shared" si="15"/>
        <v>0</v>
      </c>
      <c r="N42" s="1441">
        <v>7.5037759176853553</v>
      </c>
      <c r="O42" s="1442">
        <v>7.5485416090217061</v>
      </c>
      <c r="P42" s="1442">
        <v>8.1121876943512508</v>
      </c>
      <c r="Q42" s="1463">
        <v>14.943434208268188</v>
      </c>
      <c r="R42" s="1463">
        <v>9.929262134666752</v>
      </c>
      <c r="S42" s="1464">
        <v>1</v>
      </c>
      <c r="T42" s="1444">
        <v>1</v>
      </c>
      <c r="U42" s="1445">
        <v>1</v>
      </c>
      <c r="V42" s="1445">
        <v>1</v>
      </c>
      <c r="W42" s="1445">
        <v>1</v>
      </c>
      <c r="X42" s="1445">
        <v>1</v>
      </c>
      <c r="Y42" s="1446">
        <v>1</v>
      </c>
      <c r="Z42" s="1444">
        <v>0</v>
      </c>
      <c r="AA42" s="1445">
        <v>0</v>
      </c>
      <c r="AB42" s="1445">
        <v>0</v>
      </c>
      <c r="AC42" s="1445">
        <v>511.37686890402466</v>
      </c>
      <c r="AD42" s="1445">
        <v>0</v>
      </c>
      <c r="AE42" s="1446">
        <v>0</v>
      </c>
      <c r="AF42" s="496">
        <v>8.2058097340255856</v>
      </c>
      <c r="BP42">
        <f t="shared" si="12"/>
        <v>1.0935574068364213</v>
      </c>
      <c r="BQ42"/>
      <c r="BR42"/>
      <c r="BS42"/>
      <c r="BT42"/>
      <c r="BU42"/>
      <c r="BV42"/>
      <c r="BW42"/>
      <c r="BX42"/>
      <c r="BY42"/>
      <c r="BZ42"/>
      <c r="CA42"/>
      <c r="CB42"/>
    </row>
    <row r="43" spans="2:80" x14ac:dyDescent="0.2">
      <c r="B43" s="523">
        <v>2028</v>
      </c>
      <c r="C43" s="1420">
        <v>169500</v>
      </c>
      <c r="D43" s="1421">
        <v>1915.8597325756068</v>
      </c>
      <c r="E43" s="1421">
        <v>8907.2347325755982</v>
      </c>
      <c r="F43" s="1421">
        <v>434030.1097325756</v>
      </c>
      <c r="G43" s="1427">
        <v>1</v>
      </c>
      <c r="H43" s="1422">
        <v>1000000</v>
      </c>
      <c r="I43" s="1359">
        <f t="shared" si="10"/>
        <v>0</v>
      </c>
      <c r="J43" s="524">
        <f t="shared" si="11"/>
        <v>0</v>
      </c>
      <c r="K43" s="524">
        <f t="shared" si="13"/>
        <v>0</v>
      </c>
      <c r="L43" s="524">
        <f t="shared" si="14"/>
        <v>0</v>
      </c>
      <c r="M43" s="1364">
        <f t="shared" si="15"/>
        <v>0</v>
      </c>
      <c r="N43" s="1441">
        <v>7.6179189540571528</v>
      </c>
      <c r="O43" s="1442">
        <v>7.6973841760217194</v>
      </c>
      <c r="P43" s="1442">
        <v>8.2884736204744751</v>
      </c>
      <c r="Q43" s="1463">
        <v>15.355608228069167</v>
      </c>
      <c r="R43" s="1463">
        <v>10.151119501597355</v>
      </c>
      <c r="S43" s="1464">
        <v>1</v>
      </c>
      <c r="T43" s="1444">
        <v>1</v>
      </c>
      <c r="U43" s="1445">
        <v>1</v>
      </c>
      <c r="V43" s="1445">
        <v>1</v>
      </c>
      <c r="W43" s="1445">
        <v>1</v>
      </c>
      <c r="X43" s="1445">
        <v>1</v>
      </c>
      <c r="Y43" s="1446">
        <v>1</v>
      </c>
      <c r="Z43" s="1444">
        <v>0</v>
      </c>
      <c r="AA43" s="1445">
        <v>0</v>
      </c>
      <c r="AB43" s="1445">
        <v>0</v>
      </c>
      <c r="AC43" s="1445">
        <v>512.31411949577057</v>
      </c>
      <c r="AD43" s="1445">
        <v>0</v>
      </c>
      <c r="AE43" s="1446">
        <v>0</v>
      </c>
      <c r="AF43" s="496">
        <v>8.3620977323245125</v>
      </c>
      <c r="BP43">
        <f t="shared" si="12"/>
        <v>1.0976879358726999</v>
      </c>
      <c r="BQ43"/>
      <c r="BR43"/>
      <c r="BS43"/>
      <c r="BT43"/>
      <c r="BU43"/>
      <c r="BV43"/>
      <c r="BW43"/>
      <c r="BX43"/>
      <c r="BY43"/>
      <c r="BZ43"/>
      <c r="CA43"/>
      <c r="CB43"/>
    </row>
    <row r="44" spans="2:80" x14ac:dyDescent="0.2">
      <c r="B44" s="523">
        <v>2029</v>
      </c>
      <c r="C44" s="1420">
        <v>169300</v>
      </c>
      <c r="D44" s="1421">
        <v>2140.2460314010395</v>
      </c>
      <c r="E44" s="1421">
        <v>9028.9960314010386</v>
      </c>
      <c r="F44" s="1421">
        <v>407315.7460314011</v>
      </c>
      <c r="G44" s="1421">
        <v>1</v>
      </c>
      <c r="H44" s="1422">
        <v>1000000</v>
      </c>
      <c r="I44" s="1359">
        <f t="shared" si="10"/>
        <v>0</v>
      </c>
      <c r="J44" s="524">
        <f t="shared" si="11"/>
        <v>0</v>
      </c>
      <c r="K44" s="524">
        <f t="shared" si="13"/>
        <v>0</v>
      </c>
      <c r="L44" s="524">
        <f t="shared" si="14"/>
        <v>0</v>
      </c>
      <c r="M44" s="1364">
        <f t="shared" si="15"/>
        <v>0</v>
      </c>
      <c r="N44" s="1441">
        <v>7.7555629328580205</v>
      </c>
      <c r="O44" s="1442">
        <v>7.8101934152198584</v>
      </c>
      <c r="P44" s="1442">
        <v>8.4220824503147877</v>
      </c>
      <c r="Q44" s="1463">
        <v>15.667998954244853</v>
      </c>
      <c r="R44" s="1463">
        <v>10.319267372723104</v>
      </c>
      <c r="S44" s="1464">
        <v>1</v>
      </c>
      <c r="T44" s="1444">
        <v>1</v>
      </c>
      <c r="U44" s="1445">
        <v>1</v>
      </c>
      <c r="V44" s="1445">
        <v>1</v>
      </c>
      <c r="W44" s="1445">
        <v>1</v>
      </c>
      <c r="X44" s="1445">
        <v>1</v>
      </c>
      <c r="Y44" s="1446">
        <v>1</v>
      </c>
      <c r="Z44" s="1444">
        <v>0</v>
      </c>
      <c r="AA44" s="1445">
        <v>0</v>
      </c>
      <c r="AB44" s="1445">
        <v>0</v>
      </c>
      <c r="AC44" s="1445">
        <v>513.25137008751653</v>
      </c>
      <c r="AD44" s="1445">
        <v>0</v>
      </c>
      <c r="AE44" s="1446">
        <v>0</v>
      </c>
      <c r="AF44" s="496">
        <v>8.3620977323245125</v>
      </c>
      <c r="BP44">
        <f t="shared" si="12"/>
        <v>1.078206418375742</v>
      </c>
      <c r="BQ44"/>
      <c r="BR44"/>
      <c r="BS44"/>
      <c r="BT44"/>
      <c r="BU44"/>
      <c r="BV44"/>
      <c r="BW44"/>
      <c r="BX44"/>
      <c r="BY44"/>
      <c r="BZ44"/>
      <c r="CA44"/>
      <c r="CB44"/>
    </row>
    <row r="45" spans="2:80" ht="15" thickBot="1" x14ac:dyDescent="0.25">
      <c r="B45" s="525">
        <v>2030</v>
      </c>
      <c r="C45" s="1423">
        <v>169300</v>
      </c>
      <c r="D45" s="1424">
        <v>2395.8740131392728</v>
      </c>
      <c r="E45" s="1424">
        <v>9181.9990131392842</v>
      </c>
      <c r="F45" s="1424">
        <v>380632.62401313928</v>
      </c>
      <c r="G45" s="1427">
        <v>1</v>
      </c>
      <c r="H45" s="1425">
        <v>1000000</v>
      </c>
      <c r="I45" s="1360">
        <f t="shared" si="10"/>
        <v>0</v>
      </c>
      <c r="J45" s="526">
        <f t="shared" si="11"/>
        <v>0</v>
      </c>
      <c r="K45" s="526">
        <f t="shared" si="13"/>
        <v>0</v>
      </c>
      <c r="L45" s="526">
        <f t="shared" si="14"/>
        <v>0</v>
      </c>
      <c r="M45" s="1365">
        <f t="shared" si="15"/>
        <v>0</v>
      </c>
      <c r="N45" s="1447">
        <v>7.8652683559393761</v>
      </c>
      <c r="O45" s="1448">
        <v>7.9387092750945314</v>
      </c>
      <c r="P45" s="1448">
        <v>8.5742938629245078</v>
      </c>
      <c r="Q45" s="1459">
        <v>16.023884368211938</v>
      </c>
      <c r="R45" s="1459">
        <v>10.510826755601892</v>
      </c>
      <c r="S45" s="1460">
        <v>1</v>
      </c>
      <c r="T45" s="1450">
        <v>1</v>
      </c>
      <c r="U45" s="1451">
        <v>1</v>
      </c>
      <c r="V45" s="1451">
        <v>1</v>
      </c>
      <c r="W45" s="1451">
        <v>1</v>
      </c>
      <c r="X45" s="1451">
        <v>1</v>
      </c>
      <c r="Y45" s="1452">
        <v>1</v>
      </c>
      <c r="Z45" s="1450">
        <v>0</v>
      </c>
      <c r="AA45" s="1451">
        <v>0</v>
      </c>
      <c r="AB45" s="1451">
        <v>0</v>
      </c>
      <c r="AC45" s="1451">
        <v>514.1886206792625</v>
      </c>
      <c r="AD45" s="1451">
        <v>0</v>
      </c>
      <c r="AE45" s="1452">
        <v>0</v>
      </c>
      <c r="AF45" s="496">
        <v>8.3620977323245125</v>
      </c>
      <c r="BP45">
        <f t="shared" si="12"/>
        <v>1.0631675047692379</v>
      </c>
      <c r="BQ45"/>
      <c r="BR45"/>
      <c r="BS45"/>
      <c r="BT45"/>
      <c r="BU45"/>
      <c r="BV45"/>
      <c r="BW45"/>
      <c r="BX45"/>
      <c r="BY45"/>
      <c r="BZ45"/>
      <c r="CA45"/>
      <c r="CB45"/>
    </row>
    <row r="46" spans="2:80" x14ac:dyDescent="0.2">
      <c r="B46" s="527">
        <v>2031</v>
      </c>
      <c r="C46" s="1426">
        <v>169300</v>
      </c>
      <c r="D46" s="1427">
        <v>2606.4962623391102</v>
      </c>
      <c r="E46" s="1427">
        <v>9289.9962623391184</v>
      </c>
      <c r="F46" s="1427">
        <v>353904.49626233912</v>
      </c>
      <c r="G46" s="1421">
        <v>1</v>
      </c>
      <c r="H46" s="1428">
        <v>1000000</v>
      </c>
      <c r="I46" s="1358">
        <f t="shared" si="10"/>
        <v>0</v>
      </c>
      <c r="J46" s="528">
        <f t="shared" si="11"/>
        <v>0</v>
      </c>
      <c r="K46" s="528">
        <f t="shared" si="13"/>
        <v>0</v>
      </c>
      <c r="L46" s="528">
        <f t="shared" si="14"/>
        <v>0</v>
      </c>
      <c r="M46" s="1363">
        <f t="shared" si="15"/>
        <v>0</v>
      </c>
      <c r="N46" s="1453">
        <v>7.9599764527524544</v>
      </c>
      <c r="O46" s="1454">
        <v>8.0445986979996231</v>
      </c>
      <c r="P46" s="1454">
        <v>8.6997070115937056</v>
      </c>
      <c r="Q46" s="1461">
        <v>16.31711277707964</v>
      </c>
      <c r="R46" s="1461">
        <v>10.668660290893733</v>
      </c>
      <c r="S46" s="1462">
        <v>1</v>
      </c>
      <c r="T46" s="1456">
        <v>1</v>
      </c>
      <c r="U46" s="1457">
        <v>1</v>
      </c>
      <c r="V46" s="1457">
        <v>1</v>
      </c>
      <c r="W46" s="1457">
        <v>1</v>
      </c>
      <c r="X46" s="1457">
        <v>1</v>
      </c>
      <c r="Y46" s="1458">
        <v>1</v>
      </c>
      <c r="Z46" s="1456">
        <v>0</v>
      </c>
      <c r="AA46" s="1457">
        <v>0</v>
      </c>
      <c r="AB46" s="1457">
        <v>0</v>
      </c>
      <c r="AC46" s="1457">
        <v>515.12587127100846</v>
      </c>
      <c r="AD46" s="1457">
        <v>0</v>
      </c>
      <c r="AE46" s="1458">
        <v>0</v>
      </c>
      <c r="AF46" s="496">
        <v>8.3620977323245125</v>
      </c>
      <c r="BP46">
        <f t="shared" si="12"/>
        <v>1.0505178981318481</v>
      </c>
      <c r="BQ46"/>
      <c r="BR46"/>
      <c r="BS46"/>
      <c r="BT46"/>
      <c r="BU46"/>
      <c r="BV46"/>
      <c r="BW46"/>
      <c r="BX46"/>
      <c r="BY46"/>
      <c r="BZ46"/>
      <c r="CA46"/>
      <c r="CB46"/>
    </row>
    <row r="47" spans="2:80" x14ac:dyDescent="0.2">
      <c r="B47" s="523">
        <v>2032</v>
      </c>
      <c r="C47" s="1420">
        <v>169300</v>
      </c>
      <c r="D47" s="1427">
        <v>2738.4367830923757</v>
      </c>
      <c r="E47" s="1427">
        <v>9319.3117830923875</v>
      </c>
      <c r="F47" s="1427">
        <v>327097.68678309239</v>
      </c>
      <c r="G47" s="1427">
        <v>1</v>
      </c>
      <c r="H47" s="1428">
        <v>1000000</v>
      </c>
      <c r="I47" s="1359">
        <f t="shared" si="10"/>
        <v>0</v>
      </c>
      <c r="J47" s="529">
        <f t="shared" si="11"/>
        <v>0</v>
      </c>
      <c r="K47" s="524">
        <f t="shared" si="13"/>
        <v>0</v>
      </c>
      <c r="L47" s="529">
        <f t="shared" si="14"/>
        <v>0</v>
      </c>
      <c r="M47" s="1364">
        <f t="shared" si="15"/>
        <v>0</v>
      </c>
      <c r="N47" s="1453">
        <v>8.0214709255018093</v>
      </c>
      <c r="O47" s="1442">
        <v>8.1109312229509865</v>
      </c>
      <c r="P47" s="1442">
        <v>8.7782698234883831</v>
      </c>
      <c r="Q47" s="1463">
        <v>16.500800441192215</v>
      </c>
      <c r="R47" s="1463">
        <v>10.767532271028065</v>
      </c>
      <c r="S47" s="1464">
        <v>1</v>
      </c>
      <c r="T47" s="1456">
        <v>1</v>
      </c>
      <c r="U47" s="1457">
        <v>1</v>
      </c>
      <c r="V47" s="1457">
        <v>1</v>
      </c>
      <c r="W47" s="1457">
        <v>1</v>
      </c>
      <c r="X47" s="1457">
        <v>1</v>
      </c>
      <c r="Y47" s="1458">
        <v>1</v>
      </c>
      <c r="Z47" s="1456">
        <v>0</v>
      </c>
      <c r="AA47" s="1457">
        <v>0</v>
      </c>
      <c r="AB47" s="1457">
        <v>0</v>
      </c>
      <c r="AC47" s="1457">
        <v>516.06312186275443</v>
      </c>
      <c r="AD47" s="1457">
        <v>0</v>
      </c>
      <c r="AE47" s="1458">
        <v>0</v>
      </c>
      <c r="AF47" s="496">
        <v>8.3620977323245125</v>
      </c>
      <c r="BP47">
        <f t="shared" si="12"/>
        <v>1.0424643821546227</v>
      </c>
      <c r="BQ47"/>
      <c r="BR47"/>
      <c r="BS47"/>
      <c r="BT47"/>
      <c r="BU47"/>
      <c r="BV47"/>
      <c r="BW47"/>
      <c r="BX47"/>
      <c r="BY47"/>
      <c r="BZ47"/>
      <c r="CA47"/>
      <c r="CB47"/>
    </row>
    <row r="48" spans="2:80" x14ac:dyDescent="0.2">
      <c r="B48" s="523">
        <v>2033</v>
      </c>
      <c r="C48" s="1420">
        <v>169300</v>
      </c>
      <c r="D48" s="1427">
        <v>2807.4565583071735</v>
      </c>
      <c r="E48" s="1427">
        <v>9285.7065583071671</v>
      </c>
      <c r="F48" s="1427">
        <v>300227.95655830717</v>
      </c>
      <c r="G48" s="1421">
        <v>1</v>
      </c>
      <c r="H48" s="1428">
        <v>1000000</v>
      </c>
      <c r="I48" s="1359">
        <f t="shared" si="10"/>
        <v>0</v>
      </c>
      <c r="J48" s="524">
        <f t="shared" si="11"/>
        <v>0</v>
      </c>
      <c r="K48" s="524">
        <f t="shared" si="13"/>
        <v>0</v>
      </c>
      <c r="L48" s="524">
        <f t="shared" si="14"/>
        <v>0</v>
      </c>
      <c r="M48" s="1364">
        <f t="shared" si="15"/>
        <v>0</v>
      </c>
      <c r="N48" s="1453">
        <v>8.0395269119106274</v>
      </c>
      <c r="O48" s="1442">
        <v>8.1456306157943317</v>
      </c>
      <c r="P48" s="1442">
        <v>8.8193670359766774</v>
      </c>
      <c r="Q48" s="1463">
        <v>16.596889809449976</v>
      </c>
      <c r="R48" s="1463">
        <v>10.819253469375269</v>
      </c>
      <c r="S48" s="1464">
        <v>1</v>
      </c>
      <c r="T48" s="1456">
        <v>1</v>
      </c>
      <c r="U48" s="1457">
        <v>1</v>
      </c>
      <c r="V48" s="1457">
        <v>1</v>
      </c>
      <c r="W48" s="1457">
        <v>1</v>
      </c>
      <c r="X48" s="1457">
        <v>1</v>
      </c>
      <c r="Y48" s="1458">
        <v>1</v>
      </c>
      <c r="Z48" s="1456">
        <v>0</v>
      </c>
      <c r="AA48" s="1457">
        <v>0</v>
      </c>
      <c r="AB48" s="1457">
        <v>0</v>
      </c>
      <c r="AC48" s="1457">
        <v>517.00037245450039</v>
      </c>
      <c r="AD48" s="1457">
        <v>0</v>
      </c>
      <c r="AE48" s="1458">
        <v>0</v>
      </c>
      <c r="AF48" s="496">
        <v>8.3620977323245125</v>
      </c>
      <c r="BP48">
        <f t="shared" si="12"/>
        <v>1.0401231097237815</v>
      </c>
      <c r="BQ48"/>
      <c r="BR48"/>
      <c r="BS48"/>
      <c r="BT48"/>
      <c r="BU48"/>
      <c r="BV48"/>
      <c r="BW48"/>
      <c r="BX48"/>
      <c r="BY48"/>
      <c r="BZ48"/>
      <c r="CA48"/>
      <c r="CB48"/>
    </row>
    <row r="49" spans="2:80" x14ac:dyDescent="0.2">
      <c r="B49" s="523">
        <v>2034</v>
      </c>
      <c r="C49" s="1420">
        <v>169300</v>
      </c>
      <c r="D49" s="1427">
        <v>2840.1806577630468</v>
      </c>
      <c r="E49" s="1427">
        <v>9215.8056577630341</v>
      </c>
      <c r="F49" s="1427">
        <v>273321.93065776303</v>
      </c>
      <c r="G49" s="1427">
        <v>1</v>
      </c>
      <c r="H49" s="1428">
        <v>1000000</v>
      </c>
      <c r="I49" s="1359">
        <f t="shared" si="10"/>
        <v>0</v>
      </c>
      <c r="J49" s="524">
        <f t="shared" si="11"/>
        <v>0</v>
      </c>
      <c r="K49" s="524">
        <f t="shared" si="13"/>
        <v>0</v>
      </c>
      <c r="L49" s="524">
        <f t="shared" si="14"/>
        <v>0</v>
      </c>
      <c r="M49" s="1364">
        <f t="shared" si="15"/>
        <v>0</v>
      </c>
      <c r="N49" s="1453">
        <v>8.0572116034836725</v>
      </c>
      <c r="O49" s="1442">
        <v>8.1620825149627976</v>
      </c>
      <c r="P49" s="1442">
        <v>8.8388523105177885</v>
      </c>
      <c r="Q49" s="1463">
        <v>16.642448318351715</v>
      </c>
      <c r="R49" s="1463">
        <v>10.843775856378469</v>
      </c>
      <c r="S49" s="1464">
        <v>1</v>
      </c>
      <c r="T49" s="1456">
        <v>1</v>
      </c>
      <c r="U49" s="1457">
        <v>1</v>
      </c>
      <c r="V49" s="1457">
        <v>1</v>
      </c>
      <c r="W49" s="1457">
        <v>1</v>
      </c>
      <c r="X49" s="1457">
        <v>1</v>
      </c>
      <c r="Y49" s="1458">
        <v>1</v>
      </c>
      <c r="Z49" s="1456">
        <v>0</v>
      </c>
      <c r="AA49" s="1457">
        <v>0</v>
      </c>
      <c r="AB49" s="1457">
        <v>0</v>
      </c>
      <c r="AC49" s="1457">
        <v>517.93762304624636</v>
      </c>
      <c r="AD49" s="1457">
        <v>0</v>
      </c>
      <c r="AE49" s="1458">
        <v>0</v>
      </c>
      <c r="AF49" s="496">
        <v>8.3620977323245125</v>
      </c>
      <c r="BP49">
        <f t="shared" si="12"/>
        <v>1.0378401541184568</v>
      </c>
      <c r="BQ49"/>
      <c r="BR49"/>
      <c r="BS49"/>
      <c r="BT49"/>
      <c r="BU49"/>
      <c r="BV49"/>
      <c r="BW49"/>
      <c r="BX49"/>
      <c r="BY49"/>
      <c r="BZ49"/>
      <c r="CA49"/>
      <c r="CB49"/>
    </row>
    <row r="50" spans="2:80" ht="15" thickBot="1" x14ac:dyDescent="0.25">
      <c r="B50" s="530">
        <v>2035</v>
      </c>
      <c r="C50" s="1429">
        <v>169300</v>
      </c>
      <c r="D50" s="1430">
        <v>2866.58647871119</v>
      </c>
      <c r="E50" s="1430">
        <v>9139.5864787111932</v>
      </c>
      <c r="F50" s="1430">
        <v>246409.58647871116</v>
      </c>
      <c r="G50" s="1421">
        <v>1</v>
      </c>
      <c r="H50" s="1431">
        <v>1000000</v>
      </c>
      <c r="I50" s="1361">
        <f t="shared" si="10"/>
        <v>0</v>
      </c>
      <c r="J50" s="531">
        <f t="shared" si="11"/>
        <v>0</v>
      </c>
      <c r="K50" s="531">
        <f t="shared" si="13"/>
        <v>0</v>
      </c>
      <c r="L50" s="531">
        <f t="shared" si="14"/>
        <v>0</v>
      </c>
      <c r="M50" s="1366">
        <f t="shared" si="15"/>
        <v>0</v>
      </c>
      <c r="N50" s="1465">
        <v>8.0685847555815613</v>
      </c>
      <c r="O50" s="1448">
        <v>8.1753579269962202</v>
      </c>
      <c r="P50" s="1448">
        <v>8.8545754222065227</v>
      </c>
      <c r="Q50" s="1459">
        <v>16.67921051650924</v>
      </c>
      <c r="R50" s="1459">
        <v>10.86356352880321</v>
      </c>
      <c r="S50" s="1460">
        <v>1</v>
      </c>
      <c r="T50" s="1466">
        <v>1</v>
      </c>
      <c r="U50" s="1467">
        <v>1</v>
      </c>
      <c r="V50" s="1467">
        <v>1</v>
      </c>
      <c r="W50" s="1467">
        <v>1</v>
      </c>
      <c r="X50" s="1467">
        <v>1</v>
      </c>
      <c r="Y50" s="1468">
        <v>1</v>
      </c>
      <c r="Z50" s="1466">
        <v>0</v>
      </c>
      <c r="AA50" s="1467">
        <v>0</v>
      </c>
      <c r="AB50" s="1467">
        <v>0</v>
      </c>
      <c r="AC50" s="1467">
        <v>518.87487363799198</v>
      </c>
      <c r="AD50" s="1467">
        <v>0</v>
      </c>
      <c r="AE50" s="1468">
        <v>0</v>
      </c>
      <c r="AF50" s="496">
        <v>8.3620977323245125</v>
      </c>
      <c r="BP50">
        <f t="shared" si="12"/>
        <v>1.0363772564376805</v>
      </c>
      <c r="BQ50"/>
      <c r="BR50"/>
      <c r="BS50"/>
      <c r="BT50"/>
      <c r="BU50"/>
      <c r="BV50"/>
      <c r="BW50"/>
      <c r="BX50"/>
      <c r="BY50"/>
      <c r="BZ50"/>
      <c r="CA50"/>
      <c r="CB50"/>
    </row>
    <row r="51" spans="2:80" x14ac:dyDescent="0.2">
      <c r="B51" s="532">
        <v>2036</v>
      </c>
      <c r="C51" s="1417">
        <v>169300</v>
      </c>
      <c r="D51" s="1418">
        <v>3449.553791228615</v>
      </c>
      <c r="E51" s="1418">
        <v>9566.5537912286236</v>
      </c>
      <c r="F51" s="1418">
        <v>233540.68712456198</v>
      </c>
      <c r="G51" s="1427">
        <v>1</v>
      </c>
      <c r="H51" s="1419">
        <v>1000000</v>
      </c>
      <c r="I51" s="1362">
        <f t="shared" si="10"/>
        <v>0</v>
      </c>
      <c r="J51" s="533">
        <f t="shared" si="11"/>
        <v>0</v>
      </c>
      <c r="K51" s="533">
        <f t="shared" si="13"/>
        <v>0</v>
      </c>
      <c r="L51" s="533">
        <f t="shared" si="14"/>
        <v>0</v>
      </c>
      <c r="M51" s="1367">
        <f t="shared" si="15"/>
        <v>0</v>
      </c>
      <c r="N51" s="1435">
        <v>8.0827348383128879</v>
      </c>
      <c r="O51" s="1436">
        <v>8.2656894200220226</v>
      </c>
      <c r="P51" s="1436">
        <v>8.997573231603015</v>
      </c>
      <c r="Q51" s="1469">
        <v>16.926966688541036</v>
      </c>
      <c r="R51" s="1469">
        <v>11.043101585310085</v>
      </c>
      <c r="S51" s="1470">
        <v>1</v>
      </c>
      <c r="T51" s="1438">
        <v>1</v>
      </c>
      <c r="U51" s="1439">
        <v>1</v>
      </c>
      <c r="V51" s="1439">
        <v>1</v>
      </c>
      <c r="W51" s="1439">
        <v>1</v>
      </c>
      <c r="X51" s="1439">
        <v>1</v>
      </c>
      <c r="Y51" s="1440">
        <v>1</v>
      </c>
      <c r="Z51" s="1438">
        <v>0</v>
      </c>
      <c r="AA51" s="1439">
        <v>0</v>
      </c>
      <c r="AB51" s="1439">
        <v>0</v>
      </c>
      <c r="AC51" s="1439">
        <v>520.71166458645655</v>
      </c>
      <c r="AD51" s="1439">
        <v>0</v>
      </c>
      <c r="AE51" s="1440">
        <v>0</v>
      </c>
      <c r="AF51" s="496">
        <v>8.3650405987967709</v>
      </c>
      <c r="BP51">
        <f t="shared" si="12"/>
        <v>1.0349270099949004</v>
      </c>
    </row>
    <row r="52" spans="2:80" x14ac:dyDescent="0.2">
      <c r="B52" s="523">
        <v>2037</v>
      </c>
      <c r="C52" s="1420">
        <v>169300</v>
      </c>
      <c r="D52" s="1421">
        <v>3805.0133195880057</v>
      </c>
      <c r="E52" s="1421">
        <v>9766.0133195880044</v>
      </c>
      <c r="F52" s="1421">
        <v>220444.27998625475</v>
      </c>
      <c r="G52" s="1421">
        <v>1</v>
      </c>
      <c r="H52" s="1422">
        <v>1000000</v>
      </c>
      <c r="I52" s="1359">
        <f t="shared" si="10"/>
        <v>0</v>
      </c>
      <c r="J52" s="524">
        <f t="shared" si="11"/>
        <v>0</v>
      </c>
      <c r="K52" s="524">
        <f t="shared" si="13"/>
        <v>0</v>
      </c>
      <c r="L52" s="524">
        <f t="shared" si="14"/>
        <v>0</v>
      </c>
      <c r="M52" s="1364">
        <f t="shared" si="15"/>
        <v>0</v>
      </c>
      <c r="N52" s="1441">
        <v>8.0946677445201622</v>
      </c>
      <c r="O52" s="1442">
        <v>8.3207683056087536</v>
      </c>
      <c r="P52" s="1442">
        <v>9.0847649708190676</v>
      </c>
      <c r="Q52" s="1463">
        <v>17.078033978537537</v>
      </c>
      <c r="R52" s="1463">
        <v>11.152573439937591</v>
      </c>
      <c r="S52" s="1464">
        <v>1</v>
      </c>
      <c r="T52" s="1444">
        <v>1</v>
      </c>
      <c r="U52" s="1445">
        <v>1</v>
      </c>
      <c r="V52" s="1445">
        <v>1</v>
      </c>
      <c r="W52" s="1445">
        <v>1</v>
      </c>
      <c r="X52" s="1445">
        <v>1</v>
      </c>
      <c r="Y52" s="1446">
        <v>1</v>
      </c>
      <c r="Z52" s="1444">
        <v>0</v>
      </c>
      <c r="AA52" s="1445">
        <v>0</v>
      </c>
      <c r="AB52" s="1445">
        <v>0</v>
      </c>
      <c r="AC52" s="1445">
        <v>522.54845553492112</v>
      </c>
      <c r="AD52" s="1445">
        <v>0</v>
      </c>
      <c r="AE52" s="1446">
        <v>0</v>
      </c>
      <c r="AF52" s="496">
        <v>8.3663329725739288</v>
      </c>
      <c r="BP52">
        <f t="shared" si="12"/>
        <v>1.033561010362368</v>
      </c>
    </row>
    <row r="53" spans="2:80" x14ac:dyDescent="0.2">
      <c r="B53" s="523">
        <v>2038</v>
      </c>
      <c r="C53" s="1420">
        <v>169300</v>
      </c>
      <c r="D53" s="1421">
        <v>4355.744167905732</v>
      </c>
      <c r="E53" s="1421">
        <v>10160.744167905737</v>
      </c>
      <c r="F53" s="1421">
        <v>207543.14416790579</v>
      </c>
      <c r="G53" s="1427">
        <v>1</v>
      </c>
      <c r="H53" s="1422">
        <v>1000000</v>
      </c>
      <c r="I53" s="1359">
        <f t="shared" si="10"/>
        <v>0</v>
      </c>
      <c r="J53" s="524">
        <f t="shared" si="11"/>
        <v>0</v>
      </c>
      <c r="K53" s="524">
        <f t="shared" si="13"/>
        <v>0</v>
      </c>
      <c r="L53" s="524">
        <f t="shared" si="14"/>
        <v>0</v>
      </c>
      <c r="M53" s="1364">
        <f t="shared" si="15"/>
        <v>0</v>
      </c>
      <c r="N53" s="1441">
        <v>8.1005862254693923</v>
      </c>
      <c r="O53" s="1442">
        <v>8.406104719359087</v>
      </c>
      <c r="P53" s="1442">
        <v>9.2198554007377318</v>
      </c>
      <c r="Q53" s="1463">
        <v>17.312089926219759</v>
      </c>
      <c r="R53" s="1463">
        <v>11.322183543355511</v>
      </c>
      <c r="S53" s="1464">
        <v>1</v>
      </c>
      <c r="T53" s="1444">
        <v>1</v>
      </c>
      <c r="U53" s="1445">
        <v>1</v>
      </c>
      <c r="V53" s="1445">
        <v>1</v>
      </c>
      <c r="W53" s="1445">
        <v>1</v>
      </c>
      <c r="X53" s="1445">
        <v>1</v>
      </c>
      <c r="Y53" s="1446">
        <v>1</v>
      </c>
      <c r="Z53" s="1444">
        <v>0</v>
      </c>
      <c r="AA53" s="1445">
        <v>0</v>
      </c>
      <c r="AB53" s="1445">
        <v>0</v>
      </c>
      <c r="AC53" s="1445">
        <v>524.38524648338569</v>
      </c>
      <c r="AD53" s="1445">
        <v>0</v>
      </c>
      <c r="AE53" s="1446">
        <v>0</v>
      </c>
      <c r="AF53" s="496">
        <v>8.3656573093164184</v>
      </c>
      <c r="BP53">
        <f t="shared" si="12"/>
        <v>1.0327224569270808</v>
      </c>
    </row>
    <row r="54" spans="2:80" x14ac:dyDescent="0.2">
      <c r="B54" s="523">
        <v>2039</v>
      </c>
      <c r="C54" s="1420">
        <v>169300</v>
      </c>
      <c r="D54" s="1421">
        <v>5178.7716970118445</v>
      </c>
      <c r="E54" s="1421">
        <v>10827.771697011834</v>
      </c>
      <c r="F54" s="1421">
        <v>194914.30503034528</v>
      </c>
      <c r="G54" s="1421">
        <v>1</v>
      </c>
      <c r="H54" s="1422">
        <v>1000000</v>
      </c>
      <c r="I54" s="1359">
        <f t="shared" si="10"/>
        <v>0</v>
      </c>
      <c r="J54" s="524">
        <f t="shared" si="11"/>
        <v>0</v>
      </c>
      <c r="K54" s="524">
        <f t="shared" si="13"/>
        <v>0</v>
      </c>
      <c r="L54" s="524">
        <f t="shared" si="14"/>
        <v>0</v>
      </c>
      <c r="M54" s="1364">
        <f t="shared" si="15"/>
        <v>0</v>
      </c>
      <c r="N54" s="1441">
        <v>8.1041670415640823</v>
      </c>
      <c r="O54" s="1442">
        <v>8.5336338344726723</v>
      </c>
      <c r="P54" s="1442">
        <v>9.4217383043038936</v>
      </c>
      <c r="Q54" s="1463">
        <v>17.661869657792653</v>
      </c>
      <c r="R54" s="1463">
        <v>11.575653609094317</v>
      </c>
      <c r="S54" s="1464">
        <v>1</v>
      </c>
      <c r="T54" s="1444">
        <v>1</v>
      </c>
      <c r="U54" s="1445">
        <v>1</v>
      </c>
      <c r="V54" s="1445">
        <v>1</v>
      </c>
      <c r="W54" s="1445">
        <v>1</v>
      </c>
      <c r="X54" s="1445">
        <v>1</v>
      </c>
      <c r="Y54" s="1446">
        <v>1</v>
      </c>
      <c r="Z54" s="1444">
        <v>0</v>
      </c>
      <c r="AA54" s="1445">
        <v>0</v>
      </c>
      <c r="AB54" s="1445">
        <v>0</v>
      </c>
      <c r="AC54" s="1445">
        <v>526.22203743185025</v>
      </c>
      <c r="AD54" s="1445">
        <v>0</v>
      </c>
      <c r="AE54" s="1446">
        <v>0</v>
      </c>
      <c r="AF54" s="496">
        <v>8.3655254318154437</v>
      </c>
      <c r="BP54">
        <f t="shared" si="12"/>
        <v>1.0322498769967259</v>
      </c>
    </row>
    <row r="55" spans="2:80" ht="15" thickBot="1" x14ac:dyDescent="0.25">
      <c r="B55" s="525">
        <v>2040</v>
      </c>
      <c r="C55" s="1423">
        <v>169300</v>
      </c>
      <c r="D55" s="1424">
        <v>6344.6932983699062</v>
      </c>
      <c r="E55" s="1424">
        <v>11837.693298369908</v>
      </c>
      <c r="F55" s="1424">
        <v>182628.35996503668</v>
      </c>
      <c r="G55" s="1427">
        <v>1</v>
      </c>
      <c r="H55" s="1425">
        <v>1000000</v>
      </c>
      <c r="I55" s="1360">
        <f t="shared" si="10"/>
        <v>0</v>
      </c>
      <c r="J55" s="526">
        <f t="shared" si="11"/>
        <v>0</v>
      </c>
      <c r="K55" s="526">
        <f t="shared" si="13"/>
        <v>0</v>
      </c>
      <c r="L55" s="526">
        <f t="shared" si="14"/>
        <v>0</v>
      </c>
      <c r="M55" s="1365">
        <f t="shared" si="15"/>
        <v>0</v>
      </c>
      <c r="N55" s="1447">
        <v>8.1043325932001693</v>
      </c>
      <c r="O55" s="1448">
        <v>8.7142948024897429</v>
      </c>
      <c r="P55" s="1448">
        <v>9.7077307284799375</v>
      </c>
      <c r="Q55" s="1459">
        <v>18.157376466903877</v>
      </c>
      <c r="R55" s="1459">
        <v>11.934725711170284</v>
      </c>
      <c r="S55" s="1460">
        <v>1</v>
      </c>
      <c r="T55" s="1450">
        <v>1</v>
      </c>
      <c r="U55" s="1451">
        <v>1</v>
      </c>
      <c r="V55" s="1451">
        <v>1</v>
      </c>
      <c r="W55" s="1451">
        <v>1</v>
      </c>
      <c r="X55" s="1451">
        <v>1</v>
      </c>
      <c r="Y55" s="1452">
        <v>1</v>
      </c>
      <c r="Z55" s="1450">
        <v>0</v>
      </c>
      <c r="AA55" s="1451">
        <v>0</v>
      </c>
      <c r="AB55" s="1451">
        <v>0</v>
      </c>
      <c r="AC55" s="1451">
        <v>528.05882838031482</v>
      </c>
      <c r="AD55" s="1451">
        <v>0</v>
      </c>
      <c r="AE55" s="1452">
        <v>0</v>
      </c>
      <c r="AF55" s="496">
        <v>8.3656160126612118</v>
      </c>
      <c r="BP55">
        <f t="shared" si="12"/>
        <v>1.0322399675058089</v>
      </c>
    </row>
    <row r="56" spans="2:80" x14ac:dyDescent="0.2">
      <c r="B56" s="532">
        <v>2041</v>
      </c>
      <c r="C56" s="1417">
        <v>169300</v>
      </c>
      <c r="D56" s="1418">
        <v>7877.1390548150921</v>
      </c>
      <c r="E56" s="1418">
        <v>13214.139054815081</v>
      </c>
      <c r="F56" s="1418">
        <v>170708.93905481527</v>
      </c>
      <c r="G56" s="1421">
        <v>1</v>
      </c>
      <c r="H56" s="1419">
        <v>1000000</v>
      </c>
      <c r="I56" s="1362">
        <f t="shared" si="10"/>
        <v>0</v>
      </c>
      <c r="J56" s="533">
        <f t="shared" si="11"/>
        <v>0</v>
      </c>
      <c r="K56" s="533">
        <f t="shared" si="13"/>
        <v>0</v>
      </c>
      <c r="L56" s="533">
        <f t="shared" si="14"/>
        <v>0</v>
      </c>
      <c r="M56" s="1367">
        <f t="shared" si="15"/>
        <v>0</v>
      </c>
      <c r="N56" s="1435">
        <v>8.1043630004564644</v>
      </c>
      <c r="O56" s="1454">
        <v>8.9517491334418082</v>
      </c>
      <c r="P56" s="1454">
        <v>10.083628967515526</v>
      </c>
      <c r="Q56" s="1454">
        <v>18.808652938690415</v>
      </c>
      <c r="R56" s="1454">
        <v>12.406677271586721</v>
      </c>
      <c r="S56" s="1455">
        <v>1</v>
      </c>
      <c r="T56" s="1438">
        <v>1</v>
      </c>
      <c r="U56" s="1439">
        <v>1</v>
      </c>
      <c r="V56" s="1439">
        <v>1</v>
      </c>
      <c r="W56" s="1439">
        <v>1</v>
      </c>
      <c r="X56" s="1439">
        <v>1</v>
      </c>
      <c r="Y56" s="1440">
        <v>1</v>
      </c>
      <c r="Z56" s="1438">
        <v>0</v>
      </c>
      <c r="AA56" s="1439">
        <v>0</v>
      </c>
      <c r="AB56" s="1439">
        <v>0</v>
      </c>
      <c r="AC56" s="1439">
        <v>529.89561932877939</v>
      </c>
      <c r="AD56" s="1439">
        <v>0</v>
      </c>
      <c r="AE56" s="1440">
        <v>0</v>
      </c>
      <c r="AF56" s="496">
        <v>8.3659200351098004</v>
      </c>
      <c r="BP56">
        <f t="shared" si="12"/>
        <v>1.0322736080107227</v>
      </c>
    </row>
    <row r="57" spans="2:80" x14ac:dyDescent="0.2">
      <c r="B57" s="523">
        <v>2042</v>
      </c>
      <c r="C57" s="1420">
        <v>169300</v>
      </c>
      <c r="D57" s="1421">
        <v>9704.4668056312712</v>
      </c>
      <c r="E57" s="1421">
        <v>14885.466805631266</v>
      </c>
      <c r="F57" s="1421">
        <v>159084.40013896482</v>
      </c>
      <c r="G57" s="1427">
        <v>1</v>
      </c>
      <c r="H57" s="1422">
        <v>1000000</v>
      </c>
      <c r="I57" s="1359">
        <f t="shared" si="10"/>
        <v>0</v>
      </c>
      <c r="J57" s="524">
        <f t="shared" si="11"/>
        <v>0</v>
      </c>
      <c r="K57" s="524">
        <f t="shared" si="13"/>
        <v>0</v>
      </c>
      <c r="L57" s="524">
        <f t="shared" si="14"/>
        <v>0</v>
      </c>
      <c r="M57" s="1364">
        <f t="shared" si="15"/>
        <v>0</v>
      </c>
      <c r="N57" s="1441">
        <v>8.1043847804208973</v>
      </c>
      <c r="O57" s="1442">
        <v>9.2348957875241897</v>
      </c>
      <c r="P57" s="1442">
        <v>10.531859699848946</v>
      </c>
      <c r="Q57" s="1442">
        <v>19.585251761417982</v>
      </c>
      <c r="R57" s="1442">
        <v>12.969444455849404</v>
      </c>
      <c r="S57" s="1443">
        <v>1</v>
      </c>
      <c r="T57" s="1444">
        <v>1</v>
      </c>
      <c r="U57" s="1445">
        <v>1</v>
      </c>
      <c r="V57" s="1445">
        <v>1</v>
      </c>
      <c r="W57" s="1445">
        <v>1</v>
      </c>
      <c r="X57" s="1445">
        <v>1</v>
      </c>
      <c r="Y57" s="1446">
        <v>1</v>
      </c>
      <c r="Z57" s="1444">
        <v>0</v>
      </c>
      <c r="AA57" s="1445">
        <v>0</v>
      </c>
      <c r="AB57" s="1445">
        <v>0</v>
      </c>
      <c r="AC57" s="1445">
        <v>531.73241027724396</v>
      </c>
      <c r="AD57" s="1445">
        <v>0</v>
      </c>
      <c r="AE57" s="1446">
        <v>0</v>
      </c>
      <c r="AF57" s="496">
        <v>8.3664082609692709</v>
      </c>
      <c r="BP57">
        <f t="shared" si="12"/>
        <v>1.0323310760344679</v>
      </c>
    </row>
    <row r="58" spans="2:80" x14ac:dyDescent="0.2">
      <c r="B58" s="523">
        <v>2043</v>
      </c>
      <c r="C58" s="1420">
        <v>169300</v>
      </c>
      <c r="D58" s="1421">
        <v>11646.598614745648</v>
      </c>
      <c r="E58" s="1421">
        <v>16671.598614745657</v>
      </c>
      <c r="F58" s="1421">
        <v>147574.66528141254</v>
      </c>
      <c r="G58" s="1421">
        <v>1</v>
      </c>
      <c r="H58" s="1422">
        <v>1000000</v>
      </c>
      <c r="I58" s="1359">
        <f t="shared" si="10"/>
        <v>0</v>
      </c>
      <c r="J58" s="524">
        <f t="shared" si="11"/>
        <v>0</v>
      </c>
      <c r="K58" s="524">
        <f t="shared" si="13"/>
        <v>0</v>
      </c>
      <c r="L58" s="524">
        <f t="shared" si="14"/>
        <v>0</v>
      </c>
      <c r="M58" s="1364">
        <f t="shared" si="15"/>
        <v>0</v>
      </c>
      <c r="N58" s="1441">
        <v>8.1044016873015927</v>
      </c>
      <c r="O58" s="1442">
        <v>9.535831469857083</v>
      </c>
      <c r="P58" s="1442">
        <v>11.008251065710132</v>
      </c>
      <c r="Q58" s="1442">
        <v>20.410641336914953</v>
      </c>
      <c r="R58" s="1442">
        <v>13.56756816364847</v>
      </c>
      <c r="S58" s="1443">
        <v>1</v>
      </c>
      <c r="T58" s="1444">
        <v>1</v>
      </c>
      <c r="U58" s="1445">
        <v>1</v>
      </c>
      <c r="V58" s="1445">
        <v>1</v>
      </c>
      <c r="W58" s="1445">
        <v>1</v>
      </c>
      <c r="X58" s="1445">
        <v>1</v>
      </c>
      <c r="Y58" s="1446">
        <v>1</v>
      </c>
      <c r="Z58" s="1444">
        <v>0</v>
      </c>
      <c r="AA58" s="1445">
        <v>0</v>
      </c>
      <c r="AB58" s="1445">
        <v>0</v>
      </c>
      <c r="AC58" s="1445">
        <v>533.56920122570853</v>
      </c>
      <c r="AD58" s="1445">
        <v>0</v>
      </c>
      <c r="AE58" s="1446">
        <v>0</v>
      </c>
      <c r="AF58" s="496">
        <v>8.3661803732050721</v>
      </c>
      <c r="BP58">
        <f t="shared" si="12"/>
        <v>1.0323008034403882</v>
      </c>
    </row>
    <row r="59" spans="2:80" x14ac:dyDescent="0.2">
      <c r="B59" s="523">
        <v>2044</v>
      </c>
      <c r="C59" s="1420">
        <v>169300</v>
      </c>
      <c r="D59" s="1421">
        <v>13473.926365561829</v>
      </c>
      <c r="E59" s="1421">
        <v>18342.926365561842</v>
      </c>
      <c r="F59" s="1421">
        <v>135950.12636556209</v>
      </c>
      <c r="G59" s="1427">
        <v>1</v>
      </c>
      <c r="H59" s="1422">
        <v>1000000</v>
      </c>
      <c r="I59" s="1359">
        <f t="shared" si="10"/>
        <v>0</v>
      </c>
      <c r="J59" s="524">
        <f t="shared" si="11"/>
        <v>0</v>
      </c>
      <c r="K59" s="524">
        <f t="shared" si="13"/>
        <v>0</v>
      </c>
      <c r="L59" s="524">
        <f t="shared" si="14"/>
        <v>0</v>
      </c>
      <c r="M59" s="1364">
        <f t="shared" si="15"/>
        <v>0</v>
      </c>
      <c r="N59" s="1441">
        <v>8.1044204062362173</v>
      </c>
      <c r="O59" s="1442">
        <v>9.8189781239394645</v>
      </c>
      <c r="P59" s="1442">
        <v>11.456481798043551</v>
      </c>
      <c r="Q59" s="1442">
        <v>21.187240159642524</v>
      </c>
      <c r="R59" s="1442">
        <v>14.130335347911153</v>
      </c>
      <c r="S59" s="1443">
        <v>1</v>
      </c>
      <c r="T59" s="1444">
        <v>1</v>
      </c>
      <c r="U59" s="1445">
        <v>1</v>
      </c>
      <c r="V59" s="1445">
        <v>1</v>
      </c>
      <c r="W59" s="1445">
        <v>1</v>
      </c>
      <c r="X59" s="1445">
        <v>1</v>
      </c>
      <c r="Y59" s="1446">
        <v>1</v>
      </c>
      <c r="Z59" s="1444">
        <v>0</v>
      </c>
      <c r="AA59" s="1445">
        <v>0</v>
      </c>
      <c r="AB59" s="1445">
        <v>0</v>
      </c>
      <c r="AC59" s="1445">
        <v>535.40599217417309</v>
      </c>
      <c r="AD59" s="1445">
        <v>0</v>
      </c>
      <c r="AE59" s="1446">
        <v>0</v>
      </c>
      <c r="AF59" s="496">
        <v>8.3657548368233083</v>
      </c>
      <c r="BP59">
        <f t="shared" si="12"/>
        <v>1.0322459124141683</v>
      </c>
    </row>
    <row r="60" spans="2:80" ht="15" thickBot="1" x14ac:dyDescent="0.25">
      <c r="B60" s="525">
        <v>2045</v>
      </c>
      <c r="C60" s="1423">
        <v>169300</v>
      </c>
      <c r="D60" s="1424">
        <v>15006.372122007013</v>
      </c>
      <c r="E60" s="1424">
        <v>19719.372122007015</v>
      </c>
      <c r="F60" s="1424">
        <v>124030.70545534056</v>
      </c>
      <c r="G60" s="1421">
        <v>1</v>
      </c>
      <c r="H60" s="1425">
        <v>1000000</v>
      </c>
      <c r="I60" s="1360">
        <f t="shared" si="10"/>
        <v>0</v>
      </c>
      <c r="J60" s="526">
        <f t="shared" si="11"/>
        <v>0</v>
      </c>
      <c r="K60" s="526">
        <f t="shared" si="13"/>
        <v>0</v>
      </c>
      <c r="L60" s="526">
        <f t="shared" si="14"/>
        <v>0</v>
      </c>
      <c r="M60" s="1365">
        <f t="shared" si="15"/>
        <v>0</v>
      </c>
      <c r="N60" s="1447">
        <v>8.1044311458601701</v>
      </c>
      <c r="O60" s="1448">
        <v>10.05643245489153</v>
      </c>
      <c r="P60" s="1448">
        <v>11.832380037079142</v>
      </c>
      <c r="Q60" s="1448">
        <v>21.838516631429059</v>
      </c>
      <c r="R60" s="1448">
        <v>14.602286908327589</v>
      </c>
      <c r="S60" s="1449">
        <v>1</v>
      </c>
      <c r="T60" s="1450">
        <v>1</v>
      </c>
      <c r="U60" s="1451">
        <v>1</v>
      </c>
      <c r="V60" s="1451">
        <v>1</v>
      </c>
      <c r="W60" s="1451">
        <v>1</v>
      </c>
      <c r="X60" s="1451">
        <v>1</v>
      </c>
      <c r="Y60" s="1452">
        <v>1</v>
      </c>
      <c r="Z60" s="1450">
        <v>0</v>
      </c>
      <c r="AA60" s="1451">
        <v>0</v>
      </c>
      <c r="AB60" s="1451">
        <v>0</v>
      </c>
      <c r="AC60" s="1451">
        <v>537.24278312263766</v>
      </c>
      <c r="AD60" s="1451">
        <v>0</v>
      </c>
      <c r="AE60" s="1452">
        <v>0</v>
      </c>
      <c r="AF60" s="496">
        <v>8.3652909009785148</v>
      </c>
      <c r="BP60">
        <f t="shared" si="12"/>
        <v>1.0321872998145705</v>
      </c>
    </row>
    <row r="61" spans="2:80" x14ac:dyDescent="0.2">
      <c r="B61" s="532">
        <v>2046</v>
      </c>
      <c r="C61" s="1417">
        <v>169300</v>
      </c>
      <c r="D61" s="1418">
        <v>16172.293723365065</v>
      </c>
      <c r="E61" s="1418">
        <v>20729.293723365059</v>
      </c>
      <c r="F61" s="1418">
        <v>111744.76039003197</v>
      </c>
      <c r="G61" s="1427">
        <v>1</v>
      </c>
      <c r="H61" s="1419">
        <v>1000000</v>
      </c>
      <c r="I61" s="1362">
        <f t="shared" si="10"/>
        <v>0</v>
      </c>
      <c r="J61" s="533">
        <f t="shared" si="11"/>
        <v>0</v>
      </c>
      <c r="K61" s="533">
        <f t="shared" si="13"/>
        <v>0</v>
      </c>
      <c r="L61" s="533">
        <f t="shared" si="14"/>
        <v>0</v>
      </c>
      <c r="M61" s="1367">
        <f t="shared" si="15"/>
        <v>0</v>
      </c>
      <c r="N61" s="1435">
        <v>8.1044333679487188</v>
      </c>
      <c r="O61" s="1436">
        <v>10.237093422908599</v>
      </c>
      <c r="P61" s="1436">
        <v>12.118372461255182</v>
      </c>
      <c r="Q61" s="1436">
        <v>22.334023440540282</v>
      </c>
      <c r="R61" s="1436">
        <v>14.961359010403559</v>
      </c>
      <c r="S61" s="1437">
        <v>1</v>
      </c>
      <c r="T61" s="1438">
        <v>1</v>
      </c>
      <c r="U61" s="1439">
        <v>1</v>
      </c>
      <c r="V61" s="1439">
        <v>1</v>
      </c>
      <c r="W61" s="1439">
        <v>1</v>
      </c>
      <c r="X61" s="1439">
        <v>1</v>
      </c>
      <c r="Y61" s="1440">
        <v>1</v>
      </c>
      <c r="Z61" s="1438">
        <v>0</v>
      </c>
      <c r="AA61" s="1439">
        <v>0</v>
      </c>
      <c r="AB61" s="1439">
        <v>0</v>
      </c>
      <c r="AC61" s="1439">
        <v>539.07957407110223</v>
      </c>
      <c r="AD61" s="1439">
        <v>0</v>
      </c>
      <c r="AE61" s="1440">
        <v>0</v>
      </c>
      <c r="AF61" s="496">
        <v>8.3647838880815932</v>
      </c>
      <c r="BP61">
        <f t="shared" si="12"/>
        <v>1.0321244568636352</v>
      </c>
    </row>
    <row r="62" spans="2:80" x14ac:dyDescent="0.2">
      <c r="B62" s="523">
        <v>2047</v>
      </c>
      <c r="C62" s="1420">
        <v>169300</v>
      </c>
      <c r="D62" s="1421">
        <v>16995.321252471189</v>
      </c>
      <c r="E62" s="1421">
        <v>21396.321252471185</v>
      </c>
      <c r="F62" s="1421">
        <v>99115.921252471424</v>
      </c>
      <c r="G62" s="1421">
        <v>1</v>
      </c>
      <c r="H62" s="1422">
        <v>1000000</v>
      </c>
      <c r="I62" s="1359">
        <f t="shared" si="10"/>
        <v>0</v>
      </c>
      <c r="J62" s="524">
        <f t="shared" si="11"/>
        <v>0</v>
      </c>
      <c r="K62" s="524">
        <f t="shared" si="13"/>
        <v>0</v>
      </c>
      <c r="L62" s="524">
        <f t="shared" si="14"/>
        <v>0</v>
      </c>
      <c r="M62" s="1364">
        <f t="shared" si="15"/>
        <v>0</v>
      </c>
      <c r="N62" s="1441">
        <v>8.1044320169487083</v>
      </c>
      <c r="O62" s="1442">
        <v>10.364622538022186</v>
      </c>
      <c r="P62" s="1442">
        <v>12.320255364821348</v>
      </c>
      <c r="Q62" s="1442">
        <v>22.683803172113176</v>
      </c>
      <c r="R62" s="1442">
        <v>15.214829076142365</v>
      </c>
      <c r="S62" s="1443">
        <v>1</v>
      </c>
      <c r="T62" s="1444">
        <v>1</v>
      </c>
      <c r="U62" s="1445">
        <v>1</v>
      </c>
      <c r="V62" s="1445">
        <v>1</v>
      </c>
      <c r="W62" s="1445">
        <v>1</v>
      </c>
      <c r="X62" s="1445">
        <v>1</v>
      </c>
      <c r="Y62" s="1446">
        <v>1</v>
      </c>
      <c r="Z62" s="1444">
        <v>0</v>
      </c>
      <c r="AA62" s="1445">
        <v>0</v>
      </c>
      <c r="AB62" s="1445">
        <v>0</v>
      </c>
      <c r="AC62" s="1445">
        <v>540.9163650195668</v>
      </c>
      <c r="AD62" s="1445">
        <v>0</v>
      </c>
      <c r="AE62" s="1446">
        <v>0</v>
      </c>
      <c r="AF62" s="496">
        <v>8.3642395706199331</v>
      </c>
      <c r="BP62">
        <f t="shared" si="12"/>
        <v>1.0320574659800825</v>
      </c>
    </row>
    <row r="63" spans="2:80" x14ac:dyDescent="0.2">
      <c r="B63" s="523">
        <v>2048</v>
      </c>
      <c r="C63" s="1420">
        <v>169300</v>
      </c>
      <c r="D63" s="1421">
        <v>17546.052100788915</v>
      </c>
      <c r="E63" s="1421">
        <v>21791.052100788918</v>
      </c>
      <c r="F63" s="1421">
        <v>86214.785434122488</v>
      </c>
      <c r="G63" s="1427">
        <v>1</v>
      </c>
      <c r="H63" s="1422">
        <v>1000000</v>
      </c>
      <c r="I63" s="1359">
        <f t="shared" si="10"/>
        <v>0</v>
      </c>
      <c r="J63" s="524">
        <f t="shared" si="11"/>
        <v>0</v>
      </c>
      <c r="K63" s="524">
        <f t="shared" si="13"/>
        <v>0</v>
      </c>
      <c r="L63" s="524">
        <f t="shared" si="14"/>
        <v>0</v>
      </c>
      <c r="M63" s="1364">
        <f t="shared" si="15"/>
        <v>0</v>
      </c>
      <c r="N63" s="1441">
        <v>8.1044267226986744</v>
      </c>
      <c r="O63" s="1442">
        <v>10.449958951772519</v>
      </c>
      <c r="P63" s="1442">
        <v>12.455345794740012</v>
      </c>
      <c r="Q63" s="1442">
        <v>22.917859119795398</v>
      </c>
      <c r="R63" s="1442">
        <v>15.384439179560285</v>
      </c>
      <c r="S63" s="1443">
        <v>1</v>
      </c>
      <c r="T63" s="1444">
        <v>1</v>
      </c>
      <c r="U63" s="1445">
        <v>1</v>
      </c>
      <c r="V63" s="1445">
        <v>1</v>
      </c>
      <c r="W63" s="1445">
        <v>1</v>
      </c>
      <c r="X63" s="1445">
        <v>1</v>
      </c>
      <c r="Y63" s="1446">
        <v>1</v>
      </c>
      <c r="Z63" s="1444">
        <v>0</v>
      </c>
      <c r="AA63" s="1445">
        <v>0</v>
      </c>
      <c r="AB63" s="1445">
        <v>0</v>
      </c>
      <c r="AC63" s="1445">
        <v>542.75315596803136</v>
      </c>
      <c r="AD63" s="1445">
        <v>0</v>
      </c>
      <c r="AE63" s="1446">
        <v>0</v>
      </c>
      <c r="AF63" s="496">
        <v>8.3636577473296541</v>
      </c>
      <c r="BP63">
        <f t="shared" si="12"/>
        <v>1.0319863493743404</v>
      </c>
    </row>
    <row r="64" spans="2:80" x14ac:dyDescent="0.2">
      <c r="B64" s="523">
        <v>2049</v>
      </c>
      <c r="C64" s="1420">
        <v>169300</v>
      </c>
      <c r="D64" s="1421">
        <v>17901.511629148295</v>
      </c>
      <c r="E64" s="1421">
        <v>21990.511629148299</v>
      </c>
      <c r="F64" s="1421">
        <v>73118.378295815201</v>
      </c>
      <c r="G64" s="1421">
        <v>1</v>
      </c>
      <c r="H64" s="1422">
        <v>1000000</v>
      </c>
      <c r="I64" s="1359">
        <f t="shared" si="10"/>
        <v>0</v>
      </c>
      <c r="J64" s="524">
        <f t="shared" si="11"/>
        <v>0</v>
      </c>
      <c r="K64" s="524">
        <f t="shared" si="13"/>
        <v>0</v>
      </c>
      <c r="L64" s="524">
        <f t="shared" si="14"/>
        <v>0</v>
      </c>
      <c r="M64" s="1364">
        <f t="shared" si="15"/>
        <v>0</v>
      </c>
      <c r="N64" s="1441">
        <v>8.1044227545263041</v>
      </c>
      <c r="O64" s="1442">
        <v>10.505037837359248</v>
      </c>
      <c r="P64" s="1442">
        <v>12.542537533956063</v>
      </c>
      <c r="Q64" s="1442">
        <v>23.068926409791899</v>
      </c>
      <c r="R64" s="1442">
        <v>15.493911034187787</v>
      </c>
      <c r="S64" s="1443">
        <v>1</v>
      </c>
      <c r="T64" s="1444">
        <v>1</v>
      </c>
      <c r="U64" s="1445">
        <v>1</v>
      </c>
      <c r="V64" s="1445">
        <v>1</v>
      </c>
      <c r="W64" s="1445">
        <v>1</v>
      </c>
      <c r="X64" s="1445">
        <v>1</v>
      </c>
      <c r="Y64" s="1446">
        <v>1</v>
      </c>
      <c r="Z64" s="1444">
        <v>0</v>
      </c>
      <c r="AA64" s="1445">
        <v>0</v>
      </c>
      <c r="AB64" s="1445">
        <v>0</v>
      </c>
      <c r="AC64" s="1445">
        <v>544.58994691649593</v>
      </c>
      <c r="AD64" s="1445">
        <v>0</v>
      </c>
      <c r="AE64" s="1446">
        <v>0</v>
      </c>
      <c r="AF64" s="496">
        <v>8.3630552503225122</v>
      </c>
      <c r="BP64">
        <f t="shared" si="12"/>
        <v>1.0319125129117632</v>
      </c>
    </row>
    <row r="65" spans="2:69" ht="15" thickBot="1" x14ac:dyDescent="0.25">
      <c r="B65" s="525">
        <v>2050</v>
      </c>
      <c r="C65" s="1423">
        <v>169300</v>
      </c>
      <c r="D65" s="1424">
        <v>18484.478941665719</v>
      </c>
      <c r="E65" s="1424">
        <v>22417.47894166573</v>
      </c>
      <c r="F65" s="1424">
        <v>60249.47894166573</v>
      </c>
      <c r="G65" s="1427">
        <v>1</v>
      </c>
      <c r="H65" s="1425">
        <v>1000000</v>
      </c>
      <c r="I65" s="1360">
        <f t="shared" si="10"/>
        <v>0</v>
      </c>
      <c r="J65" s="526">
        <f t="shared" si="11"/>
        <v>0</v>
      </c>
      <c r="K65" s="526">
        <f t="shared" si="13"/>
        <v>0</v>
      </c>
      <c r="L65" s="526">
        <f t="shared" si="14"/>
        <v>0</v>
      </c>
      <c r="M65" s="1365">
        <f t="shared" si="15"/>
        <v>0</v>
      </c>
      <c r="N65" s="1447">
        <v>8.1044081378346959</v>
      </c>
      <c r="O65" s="1448">
        <v>10.595369330385051</v>
      </c>
      <c r="P65" s="1448">
        <v>12.685535343352553</v>
      </c>
      <c r="Q65" s="1459">
        <v>23.316682581823692</v>
      </c>
      <c r="R65" s="1459">
        <v>15.673449090694662</v>
      </c>
      <c r="S65" s="1460">
        <v>1</v>
      </c>
      <c r="T65" s="1450">
        <v>1</v>
      </c>
      <c r="U65" s="1451">
        <v>1</v>
      </c>
      <c r="V65" s="1451">
        <v>1</v>
      </c>
      <c r="W65" s="1451">
        <v>1</v>
      </c>
      <c r="X65" s="1451">
        <v>1</v>
      </c>
      <c r="Y65" s="1452">
        <v>1</v>
      </c>
      <c r="Z65" s="1450">
        <v>0</v>
      </c>
      <c r="AA65" s="1451">
        <v>0</v>
      </c>
      <c r="AB65" s="1451">
        <v>0</v>
      </c>
      <c r="AC65" s="1451">
        <v>546.42673786496016</v>
      </c>
      <c r="AD65" s="1451">
        <v>0</v>
      </c>
      <c r="AE65" s="1452">
        <v>0</v>
      </c>
      <c r="AF65" s="496">
        <v>8.3627706611109911</v>
      </c>
      <c r="BP65">
        <f t="shared" si="12"/>
        <v>1.0318792586555647</v>
      </c>
      <c r="BQ65" s="496">
        <f>O65/N65</f>
        <v>1.307358804021916</v>
      </c>
    </row>
    <row r="66" spans="2:69" ht="15" thickBot="1" x14ac:dyDescent="0.25">
      <c r="C66" s="497"/>
      <c r="D66" s="497"/>
      <c r="F66" s="497"/>
    </row>
    <row r="67" spans="2:69" ht="15" thickBot="1" x14ac:dyDescent="0.25">
      <c r="B67" s="1471"/>
      <c r="C67" s="537" t="s">
        <v>202</v>
      </c>
      <c r="D67" s="497"/>
      <c r="F67" s="497"/>
    </row>
    <row r="68" spans="2:69" x14ac:dyDescent="0.2">
      <c r="F68" s="534"/>
      <c r="G68" s="535"/>
      <c r="H68" s="534"/>
      <c r="I68" s="534"/>
      <c r="J68" s="534"/>
      <c r="K68" s="534"/>
      <c r="L68" s="534"/>
      <c r="M68" s="534"/>
      <c r="N68" s="534"/>
      <c r="O68" s="1287"/>
      <c r="P68" s="1287"/>
      <c r="Q68" s="1287"/>
      <c r="R68" s="1287"/>
      <c r="S68" s="1287"/>
    </row>
    <row r="69" spans="2:69" x14ac:dyDescent="0.2">
      <c r="D69" s="537"/>
      <c r="F69" s="534"/>
      <c r="G69" s="535"/>
      <c r="H69" s="534"/>
      <c r="I69" s="534"/>
      <c r="J69" s="534"/>
      <c r="K69" s="534"/>
      <c r="L69" s="534"/>
      <c r="M69" s="534"/>
      <c r="N69" s="534"/>
      <c r="O69" s="1287"/>
      <c r="P69" s="1287"/>
      <c r="Q69" s="1287"/>
      <c r="R69" s="1287"/>
      <c r="S69" s="1287"/>
    </row>
    <row r="70" spans="2:69" x14ac:dyDescent="0.2">
      <c r="B70" s="538"/>
      <c r="F70" s="534"/>
      <c r="G70" s="535"/>
      <c r="H70" s="534"/>
      <c r="I70" s="534"/>
      <c r="J70" s="534"/>
      <c r="K70" s="534"/>
      <c r="L70" s="534"/>
      <c r="M70" s="534"/>
      <c r="N70" s="534"/>
      <c r="O70" s="1287"/>
      <c r="P70" s="1287"/>
      <c r="Q70" s="1287"/>
      <c r="R70" s="1287"/>
      <c r="S70" s="1287"/>
    </row>
    <row r="71" spans="2:69" x14ac:dyDescent="0.2">
      <c r="B71" s="538"/>
      <c r="C71" s="538"/>
      <c r="D71" s="538"/>
      <c r="F71" s="534"/>
      <c r="G71" s="535"/>
      <c r="H71" s="534"/>
      <c r="I71" s="534"/>
      <c r="J71" s="534"/>
      <c r="K71" s="534"/>
      <c r="L71" s="534"/>
      <c r="M71" s="534"/>
      <c r="N71" s="534"/>
      <c r="O71" s="1287"/>
      <c r="P71" s="1287"/>
      <c r="Q71" s="1287"/>
      <c r="R71" s="1287"/>
      <c r="S71" s="1287"/>
    </row>
    <row r="72" spans="2:69" x14ac:dyDescent="0.2">
      <c r="F72" s="534"/>
      <c r="G72" s="535"/>
      <c r="H72" s="534"/>
      <c r="I72" s="534"/>
      <c r="J72" s="534"/>
      <c r="K72" s="534"/>
      <c r="L72" s="534"/>
      <c r="M72" s="534"/>
      <c r="N72" s="534"/>
      <c r="O72" s="1287"/>
      <c r="P72" s="1287"/>
      <c r="Q72" s="1287"/>
      <c r="R72" s="1287"/>
      <c r="S72" s="1287"/>
    </row>
    <row r="73" spans="2:69" x14ac:dyDescent="0.2">
      <c r="F73" s="534"/>
      <c r="G73" s="535"/>
      <c r="H73" s="534"/>
      <c r="I73" s="534"/>
      <c r="J73" s="534"/>
      <c r="K73" s="534"/>
      <c r="L73" s="534"/>
      <c r="M73" s="534"/>
      <c r="N73" s="534"/>
      <c r="O73" s="1287"/>
      <c r="P73" s="1287"/>
      <c r="Q73" s="1287"/>
      <c r="R73" s="1287"/>
      <c r="S73" s="1287"/>
    </row>
    <row r="74" spans="2:69" x14ac:dyDescent="0.2">
      <c r="F74" s="534"/>
      <c r="G74" s="535"/>
      <c r="H74" s="534"/>
      <c r="I74" s="534"/>
      <c r="J74" s="534"/>
      <c r="K74" s="534"/>
      <c r="L74" s="534"/>
      <c r="M74" s="534"/>
      <c r="N74" s="534"/>
      <c r="O74" s="1287"/>
      <c r="P74" s="1287"/>
      <c r="Q74" s="1287"/>
      <c r="R74" s="1287"/>
      <c r="S74" s="1287"/>
    </row>
    <row r="75" spans="2:69" x14ac:dyDescent="0.2">
      <c r="F75" s="534"/>
      <c r="G75" s="535"/>
      <c r="H75" s="534"/>
      <c r="I75" s="534"/>
      <c r="J75" s="534"/>
      <c r="K75" s="534"/>
      <c r="L75" s="534"/>
      <c r="M75" s="534"/>
      <c r="N75" s="534"/>
      <c r="O75" s="1287"/>
      <c r="P75" s="1287"/>
      <c r="Q75" s="1287"/>
      <c r="R75" s="1287"/>
      <c r="S75" s="1287"/>
    </row>
    <row r="76" spans="2:69" x14ac:dyDescent="0.2">
      <c r="F76" s="534"/>
      <c r="G76" s="535"/>
      <c r="H76" s="534"/>
      <c r="I76" s="534"/>
      <c r="J76" s="534"/>
      <c r="K76" s="534"/>
      <c r="L76" s="534"/>
      <c r="M76" s="534"/>
      <c r="N76" s="534"/>
      <c r="O76" s="1287"/>
      <c r="P76" s="1287"/>
      <c r="Q76" s="1287"/>
      <c r="R76" s="1287"/>
      <c r="S76" s="1287"/>
    </row>
    <row r="77" spans="2:69" x14ac:dyDescent="0.2">
      <c r="F77" s="534"/>
      <c r="G77" s="535"/>
      <c r="H77" s="534"/>
      <c r="I77" s="534"/>
      <c r="J77" s="534"/>
      <c r="K77" s="534"/>
      <c r="L77" s="534"/>
      <c r="M77" s="534"/>
      <c r="N77" s="534"/>
      <c r="O77" s="1287"/>
      <c r="P77" s="1287"/>
      <c r="Q77" s="1287"/>
      <c r="R77" s="1287"/>
      <c r="S77" s="1287"/>
    </row>
    <row r="78" spans="2:69" x14ac:dyDescent="0.2">
      <c r="F78" s="534"/>
      <c r="G78" s="535"/>
      <c r="H78" s="534"/>
      <c r="I78" s="534"/>
      <c r="J78" s="534"/>
      <c r="K78" s="534"/>
      <c r="L78" s="534"/>
      <c r="M78" s="534"/>
      <c r="N78" s="534"/>
      <c r="O78" s="1287"/>
      <c r="P78" s="1287"/>
      <c r="Q78" s="1287"/>
      <c r="R78" s="1287"/>
      <c r="S78" s="1287"/>
    </row>
    <row r="79" spans="2:69" x14ac:dyDescent="0.2">
      <c r="F79" s="534"/>
      <c r="G79" s="535"/>
      <c r="H79" s="534"/>
      <c r="I79" s="534"/>
      <c r="J79" s="534"/>
      <c r="K79" s="534"/>
      <c r="L79" s="534"/>
      <c r="M79" s="534"/>
      <c r="N79" s="534"/>
      <c r="O79" s="1287"/>
      <c r="P79" s="1287"/>
      <c r="Q79" s="1287"/>
      <c r="R79" s="1287"/>
      <c r="S79" s="1287"/>
    </row>
    <row r="80" spans="2:69" x14ac:dyDescent="0.2">
      <c r="F80" s="534"/>
      <c r="G80" s="535"/>
      <c r="H80" s="534"/>
      <c r="I80" s="534"/>
      <c r="J80" s="534"/>
      <c r="K80" s="534"/>
      <c r="L80" s="534"/>
      <c r="M80" s="534"/>
      <c r="N80" s="534"/>
      <c r="O80" s="1287"/>
      <c r="P80" s="1287"/>
      <c r="Q80" s="1287"/>
      <c r="R80" s="1287"/>
      <c r="S80" s="1287"/>
    </row>
    <row r="81" spans="6:19" x14ac:dyDescent="0.2">
      <c r="F81" s="534"/>
      <c r="G81" s="535"/>
      <c r="H81" s="534"/>
      <c r="I81" s="534"/>
      <c r="J81" s="534"/>
      <c r="K81" s="534"/>
      <c r="L81" s="534"/>
      <c r="M81" s="534"/>
      <c r="N81" s="534"/>
      <c r="O81" s="1287"/>
      <c r="P81" s="1287"/>
      <c r="Q81" s="1287"/>
      <c r="R81" s="1287"/>
      <c r="S81" s="1287"/>
    </row>
    <row r="82" spans="6:19" x14ac:dyDescent="0.2">
      <c r="F82" s="534"/>
      <c r="G82" s="535"/>
      <c r="H82" s="534"/>
      <c r="I82" s="534"/>
      <c r="J82" s="534"/>
      <c r="K82" s="534"/>
      <c r="L82" s="534"/>
      <c r="M82" s="534"/>
      <c r="N82" s="534"/>
      <c r="O82" s="1287"/>
      <c r="P82" s="1287"/>
      <c r="Q82" s="1287"/>
      <c r="R82" s="1287"/>
      <c r="S82" s="1287"/>
    </row>
    <row r="83" spans="6:19" x14ac:dyDescent="0.2">
      <c r="F83" s="534"/>
      <c r="G83" s="535"/>
      <c r="H83" s="534"/>
      <c r="I83" s="534"/>
      <c r="J83" s="534"/>
      <c r="K83" s="534"/>
      <c r="L83" s="534"/>
      <c r="M83" s="534"/>
      <c r="N83" s="534"/>
      <c r="O83" s="1287"/>
      <c r="P83" s="1287"/>
      <c r="Q83" s="1287"/>
      <c r="R83" s="1287"/>
      <c r="S83" s="1287"/>
    </row>
    <row r="84" spans="6:19" x14ac:dyDescent="0.2">
      <c r="F84" s="534"/>
      <c r="G84" s="535"/>
      <c r="H84" s="534"/>
      <c r="I84" s="534"/>
      <c r="J84" s="534"/>
      <c r="K84" s="534"/>
      <c r="L84" s="534"/>
      <c r="M84" s="534"/>
      <c r="N84" s="534"/>
      <c r="O84" s="1287"/>
      <c r="P84" s="1287"/>
      <c r="Q84" s="1287"/>
      <c r="R84" s="1287"/>
      <c r="S84" s="1287"/>
    </row>
    <row r="85" spans="6:19" x14ac:dyDescent="0.2">
      <c r="F85" s="534"/>
      <c r="G85" s="535"/>
      <c r="H85" s="534"/>
      <c r="I85" s="534"/>
      <c r="J85" s="534"/>
      <c r="K85" s="534"/>
      <c r="L85" s="534"/>
      <c r="M85" s="534"/>
      <c r="N85" s="534"/>
      <c r="O85" s="1287"/>
      <c r="P85" s="1287"/>
      <c r="Q85" s="1287"/>
      <c r="R85" s="1287"/>
      <c r="S85" s="1287"/>
    </row>
    <row r="86" spans="6:19" x14ac:dyDescent="0.2">
      <c r="F86" s="534"/>
      <c r="G86" s="535"/>
      <c r="H86" s="534"/>
      <c r="I86" s="534"/>
      <c r="J86" s="534"/>
      <c r="K86" s="534"/>
      <c r="L86" s="534"/>
      <c r="M86" s="534"/>
      <c r="N86" s="534"/>
      <c r="O86" s="1287"/>
      <c r="P86" s="1287"/>
      <c r="Q86" s="1287"/>
      <c r="R86" s="1287"/>
      <c r="S86" s="1287"/>
    </row>
    <row r="87" spans="6:19" x14ac:dyDescent="0.2">
      <c r="F87" s="534"/>
      <c r="G87" s="535"/>
      <c r="H87" s="534"/>
      <c r="I87" s="534"/>
      <c r="J87" s="534"/>
      <c r="K87" s="534"/>
      <c r="L87" s="534"/>
      <c r="M87" s="534"/>
      <c r="N87" s="534"/>
      <c r="O87" s="1287"/>
      <c r="P87" s="1287"/>
      <c r="Q87" s="1287"/>
      <c r="R87" s="1287"/>
      <c r="S87" s="1287"/>
    </row>
    <row r="88" spans="6:19" x14ac:dyDescent="0.2">
      <c r="F88" s="534"/>
      <c r="G88" s="535"/>
      <c r="H88" s="534"/>
      <c r="I88" s="534"/>
      <c r="J88" s="534"/>
      <c r="K88" s="534"/>
      <c r="L88" s="534"/>
      <c r="M88" s="534"/>
      <c r="N88" s="534"/>
      <c r="O88" s="1287"/>
      <c r="P88" s="1287"/>
      <c r="Q88" s="1287"/>
      <c r="R88" s="1287"/>
      <c r="S88" s="1287"/>
    </row>
    <row r="89" spans="6:19" x14ac:dyDescent="0.2">
      <c r="F89" s="534"/>
      <c r="G89" s="535"/>
      <c r="H89" s="534"/>
      <c r="I89" s="534"/>
      <c r="J89" s="534"/>
      <c r="K89" s="534"/>
      <c r="L89" s="534"/>
      <c r="M89" s="534"/>
      <c r="N89" s="534"/>
      <c r="O89" s="1287"/>
      <c r="P89" s="1287"/>
      <c r="Q89" s="1287"/>
      <c r="R89" s="1287"/>
      <c r="S89" s="1287"/>
    </row>
    <row r="90" spans="6:19" x14ac:dyDescent="0.2">
      <c r="F90" s="534"/>
      <c r="G90" s="535"/>
      <c r="H90" s="534"/>
      <c r="I90" s="534"/>
      <c r="J90" s="534"/>
      <c r="K90" s="534"/>
      <c r="L90" s="534"/>
      <c r="M90" s="534"/>
      <c r="N90" s="534"/>
      <c r="O90" s="1287"/>
      <c r="P90" s="1287"/>
      <c r="Q90" s="1287"/>
      <c r="R90" s="1287"/>
      <c r="S90" s="1287"/>
    </row>
    <row r="91" spans="6:19" x14ac:dyDescent="0.2">
      <c r="F91" s="534"/>
      <c r="G91" s="535"/>
      <c r="H91" s="534"/>
      <c r="I91" s="534"/>
      <c r="J91" s="534"/>
      <c r="K91" s="534"/>
      <c r="L91" s="534"/>
      <c r="M91" s="534"/>
      <c r="N91" s="534"/>
      <c r="O91" s="1287"/>
      <c r="P91" s="1287"/>
      <c r="Q91" s="1287"/>
      <c r="R91" s="1287"/>
      <c r="S91" s="1287"/>
    </row>
    <row r="92" spans="6:19" x14ac:dyDescent="0.2">
      <c r="F92" s="534"/>
      <c r="G92" s="535"/>
      <c r="H92" s="534"/>
      <c r="I92" s="534"/>
      <c r="J92" s="534"/>
      <c r="K92" s="534"/>
      <c r="L92" s="534"/>
      <c r="M92" s="534"/>
      <c r="N92" s="534"/>
      <c r="O92" s="1287"/>
      <c r="P92" s="1287"/>
      <c r="Q92" s="1287"/>
      <c r="R92" s="1287"/>
      <c r="S92" s="1287"/>
    </row>
    <row r="93" spans="6:19" x14ac:dyDescent="0.2">
      <c r="F93" s="534"/>
      <c r="G93" s="535"/>
      <c r="H93" s="534"/>
      <c r="I93" s="534"/>
      <c r="J93" s="534"/>
      <c r="K93" s="534"/>
      <c r="L93" s="534"/>
      <c r="M93" s="534"/>
      <c r="N93" s="534"/>
      <c r="O93" s="1287"/>
      <c r="P93" s="1287"/>
      <c r="Q93" s="1287"/>
      <c r="R93" s="1287"/>
      <c r="S93" s="1287"/>
    </row>
    <row r="94" spans="6:19" x14ac:dyDescent="0.2">
      <c r="F94" s="534"/>
      <c r="G94" s="535"/>
      <c r="H94" s="534"/>
      <c r="I94" s="534"/>
      <c r="J94" s="534"/>
      <c r="K94" s="534"/>
      <c r="L94" s="534"/>
      <c r="M94" s="534"/>
      <c r="N94" s="534"/>
      <c r="O94" s="1287"/>
      <c r="P94" s="1287"/>
      <c r="Q94" s="1287"/>
      <c r="R94" s="1287"/>
      <c r="S94" s="1287"/>
    </row>
    <row r="95" spans="6:19" x14ac:dyDescent="0.2">
      <c r="F95" s="534"/>
      <c r="G95" s="535"/>
      <c r="H95" s="534"/>
      <c r="I95" s="534"/>
      <c r="J95" s="534"/>
      <c r="K95" s="534"/>
      <c r="L95" s="534"/>
      <c r="M95" s="534"/>
      <c r="N95" s="534"/>
      <c r="O95" s="1287"/>
      <c r="P95" s="1287"/>
      <c r="Q95" s="1287"/>
      <c r="R95" s="1287"/>
      <c r="S95" s="1287"/>
    </row>
    <row r="96" spans="6:19" x14ac:dyDescent="0.2">
      <c r="F96" s="534"/>
      <c r="G96" s="535"/>
      <c r="H96" s="534"/>
      <c r="I96" s="534"/>
      <c r="J96" s="534"/>
      <c r="K96" s="534"/>
      <c r="L96" s="534"/>
      <c r="M96" s="534"/>
      <c r="N96" s="534"/>
      <c r="O96" s="1287"/>
      <c r="P96" s="1287"/>
      <c r="Q96" s="1287"/>
      <c r="R96" s="1287"/>
      <c r="S96" s="1287"/>
    </row>
    <row r="97" spans="6:19" x14ac:dyDescent="0.2">
      <c r="F97" s="534"/>
      <c r="G97" s="535"/>
      <c r="H97" s="534"/>
      <c r="I97" s="534"/>
      <c r="J97" s="534"/>
      <c r="K97" s="534"/>
      <c r="L97" s="534"/>
      <c r="M97" s="534"/>
      <c r="N97" s="534"/>
      <c r="O97" s="1287"/>
      <c r="P97" s="1287"/>
      <c r="Q97" s="1287"/>
      <c r="R97" s="1287"/>
      <c r="S97" s="1287"/>
    </row>
    <row r="98" spans="6:19" x14ac:dyDescent="0.2">
      <c r="F98" s="534"/>
      <c r="G98" s="535"/>
      <c r="H98" s="534"/>
      <c r="I98" s="534"/>
      <c r="J98" s="534"/>
      <c r="K98" s="534"/>
      <c r="L98" s="534"/>
      <c r="M98" s="534"/>
      <c r="N98" s="534"/>
      <c r="O98" s="534"/>
      <c r="P98" s="534"/>
    </row>
    <row r="99" spans="6:19" x14ac:dyDescent="0.2">
      <c r="F99" s="534"/>
      <c r="G99" s="535"/>
      <c r="H99" s="534"/>
      <c r="I99" s="534"/>
      <c r="J99" s="534"/>
      <c r="K99" s="534"/>
      <c r="L99" s="534"/>
      <c r="M99" s="534"/>
      <c r="N99" s="534"/>
      <c r="O99" s="534"/>
      <c r="P99" s="534"/>
    </row>
    <row r="100" spans="6:19" x14ac:dyDescent="0.2">
      <c r="F100" s="534"/>
      <c r="G100" s="535"/>
      <c r="H100" s="534"/>
      <c r="I100" s="534"/>
      <c r="J100" s="534"/>
      <c r="K100" s="534"/>
      <c r="L100" s="534"/>
      <c r="M100" s="534"/>
      <c r="N100" s="534"/>
      <c r="O100" s="534"/>
      <c r="P100" s="534"/>
    </row>
    <row r="101" spans="6:19" x14ac:dyDescent="0.2">
      <c r="F101" s="534"/>
      <c r="G101" s="535"/>
      <c r="H101" s="534"/>
      <c r="I101" s="534"/>
      <c r="J101" s="534"/>
      <c r="K101" s="534"/>
      <c r="L101" s="534"/>
      <c r="M101" s="534"/>
      <c r="N101" s="534"/>
      <c r="O101" s="534"/>
      <c r="P101" s="534"/>
    </row>
    <row r="102" spans="6:19" x14ac:dyDescent="0.2">
      <c r="F102" s="534"/>
      <c r="G102" s="535"/>
      <c r="H102" s="534"/>
      <c r="I102" s="534"/>
      <c r="J102" s="534"/>
      <c r="K102" s="534"/>
      <c r="L102" s="534"/>
      <c r="M102" s="534"/>
      <c r="N102" s="534"/>
      <c r="O102" s="534"/>
      <c r="P102" s="534"/>
    </row>
    <row r="103" spans="6:19" x14ac:dyDescent="0.2">
      <c r="F103" s="534"/>
      <c r="G103" s="535"/>
      <c r="H103" s="534"/>
      <c r="I103" s="534"/>
      <c r="J103" s="534"/>
      <c r="K103" s="534"/>
      <c r="L103" s="534"/>
      <c r="M103" s="534"/>
      <c r="N103" s="534"/>
      <c r="O103" s="534"/>
      <c r="P103" s="534"/>
    </row>
    <row r="104" spans="6:19" x14ac:dyDescent="0.2">
      <c r="F104" s="534"/>
      <c r="G104" s="535"/>
      <c r="H104" s="534"/>
      <c r="I104" s="534"/>
      <c r="J104" s="534"/>
      <c r="K104" s="534"/>
      <c r="L104" s="534"/>
      <c r="M104" s="534"/>
      <c r="N104" s="534"/>
      <c r="O104" s="534"/>
      <c r="P104" s="534"/>
    </row>
    <row r="105" spans="6:19" x14ac:dyDescent="0.2">
      <c r="F105" s="534"/>
      <c r="G105" s="535"/>
      <c r="H105" s="534"/>
      <c r="I105" s="534"/>
      <c r="J105" s="534"/>
      <c r="K105" s="534"/>
      <c r="L105" s="534"/>
      <c r="M105" s="534"/>
      <c r="N105" s="534"/>
      <c r="O105" s="534"/>
      <c r="P105" s="534"/>
    </row>
    <row r="106" spans="6:19" x14ac:dyDescent="0.2">
      <c r="F106" s="534"/>
      <c r="G106" s="535"/>
      <c r="H106" s="534"/>
      <c r="I106" s="534"/>
      <c r="J106" s="534"/>
      <c r="K106" s="534"/>
      <c r="L106" s="534"/>
      <c r="M106" s="534"/>
      <c r="N106" s="534"/>
      <c r="O106" s="534"/>
      <c r="P106" s="534"/>
    </row>
    <row r="107" spans="6:19" x14ac:dyDescent="0.2">
      <c r="F107" s="534"/>
      <c r="G107" s="535"/>
      <c r="H107" s="534"/>
      <c r="I107" s="534"/>
      <c r="J107" s="534"/>
      <c r="K107" s="534"/>
      <c r="L107" s="534"/>
      <c r="M107" s="534"/>
      <c r="N107" s="534"/>
      <c r="O107" s="534"/>
      <c r="P107" s="534"/>
    </row>
    <row r="108" spans="6:19" x14ac:dyDescent="0.2">
      <c r="F108" s="534"/>
      <c r="G108" s="535"/>
      <c r="H108" s="534"/>
      <c r="I108" s="534"/>
      <c r="J108" s="534"/>
      <c r="K108" s="534"/>
      <c r="L108" s="534"/>
      <c r="M108" s="534"/>
      <c r="N108" s="534"/>
      <c r="O108" s="534"/>
      <c r="P108" s="534"/>
    </row>
    <row r="109" spans="6:19" x14ac:dyDescent="0.2">
      <c r="F109" s="534"/>
      <c r="G109" s="535"/>
      <c r="H109" s="534"/>
      <c r="I109" s="534"/>
      <c r="J109" s="534"/>
      <c r="K109" s="534"/>
      <c r="L109" s="534"/>
      <c r="M109" s="534"/>
      <c r="N109" s="534"/>
      <c r="O109" s="534"/>
      <c r="P109" s="534"/>
    </row>
    <row r="110" spans="6:19" x14ac:dyDescent="0.2">
      <c r="F110" s="534"/>
      <c r="G110" s="535"/>
      <c r="H110" s="534"/>
      <c r="I110" s="534"/>
      <c r="J110" s="534"/>
      <c r="K110" s="534"/>
      <c r="L110" s="534"/>
      <c r="M110" s="534"/>
      <c r="N110" s="534"/>
      <c r="O110" s="534"/>
      <c r="P110" s="534"/>
    </row>
    <row r="111" spans="6:19" x14ac:dyDescent="0.2">
      <c r="F111" s="534"/>
      <c r="G111" s="535"/>
      <c r="H111" s="534"/>
      <c r="I111" s="534"/>
      <c r="J111" s="534"/>
      <c r="K111" s="534"/>
      <c r="L111" s="534"/>
      <c r="M111" s="534"/>
      <c r="N111" s="534"/>
      <c r="O111" s="534"/>
      <c r="P111" s="534"/>
    </row>
    <row r="112" spans="6:19"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J6:K6"/>
    <mergeCell ref="C19:H19"/>
    <mergeCell ref="I19:M19"/>
    <mergeCell ref="Z19:AE19"/>
    <mergeCell ref="T19:Y19"/>
    <mergeCell ref="N19:S19"/>
    <mergeCell ref="L6:M6"/>
    <mergeCell ref="N6:O6"/>
  </mergeCells>
  <phoneticPr fontId="0" type="noConversion"/>
  <conditionalFormatting sqref="T22:T65">
    <cfRule type="expression" dxfId="108" priority="7">
      <formula>AND($G$8="N/A",$T22&gt;1)</formula>
    </cfRule>
  </conditionalFormatting>
  <conditionalFormatting sqref="V22:V65">
    <cfRule type="expression" dxfId="107" priority="5">
      <formula>AND($G$10="N/A",$V22&gt;1)</formula>
    </cfRule>
  </conditionalFormatting>
  <conditionalFormatting sqref="U22:U65">
    <cfRule type="expression" dxfId="106" priority="6">
      <formula>AND($G$9="N/A",U22&gt;1)</formula>
    </cfRule>
  </conditionalFormatting>
  <conditionalFormatting sqref="W22:W65">
    <cfRule type="expression" dxfId="105" priority="4">
      <formula>AND($G$11="N/A",$W22&gt;1)</formula>
    </cfRule>
  </conditionalFormatting>
  <conditionalFormatting sqref="X22:X65">
    <cfRule type="expression" dxfId="104" priority="3">
      <formula>AND($G$12="N/A",$X22&gt;1)</formula>
    </cfRule>
  </conditionalFormatting>
  <conditionalFormatting sqref="Y22:Y65">
    <cfRule type="expression" dxfId="103" priority="2">
      <formula>AND($G$13="N/A",$Y22&gt;1)</formula>
    </cfRule>
  </conditionalFormatting>
  <conditionalFormatting sqref="Z20:AE20">
    <cfRule type="expression" dxfId="102" priority="1">
      <formula>INDEX($H$8:$H$13,MATCH(Z$20,$B$8:$B$13,0))=TRUE</formula>
    </cfRule>
  </conditionalFormatting>
  <dataValidations count="4">
    <dataValidation type="decimal" operator="greaterThan" allowBlank="1" showInputMessage="1" showErrorMessage="1" error="Input a number greater than zero to avoid divide by zero." sqref="O8:O13" xr:uid="{00000000-0002-0000-0200-000000000000}">
      <formula1>0</formula1>
    </dataValidation>
    <dataValidation type="list" allowBlank="1" showInputMessage="1" showErrorMessage="1" sqref="F8:F13" xr:uid="{00000000-0002-0000-0200-000001000000}">
      <formula1>Fuels</formula1>
    </dataValidation>
    <dataValidation type="decimal" allowBlank="1" showInputMessage="1" showErrorMessage="1" error="Input must be a decimal value between 0.0 and 1.0." sqref="J9:K13" xr:uid="{00000000-0002-0000-0200-000002000000}">
      <formula1>0</formula1>
      <formula2>1</formula2>
    </dataValidation>
    <dataValidation type="list" allowBlank="1" showInputMessage="1" showErrorMessage="1" sqref="G8:G13" xr:uid="{00000000-0002-0000-02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57" r:id="rId4" name="Button 33">
              <controlPr defaultSize="0" print="0" autoFill="0" autoPict="0" macro="[0]!RunAll">
                <anchor moveWithCells="1" sizeWithCells="1">
                  <from>
                    <xdr:col>16</xdr:col>
                    <xdr:colOff>88900</xdr:colOff>
                    <xdr:row>8</xdr:row>
                    <xdr:rowOff>0</xdr:rowOff>
                  </from>
                  <to>
                    <xdr:col>18</xdr:col>
                    <xdr:colOff>444500</xdr:colOff>
                    <xdr:row>10</xdr:row>
                    <xdr:rowOff>38100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InputCls2">
    <tabColor indexed="43"/>
    <outlinePr showOutlineSymbols="0"/>
  </sheetPr>
  <dimension ref="A1:BF296"/>
  <sheetViews>
    <sheetView showGridLines="0" showOutlineSymbols="0" zoomScaleNormal="100" workbookViewId="0">
      <selection activeCell="AA21" sqref="AA21:AE21"/>
    </sheetView>
  </sheetViews>
  <sheetFormatPr baseColWidth="10" defaultColWidth="8.83203125" defaultRowHeight="14" outlineLevelCol="1" x14ac:dyDescent="0.2"/>
  <cols>
    <col min="1" max="1" width="1.5" style="3" customWidth="1"/>
    <col min="2" max="2" width="7.5" style="3" customWidth="1"/>
    <col min="3" max="3" width="9.5" style="3" customWidth="1"/>
    <col min="4" max="4" width="10.33203125" style="3" customWidth="1"/>
    <col min="5" max="5" width="9.33203125" style="2" customWidth="1" outlineLevel="1"/>
    <col min="6" max="6" width="8.6640625" style="3" customWidth="1" outlineLevel="1"/>
    <col min="7" max="7" width="9.5" style="2" bestFit="1" customWidth="1"/>
    <col min="8" max="8" width="8.5" style="3" customWidth="1"/>
    <col min="9" max="9" width="8.5" style="3" customWidth="1" outlineLevel="1"/>
    <col min="10" max="10" width="7.1640625" style="3" customWidth="1" outlineLevel="1"/>
    <col min="11" max="11" width="8.33203125" style="3" customWidth="1"/>
    <col min="12" max="12" width="7.83203125" style="3" customWidth="1"/>
    <col min="13" max="13" width="8.6640625" style="3" bestFit="1" customWidth="1" outlineLevel="1"/>
    <col min="14" max="14" width="8.1640625" style="3" customWidth="1" outlineLevel="1"/>
    <col min="15" max="15" width="8.6640625" style="3" bestFit="1" customWidth="1"/>
    <col min="16" max="16" width="7.83203125" style="3" customWidth="1"/>
    <col min="17" max="17" width="6.33203125" customWidth="1" outlineLevel="1"/>
    <col min="18" max="18" width="7.83203125" customWidth="1" outlineLevel="1"/>
    <col min="19" max="19" width="6.33203125" customWidth="1"/>
    <col min="20" max="20" width="7.83203125" customWidth="1"/>
    <col min="21" max="21" width="5.83203125" customWidth="1" outlineLevel="1"/>
    <col min="22" max="22" width="7.5" customWidth="1" outlineLevel="1"/>
    <col min="23" max="23" width="6.83203125" customWidth="1"/>
    <col min="24" max="24" width="7.83203125" customWidth="1"/>
    <col min="25" max="25" width="7.1640625" customWidth="1"/>
    <col min="26" max="26" width="6.5" customWidth="1"/>
    <col min="27" max="27" width="7.1640625" customWidth="1"/>
    <col min="28" max="28" width="7.83203125" customWidth="1"/>
    <col min="29" max="29" width="5.83203125" customWidth="1"/>
    <col min="30" max="30" width="6.6640625" customWidth="1"/>
    <col min="31" max="31" width="5.83203125" customWidth="1"/>
    <col min="32" max="32" width="7.83203125" customWidth="1"/>
    <col min="33" max="33" width="4.5" hidden="1" customWidth="1"/>
    <col min="34" max="34" width="6.5" hidden="1" customWidth="1"/>
    <col min="35" max="46" width="7.1640625" hidden="1" customWidth="1"/>
    <col min="47" max="58" width="6.5" hidden="1" customWidth="1"/>
    <col min="59" max="67" width="0" hidden="1" customWidth="1"/>
  </cols>
  <sheetData>
    <row r="1" spans="1:27" ht="16" x14ac:dyDescent="0.2">
      <c r="B1" s="54" t="s">
        <v>242</v>
      </c>
      <c r="C1" s="1"/>
      <c r="D1" s="1"/>
      <c r="F1" s="1"/>
    </row>
    <row r="2" spans="1:27" ht="5.25" customHeight="1" x14ac:dyDescent="0.2">
      <c r="B2" s="54"/>
      <c r="C2" s="1"/>
      <c r="D2" s="497"/>
      <c r="F2" s="1"/>
    </row>
    <row r="3" spans="1:27" x14ac:dyDescent="0.2">
      <c r="B3" s="1" t="s">
        <v>227</v>
      </c>
      <c r="D3" s="765" t="s">
        <v>228</v>
      </c>
      <c r="E3" s="1380">
        <v>250</v>
      </c>
      <c r="F3" s="1"/>
    </row>
    <row r="4" spans="1:27" ht="16" x14ac:dyDescent="0.2">
      <c r="B4" s="12"/>
      <c r="C4" s="1"/>
      <c r="D4" s="1"/>
      <c r="F4" s="1"/>
    </row>
    <row r="5" spans="1:27" ht="16" thickBot="1" x14ac:dyDescent="0.25">
      <c r="B5" s="36" t="s">
        <v>74</v>
      </c>
      <c r="C5"/>
      <c r="D5"/>
      <c r="E5"/>
      <c r="F5"/>
      <c r="G5"/>
      <c r="H5"/>
      <c r="I5"/>
      <c r="J5"/>
      <c r="K5"/>
      <c r="L5"/>
      <c r="M5"/>
      <c r="N5" s="37"/>
      <c r="O5" s="37"/>
    </row>
    <row r="6" spans="1:27" ht="24" customHeight="1" x14ac:dyDescent="0.2">
      <c r="B6" s="38"/>
      <c r="C6" s="39"/>
      <c r="D6" s="40"/>
      <c r="E6" s="40"/>
      <c r="F6" s="39"/>
      <c r="G6" s="39"/>
      <c r="H6" s="833"/>
      <c r="I6" s="714"/>
      <c r="J6" s="1537" t="s">
        <v>76</v>
      </c>
      <c r="K6" s="1538"/>
      <c r="L6" s="1539" t="s">
        <v>83</v>
      </c>
      <c r="M6" s="1540"/>
      <c r="N6" s="1539" t="s">
        <v>109</v>
      </c>
      <c r="O6" s="1540"/>
      <c r="P6"/>
      <c r="R6" s="3"/>
    </row>
    <row r="7" spans="1:27" ht="27" customHeight="1" thickBot="1" x14ac:dyDescent="0.25">
      <c r="B7" s="41"/>
      <c r="C7" s="718" t="s">
        <v>75</v>
      </c>
      <c r="D7" s="716"/>
      <c r="E7" s="717"/>
      <c r="F7" s="42" t="s">
        <v>211</v>
      </c>
      <c r="G7" s="42" t="s">
        <v>210</v>
      </c>
      <c r="H7" s="834" t="s">
        <v>264</v>
      </c>
      <c r="I7" s="715" t="s">
        <v>81</v>
      </c>
      <c r="J7" s="606" t="s">
        <v>283</v>
      </c>
      <c r="K7" s="607" t="s">
        <v>284</v>
      </c>
      <c r="L7" s="43" t="s">
        <v>113</v>
      </c>
      <c r="M7" s="44" t="s">
        <v>84</v>
      </c>
      <c r="N7" s="45" t="s">
        <v>95</v>
      </c>
      <c r="O7" s="46" t="s">
        <v>112</v>
      </c>
      <c r="P7"/>
    </row>
    <row r="8" spans="1:27" ht="15" thickTop="1" x14ac:dyDescent="0.2">
      <c r="B8" s="217" t="s">
        <v>69</v>
      </c>
      <c r="C8" s="1472" t="s">
        <v>183</v>
      </c>
      <c r="D8" s="1473"/>
      <c r="E8" s="1474"/>
      <c r="F8" s="1475" t="s">
        <v>5</v>
      </c>
      <c r="G8" s="1475" t="s">
        <v>229</v>
      </c>
      <c r="H8" s="893" t="b">
        <f>IF(AND(F8="Electricity",G8="N/A"),TRUE,FALSE)</f>
        <v>0</v>
      </c>
      <c r="I8" s="220"/>
      <c r="J8" s="221"/>
      <c r="K8" s="222"/>
      <c r="L8" s="223"/>
      <c r="M8" s="224"/>
      <c r="N8" s="1504">
        <v>0</v>
      </c>
      <c r="O8" s="1505">
        <v>350</v>
      </c>
    </row>
    <row r="9" spans="1:27" x14ac:dyDescent="0.2">
      <c r="B9" s="218" t="s">
        <v>65</v>
      </c>
      <c r="C9" s="1476" t="s">
        <v>329</v>
      </c>
      <c r="D9" s="1477"/>
      <c r="E9" s="1478"/>
      <c r="F9" s="1479" t="s">
        <v>5</v>
      </c>
      <c r="G9" s="1479" t="s">
        <v>229</v>
      </c>
      <c r="H9" s="894" t="b">
        <f t="shared" ref="H9:H13" si="0">IF(AND(F9="Electricity",G9="N/A"),TRUE,FALSE)</f>
        <v>0</v>
      </c>
      <c r="I9" s="1396">
        <v>2020</v>
      </c>
      <c r="J9" s="1488">
        <v>0</v>
      </c>
      <c r="K9" s="1489">
        <v>0.5</v>
      </c>
      <c r="L9" s="1490">
        <v>5000</v>
      </c>
      <c r="M9" s="1491">
        <v>100</v>
      </c>
      <c r="N9" s="1492">
        <v>0</v>
      </c>
      <c r="O9" s="1493">
        <v>350</v>
      </c>
    </row>
    <row r="10" spans="1:27" x14ac:dyDescent="0.2">
      <c r="B10" s="218" t="s">
        <v>66</v>
      </c>
      <c r="C10" s="1476" t="s">
        <v>321</v>
      </c>
      <c r="D10" s="1477"/>
      <c r="E10" s="1478"/>
      <c r="F10" s="1479" t="s">
        <v>5</v>
      </c>
      <c r="G10" s="1479" t="s">
        <v>229</v>
      </c>
      <c r="H10" s="894" t="b">
        <f t="shared" si="0"/>
        <v>0</v>
      </c>
      <c r="I10" s="1396">
        <v>2020</v>
      </c>
      <c r="J10" s="1488">
        <v>0</v>
      </c>
      <c r="K10" s="1489">
        <v>0.5</v>
      </c>
      <c r="L10" s="1490">
        <v>5000</v>
      </c>
      <c r="M10" s="1491">
        <v>100</v>
      </c>
      <c r="N10" s="1492">
        <v>0</v>
      </c>
      <c r="O10" s="1493">
        <v>350</v>
      </c>
    </row>
    <row r="11" spans="1:27" x14ac:dyDescent="0.2">
      <c r="B11" s="543" t="s">
        <v>67</v>
      </c>
      <c r="C11" s="1480" t="s">
        <v>323</v>
      </c>
      <c r="D11" s="1481"/>
      <c r="E11" s="1482"/>
      <c r="F11" s="1483" t="s">
        <v>5</v>
      </c>
      <c r="G11" s="1483" t="s">
        <v>6</v>
      </c>
      <c r="H11" s="895" t="b">
        <f t="shared" si="0"/>
        <v>0</v>
      </c>
      <c r="I11" s="1396">
        <v>2020</v>
      </c>
      <c r="J11" s="1494">
        <v>0</v>
      </c>
      <c r="K11" s="1489">
        <v>0.5</v>
      </c>
      <c r="L11" s="1495">
        <v>5000</v>
      </c>
      <c r="M11" s="1496">
        <v>100</v>
      </c>
      <c r="N11" s="1497">
        <v>0</v>
      </c>
      <c r="O11" s="1498">
        <v>350</v>
      </c>
    </row>
    <row r="12" spans="1:27" x14ac:dyDescent="0.2">
      <c r="B12" s="543" t="s">
        <v>205</v>
      </c>
      <c r="C12" s="1480" t="s">
        <v>324</v>
      </c>
      <c r="D12" s="1481"/>
      <c r="E12" s="1482"/>
      <c r="F12" s="1483" t="s">
        <v>6</v>
      </c>
      <c r="G12" s="1483" t="s">
        <v>229</v>
      </c>
      <c r="H12" s="895" t="b">
        <f t="shared" si="0"/>
        <v>1</v>
      </c>
      <c r="I12" s="1396">
        <v>2020</v>
      </c>
      <c r="J12" s="1494">
        <v>0</v>
      </c>
      <c r="K12" s="1489">
        <v>0.5</v>
      </c>
      <c r="L12" s="1495">
        <v>5000</v>
      </c>
      <c r="M12" s="1496">
        <v>100</v>
      </c>
      <c r="N12" s="1497">
        <v>0</v>
      </c>
      <c r="O12" s="1498">
        <v>350</v>
      </c>
    </row>
    <row r="13" spans="1:27" ht="15" thickBot="1" x14ac:dyDescent="0.25">
      <c r="B13" s="219" t="s">
        <v>206</v>
      </c>
      <c r="C13" s="1484" t="s">
        <v>326</v>
      </c>
      <c r="D13" s="1485"/>
      <c r="E13" s="1486"/>
      <c r="F13" s="1487" t="s">
        <v>207</v>
      </c>
      <c r="G13" s="1487" t="s">
        <v>229</v>
      </c>
      <c r="H13" s="896" t="b">
        <f t="shared" si="0"/>
        <v>0</v>
      </c>
      <c r="I13" s="1408">
        <v>2020</v>
      </c>
      <c r="J13" s="1499">
        <v>0</v>
      </c>
      <c r="K13" s="1489">
        <v>0.5</v>
      </c>
      <c r="L13" s="1500">
        <v>5000</v>
      </c>
      <c r="M13" s="1501">
        <v>100</v>
      </c>
      <c r="N13" s="1502">
        <v>0</v>
      </c>
      <c r="O13" s="1503">
        <v>350</v>
      </c>
    </row>
    <row r="14" spans="1:27" ht="16" x14ac:dyDescent="0.2">
      <c r="B14" s="12"/>
      <c r="C14" s="496" t="s">
        <v>265</v>
      </c>
      <c r="D14" s="1"/>
      <c r="F14" s="1"/>
    </row>
    <row r="15" spans="1:27" ht="16" thickBot="1" x14ac:dyDescent="0.25">
      <c r="B15" s="47" t="s">
        <v>119</v>
      </c>
      <c r="C15" s="4"/>
      <c r="D15" s="4"/>
      <c r="G15" s="5"/>
      <c r="H15" s="6"/>
      <c r="I15" s="1541"/>
      <c r="J15" s="1541"/>
      <c r="K15" s="6"/>
      <c r="L15" s="6"/>
      <c r="M15" s="6"/>
      <c r="N15" s="6"/>
      <c r="O15" s="6"/>
      <c r="P15" s="6"/>
    </row>
    <row r="16" spans="1:27" s="232" customFormat="1" ht="15" thickBot="1" x14ac:dyDescent="0.25">
      <c r="A16" s="3"/>
      <c r="B16" s="231"/>
      <c r="C16" s="4"/>
      <c r="E16" s="2"/>
      <c r="F16" s="3"/>
      <c r="G16" s="5"/>
      <c r="H16" s="6"/>
      <c r="I16" s="11"/>
      <c r="J16" s="11"/>
      <c r="K16" s="6"/>
      <c r="L16" s="6"/>
      <c r="M16" s="6"/>
      <c r="N16" s="6"/>
      <c r="O16" s="6"/>
      <c r="P16" s="6"/>
      <c r="T16" s="768" t="s">
        <v>230</v>
      </c>
      <c r="U16" s="496" t="s">
        <v>231</v>
      </c>
      <c r="Z16" s="901"/>
      <c r="AA16" s="496" t="s">
        <v>262</v>
      </c>
    </row>
    <row r="17" spans="1:31" s="232" customFormat="1" x14ac:dyDescent="0.2">
      <c r="A17" s="3"/>
      <c r="B17" s="231"/>
      <c r="C17" s="233"/>
      <c r="E17" s="2"/>
      <c r="F17" s="3"/>
      <c r="G17" s="5"/>
      <c r="H17" s="6"/>
      <c r="I17" s="11"/>
      <c r="J17" s="11"/>
      <c r="K17" s="6"/>
      <c r="L17" s="6"/>
      <c r="M17" s="6"/>
      <c r="N17" s="6"/>
      <c r="O17" s="6"/>
      <c r="P17" s="6"/>
      <c r="U17" s="496" t="s">
        <v>232</v>
      </c>
      <c r="AA17" s="496" t="s">
        <v>263</v>
      </c>
    </row>
    <row r="18" spans="1:31" s="232" customFormat="1" ht="15" thickBot="1" x14ac:dyDescent="0.25">
      <c r="A18" s="3"/>
      <c r="B18" s="230"/>
      <c r="C18" s="229"/>
      <c r="E18" s="2"/>
      <c r="F18" s="229"/>
      <c r="G18" s="5"/>
      <c r="H18" s="6"/>
      <c r="I18" s="11"/>
      <c r="J18" s="11"/>
      <c r="K18" s="6"/>
      <c r="L18" s="6"/>
      <c r="M18" s="6"/>
      <c r="N18" s="6"/>
      <c r="O18" s="6"/>
      <c r="P18" s="6"/>
    </row>
    <row r="19" spans="1:31" s="232" customFormat="1" ht="17" thickBot="1" x14ac:dyDescent="0.25">
      <c r="A19" s="3"/>
      <c r="B19" s="747"/>
      <c r="C19" s="1530" t="s">
        <v>221</v>
      </c>
      <c r="D19" s="1531"/>
      <c r="E19" s="1531"/>
      <c r="F19" s="1531"/>
      <c r="G19" s="1531"/>
      <c r="H19" s="1531"/>
      <c r="I19" s="1531" t="s">
        <v>222</v>
      </c>
      <c r="J19" s="1531"/>
      <c r="K19" s="1531"/>
      <c r="L19" s="1531"/>
      <c r="M19" s="1532"/>
      <c r="N19" s="1533" t="s">
        <v>223</v>
      </c>
      <c r="O19" s="1534"/>
      <c r="P19" s="1534"/>
      <c r="Q19" s="1534"/>
      <c r="R19" s="1534"/>
      <c r="S19" s="1535"/>
      <c r="T19" s="1533" t="s">
        <v>224</v>
      </c>
      <c r="U19" s="1534"/>
      <c r="V19" s="1534"/>
      <c r="W19" s="1534"/>
      <c r="X19" s="1534"/>
      <c r="Y19" s="1535"/>
      <c r="Z19" s="1533" t="s">
        <v>226</v>
      </c>
      <c r="AA19" s="1534"/>
      <c r="AB19" s="1534"/>
      <c r="AC19" s="1534"/>
      <c r="AD19" s="1534"/>
      <c r="AE19" s="1535"/>
    </row>
    <row r="20" spans="1:31" s="232" customFormat="1" ht="15" thickBot="1" x14ac:dyDescent="0.25">
      <c r="A20" s="3"/>
      <c r="B20" s="759" t="s">
        <v>225</v>
      </c>
      <c r="C20" s="762" t="s">
        <v>69</v>
      </c>
      <c r="D20" s="748" t="s">
        <v>65</v>
      </c>
      <c r="E20" s="749" t="s">
        <v>66</v>
      </c>
      <c r="F20" s="748" t="s">
        <v>67</v>
      </c>
      <c r="G20" s="749" t="s">
        <v>205</v>
      </c>
      <c r="H20" s="748" t="s">
        <v>206</v>
      </c>
      <c r="I20" s="748" t="s">
        <v>65</v>
      </c>
      <c r="J20" s="749" t="s">
        <v>66</v>
      </c>
      <c r="K20" s="748" t="s">
        <v>67</v>
      </c>
      <c r="L20" s="749" t="s">
        <v>205</v>
      </c>
      <c r="M20" s="763" t="s">
        <v>206</v>
      </c>
      <c r="N20" s="764" t="s">
        <v>69</v>
      </c>
      <c r="O20" s="750" t="s">
        <v>65</v>
      </c>
      <c r="P20" s="751" t="s">
        <v>66</v>
      </c>
      <c r="Q20" s="750" t="s">
        <v>67</v>
      </c>
      <c r="R20" s="751" t="s">
        <v>205</v>
      </c>
      <c r="S20" s="750" t="s">
        <v>206</v>
      </c>
      <c r="T20" s="750" t="s">
        <v>69</v>
      </c>
      <c r="U20" s="750" t="s">
        <v>65</v>
      </c>
      <c r="V20" s="751" t="s">
        <v>66</v>
      </c>
      <c r="W20" s="750" t="s">
        <v>67</v>
      </c>
      <c r="X20" s="751" t="s">
        <v>205</v>
      </c>
      <c r="Y20" s="752" t="s">
        <v>206</v>
      </c>
      <c r="Z20" s="750" t="s">
        <v>69</v>
      </c>
      <c r="AA20" s="750" t="s">
        <v>65</v>
      </c>
      <c r="AB20" s="751" t="s">
        <v>66</v>
      </c>
      <c r="AC20" s="750" t="s">
        <v>67</v>
      </c>
      <c r="AD20" s="751" t="s">
        <v>205</v>
      </c>
      <c r="AE20" s="752" t="s">
        <v>206</v>
      </c>
    </row>
    <row r="21" spans="1:31" s="232" customFormat="1" ht="15" thickBot="1" x14ac:dyDescent="0.25">
      <c r="A21" s="3"/>
      <c r="B21" s="760" t="s">
        <v>3</v>
      </c>
      <c r="C21" s="761"/>
      <c r="D21" s="1516" t="str">
        <f>INDEX($C$9:$C$13,MATCH(D20,$B$9:$B$13,0))</f>
        <v>Adv Conv</v>
      </c>
      <c r="E21" s="1516" t="str">
        <f t="shared" ref="E21:H21" si="1">INDEX($C$9:$C$13,MATCH(E20,$B$9:$B$13,0))</f>
        <v>ISG</v>
      </c>
      <c r="F21" s="1516" t="str">
        <f t="shared" si="1"/>
        <v>PHEV</v>
      </c>
      <c r="G21" s="1516" t="str">
        <f t="shared" si="1"/>
        <v>BEV</v>
      </c>
      <c r="H21" s="1517" t="str">
        <f t="shared" si="1"/>
        <v>FCHEV</v>
      </c>
      <c r="I21" s="1432">
        <v>0</v>
      </c>
      <c r="J21" s="1433">
        <v>0</v>
      </c>
      <c r="K21" s="1433">
        <v>0</v>
      </c>
      <c r="L21" s="1433">
        <v>0</v>
      </c>
      <c r="M21" s="1434">
        <v>0</v>
      </c>
      <c r="N21" s="753"/>
      <c r="O21" s="1516" t="str">
        <f>INDEX($C$9:$C$13,MATCH(O20,$B$9:$B$13,0))</f>
        <v>Adv Conv</v>
      </c>
      <c r="P21" s="1516" t="str">
        <f t="shared" ref="P21:S21" si="2">INDEX($C$9:$C$13,MATCH(P20,$B$9:$B$13,0))</f>
        <v>ISG</v>
      </c>
      <c r="Q21" s="1516" t="str">
        <f t="shared" si="2"/>
        <v>PHEV</v>
      </c>
      <c r="R21" s="1516" t="str">
        <f t="shared" si="2"/>
        <v>BEV</v>
      </c>
      <c r="S21" s="1517" t="str">
        <f t="shared" si="2"/>
        <v>FCHEV</v>
      </c>
      <c r="T21" s="754"/>
      <c r="U21" s="1516" t="str">
        <f>INDEX($C$9:$C$13,MATCH(U20,$B$9:$B$13,0))</f>
        <v>Adv Conv</v>
      </c>
      <c r="V21" s="1516" t="str">
        <f t="shared" ref="V21:Y21" si="3">INDEX($C$9:$C$13,MATCH(V20,$B$9:$B$13,0))</f>
        <v>ISG</v>
      </c>
      <c r="W21" s="1516" t="str">
        <f t="shared" si="3"/>
        <v>PHEV</v>
      </c>
      <c r="X21" s="1516" t="str">
        <f t="shared" si="3"/>
        <v>BEV</v>
      </c>
      <c r="Y21" s="1517" t="str">
        <f t="shared" si="3"/>
        <v>FCHEV</v>
      </c>
      <c r="Z21" s="753"/>
      <c r="AA21" s="1516" t="str">
        <f>INDEX($C$9:$C$13,MATCH(AA20,$B$9:$B$13,0))</f>
        <v>Adv Conv</v>
      </c>
      <c r="AB21" s="1516" t="str">
        <f t="shared" ref="AB21:AE21" si="4">INDEX($C$9:$C$13,MATCH(AB20,$B$9:$B$13,0))</f>
        <v>ISG</v>
      </c>
      <c r="AC21" s="1516" t="str">
        <f t="shared" si="4"/>
        <v>PHEV</v>
      </c>
      <c r="AD21" s="1516" t="str">
        <f t="shared" si="4"/>
        <v>BEV</v>
      </c>
      <c r="AE21" s="1517" t="str">
        <f t="shared" si="4"/>
        <v>FCHEV</v>
      </c>
    </row>
    <row r="22" spans="1:31" s="232" customFormat="1" x14ac:dyDescent="0.2">
      <c r="A22" s="3"/>
      <c r="B22" s="527">
        <v>2007</v>
      </c>
      <c r="C22" s="1417">
        <v>136900</v>
      </c>
      <c r="D22" s="1418">
        <f t="shared" ref="D22:H24" si="5">D23</f>
        <v>1000000</v>
      </c>
      <c r="E22" s="1418">
        <f t="shared" si="5"/>
        <v>1000000</v>
      </c>
      <c r="F22" s="1418">
        <f t="shared" si="5"/>
        <v>1000000</v>
      </c>
      <c r="G22" s="1418">
        <f t="shared" si="5"/>
        <v>1000000</v>
      </c>
      <c r="H22" s="1419">
        <f t="shared" si="5"/>
        <v>1000000</v>
      </c>
      <c r="I22" s="1358">
        <v>0</v>
      </c>
      <c r="J22" s="528">
        <v>0</v>
      </c>
      <c r="K22" s="528">
        <v>0</v>
      </c>
      <c r="L22" s="528">
        <v>0</v>
      </c>
      <c r="M22" s="1363">
        <v>0</v>
      </c>
      <c r="N22" s="1507">
        <v>5.48300341765977</v>
      </c>
      <c r="O22" s="1436">
        <f t="shared" ref="O22:W24" si="6">O23</f>
        <v>1</v>
      </c>
      <c r="P22" s="1436">
        <f t="shared" si="6"/>
        <v>1</v>
      </c>
      <c r="Q22" s="1436">
        <f t="shared" si="6"/>
        <v>1</v>
      </c>
      <c r="R22" s="1436">
        <f t="shared" si="6"/>
        <v>1</v>
      </c>
      <c r="S22" s="1437">
        <f t="shared" si="6"/>
        <v>1</v>
      </c>
      <c r="T22" s="1438">
        <f t="shared" si="6"/>
        <v>1</v>
      </c>
      <c r="U22" s="1439">
        <f t="shared" si="6"/>
        <v>1</v>
      </c>
      <c r="V22" s="1439">
        <f t="shared" si="6"/>
        <v>1</v>
      </c>
      <c r="W22" s="1439">
        <f t="shared" si="6"/>
        <v>1</v>
      </c>
      <c r="X22" s="1439">
        <f t="shared" ref="X22:AE24" si="7">X23</f>
        <v>1</v>
      </c>
      <c r="Y22" s="1440">
        <f t="shared" si="7"/>
        <v>1</v>
      </c>
      <c r="Z22" s="1438">
        <f t="shared" si="7"/>
        <v>0</v>
      </c>
      <c r="AA22" s="1439">
        <f t="shared" si="7"/>
        <v>0</v>
      </c>
      <c r="AB22" s="1439">
        <f t="shared" si="7"/>
        <v>0</v>
      </c>
      <c r="AC22" s="1439">
        <f t="shared" si="7"/>
        <v>0</v>
      </c>
      <c r="AD22" s="1439">
        <f t="shared" si="7"/>
        <v>0</v>
      </c>
      <c r="AE22" s="1440">
        <f t="shared" si="7"/>
        <v>0</v>
      </c>
    </row>
    <row r="23" spans="1:31" s="232" customFormat="1" x14ac:dyDescent="0.2">
      <c r="A23" s="3"/>
      <c r="B23" s="523">
        <v>2008</v>
      </c>
      <c r="C23" s="1420">
        <v>136900</v>
      </c>
      <c r="D23" s="1421">
        <f t="shared" si="5"/>
        <v>1000000</v>
      </c>
      <c r="E23" s="1421">
        <f t="shared" si="5"/>
        <v>1000000</v>
      </c>
      <c r="F23" s="1421">
        <f t="shared" si="5"/>
        <v>1000000</v>
      </c>
      <c r="G23" s="1421">
        <f t="shared" si="5"/>
        <v>1000000</v>
      </c>
      <c r="H23" s="1422">
        <f t="shared" si="5"/>
        <v>1000000</v>
      </c>
      <c r="I23" s="1359">
        <v>0</v>
      </c>
      <c r="J23" s="524">
        <v>0</v>
      </c>
      <c r="K23" s="524">
        <v>0</v>
      </c>
      <c r="L23" s="524">
        <v>0</v>
      </c>
      <c r="M23" s="1364">
        <v>0</v>
      </c>
      <c r="N23" s="1508">
        <v>5.48300341765977</v>
      </c>
      <c r="O23" s="1442">
        <f t="shared" si="6"/>
        <v>1</v>
      </c>
      <c r="P23" s="1442">
        <f t="shared" si="6"/>
        <v>1</v>
      </c>
      <c r="Q23" s="1442">
        <f t="shared" si="6"/>
        <v>1</v>
      </c>
      <c r="R23" s="1442">
        <f t="shared" si="6"/>
        <v>1</v>
      </c>
      <c r="S23" s="1443">
        <f t="shared" si="6"/>
        <v>1</v>
      </c>
      <c r="T23" s="1444">
        <f t="shared" si="6"/>
        <v>1</v>
      </c>
      <c r="U23" s="1445">
        <f t="shared" si="6"/>
        <v>1</v>
      </c>
      <c r="V23" s="1445">
        <f t="shared" si="6"/>
        <v>1</v>
      </c>
      <c r="W23" s="1445">
        <f t="shared" si="6"/>
        <v>1</v>
      </c>
      <c r="X23" s="1445">
        <f t="shared" si="7"/>
        <v>1</v>
      </c>
      <c r="Y23" s="1446">
        <f t="shared" si="7"/>
        <v>1</v>
      </c>
      <c r="Z23" s="1444">
        <f t="shared" si="7"/>
        <v>0</v>
      </c>
      <c r="AA23" s="1445">
        <f t="shared" si="7"/>
        <v>0</v>
      </c>
      <c r="AB23" s="1445">
        <f t="shared" si="7"/>
        <v>0</v>
      </c>
      <c r="AC23" s="1445">
        <f t="shared" si="7"/>
        <v>0</v>
      </c>
      <c r="AD23" s="1445">
        <f t="shared" si="7"/>
        <v>0</v>
      </c>
      <c r="AE23" s="1446">
        <f t="shared" si="7"/>
        <v>0</v>
      </c>
    </row>
    <row r="24" spans="1:31" s="232" customFormat="1" x14ac:dyDescent="0.2">
      <c r="A24" s="3"/>
      <c r="B24" s="523">
        <v>2009</v>
      </c>
      <c r="C24" s="1420">
        <v>136900</v>
      </c>
      <c r="D24" s="1421">
        <f t="shared" si="5"/>
        <v>1000000</v>
      </c>
      <c r="E24" s="1421">
        <f t="shared" si="5"/>
        <v>1000000</v>
      </c>
      <c r="F24" s="1421">
        <f t="shared" si="5"/>
        <v>1000000</v>
      </c>
      <c r="G24" s="1421">
        <f t="shared" si="5"/>
        <v>1000000</v>
      </c>
      <c r="H24" s="1422">
        <f t="shared" si="5"/>
        <v>1000000</v>
      </c>
      <c r="I24" s="1359">
        <v>0</v>
      </c>
      <c r="J24" s="524">
        <v>0</v>
      </c>
      <c r="K24" s="524">
        <v>0</v>
      </c>
      <c r="L24" s="524">
        <v>0</v>
      </c>
      <c r="M24" s="1364">
        <v>0</v>
      </c>
      <c r="N24" s="1508">
        <v>5.48300341765977</v>
      </c>
      <c r="O24" s="1442">
        <f t="shared" si="6"/>
        <v>1</v>
      </c>
      <c r="P24" s="1442">
        <f t="shared" si="6"/>
        <v>1</v>
      </c>
      <c r="Q24" s="1442">
        <f t="shared" si="6"/>
        <v>1</v>
      </c>
      <c r="R24" s="1442">
        <f t="shared" si="6"/>
        <v>1</v>
      </c>
      <c r="S24" s="1443">
        <f t="shared" si="6"/>
        <v>1</v>
      </c>
      <c r="T24" s="1444">
        <f t="shared" si="6"/>
        <v>1</v>
      </c>
      <c r="U24" s="1445">
        <f t="shared" si="6"/>
        <v>1</v>
      </c>
      <c r="V24" s="1445">
        <f t="shared" si="6"/>
        <v>1</v>
      </c>
      <c r="W24" s="1445">
        <f t="shared" si="6"/>
        <v>1</v>
      </c>
      <c r="X24" s="1445">
        <f t="shared" si="7"/>
        <v>1</v>
      </c>
      <c r="Y24" s="1446">
        <f t="shared" si="7"/>
        <v>1</v>
      </c>
      <c r="Z24" s="1444">
        <f t="shared" si="7"/>
        <v>0</v>
      </c>
      <c r="AA24" s="1445">
        <f t="shared" si="7"/>
        <v>0</v>
      </c>
      <c r="AB24" s="1445">
        <f t="shared" si="7"/>
        <v>0</v>
      </c>
      <c r="AC24" s="1445">
        <f t="shared" si="7"/>
        <v>0</v>
      </c>
      <c r="AD24" s="1445">
        <f t="shared" si="7"/>
        <v>0</v>
      </c>
      <c r="AE24" s="1446">
        <f t="shared" si="7"/>
        <v>0</v>
      </c>
    </row>
    <row r="25" spans="1:31" s="232" customFormat="1" ht="15" thickBot="1" x14ac:dyDescent="0.25">
      <c r="A25" s="3"/>
      <c r="B25" s="525">
        <v>2010</v>
      </c>
      <c r="C25" s="1506">
        <v>136900</v>
      </c>
      <c r="D25" s="1424">
        <f t="shared" ref="D25:D33" si="8">D26</f>
        <v>1000000</v>
      </c>
      <c r="E25" s="1424">
        <f t="shared" ref="E25:E33" si="9">E26</f>
        <v>1000000</v>
      </c>
      <c r="F25" s="1424">
        <f t="shared" ref="F25:F33" si="10">F26</f>
        <v>1000000</v>
      </c>
      <c r="G25" s="1424">
        <f t="shared" ref="G25:G33" si="11">G26</f>
        <v>1000000</v>
      </c>
      <c r="H25" s="1425">
        <f t="shared" ref="H25:H33" si="12">H26</f>
        <v>1000000</v>
      </c>
      <c r="I25" s="1360">
        <v>0</v>
      </c>
      <c r="J25" s="526">
        <v>0</v>
      </c>
      <c r="K25" s="526">
        <v>0</v>
      </c>
      <c r="L25" s="526">
        <v>0</v>
      </c>
      <c r="M25" s="1365">
        <v>0</v>
      </c>
      <c r="N25" s="1509">
        <v>5.5209184022550879</v>
      </c>
      <c r="O25" s="1448">
        <v>1</v>
      </c>
      <c r="P25" s="1448">
        <v>1</v>
      </c>
      <c r="Q25" s="1448">
        <v>1</v>
      </c>
      <c r="R25" s="1448">
        <v>1</v>
      </c>
      <c r="S25" s="1449">
        <v>1</v>
      </c>
      <c r="T25" s="1450">
        <v>1</v>
      </c>
      <c r="U25" s="1451">
        <v>1</v>
      </c>
      <c r="V25" s="1451">
        <v>1</v>
      </c>
      <c r="W25" s="1451">
        <v>1</v>
      </c>
      <c r="X25" s="1451">
        <v>1</v>
      </c>
      <c r="Y25" s="1452">
        <v>1</v>
      </c>
      <c r="Z25" s="1450">
        <v>0</v>
      </c>
      <c r="AA25" s="1451">
        <v>0</v>
      </c>
      <c r="AB25" s="1451">
        <v>0</v>
      </c>
      <c r="AC25" s="1451">
        <v>0</v>
      </c>
      <c r="AD25" s="1451">
        <v>0</v>
      </c>
      <c r="AE25" s="1452">
        <v>0</v>
      </c>
    </row>
    <row r="26" spans="1:31" s="232" customFormat="1" x14ac:dyDescent="0.2">
      <c r="A26" s="3"/>
      <c r="B26" s="527">
        <v>2011</v>
      </c>
      <c r="C26" s="1426">
        <v>136900</v>
      </c>
      <c r="D26" s="1427">
        <f t="shared" si="8"/>
        <v>1000000</v>
      </c>
      <c r="E26" s="1427">
        <f t="shared" si="9"/>
        <v>1000000</v>
      </c>
      <c r="F26" s="1427">
        <f t="shared" si="10"/>
        <v>1000000</v>
      </c>
      <c r="G26" s="1427">
        <f t="shared" si="11"/>
        <v>1000000</v>
      </c>
      <c r="H26" s="1428">
        <f t="shared" si="12"/>
        <v>1000000</v>
      </c>
      <c r="I26" s="1358">
        <v>0</v>
      </c>
      <c r="J26" s="528">
        <v>0</v>
      </c>
      <c r="K26" s="528">
        <v>0</v>
      </c>
      <c r="L26" s="528">
        <v>0</v>
      </c>
      <c r="M26" s="1363">
        <v>0</v>
      </c>
      <c r="N26" s="1510">
        <v>5.6389131953913116</v>
      </c>
      <c r="O26" s="1454">
        <v>1</v>
      </c>
      <c r="P26" s="1454">
        <v>1</v>
      </c>
      <c r="Q26" s="1454">
        <v>1</v>
      </c>
      <c r="R26" s="1454">
        <v>1</v>
      </c>
      <c r="S26" s="1455">
        <v>1</v>
      </c>
      <c r="T26" s="1456">
        <v>1</v>
      </c>
      <c r="U26" s="1457">
        <v>1</v>
      </c>
      <c r="V26" s="1457">
        <v>1</v>
      </c>
      <c r="W26" s="1457">
        <v>1</v>
      </c>
      <c r="X26" s="1457">
        <v>1</v>
      </c>
      <c r="Y26" s="1458">
        <v>1</v>
      </c>
      <c r="Z26" s="1456">
        <v>0</v>
      </c>
      <c r="AA26" s="1457">
        <v>0</v>
      </c>
      <c r="AB26" s="1457">
        <v>0</v>
      </c>
      <c r="AC26" s="1457">
        <v>0</v>
      </c>
      <c r="AD26" s="1457">
        <v>0</v>
      </c>
      <c r="AE26" s="1458">
        <v>0</v>
      </c>
    </row>
    <row r="27" spans="1:31" s="232" customFormat="1" x14ac:dyDescent="0.2">
      <c r="A27" s="3"/>
      <c r="B27" s="523">
        <v>2012</v>
      </c>
      <c r="C27" s="1420">
        <v>136900</v>
      </c>
      <c r="D27" s="1421">
        <f t="shared" si="8"/>
        <v>1000000</v>
      </c>
      <c r="E27" s="1421">
        <f t="shared" si="9"/>
        <v>1000000</v>
      </c>
      <c r="F27" s="1421">
        <f t="shared" si="10"/>
        <v>1000000</v>
      </c>
      <c r="G27" s="1421">
        <f t="shared" si="11"/>
        <v>1000000</v>
      </c>
      <c r="H27" s="1422">
        <f t="shared" si="12"/>
        <v>1000000</v>
      </c>
      <c r="I27" s="1359">
        <v>0</v>
      </c>
      <c r="J27" s="524">
        <v>0</v>
      </c>
      <c r="K27" s="524">
        <v>0</v>
      </c>
      <c r="L27" s="524">
        <v>0</v>
      </c>
      <c r="M27" s="1364">
        <v>0</v>
      </c>
      <c r="N27" s="1508">
        <v>5.6839701888518306</v>
      </c>
      <c r="O27" s="1442">
        <v>1</v>
      </c>
      <c r="P27" s="1442">
        <v>1</v>
      </c>
      <c r="Q27" s="1442">
        <v>1</v>
      </c>
      <c r="R27" s="1442">
        <v>1</v>
      </c>
      <c r="S27" s="1443">
        <v>1</v>
      </c>
      <c r="T27" s="1444">
        <v>1</v>
      </c>
      <c r="U27" s="1445">
        <v>1</v>
      </c>
      <c r="V27" s="1445">
        <v>1</v>
      </c>
      <c r="W27" s="1445">
        <v>1</v>
      </c>
      <c r="X27" s="1445">
        <v>1</v>
      </c>
      <c r="Y27" s="1446">
        <v>1</v>
      </c>
      <c r="Z27" s="1444">
        <v>0</v>
      </c>
      <c r="AA27" s="1445">
        <v>0</v>
      </c>
      <c r="AB27" s="1445">
        <v>0</v>
      </c>
      <c r="AC27" s="1445">
        <v>0</v>
      </c>
      <c r="AD27" s="1445">
        <v>0</v>
      </c>
      <c r="AE27" s="1446">
        <v>0</v>
      </c>
    </row>
    <row r="28" spans="1:31" s="232" customFormat="1" x14ac:dyDescent="0.2">
      <c r="A28" s="3"/>
      <c r="B28" s="523">
        <v>2013</v>
      </c>
      <c r="C28" s="1420">
        <v>136900</v>
      </c>
      <c r="D28" s="1421">
        <f t="shared" si="8"/>
        <v>1000000</v>
      </c>
      <c r="E28" s="1421">
        <f t="shared" si="9"/>
        <v>1000000</v>
      </c>
      <c r="F28" s="1421">
        <f t="shared" si="10"/>
        <v>1000000</v>
      </c>
      <c r="G28" s="1421">
        <f t="shared" si="11"/>
        <v>1000000</v>
      </c>
      <c r="H28" s="1422">
        <f t="shared" si="12"/>
        <v>1000000</v>
      </c>
      <c r="I28" s="1359">
        <v>0</v>
      </c>
      <c r="J28" s="524">
        <v>0</v>
      </c>
      <c r="K28" s="524">
        <v>0</v>
      </c>
      <c r="L28" s="524">
        <v>0</v>
      </c>
      <c r="M28" s="1364">
        <v>0</v>
      </c>
      <c r="N28" s="1508">
        <v>5.7743160896809451</v>
      </c>
      <c r="O28" s="1442">
        <v>1</v>
      </c>
      <c r="P28" s="1442">
        <v>1</v>
      </c>
      <c r="Q28" s="1442">
        <v>1</v>
      </c>
      <c r="R28" s="1442">
        <v>1</v>
      </c>
      <c r="S28" s="1443">
        <v>1</v>
      </c>
      <c r="T28" s="1444">
        <v>1</v>
      </c>
      <c r="U28" s="1445">
        <v>1</v>
      </c>
      <c r="V28" s="1445">
        <v>1</v>
      </c>
      <c r="W28" s="1445">
        <v>1</v>
      </c>
      <c r="X28" s="1445">
        <v>1</v>
      </c>
      <c r="Y28" s="1446">
        <v>1</v>
      </c>
      <c r="Z28" s="1444">
        <v>0</v>
      </c>
      <c r="AA28" s="1445">
        <v>0</v>
      </c>
      <c r="AB28" s="1445">
        <v>0</v>
      </c>
      <c r="AC28" s="1445">
        <v>0</v>
      </c>
      <c r="AD28" s="1445">
        <v>0</v>
      </c>
      <c r="AE28" s="1446">
        <v>0</v>
      </c>
    </row>
    <row r="29" spans="1:31" s="232" customFormat="1" x14ac:dyDescent="0.2">
      <c r="A29" s="3"/>
      <c r="B29" s="523">
        <v>2014</v>
      </c>
      <c r="C29" s="1420">
        <v>136900</v>
      </c>
      <c r="D29" s="1421">
        <f t="shared" si="8"/>
        <v>1000000</v>
      </c>
      <c r="E29" s="1421">
        <f t="shared" si="9"/>
        <v>1000000</v>
      </c>
      <c r="F29" s="1421">
        <f t="shared" si="10"/>
        <v>1000000</v>
      </c>
      <c r="G29" s="1421">
        <f t="shared" si="11"/>
        <v>1000000</v>
      </c>
      <c r="H29" s="1422">
        <f t="shared" si="12"/>
        <v>1000000</v>
      </c>
      <c r="I29" s="1359">
        <v>0</v>
      </c>
      <c r="J29" s="524">
        <v>0</v>
      </c>
      <c r="K29" s="524">
        <v>0</v>
      </c>
      <c r="L29" s="524">
        <v>0</v>
      </c>
      <c r="M29" s="1364">
        <v>0</v>
      </c>
      <c r="N29" s="1508">
        <v>5.8589396926631565</v>
      </c>
      <c r="O29" s="1442">
        <v>1</v>
      </c>
      <c r="P29" s="1442">
        <v>1</v>
      </c>
      <c r="Q29" s="1442">
        <v>1</v>
      </c>
      <c r="R29" s="1442">
        <v>1</v>
      </c>
      <c r="S29" s="1443">
        <v>1</v>
      </c>
      <c r="T29" s="1444">
        <v>1</v>
      </c>
      <c r="U29" s="1445">
        <v>1</v>
      </c>
      <c r="V29" s="1445">
        <v>1</v>
      </c>
      <c r="W29" s="1445">
        <v>1</v>
      </c>
      <c r="X29" s="1445">
        <v>1</v>
      </c>
      <c r="Y29" s="1446">
        <v>1</v>
      </c>
      <c r="Z29" s="1444">
        <v>0</v>
      </c>
      <c r="AA29" s="1445">
        <v>0</v>
      </c>
      <c r="AB29" s="1445">
        <v>0</v>
      </c>
      <c r="AC29" s="1445">
        <v>0</v>
      </c>
      <c r="AD29" s="1445">
        <v>0</v>
      </c>
      <c r="AE29" s="1446">
        <v>0</v>
      </c>
    </row>
    <row r="30" spans="1:31" s="232" customFormat="1" ht="15" thickBot="1" x14ac:dyDescent="0.25">
      <c r="A30" s="3"/>
      <c r="B30" s="525">
        <v>2015</v>
      </c>
      <c r="C30" s="1423">
        <v>136900</v>
      </c>
      <c r="D30" s="1424">
        <f t="shared" si="8"/>
        <v>1000000</v>
      </c>
      <c r="E30" s="1424">
        <f t="shared" si="9"/>
        <v>1000000</v>
      </c>
      <c r="F30" s="1424">
        <f t="shared" si="10"/>
        <v>1000000</v>
      </c>
      <c r="G30" s="1424">
        <f t="shared" si="11"/>
        <v>1000000</v>
      </c>
      <c r="H30" s="1425">
        <f t="shared" si="12"/>
        <v>1000000</v>
      </c>
      <c r="I30" s="1360">
        <v>0</v>
      </c>
      <c r="J30" s="526">
        <v>0</v>
      </c>
      <c r="K30" s="526">
        <v>0</v>
      </c>
      <c r="L30" s="526">
        <v>0</v>
      </c>
      <c r="M30" s="1365">
        <v>0</v>
      </c>
      <c r="N30" s="1509">
        <v>6.0069416599255572</v>
      </c>
      <c r="O30" s="1448">
        <v>1</v>
      </c>
      <c r="P30" s="1448">
        <v>1</v>
      </c>
      <c r="Q30" s="1459">
        <v>1</v>
      </c>
      <c r="R30" s="1459">
        <v>1</v>
      </c>
      <c r="S30" s="1460">
        <v>1</v>
      </c>
      <c r="T30" s="1450">
        <v>1</v>
      </c>
      <c r="U30" s="1451">
        <v>1</v>
      </c>
      <c r="V30" s="1451">
        <v>1</v>
      </c>
      <c r="W30" s="1451">
        <v>1</v>
      </c>
      <c r="X30" s="1451">
        <v>1</v>
      </c>
      <c r="Y30" s="1452">
        <v>1</v>
      </c>
      <c r="Z30" s="1450">
        <v>0</v>
      </c>
      <c r="AA30" s="1451">
        <v>0</v>
      </c>
      <c r="AB30" s="1451">
        <v>0</v>
      </c>
      <c r="AC30" s="1451">
        <v>0</v>
      </c>
      <c r="AD30" s="1451">
        <v>0</v>
      </c>
      <c r="AE30" s="1452">
        <v>0</v>
      </c>
    </row>
    <row r="31" spans="1:31" s="232" customFormat="1" x14ac:dyDescent="0.2">
      <c r="A31" s="3"/>
      <c r="B31" s="527">
        <v>2016</v>
      </c>
      <c r="C31" s="1426">
        <v>136900</v>
      </c>
      <c r="D31" s="1427">
        <f t="shared" si="8"/>
        <v>1000000</v>
      </c>
      <c r="E31" s="1427">
        <f t="shared" si="9"/>
        <v>1000000</v>
      </c>
      <c r="F31" s="1427">
        <f t="shared" si="10"/>
        <v>1000000</v>
      </c>
      <c r="G31" s="1427">
        <f t="shared" si="11"/>
        <v>1000000</v>
      </c>
      <c r="H31" s="1428">
        <f t="shared" si="12"/>
        <v>1000000</v>
      </c>
      <c r="I31" s="1358">
        <v>0</v>
      </c>
      <c r="J31" s="528">
        <v>0</v>
      </c>
      <c r="K31" s="528">
        <v>0</v>
      </c>
      <c r="L31" s="528">
        <v>0</v>
      </c>
      <c r="M31" s="1363">
        <v>0</v>
      </c>
      <c r="N31" s="1510">
        <v>6.1360651716134793</v>
      </c>
      <c r="O31" s="1442">
        <v>1</v>
      </c>
      <c r="P31" s="1442">
        <v>1</v>
      </c>
      <c r="Q31" s="1461">
        <v>1</v>
      </c>
      <c r="R31" s="1461">
        <v>1</v>
      </c>
      <c r="S31" s="1462">
        <v>1</v>
      </c>
      <c r="T31" s="1456">
        <v>1</v>
      </c>
      <c r="U31" s="1457">
        <v>1</v>
      </c>
      <c r="V31" s="1457">
        <v>1</v>
      </c>
      <c r="W31" s="1457">
        <v>1</v>
      </c>
      <c r="X31" s="1457">
        <v>1</v>
      </c>
      <c r="Y31" s="1458">
        <v>1</v>
      </c>
      <c r="Z31" s="1456">
        <v>0</v>
      </c>
      <c r="AA31" s="1457">
        <v>0</v>
      </c>
      <c r="AB31" s="1457">
        <v>0</v>
      </c>
      <c r="AC31" s="1457">
        <v>0</v>
      </c>
      <c r="AD31" s="1457">
        <v>0</v>
      </c>
      <c r="AE31" s="1458">
        <v>0</v>
      </c>
    </row>
    <row r="32" spans="1:31" s="232" customFormat="1" x14ac:dyDescent="0.2">
      <c r="A32" s="3"/>
      <c r="B32" s="523">
        <v>2017</v>
      </c>
      <c r="C32" s="1420">
        <v>136900</v>
      </c>
      <c r="D32" s="1421">
        <f t="shared" si="8"/>
        <v>1000000</v>
      </c>
      <c r="E32" s="1421">
        <f t="shared" si="9"/>
        <v>1000000</v>
      </c>
      <c r="F32" s="1421">
        <f t="shared" si="10"/>
        <v>1000000</v>
      </c>
      <c r="G32" s="1421">
        <f t="shared" si="11"/>
        <v>1000000</v>
      </c>
      <c r="H32" s="1422">
        <f t="shared" si="12"/>
        <v>1000000</v>
      </c>
      <c r="I32" s="1359">
        <v>0</v>
      </c>
      <c r="J32" s="524">
        <v>0</v>
      </c>
      <c r="K32" s="524">
        <v>0</v>
      </c>
      <c r="L32" s="524">
        <v>0</v>
      </c>
      <c r="M32" s="1364">
        <v>0</v>
      </c>
      <c r="N32" s="1508">
        <v>6.3119238751035152</v>
      </c>
      <c r="O32" s="1442">
        <v>1</v>
      </c>
      <c r="P32" s="1442">
        <v>1</v>
      </c>
      <c r="Q32" s="1461">
        <v>1</v>
      </c>
      <c r="R32" s="1461">
        <v>1</v>
      </c>
      <c r="S32" s="1462">
        <v>1</v>
      </c>
      <c r="T32" s="1444">
        <v>1</v>
      </c>
      <c r="U32" s="1445">
        <v>1</v>
      </c>
      <c r="V32" s="1445">
        <v>1</v>
      </c>
      <c r="W32" s="1445">
        <v>1</v>
      </c>
      <c r="X32" s="1445">
        <v>1</v>
      </c>
      <c r="Y32" s="1446">
        <v>1</v>
      </c>
      <c r="Z32" s="1444">
        <v>0</v>
      </c>
      <c r="AA32" s="1445">
        <v>0</v>
      </c>
      <c r="AB32" s="1445">
        <v>0</v>
      </c>
      <c r="AC32" s="1445">
        <v>0</v>
      </c>
      <c r="AD32" s="1445">
        <v>0</v>
      </c>
      <c r="AE32" s="1446">
        <v>0</v>
      </c>
    </row>
    <row r="33" spans="1:31" s="232" customFormat="1" x14ac:dyDescent="0.2">
      <c r="A33" s="3"/>
      <c r="B33" s="523">
        <v>2018</v>
      </c>
      <c r="C33" s="1420">
        <v>136900</v>
      </c>
      <c r="D33" s="1421">
        <f t="shared" si="8"/>
        <v>1000000</v>
      </c>
      <c r="E33" s="1421">
        <f t="shared" si="9"/>
        <v>1000000</v>
      </c>
      <c r="F33" s="1421">
        <f t="shared" si="10"/>
        <v>1000000</v>
      </c>
      <c r="G33" s="1421">
        <f t="shared" si="11"/>
        <v>1000000</v>
      </c>
      <c r="H33" s="1422">
        <f t="shared" si="12"/>
        <v>1000000</v>
      </c>
      <c r="I33" s="1359">
        <v>0</v>
      </c>
      <c r="J33" s="524">
        <v>0</v>
      </c>
      <c r="K33" s="524">
        <v>0</v>
      </c>
      <c r="L33" s="524">
        <v>0</v>
      </c>
      <c r="M33" s="1364">
        <v>0</v>
      </c>
      <c r="N33" s="1508">
        <v>6.490547110519385</v>
      </c>
      <c r="O33" s="1442">
        <v>1</v>
      </c>
      <c r="P33" s="1442">
        <v>1</v>
      </c>
      <c r="Q33" s="1461">
        <v>1</v>
      </c>
      <c r="R33" s="1461">
        <v>1</v>
      </c>
      <c r="S33" s="1462">
        <v>1</v>
      </c>
      <c r="T33" s="1444">
        <v>1</v>
      </c>
      <c r="U33" s="1445">
        <v>1</v>
      </c>
      <c r="V33" s="1445">
        <v>1</v>
      </c>
      <c r="W33" s="1445">
        <v>1</v>
      </c>
      <c r="X33" s="1445">
        <v>1</v>
      </c>
      <c r="Y33" s="1446">
        <v>1</v>
      </c>
      <c r="Z33" s="1444">
        <v>0</v>
      </c>
      <c r="AA33" s="1445">
        <v>0</v>
      </c>
      <c r="AB33" s="1445">
        <v>0</v>
      </c>
      <c r="AC33" s="1445">
        <v>0</v>
      </c>
      <c r="AD33" s="1445">
        <v>0</v>
      </c>
      <c r="AE33" s="1446">
        <v>0</v>
      </c>
    </row>
    <row r="34" spans="1:31" s="232" customFormat="1" x14ac:dyDescent="0.2">
      <c r="A34" s="3"/>
      <c r="B34" s="523">
        <v>2019</v>
      </c>
      <c r="C34" s="1420">
        <v>136900</v>
      </c>
      <c r="D34" s="1421">
        <v>1000000</v>
      </c>
      <c r="E34" s="1421">
        <v>1000000</v>
      </c>
      <c r="F34" s="1421">
        <v>1000000</v>
      </c>
      <c r="G34" s="1421">
        <v>1000000</v>
      </c>
      <c r="H34" s="1422">
        <v>1000000</v>
      </c>
      <c r="I34" s="1359">
        <v>0</v>
      </c>
      <c r="J34" s="524">
        <v>0</v>
      </c>
      <c r="K34" s="524">
        <v>0</v>
      </c>
      <c r="L34" s="524">
        <v>0</v>
      </c>
      <c r="M34" s="1364">
        <v>0</v>
      </c>
      <c r="N34" s="1508">
        <v>6.5335250359747858</v>
      </c>
      <c r="O34" s="1442">
        <v>1</v>
      </c>
      <c r="P34" s="1442">
        <v>1</v>
      </c>
      <c r="Q34" s="1461">
        <v>1</v>
      </c>
      <c r="R34" s="1461">
        <v>1</v>
      </c>
      <c r="S34" s="1462">
        <v>1</v>
      </c>
      <c r="T34" s="1444">
        <v>1</v>
      </c>
      <c r="U34" s="1445">
        <v>1</v>
      </c>
      <c r="V34" s="1445">
        <v>1</v>
      </c>
      <c r="W34" s="1445">
        <v>1</v>
      </c>
      <c r="X34" s="1445">
        <v>1</v>
      </c>
      <c r="Y34" s="1446">
        <v>1</v>
      </c>
      <c r="Z34" s="1444">
        <v>0</v>
      </c>
      <c r="AA34" s="1445">
        <v>0</v>
      </c>
      <c r="AB34" s="1445">
        <v>0</v>
      </c>
      <c r="AC34" s="1445">
        <v>0</v>
      </c>
      <c r="AD34" s="1445">
        <v>0</v>
      </c>
      <c r="AE34" s="1446">
        <v>0</v>
      </c>
    </row>
    <row r="35" spans="1:31" s="232" customFormat="1" ht="15" thickBot="1" x14ac:dyDescent="0.25">
      <c r="A35" s="3"/>
      <c r="B35" s="525">
        <v>2020</v>
      </c>
      <c r="C35" s="1423">
        <v>136900</v>
      </c>
      <c r="D35" s="1424">
        <v>1000000</v>
      </c>
      <c r="E35" s="1424">
        <v>1000000</v>
      </c>
      <c r="F35" s="1424">
        <v>1000000</v>
      </c>
      <c r="G35" s="1424">
        <v>1000000</v>
      </c>
      <c r="H35" s="1425">
        <v>1000000</v>
      </c>
      <c r="I35" s="1360">
        <v>0</v>
      </c>
      <c r="J35" s="526">
        <v>0</v>
      </c>
      <c r="K35" s="526">
        <v>0</v>
      </c>
      <c r="L35" s="526">
        <v>0</v>
      </c>
      <c r="M35" s="1365">
        <v>0</v>
      </c>
      <c r="N35" s="1509">
        <v>6.5937589910582313</v>
      </c>
      <c r="O35" s="1448">
        <v>1</v>
      </c>
      <c r="P35" s="1448">
        <v>1</v>
      </c>
      <c r="Q35" s="1459">
        <v>1</v>
      </c>
      <c r="R35" s="1459">
        <v>1</v>
      </c>
      <c r="S35" s="1460">
        <v>1</v>
      </c>
      <c r="T35" s="1450">
        <v>1</v>
      </c>
      <c r="U35" s="1451">
        <v>1</v>
      </c>
      <c r="V35" s="1451">
        <v>1</v>
      </c>
      <c r="W35" s="1451">
        <v>1</v>
      </c>
      <c r="X35" s="1451">
        <v>1</v>
      </c>
      <c r="Y35" s="1452">
        <v>1</v>
      </c>
      <c r="Z35" s="1450">
        <v>0</v>
      </c>
      <c r="AA35" s="1451">
        <v>0</v>
      </c>
      <c r="AB35" s="1451">
        <v>0</v>
      </c>
      <c r="AC35" s="1451">
        <v>0</v>
      </c>
      <c r="AD35" s="1451">
        <v>0</v>
      </c>
      <c r="AE35" s="1452">
        <v>0</v>
      </c>
    </row>
    <row r="36" spans="1:31" s="232" customFormat="1" x14ac:dyDescent="0.2">
      <c r="A36" s="3"/>
      <c r="B36" s="527">
        <v>2021</v>
      </c>
      <c r="C36" s="1426">
        <v>137205.78935754453</v>
      </c>
      <c r="D36" s="1427">
        <v>1120.5908150101168</v>
      </c>
      <c r="E36" s="1427">
        <v>2646.1603036609449</v>
      </c>
      <c r="F36" s="1427">
        <v>197847.31007079969</v>
      </c>
      <c r="G36" s="1427">
        <v>355973.77067591518</v>
      </c>
      <c r="H36" s="1428">
        <v>167338.80143623243</v>
      </c>
      <c r="I36" s="1358">
        <v>0</v>
      </c>
      <c r="J36" s="528">
        <v>0</v>
      </c>
      <c r="K36" s="528">
        <v>0</v>
      </c>
      <c r="L36" s="528">
        <v>0</v>
      </c>
      <c r="M36" s="1363">
        <v>0</v>
      </c>
      <c r="N36" s="1510">
        <v>6.610100853808035</v>
      </c>
      <c r="O36" s="1454">
        <v>6.7450424840493035</v>
      </c>
      <c r="P36" s="1454">
        <v>6.7496952407848143</v>
      </c>
      <c r="Q36" s="1461">
        <v>5.5895092453549333</v>
      </c>
      <c r="R36" s="1461">
        <v>14.001581183267881</v>
      </c>
      <c r="S36" s="1462">
        <v>6.9194107475150082</v>
      </c>
      <c r="T36" s="1456">
        <v>1</v>
      </c>
      <c r="U36" s="1457">
        <v>1</v>
      </c>
      <c r="V36" s="1457">
        <v>1</v>
      </c>
      <c r="W36" s="1457">
        <v>15.201499684770457</v>
      </c>
      <c r="X36" s="1457">
        <v>1</v>
      </c>
      <c r="Y36" s="1458">
        <v>1</v>
      </c>
      <c r="Z36" s="1456">
        <v>0</v>
      </c>
      <c r="AA36" s="1457">
        <v>0</v>
      </c>
      <c r="AB36" s="1457">
        <v>0</v>
      </c>
      <c r="AC36" s="1457">
        <v>133.9395870534625</v>
      </c>
      <c r="AD36" s="1457">
        <v>237.48610419627133</v>
      </c>
      <c r="AE36" s="1458">
        <v>0</v>
      </c>
    </row>
    <row r="37" spans="1:31" s="232" customFormat="1" x14ac:dyDescent="0.2">
      <c r="A37" s="3"/>
      <c r="B37" s="523">
        <v>2022</v>
      </c>
      <c r="C37" s="1420">
        <v>137511.57871508907</v>
      </c>
      <c r="D37" s="1421">
        <v>2241.1816300202336</v>
      </c>
      <c r="E37" s="1421">
        <v>3521.0555925391091</v>
      </c>
      <c r="F37" s="1421">
        <v>166082.55308491952</v>
      </c>
      <c r="G37" s="1421">
        <v>298100.66666831466</v>
      </c>
      <c r="H37" s="1422">
        <v>144302.40769967571</v>
      </c>
      <c r="I37" s="1359">
        <v>0</v>
      </c>
      <c r="J37" s="524">
        <v>0</v>
      </c>
      <c r="K37" s="524">
        <v>0</v>
      </c>
      <c r="L37" s="524">
        <v>0</v>
      </c>
      <c r="M37" s="1364">
        <v>0</v>
      </c>
      <c r="N37" s="1508">
        <v>6.7005254493390005</v>
      </c>
      <c r="O37" s="1442">
        <v>6.9690689215323394</v>
      </c>
      <c r="P37" s="1442">
        <v>6.9787629145559551</v>
      </c>
      <c r="Q37" s="1463">
        <v>5.8694402202595768</v>
      </c>
      <c r="R37" s="1463">
        <v>14.467650147123887</v>
      </c>
      <c r="S37" s="1464">
        <v>7.1616150986151039</v>
      </c>
      <c r="T37" s="1444">
        <v>1</v>
      </c>
      <c r="U37" s="1445">
        <v>1</v>
      </c>
      <c r="V37" s="1445">
        <v>1</v>
      </c>
      <c r="W37" s="1445">
        <v>15.683164923174026</v>
      </c>
      <c r="X37" s="1445">
        <v>1</v>
      </c>
      <c r="Y37" s="1446">
        <v>1</v>
      </c>
      <c r="Z37" s="1444">
        <v>0</v>
      </c>
      <c r="AA37" s="1445">
        <v>0</v>
      </c>
      <c r="AB37" s="1445">
        <v>0</v>
      </c>
      <c r="AC37" s="1445">
        <v>134.43421485573418</v>
      </c>
      <c r="AD37" s="1445">
        <v>238.69205014543442</v>
      </c>
      <c r="AE37" s="1446">
        <v>0</v>
      </c>
    </row>
    <row r="38" spans="1:31" s="232" customFormat="1" x14ac:dyDescent="0.2">
      <c r="A38" s="3"/>
      <c r="B38" s="523">
        <v>2023</v>
      </c>
      <c r="C38" s="1420">
        <v>137817.3680726336</v>
      </c>
      <c r="D38" s="1421">
        <v>3361.7724450303504</v>
      </c>
      <c r="E38" s="1421">
        <v>4395.9508814172732</v>
      </c>
      <c r="F38" s="1421">
        <v>134317.79609903932</v>
      </c>
      <c r="G38" s="1421">
        <v>240227.56266071417</v>
      </c>
      <c r="H38" s="1422">
        <v>121266.01396311898</v>
      </c>
      <c r="I38" s="1359">
        <v>0</v>
      </c>
      <c r="J38" s="524">
        <v>0</v>
      </c>
      <c r="K38" s="524">
        <v>0</v>
      </c>
      <c r="L38" s="524">
        <v>0</v>
      </c>
      <c r="M38" s="1364">
        <v>0</v>
      </c>
      <c r="N38" s="1508">
        <v>6.783645941316772</v>
      </c>
      <c r="O38" s="1442">
        <v>7.1840928879382586</v>
      </c>
      <c r="P38" s="1442">
        <v>7.1987644467737519</v>
      </c>
      <c r="Q38" s="1463">
        <v>6.1408023494836934</v>
      </c>
      <c r="R38" s="1463">
        <v>14.915019403176776</v>
      </c>
      <c r="S38" s="1464">
        <v>7.3944386051636588</v>
      </c>
      <c r="T38" s="1444">
        <v>1</v>
      </c>
      <c r="U38" s="1445">
        <v>1</v>
      </c>
      <c r="V38" s="1445">
        <v>1</v>
      </c>
      <c r="W38" s="1445">
        <v>16.144814176631922</v>
      </c>
      <c r="X38" s="1445">
        <v>1</v>
      </c>
      <c r="Y38" s="1446">
        <v>1</v>
      </c>
      <c r="Z38" s="1444">
        <v>0</v>
      </c>
      <c r="AA38" s="1445">
        <v>0</v>
      </c>
      <c r="AB38" s="1445">
        <v>0</v>
      </c>
      <c r="AC38" s="1445">
        <v>134.92884265800586</v>
      </c>
      <c r="AD38" s="1445">
        <v>239.89799609459752</v>
      </c>
      <c r="AE38" s="1446">
        <v>0</v>
      </c>
    </row>
    <row r="39" spans="1:31" s="232" customFormat="1" x14ac:dyDescent="0.2">
      <c r="A39" s="3"/>
      <c r="B39" s="523">
        <v>2024</v>
      </c>
      <c r="C39" s="1420">
        <v>138123.15743017814</v>
      </c>
      <c r="D39" s="1421">
        <v>4482.3632600404671</v>
      </c>
      <c r="E39" s="1421">
        <v>5270.8461702954373</v>
      </c>
      <c r="F39" s="1421">
        <v>102553.03911315912</v>
      </c>
      <c r="G39" s="1421">
        <v>182354.45865311369</v>
      </c>
      <c r="H39" s="1422">
        <v>98229.620226562256</v>
      </c>
      <c r="I39" s="1359">
        <v>0</v>
      </c>
      <c r="J39" s="524">
        <v>0</v>
      </c>
      <c r="K39" s="524">
        <v>0</v>
      </c>
      <c r="L39" s="524">
        <v>0</v>
      </c>
      <c r="M39" s="1364">
        <v>0</v>
      </c>
      <c r="N39" s="1508">
        <v>6.893502857539958</v>
      </c>
      <c r="O39" s="1442">
        <v>7.4264535186122629</v>
      </c>
      <c r="P39" s="1442">
        <v>7.4461235189702206</v>
      </c>
      <c r="Q39" s="1463">
        <v>6.4348568869786869</v>
      </c>
      <c r="R39" s="1463">
        <v>15.419135431110959</v>
      </c>
      <c r="S39" s="1464">
        <v>7.6553105819533922</v>
      </c>
      <c r="T39" s="1444">
        <v>1</v>
      </c>
      <c r="U39" s="1445">
        <v>1</v>
      </c>
      <c r="V39" s="1445">
        <v>1</v>
      </c>
      <c r="W39" s="1445">
        <v>16.668063273989546</v>
      </c>
      <c r="X39" s="1445">
        <v>1</v>
      </c>
      <c r="Y39" s="1446">
        <v>1</v>
      </c>
      <c r="Z39" s="1444">
        <v>0</v>
      </c>
      <c r="AA39" s="1445">
        <v>0</v>
      </c>
      <c r="AB39" s="1445">
        <v>0</v>
      </c>
      <c r="AC39" s="1445">
        <v>135.42347046027754</v>
      </c>
      <c r="AD39" s="1445">
        <v>241.10394204376061</v>
      </c>
      <c r="AE39" s="1446">
        <v>0</v>
      </c>
    </row>
    <row r="40" spans="1:31" s="232" customFormat="1" ht="15" thickBot="1" x14ac:dyDescent="0.25">
      <c r="A40" s="3"/>
      <c r="B40" s="525">
        <v>2025</v>
      </c>
      <c r="C40" s="1423">
        <v>138428.94678772261</v>
      </c>
      <c r="D40" s="1424">
        <v>5602.9540750505839</v>
      </c>
      <c r="E40" s="1424">
        <v>6145.7414591736597</v>
      </c>
      <c r="F40" s="1424">
        <v>70788.282127278944</v>
      </c>
      <c r="G40" s="1424">
        <v>124481.35464551323</v>
      </c>
      <c r="H40" s="1425">
        <v>75193.226490005531</v>
      </c>
      <c r="I40" s="1360">
        <v>0</v>
      </c>
      <c r="J40" s="526">
        <v>0</v>
      </c>
      <c r="K40" s="526">
        <v>0</v>
      </c>
      <c r="L40" s="526">
        <v>0</v>
      </c>
      <c r="M40" s="1365">
        <v>0</v>
      </c>
      <c r="N40" s="1509">
        <v>7.0085428042454856</v>
      </c>
      <c r="O40" s="1448">
        <v>7.6740426808692401</v>
      </c>
      <c r="P40" s="1448">
        <v>7.6987124926565631</v>
      </c>
      <c r="Q40" s="1459">
        <v>6.7332010694396729</v>
      </c>
      <c r="R40" s="1459">
        <v>15.934104546672607</v>
      </c>
      <c r="S40" s="1460">
        <v>7.9215405851798559</v>
      </c>
      <c r="T40" s="1450">
        <v>1</v>
      </c>
      <c r="U40" s="1451">
        <v>1</v>
      </c>
      <c r="V40" s="1451">
        <v>1</v>
      </c>
      <c r="W40" s="1451">
        <v>17.20310669878624</v>
      </c>
      <c r="X40" s="1451">
        <v>1</v>
      </c>
      <c r="Y40" s="1452">
        <v>1</v>
      </c>
      <c r="Z40" s="1450">
        <v>0</v>
      </c>
      <c r="AA40" s="1451">
        <v>0</v>
      </c>
      <c r="AB40" s="1451">
        <v>0</v>
      </c>
      <c r="AC40" s="1451">
        <v>135.91809826254922</v>
      </c>
      <c r="AD40" s="1451">
        <v>242.30988799292368</v>
      </c>
      <c r="AE40" s="1452">
        <v>0</v>
      </c>
    </row>
    <row r="41" spans="1:31" s="232" customFormat="1" x14ac:dyDescent="0.2">
      <c r="A41" s="3"/>
      <c r="B41" s="527">
        <v>2026</v>
      </c>
      <c r="C41" s="1426">
        <v>139088.32283276951</v>
      </c>
      <c r="D41" s="1427">
        <v>5829.5183760771179</v>
      </c>
      <c r="E41" s="1427">
        <v>6311.0325946978555</v>
      </c>
      <c r="F41" s="1427">
        <v>63439.25086035025</v>
      </c>
      <c r="G41" s="1427">
        <v>111055.27571971853</v>
      </c>
      <c r="H41" s="1428">
        <v>64934.805702934522</v>
      </c>
      <c r="I41" s="1358">
        <v>0</v>
      </c>
      <c r="J41" s="528">
        <v>0</v>
      </c>
      <c r="K41" s="528">
        <v>0</v>
      </c>
      <c r="L41" s="528">
        <v>0</v>
      </c>
      <c r="M41" s="1363">
        <v>0</v>
      </c>
      <c r="N41" s="1510">
        <v>7.1518705692126208</v>
      </c>
      <c r="O41" s="1454">
        <v>7.9528406682628203</v>
      </c>
      <c r="P41" s="1454">
        <v>7.9826187386488376</v>
      </c>
      <c r="Q41" s="1461">
        <v>7.0590845236856596</v>
      </c>
      <c r="R41" s="1461">
        <v>16.513876244838215</v>
      </c>
      <c r="S41" s="1462">
        <v>8.2200065207638815</v>
      </c>
      <c r="T41" s="1456">
        <v>1</v>
      </c>
      <c r="U41" s="1457">
        <v>1</v>
      </c>
      <c r="V41" s="1457">
        <v>1</v>
      </c>
      <c r="W41" s="1457">
        <v>17.808073182331189</v>
      </c>
      <c r="X41" s="1457">
        <v>1</v>
      </c>
      <c r="Y41" s="1458">
        <v>1</v>
      </c>
      <c r="Z41" s="1456">
        <v>0</v>
      </c>
      <c r="AA41" s="1457">
        <v>0</v>
      </c>
      <c r="AB41" s="1457">
        <v>0</v>
      </c>
      <c r="AC41" s="1457">
        <v>136.23891827351258</v>
      </c>
      <c r="AD41" s="1457">
        <v>243.05658945648446</v>
      </c>
      <c r="AE41" s="1458">
        <v>0</v>
      </c>
    </row>
    <row r="42" spans="1:31" s="232" customFormat="1" x14ac:dyDescent="0.2">
      <c r="A42" s="3"/>
      <c r="B42" s="523">
        <v>2027</v>
      </c>
      <c r="C42" s="1420">
        <v>139747.69887781641</v>
      </c>
      <c r="D42" s="1421">
        <v>6056.0826771036518</v>
      </c>
      <c r="E42" s="1421">
        <v>6476.3237302220368</v>
      </c>
      <c r="F42" s="1421">
        <v>56090.219593421556</v>
      </c>
      <c r="G42" s="1421">
        <v>97629.196793923824</v>
      </c>
      <c r="H42" s="1422">
        <v>54676.384915863513</v>
      </c>
      <c r="I42" s="1359">
        <v>0</v>
      </c>
      <c r="J42" s="524">
        <v>0</v>
      </c>
      <c r="K42" s="524">
        <v>0</v>
      </c>
      <c r="L42" s="524">
        <v>0</v>
      </c>
      <c r="M42" s="1364">
        <v>0</v>
      </c>
      <c r="N42" s="1508">
        <v>7.2857373464052682</v>
      </c>
      <c r="O42" s="1442">
        <v>8.2216592425265489</v>
      </c>
      <c r="P42" s="1442">
        <v>8.2565266231786616</v>
      </c>
      <c r="Q42" s="1463">
        <v>7.376465425383727</v>
      </c>
      <c r="R42" s="1463">
        <v>17.072929812019524</v>
      </c>
      <c r="S42" s="1464">
        <v>8.5082044818046612</v>
      </c>
      <c r="T42" s="1444">
        <v>1</v>
      </c>
      <c r="U42" s="1445">
        <v>1</v>
      </c>
      <c r="V42" s="1445">
        <v>1</v>
      </c>
      <c r="W42" s="1445">
        <v>18.390606120850386</v>
      </c>
      <c r="X42" s="1445">
        <v>1</v>
      </c>
      <c r="Y42" s="1446">
        <v>1</v>
      </c>
      <c r="Z42" s="1444">
        <v>0</v>
      </c>
      <c r="AA42" s="1445">
        <v>0</v>
      </c>
      <c r="AB42" s="1445">
        <v>0</v>
      </c>
      <c r="AC42" s="1445">
        <v>136.55973828447594</v>
      </c>
      <c r="AD42" s="1445">
        <v>243.80329092004524</v>
      </c>
      <c r="AE42" s="1446">
        <v>0</v>
      </c>
    </row>
    <row r="43" spans="1:31" s="232" customFormat="1" x14ac:dyDescent="0.2">
      <c r="A43" s="3"/>
      <c r="B43" s="523">
        <v>2028</v>
      </c>
      <c r="C43" s="1420">
        <v>140407.07492286331</v>
      </c>
      <c r="D43" s="1421">
        <v>6282.6469781302003</v>
      </c>
      <c r="E43" s="1421">
        <v>6641.6148657462181</v>
      </c>
      <c r="F43" s="1421">
        <v>48741.188326492862</v>
      </c>
      <c r="G43" s="1421">
        <v>84203.11786812912</v>
      </c>
      <c r="H43" s="1422">
        <v>44417.964128792504</v>
      </c>
      <c r="I43" s="1359">
        <v>0</v>
      </c>
      <c r="J43" s="524">
        <v>0</v>
      </c>
      <c r="K43" s="524">
        <v>0</v>
      </c>
      <c r="L43" s="524">
        <v>0</v>
      </c>
      <c r="M43" s="1364">
        <v>0</v>
      </c>
      <c r="N43" s="1508">
        <v>7.3498347364013634</v>
      </c>
      <c r="O43" s="1442">
        <v>8.4109962645064513</v>
      </c>
      <c r="P43" s="1442">
        <v>8.4505907397396012</v>
      </c>
      <c r="Q43" s="1463">
        <v>7.622050479762966</v>
      </c>
      <c r="R43" s="1463">
        <v>17.466928323315564</v>
      </c>
      <c r="S43" s="1464">
        <v>8.7140870352370801</v>
      </c>
      <c r="T43" s="1444">
        <v>1</v>
      </c>
      <c r="U43" s="1445">
        <v>1</v>
      </c>
      <c r="V43" s="1445">
        <v>1</v>
      </c>
      <c r="W43" s="1445">
        <v>18.795470380067211</v>
      </c>
      <c r="X43" s="1445">
        <v>1</v>
      </c>
      <c r="Y43" s="1446">
        <v>1</v>
      </c>
      <c r="Z43" s="1444">
        <v>0</v>
      </c>
      <c r="AA43" s="1445">
        <v>0</v>
      </c>
      <c r="AB43" s="1445">
        <v>0</v>
      </c>
      <c r="AC43" s="1445">
        <v>136.8805582954393</v>
      </c>
      <c r="AD43" s="1445">
        <v>244.54999238360602</v>
      </c>
      <c r="AE43" s="1446">
        <v>0</v>
      </c>
    </row>
    <row r="44" spans="1:31" s="232" customFormat="1" x14ac:dyDescent="0.2">
      <c r="A44" s="3"/>
      <c r="B44" s="523">
        <v>2029</v>
      </c>
      <c r="C44" s="1420">
        <v>141066.45096791023</v>
      </c>
      <c r="D44" s="1421">
        <v>6509.2112791567342</v>
      </c>
      <c r="E44" s="1421">
        <v>6806.9060012703994</v>
      </c>
      <c r="F44" s="1421">
        <v>41392.157059564168</v>
      </c>
      <c r="G44" s="1421">
        <v>70777.038942334417</v>
      </c>
      <c r="H44" s="1422">
        <v>34159.543341721495</v>
      </c>
      <c r="I44" s="1359">
        <v>0</v>
      </c>
      <c r="J44" s="524">
        <v>0</v>
      </c>
      <c r="K44" s="524">
        <v>0</v>
      </c>
      <c r="L44" s="524">
        <v>0</v>
      </c>
      <c r="M44" s="1364">
        <v>0</v>
      </c>
      <c r="N44" s="1508">
        <v>7.4265021351464542</v>
      </c>
      <c r="O44" s="1442">
        <v>8.6131061487827569</v>
      </c>
      <c r="P44" s="1442">
        <v>8.657434535593751</v>
      </c>
      <c r="Q44" s="1463">
        <v>7.8781817338412647</v>
      </c>
      <c r="R44" s="1463">
        <v>17.887440743326167</v>
      </c>
      <c r="S44" s="1464">
        <v>8.9330675926347691</v>
      </c>
      <c r="T44" s="1444">
        <v>1</v>
      </c>
      <c r="U44" s="1445">
        <v>1</v>
      </c>
      <c r="V44" s="1445">
        <v>1</v>
      </c>
      <c r="W44" s="1445">
        <v>19.229130690638677</v>
      </c>
      <c r="X44" s="1445">
        <v>1</v>
      </c>
      <c r="Y44" s="1446">
        <v>1</v>
      </c>
      <c r="Z44" s="1444">
        <v>0</v>
      </c>
      <c r="AA44" s="1445">
        <v>0</v>
      </c>
      <c r="AB44" s="1445">
        <v>0</v>
      </c>
      <c r="AC44" s="1445">
        <v>137.20137830640266</v>
      </c>
      <c r="AD44" s="1445">
        <v>245.29669384716681</v>
      </c>
      <c r="AE44" s="1446">
        <v>0</v>
      </c>
    </row>
    <row r="45" spans="1:31" s="232" customFormat="1" ht="15" thickBot="1" x14ac:dyDescent="0.25">
      <c r="A45" s="3"/>
      <c r="B45" s="525">
        <v>2030</v>
      </c>
      <c r="C45" s="1423">
        <v>141725.82701295713</v>
      </c>
      <c r="D45" s="1424">
        <v>6735.7755801832827</v>
      </c>
      <c r="E45" s="1424">
        <v>6972.1971367946244</v>
      </c>
      <c r="F45" s="1424">
        <v>34043.12579263543</v>
      </c>
      <c r="G45" s="1424">
        <v>57350.960016539786</v>
      </c>
      <c r="H45" s="1425">
        <v>23901.12255465053</v>
      </c>
      <c r="I45" s="1360">
        <v>0</v>
      </c>
      <c r="J45" s="526">
        <v>0</v>
      </c>
      <c r="K45" s="526">
        <v>0</v>
      </c>
      <c r="L45" s="526">
        <v>0</v>
      </c>
      <c r="M45" s="1365">
        <v>0</v>
      </c>
      <c r="N45" s="1509">
        <v>7.430690167571318</v>
      </c>
      <c r="O45" s="1448">
        <v>8.7287315275043209</v>
      </c>
      <c r="P45" s="1448">
        <v>8.7772696090206512</v>
      </c>
      <c r="Q45" s="1459">
        <v>8.0536814629207125</v>
      </c>
      <c r="R45" s="1459">
        <v>18.128328098808915</v>
      </c>
      <c r="S45" s="1460">
        <v>9.0621503666569456</v>
      </c>
      <c r="T45" s="1450">
        <v>1</v>
      </c>
      <c r="U45" s="1451">
        <v>1</v>
      </c>
      <c r="V45" s="1451">
        <v>1</v>
      </c>
      <c r="W45" s="1451">
        <v>19.470086695771229</v>
      </c>
      <c r="X45" s="1451">
        <v>1</v>
      </c>
      <c r="Y45" s="1452">
        <v>1</v>
      </c>
      <c r="Z45" s="1450">
        <v>0</v>
      </c>
      <c r="AA45" s="1451">
        <v>0</v>
      </c>
      <c r="AB45" s="1451">
        <v>0</v>
      </c>
      <c r="AC45" s="1451">
        <v>137.52219831736599</v>
      </c>
      <c r="AD45" s="1451">
        <v>246.04339531072753</v>
      </c>
      <c r="AE45" s="1452">
        <v>0</v>
      </c>
    </row>
    <row r="46" spans="1:31" s="232" customFormat="1" x14ac:dyDescent="0.2">
      <c r="A46" s="3"/>
      <c r="B46" s="527">
        <v>2031</v>
      </c>
      <c r="C46" s="1426">
        <v>141725.82701295713</v>
      </c>
      <c r="D46" s="1427">
        <v>6735.7755801832827</v>
      </c>
      <c r="E46" s="1427">
        <v>6972.1971367946244</v>
      </c>
      <c r="F46" s="1427">
        <v>31513.336840420408</v>
      </c>
      <c r="G46" s="1427">
        <v>52004.511706898396</v>
      </c>
      <c r="H46" s="1428">
        <v>21656.225335991505</v>
      </c>
      <c r="I46" s="1358">
        <v>0</v>
      </c>
      <c r="J46" s="528">
        <v>0</v>
      </c>
      <c r="K46" s="528">
        <v>0</v>
      </c>
      <c r="L46" s="528">
        <v>0</v>
      </c>
      <c r="M46" s="1363">
        <v>0</v>
      </c>
      <c r="N46" s="1510">
        <v>7.4348781999961817</v>
      </c>
      <c r="O46" s="1454">
        <f>$N46*O45/$N45</f>
        <v>8.7336511527128469</v>
      </c>
      <c r="P46" s="1454">
        <f t="shared" ref="P46:P65" si="13">$N46*P45/$N45</f>
        <v>8.782216590915386</v>
      </c>
      <c r="Q46" s="1461">
        <v>8.2298702354726156</v>
      </c>
      <c r="R46" s="1461">
        <v>18.375232189908324</v>
      </c>
      <c r="S46" s="1462">
        <v>9.2500498171888506</v>
      </c>
      <c r="T46" s="1456">
        <v>1</v>
      </c>
      <c r="U46" s="1457">
        <v>1</v>
      </c>
      <c r="V46" s="1457">
        <v>1</v>
      </c>
      <c r="W46" s="1457">
        <v>19.744531560524774</v>
      </c>
      <c r="X46" s="1457">
        <v>1</v>
      </c>
      <c r="Y46" s="1458">
        <v>1</v>
      </c>
      <c r="Z46" s="1456">
        <v>0</v>
      </c>
      <c r="AA46" s="1457">
        <v>0</v>
      </c>
      <c r="AB46" s="1457">
        <v>0</v>
      </c>
      <c r="AC46" s="1457">
        <v>137.74771152428704</v>
      </c>
      <c r="AD46" s="1457">
        <v>246.54370008861537</v>
      </c>
      <c r="AE46" s="1458">
        <v>0</v>
      </c>
    </row>
    <row r="47" spans="1:31" s="232" customFormat="1" x14ac:dyDescent="0.2">
      <c r="A47" s="3"/>
      <c r="B47" s="523">
        <v>2032</v>
      </c>
      <c r="C47" s="1420">
        <v>141725.82701295713</v>
      </c>
      <c r="D47" s="1427">
        <v>6735.7755801832827</v>
      </c>
      <c r="E47" s="1427">
        <v>6972.1971367946244</v>
      </c>
      <c r="F47" s="1427">
        <v>28983.547888205387</v>
      </c>
      <c r="G47" s="1427">
        <v>46658.063397257007</v>
      </c>
      <c r="H47" s="1428">
        <v>19411.328117332479</v>
      </c>
      <c r="I47" s="1359">
        <v>0</v>
      </c>
      <c r="J47" s="529">
        <v>0</v>
      </c>
      <c r="K47" s="524">
        <v>0</v>
      </c>
      <c r="L47" s="529">
        <v>0</v>
      </c>
      <c r="M47" s="1364">
        <v>0</v>
      </c>
      <c r="N47" s="1510">
        <v>7.4390662324210455</v>
      </c>
      <c r="O47" s="1442">
        <f t="shared" ref="O47:O65" si="14">$N47*O46/$N46</f>
        <v>8.738570777921371</v>
      </c>
      <c r="P47" s="1442">
        <f t="shared" si="13"/>
        <v>8.7871635728101189</v>
      </c>
      <c r="Q47" s="1463">
        <v>8.4062523868885073</v>
      </c>
      <c r="R47" s="1463">
        <v>18.622402930086231</v>
      </c>
      <c r="S47" s="1464">
        <v>9.438155199387559</v>
      </c>
      <c r="T47" s="1456">
        <v>1</v>
      </c>
      <c r="U47" s="1457">
        <v>1</v>
      </c>
      <c r="V47" s="1457">
        <v>1</v>
      </c>
      <c r="W47" s="1457">
        <v>20.019273249572688</v>
      </c>
      <c r="X47" s="1457">
        <v>1</v>
      </c>
      <c r="Y47" s="1458">
        <v>1</v>
      </c>
      <c r="Z47" s="1456">
        <v>0</v>
      </c>
      <c r="AA47" s="1457">
        <v>0</v>
      </c>
      <c r="AB47" s="1457">
        <v>0</v>
      </c>
      <c r="AC47" s="1457">
        <v>137.97322473120809</v>
      </c>
      <c r="AD47" s="1457">
        <v>247.0440048665032</v>
      </c>
      <c r="AE47" s="1458">
        <v>0</v>
      </c>
    </row>
    <row r="48" spans="1:31" s="232" customFormat="1" x14ac:dyDescent="0.2">
      <c r="A48" s="3"/>
      <c r="B48" s="523">
        <v>2033</v>
      </c>
      <c r="C48" s="1420">
        <v>141725.82701295713</v>
      </c>
      <c r="D48" s="1427">
        <v>6735.7755801832827</v>
      </c>
      <c r="E48" s="1427">
        <v>6972.1971367946244</v>
      </c>
      <c r="F48" s="1427">
        <v>26453.758935990365</v>
      </c>
      <c r="G48" s="1427">
        <v>41311.615087615617</v>
      </c>
      <c r="H48" s="1428">
        <v>17166.430898673454</v>
      </c>
      <c r="I48" s="1359">
        <v>0</v>
      </c>
      <c r="J48" s="524">
        <v>0</v>
      </c>
      <c r="K48" s="524">
        <v>0</v>
      </c>
      <c r="L48" s="524">
        <v>0</v>
      </c>
      <c r="M48" s="1364">
        <v>0</v>
      </c>
      <c r="N48" s="1510">
        <v>7.4432542648459092</v>
      </c>
      <c r="O48" s="1442">
        <f t="shared" si="14"/>
        <v>8.7434904031298952</v>
      </c>
      <c r="P48" s="1442">
        <f t="shared" si="13"/>
        <v>8.7921105547048519</v>
      </c>
      <c r="Q48" s="1463">
        <v>8.582827917168391</v>
      </c>
      <c r="R48" s="1463">
        <v>18.869840319342622</v>
      </c>
      <c r="S48" s="1464">
        <v>9.6264665132530691</v>
      </c>
      <c r="T48" s="1456">
        <v>1</v>
      </c>
      <c r="U48" s="1457">
        <v>1</v>
      </c>
      <c r="V48" s="1457">
        <v>1</v>
      </c>
      <c r="W48" s="1457">
        <v>20.294311762914962</v>
      </c>
      <c r="X48" s="1457">
        <v>1</v>
      </c>
      <c r="Y48" s="1458">
        <v>1</v>
      </c>
      <c r="Z48" s="1456">
        <v>0</v>
      </c>
      <c r="AA48" s="1457">
        <v>0</v>
      </c>
      <c r="AB48" s="1457">
        <v>0</v>
      </c>
      <c r="AC48" s="1457">
        <v>138.19873793812914</v>
      </c>
      <c r="AD48" s="1457">
        <v>247.54430964439103</v>
      </c>
      <c r="AE48" s="1458">
        <v>0</v>
      </c>
    </row>
    <row r="49" spans="1:31" s="232" customFormat="1" x14ac:dyDescent="0.2">
      <c r="A49" s="3"/>
      <c r="B49" s="523">
        <v>2034</v>
      </c>
      <c r="C49" s="1420">
        <v>141725.82701295713</v>
      </c>
      <c r="D49" s="1427">
        <v>6735.7755801832827</v>
      </c>
      <c r="E49" s="1427">
        <v>6972.1971367946244</v>
      </c>
      <c r="F49" s="1427">
        <v>23923.969983775343</v>
      </c>
      <c r="G49" s="1427">
        <v>35965.166777974227</v>
      </c>
      <c r="H49" s="1428">
        <v>14921.533680014429</v>
      </c>
      <c r="I49" s="1359">
        <v>0</v>
      </c>
      <c r="J49" s="524">
        <v>0</v>
      </c>
      <c r="K49" s="524">
        <v>0</v>
      </c>
      <c r="L49" s="524">
        <v>0</v>
      </c>
      <c r="M49" s="1364">
        <v>0</v>
      </c>
      <c r="N49" s="1510">
        <v>7.4474422972707739</v>
      </c>
      <c r="O49" s="1442">
        <f t="shared" si="14"/>
        <v>8.7484100283384194</v>
      </c>
      <c r="P49" s="1442">
        <f t="shared" si="13"/>
        <v>8.7970575365995849</v>
      </c>
      <c r="Q49" s="1463">
        <v>8.7595968263122685</v>
      </c>
      <c r="R49" s="1463">
        <v>19.117544357677506</v>
      </c>
      <c r="S49" s="1464">
        <v>9.8149837587853828</v>
      </c>
      <c r="T49" s="1456">
        <v>1</v>
      </c>
      <c r="U49" s="1457">
        <v>1</v>
      </c>
      <c r="V49" s="1457">
        <v>1</v>
      </c>
      <c r="W49" s="1457">
        <v>20.569647100551599</v>
      </c>
      <c r="X49" s="1457">
        <v>1</v>
      </c>
      <c r="Y49" s="1458">
        <v>1</v>
      </c>
      <c r="Z49" s="1456">
        <v>0</v>
      </c>
      <c r="AA49" s="1457">
        <v>0</v>
      </c>
      <c r="AB49" s="1457">
        <v>0</v>
      </c>
      <c r="AC49" s="1457">
        <v>138.42425114505019</v>
      </c>
      <c r="AD49" s="1457">
        <v>248.04461442227887</v>
      </c>
      <c r="AE49" s="1458">
        <v>0</v>
      </c>
    </row>
    <row r="50" spans="1:31" s="232" customFormat="1" ht="15" thickBot="1" x14ac:dyDescent="0.25">
      <c r="A50" s="3"/>
      <c r="B50" s="530">
        <v>2035</v>
      </c>
      <c r="C50" s="1429">
        <v>141725.82701295713</v>
      </c>
      <c r="D50" s="1430">
        <v>6735.7755801832827</v>
      </c>
      <c r="E50" s="1430">
        <v>6972.1971367946244</v>
      </c>
      <c r="F50" s="1430">
        <v>21394.181031560263</v>
      </c>
      <c r="G50" s="1430">
        <v>30618.718468332838</v>
      </c>
      <c r="H50" s="1431">
        <v>12676.636461355432</v>
      </c>
      <c r="I50" s="1361">
        <v>0</v>
      </c>
      <c r="J50" s="531">
        <v>0</v>
      </c>
      <c r="K50" s="531">
        <v>0</v>
      </c>
      <c r="L50" s="531">
        <v>0</v>
      </c>
      <c r="M50" s="1366">
        <v>0</v>
      </c>
      <c r="N50" s="1511">
        <v>7.4516303296956377</v>
      </c>
      <c r="O50" s="1448">
        <f t="shared" si="14"/>
        <v>8.7533296535469436</v>
      </c>
      <c r="P50" s="1448">
        <f t="shared" si="13"/>
        <v>8.8020045184943179</v>
      </c>
      <c r="Q50" s="1459">
        <v>8.9365591143201346</v>
      </c>
      <c r="R50" s="1459">
        <v>19.365515045090888</v>
      </c>
      <c r="S50" s="1460">
        <v>10.003706935984496</v>
      </c>
      <c r="T50" s="1466">
        <v>1</v>
      </c>
      <c r="U50" s="1467">
        <v>1</v>
      </c>
      <c r="V50" s="1467">
        <v>1</v>
      </c>
      <c r="W50" s="1467">
        <v>20.845279262482606</v>
      </c>
      <c r="X50" s="1467">
        <v>1</v>
      </c>
      <c r="Y50" s="1468">
        <v>1</v>
      </c>
      <c r="Z50" s="1466">
        <v>0</v>
      </c>
      <c r="AA50" s="1467">
        <v>0</v>
      </c>
      <c r="AB50" s="1467">
        <v>0</v>
      </c>
      <c r="AC50" s="1467">
        <v>138.64976435197124</v>
      </c>
      <c r="AD50" s="1467">
        <v>248.54491920016673</v>
      </c>
      <c r="AE50" s="1468">
        <v>0</v>
      </c>
    </row>
    <row r="51" spans="1:31" s="232" customFormat="1" x14ac:dyDescent="0.2">
      <c r="A51" s="3"/>
      <c r="B51" s="532">
        <v>2036</v>
      </c>
      <c r="C51" s="1417">
        <v>141725.82701295713</v>
      </c>
      <c r="D51" s="1418">
        <v>6735.7755801832827</v>
      </c>
      <c r="E51" s="1418">
        <v>6972.1971367946244</v>
      </c>
      <c r="F51" s="1418">
        <v>21247.826875298837</v>
      </c>
      <c r="G51" s="1418">
        <v>30039.7510299719</v>
      </c>
      <c r="H51" s="1419">
        <v>12143.892554346501</v>
      </c>
      <c r="I51" s="1362">
        <v>0</v>
      </c>
      <c r="J51" s="533">
        <v>0</v>
      </c>
      <c r="K51" s="533">
        <v>0</v>
      </c>
      <c r="L51" s="533">
        <v>0</v>
      </c>
      <c r="M51" s="1367">
        <v>0</v>
      </c>
      <c r="N51" s="1507">
        <v>7.4551478614568492</v>
      </c>
      <c r="O51" s="1436">
        <f t="shared" si="14"/>
        <v>8.757461650668434</v>
      </c>
      <c r="P51" s="1436">
        <f t="shared" si="13"/>
        <v>8.8061594925182902</v>
      </c>
      <c r="Q51" s="1469">
        <v>9.0017835278140073</v>
      </c>
      <c r="R51" s="1469">
        <v>19.454753386500709</v>
      </c>
      <c r="S51" s="1470">
        <v>10.111692570575936</v>
      </c>
      <c r="T51" s="1438">
        <v>1</v>
      </c>
      <c r="U51" s="1439">
        <v>1</v>
      </c>
      <c r="V51" s="1439">
        <v>1</v>
      </c>
      <c r="W51" s="1439">
        <v>20.945940243621127</v>
      </c>
      <c r="X51" s="1439">
        <v>1</v>
      </c>
      <c r="Y51" s="1440">
        <v>1</v>
      </c>
      <c r="Z51" s="1438">
        <v>0</v>
      </c>
      <c r="AA51" s="1439">
        <v>0</v>
      </c>
      <c r="AB51" s="1439">
        <v>0</v>
      </c>
      <c r="AC51" s="1439">
        <v>138.740279572574</v>
      </c>
      <c r="AD51" s="1439">
        <v>248.58845165774892</v>
      </c>
      <c r="AE51" s="1440">
        <v>0</v>
      </c>
    </row>
    <row r="52" spans="1:31" s="232" customFormat="1" x14ac:dyDescent="0.2">
      <c r="A52" s="3"/>
      <c r="B52" s="523">
        <v>2037</v>
      </c>
      <c r="C52" s="1420">
        <v>141725.82701295713</v>
      </c>
      <c r="D52" s="1421">
        <v>6735.7755801832827</v>
      </c>
      <c r="E52" s="1421">
        <v>6972.1971367946244</v>
      </c>
      <c r="F52" s="1421">
        <v>21101.472719037411</v>
      </c>
      <c r="G52" s="1421">
        <v>29460.783591610962</v>
      </c>
      <c r="H52" s="1422">
        <v>11611.14864733757</v>
      </c>
      <c r="I52" s="1359">
        <v>0</v>
      </c>
      <c r="J52" s="524">
        <v>0</v>
      </c>
      <c r="K52" s="524">
        <v>0</v>
      </c>
      <c r="L52" s="524">
        <v>0</v>
      </c>
      <c r="M52" s="1364">
        <v>0</v>
      </c>
      <c r="N52" s="1508">
        <v>7.4551644145974132</v>
      </c>
      <c r="O52" s="1442">
        <f t="shared" si="14"/>
        <v>8.7574810954194149</v>
      </c>
      <c r="P52" s="1442">
        <f t="shared" si="13"/>
        <v>8.8061790453961972</v>
      </c>
      <c r="Q52" s="1463">
        <v>9.0628095736633636</v>
      </c>
      <c r="R52" s="1463">
        <v>19.534893637869498</v>
      </c>
      <c r="S52" s="1464">
        <v>10.214978650102701</v>
      </c>
      <c r="T52" s="1444">
        <v>1</v>
      </c>
      <c r="U52" s="1445">
        <v>1</v>
      </c>
      <c r="V52" s="1445">
        <v>1</v>
      </c>
      <c r="W52" s="1445">
        <v>21.036807948861114</v>
      </c>
      <c r="X52" s="1445">
        <v>1</v>
      </c>
      <c r="Y52" s="1446">
        <v>1</v>
      </c>
      <c r="Z52" s="1444">
        <v>0</v>
      </c>
      <c r="AA52" s="1445">
        <v>0</v>
      </c>
      <c r="AB52" s="1445">
        <v>0</v>
      </c>
      <c r="AC52" s="1445">
        <v>138.83079479317675</v>
      </c>
      <c r="AD52" s="1445">
        <v>248.63198411533111</v>
      </c>
      <c r="AE52" s="1446">
        <v>0</v>
      </c>
    </row>
    <row r="53" spans="1:31" s="232" customFormat="1" x14ac:dyDescent="0.2">
      <c r="A53" s="3"/>
      <c r="B53" s="523">
        <v>2038</v>
      </c>
      <c r="C53" s="1420">
        <v>141725.82701295713</v>
      </c>
      <c r="D53" s="1421">
        <v>6735.7755801832827</v>
      </c>
      <c r="E53" s="1421">
        <v>6972.1971367946244</v>
      </c>
      <c r="F53" s="1421">
        <v>20955.118562775984</v>
      </c>
      <c r="G53" s="1421">
        <v>28881.816153250023</v>
      </c>
      <c r="H53" s="1422">
        <v>11078.404740328639</v>
      </c>
      <c r="I53" s="1359">
        <v>0</v>
      </c>
      <c r="J53" s="524">
        <v>0</v>
      </c>
      <c r="K53" s="524">
        <v>0</v>
      </c>
      <c r="L53" s="524">
        <v>0</v>
      </c>
      <c r="M53" s="1364">
        <v>0</v>
      </c>
      <c r="N53" s="1508">
        <v>7.4551809677379772</v>
      </c>
      <c r="O53" s="1442">
        <f t="shared" si="14"/>
        <v>8.7575005401703958</v>
      </c>
      <c r="P53" s="1442">
        <f t="shared" si="13"/>
        <v>8.8061985982741025</v>
      </c>
      <c r="Q53" s="1463">
        <v>9.1238358904234076</v>
      </c>
      <c r="R53" s="1463">
        <v>19.615034244926701</v>
      </c>
      <c r="S53" s="1464">
        <v>10.318265188194093</v>
      </c>
      <c r="T53" s="1444">
        <v>1</v>
      </c>
      <c r="U53" s="1445">
        <v>1</v>
      </c>
      <c r="V53" s="1445">
        <v>1</v>
      </c>
      <c r="W53" s="1445">
        <v>21.127676057412408</v>
      </c>
      <c r="X53" s="1445">
        <v>1</v>
      </c>
      <c r="Y53" s="1446">
        <v>1</v>
      </c>
      <c r="Z53" s="1444">
        <v>0</v>
      </c>
      <c r="AA53" s="1445">
        <v>0</v>
      </c>
      <c r="AB53" s="1445">
        <v>0</v>
      </c>
      <c r="AC53" s="1445">
        <v>138.9213100137795</v>
      </c>
      <c r="AD53" s="1445">
        <v>248.6755165729133</v>
      </c>
      <c r="AE53" s="1446">
        <v>0</v>
      </c>
    </row>
    <row r="54" spans="1:31" s="232" customFormat="1" x14ac:dyDescent="0.2">
      <c r="A54" s="3"/>
      <c r="B54" s="523">
        <v>2039</v>
      </c>
      <c r="C54" s="1420">
        <v>141725.82701295713</v>
      </c>
      <c r="D54" s="1421">
        <v>6735.7755801832827</v>
      </c>
      <c r="E54" s="1421">
        <v>6972.1971367946244</v>
      </c>
      <c r="F54" s="1421">
        <v>20808.764406514558</v>
      </c>
      <c r="G54" s="1421">
        <v>28302.848714889085</v>
      </c>
      <c r="H54" s="1422">
        <v>10545.660833319707</v>
      </c>
      <c r="I54" s="1359">
        <v>0</v>
      </c>
      <c r="J54" s="524">
        <v>0</v>
      </c>
      <c r="K54" s="524">
        <v>0</v>
      </c>
      <c r="L54" s="524">
        <v>0</v>
      </c>
      <c r="M54" s="1364">
        <v>0</v>
      </c>
      <c r="N54" s="1508">
        <v>7.4551975208785422</v>
      </c>
      <c r="O54" s="1442">
        <f t="shared" si="14"/>
        <v>8.7575199849213785</v>
      </c>
      <c r="P54" s="1442">
        <f t="shared" si="13"/>
        <v>8.8062181511520112</v>
      </c>
      <c r="Q54" s="1463">
        <v>9.1848624780941428</v>
      </c>
      <c r="R54" s="1463">
        <v>19.695175207672317</v>
      </c>
      <c r="S54" s="1464">
        <v>10.421552184850116</v>
      </c>
      <c r="T54" s="1444">
        <v>1</v>
      </c>
      <c r="U54" s="1445">
        <v>1</v>
      </c>
      <c r="V54" s="1445">
        <v>1</v>
      </c>
      <c r="W54" s="1445">
        <v>21.218544569275011</v>
      </c>
      <c r="X54" s="1445">
        <v>1</v>
      </c>
      <c r="Y54" s="1446">
        <v>1</v>
      </c>
      <c r="Z54" s="1444">
        <v>0</v>
      </c>
      <c r="AA54" s="1445">
        <v>0</v>
      </c>
      <c r="AB54" s="1445">
        <v>0</v>
      </c>
      <c r="AC54" s="1445">
        <v>139.01182523438226</v>
      </c>
      <c r="AD54" s="1445">
        <v>248.71904903049548</v>
      </c>
      <c r="AE54" s="1446">
        <v>0</v>
      </c>
    </row>
    <row r="55" spans="1:31" s="232" customFormat="1" ht="15" thickBot="1" x14ac:dyDescent="0.25">
      <c r="A55" s="3"/>
      <c r="B55" s="525">
        <v>2040</v>
      </c>
      <c r="C55" s="1423">
        <v>141725.82701295713</v>
      </c>
      <c r="D55" s="1424">
        <v>6735.7755801832827</v>
      </c>
      <c r="E55" s="1424">
        <v>6972.1971367946244</v>
      </c>
      <c r="F55" s="1424">
        <v>20662.410250253131</v>
      </c>
      <c r="G55" s="1424">
        <v>27723.881276528147</v>
      </c>
      <c r="H55" s="1425">
        <v>10012.916926310776</v>
      </c>
      <c r="I55" s="1360">
        <v>0</v>
      </c>
      <c r="J55" s="526">
        <v>0</v>
      </c>
      <c r="K55" s="526">
        <v>0</v>
      </c>
      <c r="L55" s="526">
        <v>0</v>
      </c>
      <c r="M55" s="1365">
        <v>0</v>
      </c>
      <c r="N55" s="1509">
        <v>7.4552140740191062</v>
      </c>
      <c r="O55" s="1448">
        <f t="shared" si="14"/>
        <v>8.7575394296723594</v>
      </c>
      <c r="P55" s="1448">
        <f t="shared" si="13"/>
        <v>8.8062377040299182</v>
      </c>
      <c r="Q55" s="1459">
        <v>9.2458893366755657</v>
      </c>
      <c r="R55" s="1459">
        <v>19.775316526106348</v>
      </c>
      <c r="S55" s="1460">
        <v>10.524839640070761</v>
      </c>
      <c r="T55" s="1450">
        <v>1</v>
      </c>
      <c r="U55" s="1451">
        <v>1</v>
      </c>
      <c r="V55" s="1451">
        <v>1</v>
      </c>
      <c r="W55" s="1451">
        <v>21.309413484448918</v>
      </c>
      <c r="X55" s="1451">
        <v>1</v>
      </c>
      <c r="Y55" s="1452">
        <v>1</v>
      </c>
      <c r="Z55" s="1450">
        <v>0</v>
      </c>
      <c r="AA55" s="1451">
        <v>0</v>
      </c>
      <c r="AB55" s="1451">
        <v>0</v>
      </c>
      <c r="AC55" s="1451">
        <v>139.10234045498501</v>
      </c>
      <c r="AD55" s="1451">
        <v>248.76258148807767</v>
      </c>
      <c r="AE55" s="1452">
        <v>0</v>
      </c>
    </row>
    <row r="56" spans="1:31" s="232" customFormat="1" x14ac:dyDescent="0.2">
      <c r="A56" s="3"/>
      <c r="B56" s="532">
        <v>2041</v>
      </c>
      <c r="C56" s="1417">
        <v>141725.82701295713</v>
      </c>
      <c r="D56" s="1418">
        <v>6735.7755801832827</v>
      </c>
      <c r="E56" s="1418">
        <v>6972.1971367946244</v>
      </c>
      <c r="F56" s="1418">
        <v>20516.056093991705</v>
      </c>
      <c r="G56" s="1418">
        <v>27144.913838167209</v>
      </c>
      <c r="H56" s="1419">
        <v>9480.1730193018448</v>
      </c>
      <c r="I56" s="1362">
        <v>0</v>
      </c>
      <c r="J56" s="533">
        <v>0</v>
      </c>
      <c r="K56" s="533">
        <v>0</v>
      </c>
      <c r="L56" s="533">
        <v>0</v>
      </c>
      <c r="M56" s="1367">
        <v>0</v>
      </c>
      <c r="N56" s="1507">
        <v>7.4552306271596702</v>
      </c>
      <c r="O56" s="1454">
        <f t="shared" si="14"/>
        <v>8.7575588744233404</v>
      </c>
      <c r="P56" s="1454">
        <f t="shared" si="13"/>
        <v>8.8062572569078252</v>
      </c>
      <c r="Q56" s="1454">
        <v>9.306916466167678</v>
      </c>
      <c r="R56" s="1454">
        <v>19.855458200228789</v>
      </c>
      <c r="S56" s="1455">
        <v>10.628127553856038</v>
      </c>
      <c r="T56" s="1438">
        <v>1</v>
      </c>
      <c r="U56" s="1439">
        <v>1</v>
      </c>
      <c r="V56" s="1439">
        <v>1</v>
      </c>
      <c r="W56" s="1439">
        <v>21.400282802934132</v>
      </c>
      <c r="X56" s="1439">
        <v>1</v>
      </c>
      <c r="Y56" s="1440">
        <v>1</v>
      </c>
      <c r="Z56" s="1438">
        <v>0</v>
      </c>
      <c r="AA56" s="1439">
        <v>0</v>
      </c>
      <c r="AB56" s="1439">
        <v>0</v>
      </c>
      <c r="AC56" s="1439">
        <v>139.19285567558777</v>
      </c>
      <c r="AD56" s="1439">
        <v>248.80611394565986</v>
      </c>
      <c r="AE56" s="1440">
        <v>0</v>
      </c>
    </row>
    <row r="57" spans="1:31" s="232" customFormat="1" x14ac:dyDescent="0.2">
      <c r="A57" s="3"/>
      <c r="B57" s="523">
        <v>2042</v>
      </c>
      <c r="C57" s="1420">
        <v>141725.82701295713</v>
      </c>
      <c r="D57" s="1421">
        <v>6735.7755801832827</v>
      </c>
      <c r="E57" s="1421">
        <v>6972.1971367946244</v>
      </c>
      <c r="F57" s="1421">
        <v>20369.701937730279</v>
      </c>
      <c r="G57" s="1421">
        <v>26565.946399806271</v>
      </c>
      <c r="H57" s="1422">
        <v>8947.4291122929135</v>
      </c>
      <c r="I57" s="1359">
        <v>0</v>
      </c>
      <c r="J57" s="524">
        <v>0</v>
      </c>
      <c r="K57" s="524">
        <v>0</v>
      </c>
      <c r="L57" s="524">
        <v>0</v>
      </c>
      <c r="M57" s="1364">
        <v>0</v>
      </c>
      <c r="N57" s="1508">
        <v>7.4552471803002351</v>
      </c>
      <c r="O57" s="1442">
        <f t="shared" si="14"/>
        <v>8.7575783191743213</v>
      </c>
      <c r="P57" s="1442">
        <f t="shared" si="13"/>
        <v>8.8062768097857322</v>
      </c>
      <c r="Q57" s="1442">
        <v>9.3679438665704797</v>
      </c>
      <c r="R57" s="1442">
        <v>19.935600230039654</v>
      </c>
      <c r="S57" s="1443">
        <v>10.731415926205942</v>
      </c>
      <c r="T57" s="1444">
        <v>1</v>
      </c>
      <c r="U57" s="1445">
        <v>1</v>
      </c>
      <c r="V57" s="1445">
        <v>1</v>
      </c>
      <c r="W57" s="1445">
        <v>21.491152524730651</v>
      </c>
      <c r="X57" s="1445">
        <v>1</v>
      </c>
      <c r="Y57" s="1446">
        <v>1</v>
      </c>
      <c r="Z57" s="1444">
        <v>0</v>
      </c>
      <c r="AA57" s="1445">
        <v>0</v>
      </c>
      <c r="AB57" s="1445">
        <v>0</v>
      </c>
      <c r="AC57" s="1445">
        <v>139.28337089619052</v>
      </c>
      <c r="AD57" s="1445">
        <v>248.84964640324205</v>
      </c>
      <c r="AE57" s="1446">
        <v>0</v>
      </c>
    </row>
    <row r="58" spans="1:31" s="232" customFormat="1" x14ac:dyDescent="0.2">
      <c r="A58" s="3"/>
      <c r="B58" s="523">
        <v>2043</v>
      </c>
      <c r="C58" s="1420">
        <v>141725.82701295713</v>
      </c>
      <c r="D58" s="1421">
        <v>6735.7755801832827</v>
      </c>
      <c r="E58" s="1421">
        <v>6972.1971367946244</v>
      </c>
      <c r="F58" s="1421">
        <v>20223.347781468852</v>
      </c>
      <c r="G58" s="1421">
        <v>25986.978961445333</v>
      </c>
      <c r="H58" s="1422">
        <v>8414.6852052839822</v>
      </c>
      <c r="I58" s="1359">
        <v>0</v>
      </c>
      <c r="J58" s="524">
        <v>0</v>
      </c>
      <c r="K58" s="524">
        <v>0</v>
      </c>
      <c r="L58" s="524">
        <v>0</v>
      </c>
      <c r="M58" s="1364">
        <v>0</v>
      </c>
      <c r="N58" s="1508">
        <v>7.4552637334408001</v>
      </c>
      <c r="O58" s="1442">
        <f t="shared" si="14"/>
        <v>8.757597763925304</v>
      </c>
      <c r="P58" s="1442">
        <f t="shared" si="13"/>
        <v>8.8062963626636392</v>
      </c>
      <c r="Q58" s="1442">
        <v>9.4289715378839691</v>
      </c>
      <c r="R58" s="1442">
        <v>20.01574261553893</v>
      </c>
      <c r="S58" s="1443">
        <v>10.834704757120475</v>
      </c>
      <c r="T58" s="1444">
        <v>1</v>
      </c>
      <c r="U58" s="1445">
        <v>1</v>
      </c>
      <c r="V58" s="1445">
        <v>1</v>
      </c>
      <c r="W58" s="1445">
        <v>21.582022649838482</v>
      </c>
      <c r="X58" s="1445">
        <v>1</v>
      </c>
      <c r="Y58" s="1446">
        <v>1</v>
      </c>
      <c r="Z58" s="1444">
        <v>0</v>
      </c>
      <c r="AA58" s="1445">
        <v>0</v>
      </c>
      <c r="AB58" s="1445">
        <v>0</v>
      </c>
      <c r="AC58" s="1445">
        <v>139.37388611679327</v>
      </c>
      <c r="AD58" s="1445">
        <v>248.89317886082424</v>
      </c>
      <c r="AE58" s="1446">
        <v>0</v>
      </c>
    </row>
    <row r="59" spans="1:31" s="232" customFormat="1" x14ac:dyDescent="0.2">
      <c r="A59" s="3"/>
      <c r="B59" s="523">
        <v>2044</v>
      </c>
      <c r="C59" s="1420">
        <v>141725.82701295713</v>
      </c>
      <c r="D59" s="1421">
        <v>6735.7755801832827</v>
      </c>
      <c r="E59" s="1421">
        <v>6972.1971367946244</v>
      </c>
      <c r="F59" s="1421">
        <v>20076.993625207426</v>
      </c>
      <c r="G59" s="1421">
        <v>25408.011523084395</v>
      </c>
      <c r="H59" s="1422">
        <v>7881.9412982750509</v>
      </c>
      <c r="I59" s="1359">
        <v>0</v>
      </c>
      <c r="J59" s="524">
        <v>0</v>
      </c>
      <c r="K59" s="524">
        <v>0</v>
      </c>
      <c r="L59" s="524">
        <v>0</v>
      </c>
      <c r="M59" s="1364">
        <v>0</v>
      </c>
      <c r="N59" s="1508">
        <v>7.4552802865813641</v>
      </c>
      <c r="O59" s="1442">
        <f t="shared" si="14"/>
        <v>8.7576172086762831</v>
      </c>
      <c r="P59" s="1442">
        <f t="shared" si="13"/>
        <v>8.8063159155415462</v>
      </c>
      <c r="Q59" s="1442">
        <v>9.489999480108148</v>
      </c>
      <c r="R59" s="1442">
        <v>20.095885356726619</v>
      </c>
      <c r="S59" s="1443">
        <v>10.937994046599632</v>
      </c>
      <c r="T59" s="1444">
        <v>1</v>
      </c>
      <c r="U59" s="1445">
        <v>1</v>
      </c>
      <c r="V59" s="1445">
        <v>1</v>
      </c>
      <c r="W59" s="1445">
        <v>21.672893178257613</v>
      </c>
      <c r="X59" s="1445">
        <v>1</v>
      </c>
      <c r="Y59" s="1446">
        <v>1</v>
      </c>
      <c r="Z59" s="1444">
        <v>0</v>
      </c>
      <c r="AA59" s="1445">
        <v>0</v>
      </c>
      <c r="AB59" s="1445">
        <v>0</v>
      </c>
      <c r="AC59" s="1445">
        <v>139.46440133739603</v>
      </c>
      <c r="AD59" s="1445">
        <v>248.93671131840642</v>
      </c>
      <c r="AE59" s="1446">
        <v>0</v>
      </c>
    </row>
    <row r="60" spans="1:31" s="232" customFormat="1" ht="15" thickBot="1" x14ac:dyDescent="0.25">
      <c r="A60" s="3"/>
      <c r="B60" s="525">
        <v>2045</v>
      </c>
      <c r="C60" s="1423">
        <v>141725.82701295713</v>
      </c>
      <c r="D60" s="1424">
        <v>6735.7755801832827</v>
      </c>
      <c r="E60" s="1424">
        <v>6972.1971367946244</v>
      </c>
      <c r="F60" s="1424">
        <v>19930.639468945999</v>
      </c>
      <c r="G60" s="1424">
        <v>24829.044084723457</v>
      </c>
      <c r="H60" s="1425">
        <v>7349.1973912661197</v>
      </c>
      <c r="I60" s="1360">
        <v>0</v>
      </c>
      <c r="J60" s="526">
        <v>0</v>
      </c>
      <c r="K60" s="526">
        <v>0</v>
      </c>
      <c r="L60" s="526">
        <v>0</v>
      </c>
      <c r="M60" s="1365">
        <v>0</v>
      </c>
      <c r="N60" s="1509">
        <v>7.4552968397219281</v>
      </c>
      <c r="O60" s="1448">
        <f t="shared" si="14"/>
        <v>8.7576366534272641</v>
      </c>
      <c r="P60" s="1448">
        <f t="shared" si="13"/>
        <v>8.8063354684194532</v>
      </c>
      <c r="Q60" s="1448">
        <v>9.5510276932430145</v>
      </c>
      <c r="R60" s="1448">
        <v>20.176028453602722</v>
      </c>
      <c r="S60" s="1449">
        <v>11.041283794643421</v>
      </c>
      <c r="T60" s="1450">
        <v>1</v>
      </c>
      <c r="U60" s="1451">
        <v>1</v>
      </c>
      <c r="V60" s="1451">
        <v>1</v>
      </c>
      <c r="W60" s="1451">
        <v>21.763764109988053</v>
      </c>
      <c r="X60" s="1451">
        <v>1</v>
      </c>
      <c r="Y60" s="1452">
        <v>1</v>
      </c>
      <c r="Z60" s="1450">
        <v>0</v>
      </c>
      <c r="AA60" s="1451">
        <v>0</v>
      </c>
      <c r="AB60" s="1451">
        <v>0</v>
      </c>
      <c r="AC60" s="1451">
        <v>139.55491655799878</v>
      </c>
      <c r="AD60" s="1451">
        <v>248.98024377598861</v>
      </c>
      <c r="AE60" s="1452">
        <v>0</v>
      </c>
    </row>
    <row r="61" spans="1:31" s="232" customFormat="1" x14ac:dyDescent="0.2">
      <c r="A61" s="3"/>
      <c r="B61" s="532">
        <v>2046</v>
      </c>
      <c r="C61" s="1417">
        <v>141725.82701295713</v>
      </c>
      <c r="D61" s="1418">
        <v>6735.7755801832827</v>
      </c>
      <c r="E61" s="1418">
        <v>6972.1971367946244</v>
      </c>
      <c r="F61" s="1418">
        <v>19784.285312684573</v>
      </c>
      <c r="G61" s="1418">
        <v>24250.076646362519</v>
      </c>
      <c r="H61" s="1419">
        <v>6816.4534842571884</v>
      </c>
      <c r="I61" s="1362">
        <v>0</v>
      </c>
      <c r="J61" s="533">
        <v>0</v>
      </c>
      <c r="K61" s="533">
        <v>0</v>
      </c>
      <c r="L61" s="533">
        <v>0</v>
      </c>
      <c r="M61" s="1367">
        <v>0</v>
      </c>
      <c r="N61" s="1507">
        <v>7.4553133928624931</v>
      </c>
      <c r="O61" s="1436">
        <f t="shared" si="14"/>
        <v>8.757656098178245</v>
      </c>
      <c r="P61" s="1436">
        <f t="shared" si="13"/>
        <v>8.8063550212973603</v>
      </c>
      <c r="Q61" s="1436">
        <v>9.6120561772885704</v>
      </c>
      <c r="R61" s="1436">
        <v>20.256171906167243</v>
      </c>
      <c r="S61" s="1437">
        <v>11.144574001251836</v>
      </c>
      <c r="T61" s="1438">
        <v>1</v>
      </c>
      <c r="U61" s="1439">
        <v>1</v>
      </c>
      <c r="V61" s="1439">
        <v>1</v>
      </c>
      <c r="W61" s="1439">
        <v>21.854635445029803</v>
      </c>
      <c r="X61" s="1439">
        <v>1</v>
      </c>
      <c r="Y61" s="1440">
        <v>1</v>
      </c>
      <c r="Z61" s="1438">
        <v>0</v>
      </c>
      <c r="AA61" s="1439">
        <v>0</v>
      </c>
      <c r="AB61" s="1439">
        <v>0</v>
      </c>
      <c r="AC61" s="1439">
        <v>139.64543177860153</v>
      </c>
      <c r="AD61" s="1439">
        <v>249.0237762335708</v>
      </c>
      <c r="AE61" s="1440">
        <v>0</v>
      </c>
    </row>
    <row r="62" spans="1:31" s="232" customFormat="1" x14ac:dyDescent="0.2">
      <c r="A62" s="3"/>
      <c r="B62" s="523">
        <v>2047</v>
      </c>
      <c r="C62" s="1420">
        <v>141725.82701295713</v>
      </c>
      <c r="D62" s="1421">
        <v>6735.7755801832827</v>
      </c>
      <c r="E62" s="1421">
        <v>6972.1971367946244</v>
      </c>
      <c r="F62" s="1421">
        <v>19637.931156423147</v>
      </c>
      <c r="G62" s="1421">
        <v>23671.109208001581</v>
      </c>
      <c r="H62" s="1422">
        <v>6283.7095772482571</v>
      </c>
      <c r="I62" s="1359">
        <v>0</v>
      </c>
      <c r="J62" s="524">
        <v>0</v>
      </c>
      <c r="K62" s="524">
        <v>0</v>
      </c>
      <c r="L62" s="524">
        <v>0</v>
      </c>
      <c r="M62" s="1364">
        <v>0</v>
      </c>
      <c r="N62" s="1508">
        <v>7.455329946003058</v>
      </c>
      <c r="O62" s="1442">
        <f t="shared" si="14"/>
        <v>8.7576755429292259</v>
      </c>
      <c r="P62" s="1442">
        <f t="shared" si="13"/>
        <v>8.8063745741752673</v>
      </c>
      <c r="Q62" s="1442">
        <v>9.6730849322448158</v>
      </c>
      <c r="R62" s="1442">
        <v>20.336315714420177</v>
      </c>
      <c r="S62" s="1443">
        <v>11.24786466642488</v>
      </c>
      <c r="T62" s="1444">
        <v>1</v>
      </c>
      <c r="U62" s="1445">
        <v>1</v>
      </c>
      <c r="V62" s="1445">
        <v>1</v>
      </c>
      <c r="W62" s="1445">
        <v>21.945507183382855</v>
      </c>
      <c r="X62" s="1445">
        <v>1</v>
      </c>
      <c r="Y62" s="1446">
        <v>1</v>
      </c>
      <c r="Z62" s="1444">
        <v>0</v>
      </c>
      <c r="AA62" s="1445">
        <v>0</v>
      </c>
      <c r="AB62" s="1445">
        <v>0</v>
      </c>
      <c r="AC62" s="1445">
        <v>139.73594699920429</v>
      </c>
      <c r="AD62" s="1445">
        <v>249.06730869115299</v>
      </c>
      <c r="AE62" s="1446">
        <v>0</v>
      </c>
    </row>
    <row r="63" spans="1:31" s="232" customFormat="1" x14ac:dyDescent="0.2">
      <c r="A63" s="3"/>
      <c r="B63" s="523">
        <v>2048</v>
      </c>
      <c r="C63" s="1420">
        <v>141725.82701295713</v>
      </c>
      <c r="D63" s="1421">
        <v>6735.7755801832827</v>
      </c>
      <c r="E63" s="1421">
        <v>6972.1971367946244</v>
      </c>
      <c r="F63" s="1421">
        <v>19491.57700016172</v>
      </c>
      <c r="G63" s="1421">
        <v>23092.141769640642</v>
      </c>
      <c r="H63" s="1422">
        <v>5750.9656702393258</v>
      </c>
      <c r="I63" s="1359">
        <v>0</v>
      </c>
      <c r="J63" s="524">
        <v>0</v>
      </c>
      <c r="K63" s="524">
        <v>0</v>
      </c>
      <c r="L63" s="524">
        <v>0</v>
      </c>
      <c r="M63" s="1364">
        <v>0</v>
      </c>
      <c r="N63" s="1508">
        <v>7.455346499143622</v>
      </c>
      <c r="O63" s="1442">
        <f t="shared" si="14"/>
        <v>8.7576949876802068</v>
      </c>
      <c r="P63" s="1442">
        <f t="shared" si="13"/>
        <v>8.8063941270531743</v>
      </c>
      <c r="Q63" s="1442">
        <v>9.7341139581117506</v>
      </c>
      <c r="R63" s="1442">
        <v>20.416459878361525</v>
      </c>
      <c r="S63" s="1443">
        <v>11.351155790162549</v>
      </c>
      <c r="T63" s="1444">
        <v>1</v>
      </c>
      <c r="U63" s="1445">
        <v>1</v>
      </c>
      <c r="V63" s="1445">
        <v>1</v>
      </c>
      <c r="W63" s="1445">
        <v>22.036379325047218</v>
      </c>
      <c r="X63" s="1445">
        <v>1</v>
      </c>
      <c r="Y63" s="1446">
        <v>1</v>
      </c>
      <c r="Z63" s="1444">
        <v>0</v>
      </c>
      <c r="AA63" s="1445">
        <v>0</v>
      </c>
      <c r="AB63" s="1445">
        <v>0</v>
      </c>
      <c r="AC63" s="1445">
        <v>139.82646221980704</v>
      </c>
      <c r="AD63" s="1445">
        <v>249.11084114873518</v>
      </c>
      <c r="AE63" s="1446">
        <v>0</v>
      </c>
    </row>
    <row r="64" spans="1:31" s="232" customFormat="1" x14ac:dyDescent="0.2">
      <c r="A64" s="3"/>
      <c r="B64" s="523">
        <v>2049</v>
      </c>
      <c r="C64" s="1420">
        <v>141725.82701295713</v>
      </c>
      <c r="D64" s="1421">
        <v>6735.7755801832827</v>
      </c>
      <c r="E64" s="1421">
        <v>6972.1971367946244</v>
      </c>
      <c r="F64" s="1421">
        <v>19345.222843900294</v>
      </c>
      <c r="G64" s="1421">
        <v>22513.174331279704</v>
      </c>
      <c r="H64" s="1422">
        <v>5218.2217632303946</v>
      </c>
      <c r="I64" s="1359">
        <v>0</v>
      </c>
      <c r="J64" s="524">
        <v>0</v>
      </c>
      <c r="K64" s="524">
        <v>0</v>
      </c>
      <c r="L64" s="524">
        <v>0</v>
      </c>
      <c r="M64" s="1364">
        <v>0</v>
      </c>
      <c r="N64" s="1508">
        <v>7.4553630522841861</v>
      </c>
      <c r="O64" s="1442">
        <f t="shared" si="14"/>
        <v>8.7577144324311877</v>
      </c>
      <c r="P64" s="1442">
        <f t="shared" si="13"/>
        <v>8.8064136799310795</v>
      </c>
      <c r="Q64" s="1442">
        <v>9.7951432548893731</v>
      </c>
      <c r="R64" s="1442">
        <v>20.496604397991288</v>
      </c>
      <c r="S64" s="1443">
        <v>11.454447372464848</v>
      </c>
      <c r="T64" s="1444">
        <v>1</v>
      </c>
      <c r="U64" s="1445">
        <v>1</v>
      </c>
      <c r="V64" s="1445">
        <v>1</v>
      </c>
      <c r="W64" s="1445">
        <v>22.127251870022885</v>
      </c>
      <c r="X64" s="1445">
        <v>1</v>
      </c>
      <c r="Y64" s="1446">
        <v>1</v>
      </c>
      <c r="Z64" s="1444">
        <v>0</v>
      </c>
      <c r="AA64" s="1445">
        <v>0</v>
      </c>
      <c r="AB64" s="1445">
        <v>0</v>
      </c>
      <c r="AC64" s="1445">
        <v>139.9169774404098</v>
      </c>
      <c r="AD64" s="1445">
        <v>249.15437360631736</v>
      </c>
      <c r="AE64" s="1446">
        <v>0</v>
      </c>
    </row>
    <row r="65" spans="1:31" s="232" customFormat="1" ht="15" thickBot="1" x14ac:dyDescent="0.25">
      <c r="A65" s="3"/>
      <c r="B65" s="525">
        <v>2050</v>
      </c>
      <c r="C65" s="1423">
        <v>141725.82701295713</v>
      </c>
      <c r="D65" s="1424">
        <v>6735.7755801832827</v>
      </c>
      <c r="E65" s="1424">
        <v>6972.1971367946244</v>
      </c>
      <c r="F65" s="1424">
        <v>19198.868687638751</v>
      </c>
      <c r="G65" s="1424">
        <v>21934.206892918737</v>
      </c>
      <c r="H65" s="1425">
        <v>4685.4778562216088</v>
      </c>
      <c r="I65" s="1360">
        <v>0</v>
      </c>
      <c r="J65" s="526">
        <v>0</v>
      </c>
      <c r="K65" s="526">
        <v>0</v>
      </c>
      <c r="L65" s="526">
        <v>0</v>
      </c>
      <c r="M65" s="1365">
        <v>0</v>
      </c>
      <c r="N65" s="1509">
        <v>7.455379605424751</v>
      </c>
      <c r="O65" s="1448">
        <f t="shared" si="14"/>
        <v>8.7577338771821687</v>
      </c>
      <c r="P65" s="1448">
        <f t="shared" si="13"/>
        <v>8.8064332328089865</v>
      </c>
      <c r="Q65" s="1459">
        <v>9.8561728225776744</v>
      </c>
      <c r="R65" s="1459">
        <v>20.576749273309449</v>
      </c>
      <c r="S65" s="1460">
        <v>11.557739413331781</v>
      </c>
      <c r="T65" s="1450">
        <v>1</v>
      </c>
      <c r="U65" s="1451">
        <v>1</v>
      </c>
      <c r="V65" s="1451">
        <v>1</v>
      </c>
      <c r="W65" s="1451">
        <v>22.218124818309839</v>
      </c>
      <c r="X65" s="1451">
        <v>1</v>
      </c>
      <c r="Y65" s="1452">
        <v>1</v>
      </c>
      <c r="Z65" s="1450">
        <v>0</v>
      </c>
      <c r="AA65" s="1451">
        <v>0</v>
      </c>
      <c r="AB65" s="1451">
        <v>0</v>
      </c>
      <c r="AC65" s="1451">
        <v>140.00749266101252</v>
      </c>
      <c r="AD65" s="1451">
        <v>249.19790606389955</v>
      </c>
      <c r="AE65" s="1452">
        <v>0</v>
      </c>
    </row>
    <row r="66" spans="1:31" s="232" customFormat="1" x14ac:dyDescent="0.2">
      <c r="A66" s="3"/>
      <c r="B66" s="230"/>
      <c r="C66" s="229"/>
      <c r="E66" s="2"/>
      <c r="F66" s="229"/>
      <c r="G66" s="5"/>
      <c r="H66" s="6"/>
      <c r="I66" s="746"/>
      <c r="J66" s="746"/>
      <c r="K66" s="6"/>
      <c r="L66" s="6"/>
      <c r="M66" s="6"/>
      <c r="N66" s="6"/>
      <c r="O66" s="6"/>
      <c r="P66" s="6"/>
    </row>
    <row r="67" spans="1:31" ht="15" thickBot="1" x14ac:dyDescent="0.25">
      <c r="F67" s="7"/>
      <c r="G67" s="8"/>
      <c r="H67" s="7"/>
      <c r="I67" s="7"/>
      <c r="J67" s="7"/>
      <c r="K67" s="7"/>
      <c r="L67" s="7"/>
      <c r="M67" s="7"/>
      <c r="N67" s="7"/>
      <c r="O67" s="7"/>
      <c r="P67" s="7"/>
    </row>
    <row r="68" spans="1:31" ht="15" thickBot="1" x14ac:dyDescent="0.25">
      <c r="B68" s="1512"/>
      <c r="C68" s="9" t="s">
        <v>202</v>
      </c>
      <c r="D68" s="9"/>
      <c r="F68" s="7"/>
      <c r="G68" s="8"/>
      <c r="H68" s="7"/>
      <c r="I68" s="7"/>
      <c r="J68" s="7"/>
      <c r="K68" s="7"/>
      <c r="L68" s="7"/>
      <c r="M68" s="7"/>
      <c r="N68" s="7"/>
      <c r="O68" s="7"/>
      <c r="P68" s="7"/>
    </row>
    <row r="69" spans="1:31" x14ac:dyDescent="0.2">
      <c r="B69" s="10"/>
      <c r="F69" s="7"/>
      <c r="G69" s="8"/>
      <c r="H69" s="7"/>
      <c r="I69" s="7"/>
      <c r="J69" s="7"/>
      <c r="K69" s="7"/>
      <c r="L69" s="7"/>
      <c r="M69" s="7"/>
      <c r="N69" s="7"/>
      <c r="O69" s="7"/>
      <c r="P69" s="7"/>
    </row>
    <row r="70" spans="1:31" x14ac:dyDescent="0.2">
      <c r="B70" s="10"/>
      <c r="C70" s="10"/>
      <c r="D70" s="10"/>
      <c r="F70" s="7"/>
      <c r="G70" s="8"/>
      <c r="H70" s="7"/>
      <c r="I70" s="7"/>
      <c r="J70" s="7"/>
      <c r="K70" s="7"/>
      <c r="L70" s="7"/>
      <c r="M70" s="7"/>
      <c r="N70" s="7"/>
      <c r="O70" s="7"/>
      <c r="P70" s="7"/>
    </row>
    <row r="71" spans="1:31" x14ac:dyDescent="0.2">
      <c r="F71" s="7"/>
      <c r="G71" s="8"/>
      <c r="H71" s="7"/>
      <c r="I71" s="7"/>
      <c r="J71" s="7"/>
      <c r="K71" s="7"/>
      <c r="L71" s="7"/>
      <c r="M71" s="7"/>
      <c r="N71" s="7"/>
      <c r="O71" s="7"/>
      <c r="P71" s="7"/>
    </row>
    <row r="72" spans="1:31" x14ac:dyDescent="0.2">
      <c r="F72" s="7"/>
      <c r="G72" s="8"/>
      <c r="H72" s="7"/>
      <c r="I72" s="7"/>
      <c r="J72" s="7"/>
      <c r="K72" s="7"/>
      <c r="L72" s="7"/>
      <c r="M72" s="7"/>
      <c r="N72" s="7"/>
      <c r="O72" s="7"/>
      <c r="P72" s="7"/>
    </row>
    <row r="73" spans="1:31" x14ac:dyDescent="0.2">
      <c r="F73" s="7"/>
      <c r="G73" s="8"/>
      <c r="H73" s="7"/>
      <c r="I73" s="7"/>
      <c r="J73" s="7"/>
      <c r="K73" s="7"/>
      <c r="L73" s="7"/>
      <c r="M73" s="7"/>
      <c r="N73" s="7"/>
      <c r="O73" s="7"/>
      <c r="P73" s="7"/>
    </row>
    <row r="74" spans="1:31" x14ac:dyDescent="0.2">
      <c r="F74" s="7"/>
      <c r="G74" s="8"/>
      <c r="H74" s="7"/>
      <c r="I74" s="7"/>
      <c r="J74" s="7"/>
      <c r="K74" s="7"/>
      <c r="L74" s="7"/>
      <c r="M74" s="7"/>
      <c r="N74" s="7"/>
      <c r="O74" s="7"/>
      <c r="P74" s="7"/>
    </row>
    <row r="75" spans="1:31" x14ac:dyDescent="0.2">
      <c r="F75" s="7"/>
      <c r="G75" s="8"/>
      <c r="H75" s="7"/>
      <c r="I75" s="7"/>
      <c r="J75" s="7"/>
      <c r="K75" s="7"/>
      <c r="L75" s="7"/>
      <c r="M75" s="7"/>
      <c r="N75" s="7"/>
      <c r="O75" s="7"/>
      <c r="P75" s="7"/>
    </row>
    <row r="76" spans="1:31" x14ac:dyDescent="0.2">
      <c r="F76" s="7"/>
      <c r="G76" s="8"/>
      <c r="H76" s="7"/>
      <c r="I76" s="7"/>
      <c r="J76" s="7"/>
      <c r="K76" s="7"/>
      <c r="L76" s="7"/>
      <c r="M76" s="7"/>
      <c r="N76" s="7"/>
      <c r="O76" s="7"/>
      <c r="P76" s="7"/>
    </row>
    <row r="77" spans="1:31" x14ac:dyDescent="0.2">
      <c r="F77" s="7"/>
      <c r="G77" s="8"/>
      <c r="H77" s="7"/>
      <c r="I77" s="7"/>
      <c r="J77" s="7"/>
      <c r="K77" s="7"/>
      <c r="L77" s="7"/>
      <c r="M77" s="7"/>
      <c r="N77" s="7"/>
      <c r="O77" s="7"/>
      <c r="P77" s="7"/>
    </row>
    <row r="78" spans="1:31" x14ac:dyDescent="0.2">
      <c r="F78" s="7"/>
      <c r="G78" s="8"/>
      <c r="H78" s="7"/>
      <c r="I78" s="7"/>
      <c r="J78" s="7"/>
      <c r="K78" s="7"/>
      <c r="L78" s="7"/>
      <c r="M78" s="7"/>
      <c r="N78" s="7"/>
      <c r="O78" s="7"/>
      <c r="P78" s="7"/>
    </row>
    <row r="79" spans="1:31" x14ac:dyDescent="0.2">
      <c r="F79" s="7"/>
      <c r="G79" s="8"/>
      <c r="H79" s="7"/>
      <c r="I79" s="7"/>
      <c r="J79" s="7"/>
      <c r="K79" s="7"/>
      <c r="L79" s="7"/>
      <c r="M79" s="7"/>
      <c r="N79" s="7"/>
      <c r="O79" s="7"/>
      <c r="P79" s="7"/>
    </row>
    <row r="80" spans="1:31" x14ac:dyDescent="0.2">
      <c r="F80" s="7"/>
      <c r="G80" s="8"/>
      <c r="H80" s="7"/>
      <c r="I80" s="7"/>
      <c r="J80" s="7"/>
      <c r="K80" s="7"/>
      <c r="L80" s="7"/>
      <c r="M80" s="7"/>
      <c r="N80" s="7"/>
      <c r="O80" s="7"/>
      <c r="P80" s="7"/>
    </row>
    <row r="81" spans="6:16" x14ac:dyDescent="0.2">
      <c r="F81" s="7"/>
      <c r="G81" s="8"/>
      <c r="H81" s="7"/>
      <c r="I81" s="7"/>
      <c r="J81" s="7"/>
      <c r="K81" s="7"/>
      <c r="L81" s="7"/>
      <c r="M81" s="7"/>
      <c r="N81" s="7"/>
      <c r="O81" s="7"/>
      <c r="P81" s="7"/>
    </row>
    <row r="82" spans="6:16" x14ac:dyDescent="0.2">
      <c r="F82" s="7"/>
      <c r="G82" s="8"/>
      <c r="H82" s="7"/>
      <c r="I82" s="7"/>
      <c r="J82" s="7"/>
      <c r="K82" s="7"/>
      <c r="L82" s="7"/>
      <c r="M82" s="7"/>
      <c r="N82" s="7"/>
      <c r="O82" s="7"/>
      <c r="P82" s="7"/>
    </row>
    <row r="83" spans="6:16" x14ac:dyDescent="0.2">
      <c r="F83" s="7"/>
      <c r="G83" s="8"/>
      <c r="H83" s="7"/>
      <c r="I83" s="7"/>
      <c r="J83" s="7"/>
      <c r="K83" s="7"/>
      <c r="L83" s="7"/>
      <c r="M83" s="7"/>
      <c r="N83" s="7"/>
      <c r="O83" s="7"/>
      <c r="P83" s="7"/>
    </row>
    <row r="84" spans="6:16" x14ac:dyDescent="0.2">
      <c r="F84" s="7"/>
      <c r="G84" s="8"/>
      <c r="H84" s="7"/>
      <c r="I84" s="7"/>
      <c r="J84" s="7"/>
      <c r="K84" s="7"/>
      <c r="L84" s="7"/>
      <c r="M84" s="7"/>
      <c r="N84" s="7"/>
      <c r="O84" s="7"/>
      <c r="P84" s="7"/>
    </row>
    <row r="85" spans="6:16" x14ac:dyDescent="0.2">
      <c r="F85" s="7"/>
      <c r="G85" s="8"/>
      <c r="H85" s="7"/>
      <c r="I85" s="7"/>
      <c r="J85" s="7"/>
      <c r="K85" s="7"/>
      <c r="L85" s="7"/>
      <c r="M85" s="7"/>
      <c r="N85" s="7"/>
      <c r="O85" s="7"/>
      <c r="P85" s="7"/>
    </row>
    <row r="86" spans="6:16" x14ac:dyDescent="0.2">
      <c r="F86" s="7"/>
      <c r="G86" s="8"/>
      <c r="H86" s="7"/>
      <c r="I86" s="7"/>
      <c r="J86" s="7"/>
      <c r="K86" s="7"/>
      <c r="L86" s="7"/>
      <c r="M86" s="7"/>
      <c r="N86" s="7"/>
      <c r="O86" s="7"/>
      <c r="P86" s="7"/>
    </row>
    <row r="87" spans="6:16" x14ac:dyDescent="0.2">
      <c r="F87" s="7"/>
      <c r="G87" s="8"/>
      <c r="H87" s="7"/>
      <c r="I87" s="7"/>
      <c r="J87" s="7"/>
      <c r="K87" s="7"/>
      <c r="L87" s="7"/>
      <c r="M87" s="7"/>
      <c r="N87" s="7"/>
      <c r="O87" s="7"/>
      <c r="P87" s="7"/>
    </row>
    <row r="88" spans="6:16" x14ac:dyDescent="0.2">
      <c r="F88" s="7"/>
      <c r="G88" s="8"/>
      <c r="H88" s="7"/>
      <c r="I88" s="7"/>
      <c r="J88" s="7"/>
      <c r="K88" s="7"/>
      <c r="L88" s="7"/>
      <c r="M88" s="7"/>
      <c r="N88" s="7"/>
      <c r="O88" s="7"/>
      <c r="P88" s="7"/>
    </row>
    <row r="89" spans="6:16" x14ac:dyDescent="0.2">
      <c r="F89" s="7"/>
      <c r="G89" s="8"/>
      <c r="H89" s="7"/>
      <c r="I89" s="7"/>
      <c r="J89" s="7"/>
      <c r="K89" s="7"/>
      <c r="L89" s="7"/>
      <c r="M89" s="7"/>
      <c r="N89" s="7"/>
      <c r="O89" s="7"/>
      <c r="P89" s="7"/>
    </row>
    <row r="90" spans="6:16" x14ac:dyDescent="0.2">
      <c r="F90" s="7"/>
      <c r="G90" s="8"/>
      <c r="H90" s="7"/>
      <c r="I90" s="7"/>
      <c r="J90" s="7"/>
      <c r="K90" s="7"/>
      <c r="L90" s="7"/>
      <c r="M90" s="7"/>
      <c r="N90" s="7"/>
      <c r="O90" s="7"/>
      <c r="P90" s="7"/>
    </row>
    <row r="91" spans="6:16" x14ac:dyDescent="0.2">
      <c r="F91" s="7"/>
      <c r="G91" s="8"/>
      <c r="H91" s="7"/>
      <c r="I91" s="7"/>
      <c r="J91" s="7"/>
      <c r="K91" s="7"/>
      <c r="L91" s="7"/>
      <c r="M91" s="7"/>
      <c r="N91" s="7"/>
      <c r="O91" s="7"/>
      <c r="P91" s="7"/>
    </row>
    <row r="92" spans="6:16" x14ac:dyDescent="0.2">
      <c r="F92" s="7"/>
      <c r="G92" s="8"/>
      <c r="H92" s="7"/>
      <c r="I92" s="7"/>
      <c r="J92" s="7"/>
      <c r="K92" s="7"/>
      <c r="L92" s="7"/>
      <c r="M92" s="7"/>
      <c r="N92" s="7"/>
      <c r="O92" s="7"/>
      <c r="P92" s="7"/>
    </row>
    <row r="93" spans="6:16" x14ac:dyDescent="0.2">
      <c r="F93" s="7"/>
      <c r="G93" s="8"/>
      <c r="H93" s="7"/>
      <c r="I93" s="7"/>
      <c r="J93" s="7"/>
      <c r="K93" s="7"/>
      <c r="L93" s="7"/>
      <c r="M93" s="7"/>
      <c r="N93" s="7"/>
      <c r="O93" s="7"/>
      <c r="P93" s="7"/>
    </row>
    <row r="94" spans="6:16" x14ac:dyDescent="0.2">
      <c r="F94" s="7"/>
      <c r="G94" s="8"/>
      <c r="H94" s="7"/>
      <c r="I94" s="7"/>
      <c r="J94" s="7"/>
      <c r="K94" s="7"/>
      <c r="L94" s="7"/>
      <c r="M94" s="7"/>
      <c r="N94" s="7"/>
      <c r="O94" s="7"/>
      <c r="P94" s="7"/>
    </row>
    <row r="95" spans="6:16" x14ac:dyDescent="0.2">
      <c r="F95" s="7"/>
      <c r="G95" s="8"/>
      <c r="H95" s="7"/>
      <c r="I95" s="7"/>
      <c r="J95" s="7"/>
      <c r="K95" s="7"/>
      <c r="L95" s="7"/>
      <c r="M95" s="7"/>
      <c r="N95" s="7"/>
      <c r="O95" s="7"/>
      <c r="P95" s="7"/>
    </row>
    <row r="96" spans="6:16" x14ac:dyDescent="0.2">
      <c r="F96" s="7"/>
      <c r="G96" s="8"/>
      <c r="H96" s="7"/>
      <c r="I96" s="7"/>
      <c r="J96" s="7"/>
      <c r="K96" s="7"/>
      <c r="L96" s="7"/>
      <c r="M96" s="7"/>
      <c r="N96" s="7"/>
      <c r="O96" s="7"/>
      <c r="P96" s="7"/>
    </row>
    <row r="97" spans="6:16" x14ac:dyDescent="0.2">
      <c r="F97" s="7"/>
      <c r="G97" s="8"/>
      <c r="H97" s="7"/>
      <c r="I97" s="7"/>
      <c r="J97" s="7"/>
      <c r="K97" s="7"/>
      <c r="L97" s="7"/>
      <c r="M97" s="7"/>
      <c r="N97" s="7"/>
      <c r="O97" s="7"/>
      <c r="P97" s="7"/>
    </row>
    <row r="98" spans="6:16" x14ac:dyDescent="0.2">
      <c r="F98" s="7"/>
      <c r="G98" s="8"/>
      <c r="H98" s="7"/>
      <c r="I98" s="7"/>
      <c r="J98" s="7"/>
      <c r="K98" s="7"/>
      <c r="L98" s="7"/>
      <c r="M98" s="7"/>
      <c r="N98" s="7"/>
      <c r="O98" s="7"/>
      <c r="P98" s="7"/>
    </row>
    <row r="99" spans="6:16" x14ac:dyDescent="0.2">
      <c r="F99" s="7"/>
      <c r="G99" s="8"/>
      <c r="H99" s="7"/>
      <c r="I99" s="7"/>
      <c r="J99" s="7"/>
      <c r="K99" s="7"/>
      <c r="L99" s="7"/>
      <c r="M99" s="7"/>
      <c r="N99" s="7"/>
      <c r="O99" s="7"/>
      <c r="P99" s="7"/>
    </row>
    <row r="100" spans="6:16" x14ac:dyDescent="0.2">
      <c r="F100" s="7"/>
      <c r="G100" s="8"/>
      <c r="H100" s="7"/>
      <c r="I100" s="7"/>
      <c r="J100" s="7"/>
      <c r="K100" s="7"/>
      <c r="L100" s="7"/>
      <c r="M100" s="7"/>
      <c r="N100" s="7"/>
      <c r="O100" s="7"/>
      <c r="P100" s="7"/>
    </row>
    <row r="101" spans="6:16" x14ac:dyDescent="0.2">
      <c r="F101" s="7"/>
      <c r="G101" s="8"/>
      <c r="H101" s="7"/>
      <c r="I101" s="7"/>
      <c r="J101" s="7"/>
      <c r="K101" s="7"/>
      <c r="L101" s="7"/>
      <c r="M101" s="7"/>
      <c r="N101" s="7"/>
      <c r="O101" s="7"/>
      <c r="P101" s="7"/>
    </row>
    <row r="102" spans="6:16" x14ac:dyDescent="0.2">
      <c r="F102" s="7"/>
      <c r="G102" s="8"/>
      <c r="H102" s="7"/>
      <c r="I102" s="7"/>
      <c r="J102" s="7"/>
      <c r="K102" s="7"/>
      <c r="L102" s="7"/>
      <c r="M102" s="7"/>
      <c r="N102" s="7"/>
      <c r="O102" s="7"/>
      <c r="P102" s="7"/>
    </row>
    <row r="103" spans="6:16" x14ac:dyDescent="0.2">
      <c r="F103" s="7"/>
      <c r="G103" s="8"/>
      <c r="H103" s="7"/>
      <c r="I103" s="7"/>
      <c r="J103" s="7"/>
      <c r="K103" s="7"/>
      <c r="L103" s="7"/>
      <c r="M103" s="7"/>
      <c r="N103" s="7"/>
      <c r="O103" s="7"/>
      <c r="P103" s="7"/>
    </row>
    <row r="104" spans="6:16" x14ac:dyDescent="0.2">
      <c r="F104" s="7"/>
      <c r="G104" s="8"/>
      <c r="H104" s="7"/>
      <c r="I104" s="7"/>
      <c r="J104" s="7"/>
      <c r="K104" s="7"/>
      <c r="L104" s="7"/>
      <c r="M104" s="7"/>
      <c r="N104" s="7"/>
      <c r="O104" s="7"/>
      <c r="P104" s="7"/>
    </row>
    <row r="105" spans="6:16" x14ac:dyDescent="0.2">
      <c r="F105" s="7"/>
      <c r="G105" s="8"/>
      <c r="H105" s="7"/>
      <c r="I105" s="7"/>
      <c r="J105" s="7"/>
      <c r="K105" s="7"/>
      <c r="L105" s="7"/>
      <c r="M105" s="7"/>
      <c r="N105" s="7"/>
      <c r="O105" s="7"/>
      <c r="P105" s="7"/>
    </row>
    <row r="106" spans="6:16" x14ac:dyDescent="0.2">
      <c r="F106" s="7"/>
      <c r="G106" s="8"/>
      <c r="H106" s="7"/>
      <c r="I106" s="7"/>
      <c r="J106" s="7"/>
      <c r="K106" s="7"/>
      <c r="L106" s="7"/>
      <c r="M106" s="7"/>
      <c r="N106" s="7"/>
      <c r="O106" s="7"/>
      <c r="P106" s="7"/>
    </row>
    <row r="107" spans="6:16" x14ac:dyDescent="0.2">
      <c r="F107" s="7"/>
      <c r="G107" s="8"/>
      <c r="H107" s="7"/>
      <c r="I107" s="7"/>
      <c r="J107" s="7"/>
      <c r="K107" s="7"/>
      <c r="L107" s="7"/>
      <c r="M107" s="7"/>
      <c r="N107" s="7"/>
      <c r="O107" s="7"/>
      <c r="P107" s="7"/>
    </row>
    <row r="108" spans="6:16" x14ac:dyDescent="0.2">
      <c r="F108" s="7"/>
      <c r="G108" s="8"/>
      <c r="H108" s="7"/>
      <c r="I108" s="7"/>
      <c r="J108" s="7"/>
      <c r="K108" s="7"/>
      <c r="L108" s="7"/>
      <c r="M108" s="7"/>
      <c r="N108" s="7"/>
      <c r="O108" s="7"/>
      <c r="P108" s="7"/>
    </row>
    <row r="109" spans="6:16" x14ac:dyDescent="0.2">
      <c r="F109" s="7"/>
      <c r="G109" s="8"/>
      <c r="H109" s="7"/>
      <c r="I109" s="7"/>
      <c r="J109" s="7"/>
      <c r="K109" s="7"/>
      <c r="L109" s="7"/>
      <c r="M109" s="7"/>
      <c r="N109" s="7"/>
      <c r="O109" s="7"/>
      <c r="P109" s="7"/>
    </row>
    <row r="110" spans="6:16" x14ac:dyDescent="0.2">
      <c r="F110" s="7"/>
      <c r="G110" s="8"/>
      <c r="H110" s="7"/>
      <c r="I110" s="7"/>
      <c r="J110" s="7"/>
      <c r="K110" s="7"/>
      <c r="L110" s="7"/>
      <c r="M110" s="7"/>
      <c r="N110" s="7"/>
      <c r="O110" s="7"/>
      <c r="P110" s="7"/>
    </row>
    <row r="111" spans="6:16" x14ac:dyDescent="0.2">
      <c r="F111" s="7"/>
      <c r="G111" s="8"/>
      <c r="H111" s="7"/>
      <c r="I111" s="7"/>
      <c r="J111" s="7"/>
      <c r="K111" s="7"/>
      <c r="L111" s="7"/>
      <c r="M111" s="7"/>
      <c r="N111" s="7"/>
      <c r="O111" s="7"/>
      <c r="P111" s="7"/>
    </row>
    <row r="112" spans="6:16" x14ac:dyDescent="0.2">
      <c r="F112" s="7"/>
      <c r="G112" s="8"/>
      <c r="H112" s="7"/>
      <c r="I112" s="7"/>
      <c r="J112" s="7"/>
      <c r="K112" s="7"/>
      <c r="L112" s="7"/>
      <c r="M112" s="7"/>
      <c r="N112" s="7"/>
      <c r="O112" s="7"/>
      <c r="P112" s="7"/>
    </row>
    <row r="113" spans="6:16" x14ac:dyDescent="0.2">
      <c r="F113" s="7"/>
      <c r="G113" s="8"/>
      <c r="H113" s="7"/>
      <c r="I113" s="7"/>
      <c r="J113" s="7"/>
      <c r="K113" s="7"/>
      <c r="L113" s="7"/>
      <c r="M113" s="7"/>
      <c r="N113" s="7"/>
      <c r="O113" s="7"/>
      <c r="P113" s="7"/>
    </row>
    <row r="114" spans="6:16" x14ac:dyDescent="0.2">
      <c r="F114" s="7"/>
      <c r="G114" s="8"/>
      <c r="H114" s="7"/>
      <c r="I114" s="7"/>
      <c r="J114" s="7"/>
      <c r="K114" s="7"/>
      <c r="L114" s="7"/>
      <c r="M114" s="7"/>
      <c r="N114" s="7"/>
      <c r="O114" s="7"/>
      <c r="P114" s="7"/>
    </row>
    <row r="115" spans="6:16" x14ac:dyDescent="0.2">
      <c r="F115" s="7"/>
      <c r="G115" s="8"/>
      <c r="H115" s="7"/>
      <c r="I115" s="7"/>
      <c r="J115" s="7"/>
      <c r="K115" s="7"/>
      <c r="L115" s="7"/>
      <c r="M115" s="7"/>
      <c r="N115" s="7"/>
      <c r="O115" s="7"/>
      <c r="P115" s="7"/>
    </row>
    <row r="116" spans="6:16" x14ac:dyDescent="0.2">
      <c r="F116" s="7"/>
      <c r="G116" s="8"/>
      <c r="H116" s="7"/>
      <c r="I116" s="7"/>
      <c r="J116" s="7"/>
      <c r="K116" s="7"/>
      <c r="L116" s="7"/>
      <c r="M116" s="7"/>
      <c r="N116" s="7"/>
      <c r="O116" s="7"/>
      <c r="P116" s="7"/>
    </row>
    <row r="117" spans="6:16" x14ac:dyDescent="0.2">
      <c r="F117" s="7"/>
      <c r="G117" s="8"/>
      <c r="H117" s="7"/>
      <c r="I117" s="7"/>
      <c r="J117" s="7"/>
      <c r="K117" s="7"/>
      <c r="L117" s="7"/>
      <c r="M117" s="7"/>
      <c r="N117" s="7"/>
      <c r="O117" s="7"/>
      <c r="P117" s="7"/>
    </row>
    <row r="118" spans="6:16" x14ac:dyDescent="0.2">
      <c r="F118" s="7"/>
      <c r="G118" s="8"/>
      <c r="H118" s="7"/>
      <c r="I118" s="7"/>
      <c r="J118" s="7"/>
      <c r="K118" s="7"/>
      <c r="L118" s="7"/>
      <c r="M118" s="7"/>
      <c r="N118" s="7"/>
      <c r="O118" s="7"/>
      <c r="P118" s="7"/>
    </row>
    <row r="119" spans="6:16" x14ac:dyDescent="0.2">
      <c r="F119" s="7"/>
      <c r="G119" s="8"/>
      <c r="H119" s="7"/>
      <c r="I119" s="7"/>
      <c r="J119" s="7"/>
      <c r="K119" s="7"/>
      <c r="L119" s="7"/>
      <c r="M119" s="7"/>
      <c r="N119" s="7"/>
      <c r="O119" s="7"/>
      <c r="P119" s="7"/>
    </row>
    <row r="120" spans="6:16" x14ac:dyDescent="0.2">
      <c r="F120" s="7"/>
      <c r="G120" s="8"/>
      <c r="H120" s="7"/>
      <c r="I120" s="7"/>
      <c r="J120" s="7"/>
      <c r="K120" s="7"/>
      <c r="L120" s="7"/>
      <c r="M120" s="7"/>
      <c r="N120" s="7"/>
      <c r="O120" s="7"/>
      <c r="P120" s="7"/>
    </row>
    <row r="121" spans="6:16" x14ac:dyDescent="0.2">
      <c r="F121" s="7"/>
      <c r="G121" s="8"/>
      <c r="H121" s="7"/>
      <c r="I121" s="7"/>
      <c r="J121" s="7"/>
      <c r="K121" s="7"/>
      <c r="L121" s="7"/>
      <c r="M121" s="7"/>
      <c r="N121" s="7"/>
      <c r="O121" s="7"/>
      <c r="P121" s="7"/>
    </row>
    <row r="122" spans="6:16" x14ac:dyDescent="0.2">
      <c r="F122" s="7"/>
      <c r="G122" s="8"/>
      <c r="H122" s="7"/>
      <c r="I122" s="7"/>
      <c r="J122" s="7"/>
      <c r="K122" s="7"/>
      <c r="L122" s="7"/>
      <c r="M122" s="7"/>
      <c r="N122" s="7"/>
      <c r="O122" s="7"/>
      <c r="P122" s="7"/>
    </row>
    <row r="123" spans="6:16" x14ac:dyDescent="0.2">
      <c r="F123" s="7"/>
      <c r="G123" s="8"/>
      <c r="H123" s="7"/>
      <c r="I123" s="7"/>
      <c r="J123" s="7"/>
      <c r="K123" s="7"/>
      <c r="L123" s="7"/>
      <c r="M123" s="7"/>
      <c r="N123" s="7"/>
      <c r="O123" s="7"/>
      <c r="P123" s="7"/>
    </row>
    <row r="124" spans="6:16" x14ac:dyDescent="0.2">
      <c r="F124" s="7"/>
      <c r="G124" s="8"/>
      <c r="H124" s="7"/>
      <c r="I124" s="7"/>
      <c r="J124" s="7"/>
      <c r="K124" s="7"/>
      <c r="L124" s="7"/>
      <c r="M124" s="7"/>
      <c r="N124" s="7"/>
      <c r="O124" s="7"/>
      <c r="P124" s="7"/>
    </row>
    <row r="125" spans="6:16" x14ac:dyDescent="0.2">
      <c r="F125" s="7"/>
      <c r="G125" s="8"/>
      <c r="H125" s="7"/>
      <c r="I125" s="7"/>
      <c r="J125" s="7"/>
      <c r="K125" s="7"/>
      <c r="L125" s="7"/>
      <c r="M125" s="7"/>
      <c r="N125" s="7"/>
      <c r="O125" s="7"/>
      <c r="P125" s="7"/>
    </row>
    <row r="126" spans="6:16" x14ac:dyDescent="0.2">
      <c r="F126" s="7"/>
      <c r="G126" s="8"/>
      <c r="H126" s="7"/>
      <c r="I126" s="7"/>
      <c r="J126" s="7"/>
      <c r="K126" s="7"/>
      <c r="L126" s="7"/>
      <c r="M126" s="7"/>
      <c r="N126" s="7"/>
      <c r="O126" s="7"/>
      <c r="P126" s="7"/>
    </row>
    <row r="127" spans="6:16" x14ac:dyDescent="0.2">
      <c r="F127" s="7"/>
      <c r="G127" s="8"/>
      <c r="H127" s="7"/>
      <c r="I127" s="7"/>
      <c r="J127" s="7"/>
      <c r="K127" s="7"/>
      <c r="L127" s="7"/>
      <c r="M127" s="7"/>
      <c r="N127" s="7"/>
      <c r="O127" s="7"/>
      <c r="P127" s="7"/>
    </row>
    <row r="128" spans="6:16" x14ac:dyDescent="0.2">
      <c r="F128" s="7"/>
      <c r="G128" s="8"/>
      <c r="H128" s="7"/>
      <c r="I128" s="7"/>
      <c r="J128" s="7"/>
      <c r="K128" s="7"/>
      <c r="L128" s="7"/>
      <c r="M128" s="7"/>
      <c r="N128" s="7"/>
      <c r="O128" s="7"/>
      <c r="P128" s="7"/>
    </row>
    <row r="129" spans="6:16" x14ac:dyDescent="0.2">
      <c r="F129" s="7"/>
      <c r="G129" s="8"/>
      <c r="H129" s="7"/>
      <c r="I129" s="7"/>
      <c r="J129" s="7"/>
      <c r="K129" s="7"/>
      <c r="L129" s="7"/>
      <c r="M129" s="7"/>
      <c r="N129" s="7"/>
      <c r="O129" s="7"/>
      <c r="P129" s="7"/>
    </row>
    <row r="130" spans="6:16" x14ac:dyDescent="0.2">
      <c r="F130" s="7"/>
      <c r="G130" s="8"/>
      <c r="H130" s="7"/>
      <c r="I130" s="7"/>
      <c r="J130" s="7"/>
      <c r="K130" s="7"/>
      <c r="L130" s="7"/>
      <c r="M130" s="7"/>
      <c r="N130" s="7"/>
      <c r="O130" s="7"/>
      <c r="P130" s="7"/>
    </row>
    <row r="131" spans="6:16" x14ac:dyDescent="0.2">
      <c r="F131" s="7"/>
      <c r="G131" s="8"/>
      <c r="H131" s="7"/>
      <c r="I131" s="7"/>
      <c r="J131" s="7"/>
      <c r="K131" s="7"/>
      <c r="L131" s="7"/>
      <c r="M131" s="7"/>
      <c r="N131" s="7"/>
      <c r="O131" s="7"/>
      <c r="P131" s="7"/>
    </row>
    <row r="132" spans="6:16" x14ac:dyDescent="0.2">
      <c r="F132" s="7"/>
      <c r="G132" s="8"/>
      <c r="H132" s="7"/>
      <c r="I132" s="7"/>
      <c r="J132" s="7"/>
      <c r="K132" s="7"/>
      <c r="L132" s="7"/>
      <c r="M132" s="7"/>
      <c r="N132" s="7"/>
      <c r="O132" s="7"/>
      <c r="P132" s="7"/>
    </row>
    <row r="133" spans="6:16" x14ac:dyDescent="0.2">
      <c r="F133" s="7"/>
      <c r="G133" s="8"/>
      <c r="H133" s="7"/>
      <c r="I133" s="7"/>
      <c r="J133" s="7"/>
      <c r="K133" s="7"/>
      <c r="L133" s="7"/>
      <c r="M133" s="7"/>
      <c r="N133" s="7"/>
      <c r="O133" s="7"/>
      <c r="P133" s="7"/>
    </row>
    <row r="134" spans="6:16" x14ac:dyDescent="0.2">
      <c r="F134" s="7"/>
      <c r="G134" s="8"/>
      <c r="H134" s="7"/>
      <c r="I134" s="7"/>
      <c r="J134" s="7"/>
      <c r="K134" s="7"/>
      <c r="L134" s="7"/>
      <c r="M134" s="7"/>
      <c r="N134" s="7"/>
      <c r="O134" s="7"/>
      <c r="P134" s="7"/>
    </row>
    <row r="135" spans="6:16" x14ac:dyDescent="0.2">
      <c r="F135" s="7"/>
      <c r="G135" s="8"/>
      <c r="H135" s="7"/>
      <c r="I135" s="7"/>
      <c r="J135" s="7"/>
      <c r="K135" s="7"/>
      <c r="L135" s="7"/>
      <c r="M135" s="7"/>
      <c r="N135" s="7"/>
      <c r="O135" s="7"/>
      <c r="P135" s="7"/>
    </row>
    <row r="136" spans="6:16" x14ac:dyDescent="0.2">
      <c r="F136" s="7"/>
      <c r="G136" s="8"/>
      <c r="H136" s="7"/>
      <c r="I136" s="7"/>
      <c r="J136" s="7"/>
      <c r="K136" s="7"/>
      <c r="L136" s="7"/>
      <c r="M136" s="7"/>
      <c r="N136" s="7"/>
      <c r="O136" s="7"/>
      <c r="P136" s="7"/>
    </row>
    <row r="137" spans="6:16" x14ac:dyDescent="0.2">
      <c r="F137" s="7"/>
      <c r="G137" s="8"/>
      <c r="H137" s="7"/>
      <c r="I137" s="7"/>
      <c r="J137" s="7"/>
      <c r="K137" s="7"/>
      <c r="L137" s="7"/>
      <c r="M137" s="7"/>
      <c r="N137" s="7"/>
      <c r="O137" s="7"/>
      <c r="P137" s="7"/>
    </row>
    <row r="138" spans="6:16" x14ac:dyDescent="0.2">
      <c r="F138" s="7"/>
      <c r="G138" s="8"/>
      <c r="H138" s="7"/>
      <c r="I138" s="7"/>
      <c r="J138" s="7"/>
      <c r="K138" s="7"/>
      <c r="L138" s="7"/>
      <c r="M138" s="7"/>
      <c r="N138" s="7"/>
      <c r="O138" s="7"/>
      <c r="P138" s="7"/>
    </row>
    <row r="139" spans="6:16" x14ac:dyDescent="0.2">
      <c r="F139" s="7"/>
      <c r="G139" s="8"/>
      <c r="H139" s="7"/>
      <c r="I139" s="7"/>
      <c r="J139" s="7"/>
      <c r="K139" s="7"/>
      <c r="L139" s="7"/>
      <c r="M139" s="7"/>
      <c r="N139" s="7"/>
      <c r="O139" s="7"/>
      <c r="P139" s="7"/>
    </row>
    <row r="140" spans="6:16" x14ac:dyDescent="0.2">
      <c r="F140" s="7"/>
      <c r="G140" s="8"/>
      <c r="H140" s="7"/>
      <c r="I140" s="7"/>
      <c r="J140" s="7"/>
      <c r="K140" s="7"/>
      <c r="L140" s="7"/>
      <c r="M140" s="7"/>
      <c r="N140" s="7"/>
      <c r="O140" s="7"/>
      <c r="P140" s="7"/>
    </row>
    <row r="141" spans="6:16" x14ac:dyDescent="0.2">
      <c r="F141" s="7"/>
      <c r="G141" s="8"/>
      <c r="H141" s="7"/>
      <c r="I141" s="7"/>
      <c r="J141" s="7"/>
      <c r="K141" s="7"/>
      <c r="L141" s="7"/>
      <c r="M141" s="7"/>
      <c r="N141" s="7"/>
      <c r="O141" s="7"/>
      <c r="P141" s="7"/>
    </row>
    <row r="142" spans="6:16" x14ac:dyDescent="0.2">
      <c r="F142" s="7"/>
      <c r="G142" s="8"/>
      <c r="H142" s="7"/>
      <c r="I142" s="7"/>
      <c r="J142" s="7"/>
      <c r="K142" s="7"/>
      <c r="L142" s="7"/>
      <c r="M142" s="7"/>
      <c r="N142" s="7"/>
      <c r="O142" s="7"/>
      <c r="P142" s="7"/>
    </row>
    <row r="143" spans="6:16" x14ac:dyDescent="0.2">
      <c r="F143" s="7"/>
      <c r="G143" s="8"/>
      <c r="H143" s="7"/>
      <c r="I143" s="7"/>
      <c r="J143" s="7"/>
      <c r="K143" s="7"/>
      <c r="L143" s="7"/>
      <c r="M143" s="7"/>
      <c r="N143" s="7"/>
      <c r="O143" s="7"/>
      <c r="P143" s="7"/>
    </row>
    <row r="144" spans="6:16" x14ac:dyDescent="0.2">
      <c r="F144" s="7"/>
      <c r="G144" s="8"/>
      <c r="H144" s="7"/>
      <c r="I144" s="7"/>
      <c r="J144" s="7"/>
      <c r="K144" s="7"/>
      <c r="L144" s="7"/>
      <c r="M144" s="7"/>
      <c r="N144" s="7"/>
      <c r="O144" s="7"/>
      <c r="P144" s="7"/>
    </row>
    <row r="145" spans="6:16" x14ac:dyDescent="0.2">
      <c r="F145" s="7"/>
      <c r="G145" s="8"/>
      <c r="H145" s="7"/>
      <c r="I145" s="7"/>
      <c r="J145" s="7"/>
      <c r="K145" s="7"/>
      <c r="L145" s="7"/>
      <c r="M145" s="7"/>
      <c r="N145" s="7"/>
      <c r="O145" s="7"/>
      <c r="P145" s="7"/>
    </row>
    <row r="146" spans="6:16" x14ac:dyDescent="0.2">
      <c r="F146" s="7"/>
      <c r="G146" s="8"/>
      <c r="H146" s="7"/>
      <c r="I146" s="7"/>
      <c r="J146" s="7"/>
      <c r="K146" s="7"/>
      <c r="L146" s="7"/>
      <c r="M146" s="7"/>
      <c r="N146" s="7"/>
      <c r="O146" s="7"/>
      <c r="P146" s="7"/>
    </row>
    <row r="147" spans="6:16" x14ac:dyDescent="0.2">
      <c r="F147" s="7"/>
      <c r="G147" s="8"/>
      <c r="H147" s="7"/>
      <c r="I147" s="7"/>
      <c r="J147" s="7"/>
      <c r="K147" s="7"/>
      <c r="L147" s="7"/>
      <c r="M147" s="7"/>
      <c r="N147" s="7"/>
      <c r="O147" s="7"/>
      <c r="P147" s="7"/>
    </row>
    <row r="148" spans="6:16" x14ac:dyDescent="0.2">
      <c r="F148" s="7"/>
      <c r="G148" s="8"/>
      <c r="H148" s="7"/>
      <c r="I148" s="7"/>
      <c r="J148" s="7"/>
      <c r="K148" s="7"/>
      <c r="L148" s="7"/>
      <c r="M148" s="7"/>
      <c r="N148" s="7"/>
      <c r="O148" s="7"/>
      <c r="P148" s="7"/>
    </row>
    <row r="149" spans="6:16" x14ac:dyDescent="0.2">
      <c r="F149" s="7"/>
      <c r="G149" s="8"/>
      <c r="H149" s="7"/>
      <c r="I149" s="7"/>
      <c r="J149" s="7"/>
      <c r="K149" s="7"/>
      <c r="L149" s="7"/>
      <c r="M149" s="7"/>
      <c r="N149" s="7"/>
      <c r="O149" s="7"/>
      <c r="P149" s="7"/>
    </row>
    <row r="150" spans="6:16" x14ac:dyDescent="0.2">
      <c r="F150" s="7"/>
      <c r="G150" s="8"/>
      <c r="H150" s="7"/>
      <c r="I150" s="7"/>
      <c r="J150" s="7"/>
      <c r="K150" s="7"/>
      <c r="L150" s="7"/>
      <c r="M150" s="7"/>
      <c r="N150" s="7"/>
      <c r="O150" s="7"/>
      <c r="P150" s="7"/>
    </row>
    <row r="151" spans="6:16" x14ac:dyDescent="0.2">
      <c r="F151" s="7"/>
      <c r="G151" s="8"/>
      <c r="H151" s="7"/>
      <c r="I151" s="7"/>
      <c r="J151" s="7"/>
      <c r="K151" s="7"/>
      <c r="L151" s="7"/>
      <c r="M151" s="7"/>
      <c r="N151" s="7"/>
      <c r="O151" s="7"/>
      <c r="P151" s="7"/>
    </row>
    <row r="152" spans="6:16" x14ac:dyDescent="0.2">
      <c r="F152" s="7"/>
      <c r="G152" s="8"/>
      <c r="H152" s="7"/>
      <c r="I152" s="7"/>
      <c r="J152" s="7"/>
      <c r="K152" s="7"/>
      <c r="L152" s="7"/>
      <c r="M152" s="7"/>
      <c r="N152" s="7"/>
      <c r="O152" s="7"/>
      <c r="P152" s="7"/>
    </row>
    <row r="153" spans="6:16" x14ac:dyDescent="0.2">
      <c r="F153" s="7"/>
      <c r="G153" s="8"/>
      <c r="H153" s="7"/>
      <c r="I153" s="7"/>
      <c r="J153" s="7"/>
      <c r="K153" s="7"/>
      <c r="L153" s="7"/>
      <c r="M153" s="7"/>
      <c r="N153" s="7"/>
      <c r="O153" s="7"/>
      <c r="P153" s="7"/>
    </row>
    <row r="154" spans="6:16" x14ac:dyDescent="0.2">
      <c r="F154" s="7"/>
      <c r="G154" s="8"/>
      <c r="H154" s="7"/>
      <c r="I154" s="7"/>
      <c r="J154" s="7"/>
      <c r="K154" s="7"/>
      <c r="L154" s="7"/>
      <c r="M154" s="7"/>
      <c r="N154" s="7"/>
      <c r="O154" s="7"/>
      <c r="P154" s="7"/>
    </row>
    <row r="155" spans="6:16" x14ac:dyDescent="0.2">
      <c r="F155" s="7"/>
      <c r="G155" s="8"/>
      <c r="H155" s="7"/>
      <c r="I155" s="7"/>
      <c r="J155" s="7"/>
      <c r="K155" s="7"/>
      <c r="L155" s="7"/>
      <c r="M155" s="7"/>
      <c r="N155" s="7"/>
      <c r="O155" s="7"/>
      <c r="P155" s="7"/>
    </row>
    <row r="156" spans="6:16" x14ac:dyDescent="0.2">
      <c r="F156" s="7"/>
      <c r="G156" s="8"/>
      <c r="H156" s="7"/>
      <c r="I156" s="7"/>
      <c r="J156" s="7"/>
      <c r="K156" s="7"/>
      <c r="L156" s="7"/>
      <c r="M156" s="7"/>
      <c r="N156" s="7"/>
      <c r="O156" s="7"/>
      <c r="P156" s="7"/>
    </row>
    <row r="157" spans="6:16" x14ac:dyDescent="0.2">
      <c r="F157" s="7"/>
      <c r="G157" s="8"/>
      <c r="H157" s="7"/>
      <c r="I157" s="7"/>
      <c r="J157" s="7"/>
      <c r="K157" s="7"/>
      <c r="L157" s="7"/>
      <c r="M157" s="7"/>
      <c r="N157" s="7"/>
      <c r="O157" s="7"/>
      <c r="P157" s="7"/>
    </row>
    <row r="158" spans="6:16" x14ac:dyDescent="0.2">
      <c r="F158" s="7"/>
      <c r="G158" s="8"/>
      <c r="H158" s="7"/>
      <c r="I158" s="7"/>
      <c r="J158" s="7"/>
      <c r="K158" s="7"/>
      <c r="L158" s="7"/>
      <c r="M158" s="7"/>
      <c r="N158" s="7"/>
      <c r="O158" s="7"/>
      <c r="P158" s="7"/>
    </row>
    <row r="159" spans="6:16" x14ac:dyDescent="0.2">
      <c r="F159" s="7"/>
      <c r="G159" s="8"/>
      <c r="H159" s="7"/>
      <c r="I159" s="7"/>
      <c r="J159" s="7"/>
      <c r="K159" s="7"/>
      <c r="L159" s="7"/>
      <c r="M159" s="7"/>
      <c r="N159" s="7"/>
      <c r="O159" s="7"/>
      <c r="P159" s="7"/>
    </row>
    <row r="160" spans="6:16" x14ac:dyDescent="0.2">
      <c r="F160" s="7"/>
      <c r="G160" s="8"/>
      <c r="H160" s="7"/>
      <c r="I160" s="7"/>
      <c r="J160" s="7"/>
      <c r="K160" s="7"/>
      <c r="L160" s="7"/>
      <c r="M160" s="7"/>
      <c r="N160" s="7"/>
      <c r="O160" s="7"/>
      <c r="P160" s="7"/>
    </row>
    <row r="161" spans="6:16" x14ac:dyDescent="0.2">
      <c r="F161" s="7"/>
      <c r="G161" s="8"/>
      <c r="H161" s="7"/>
      <c r="I161" s="7"/>
      <c r="J161" s="7"/>
      <c r="K161" s="7"/>
      <c r="L161" s="7"/>
      <c r="M161" s="7"/>
      <c r="N161" s="7"/>
      <c r="O161" s="7"/>
      <c r="P161" s="7"/>
    </row>
    <row r="162" spans="6:16" x14ac:dyDescent="0.2">
      <c r="F162" s="7"/>
      <c r="G162" s="8"/>
      <c r="H162" s="7"/>
      <c r="I162" s="7"/>
      <c r="J162" s="7"/>
      <c r="K162" s="7"/>
      <c r="L162" s="7"/>
      <c r="M162" s="7"/>
      <c r="N162" s="7"/>
      <c r="O162" s="7"/>
      <c r="P162" s="7"/>
    </row>
    <row r="163" spans="6:16" x14ac:dyDescent="0.2">
      <c r="F163" s="7"/>
      <c r="G163" s="8"/>
      <c r="H163" s="7"/>
      <c r="I163" s="7"/>
      <c r="J163" s="7"/>
      <c r="K163" s="7"/>
      <c r="L163" s="7"/>
      <c r="M163" s="7"/>
      <c r="N163" s="7"/>
      <c r="O163" s="7"/>
      <c r="P163" s="7"/>
    </row>
    <row r="164" spans="6:16" x14ac:dyDescent="0.2">
      <c r="F164" s="7"/>
      <c r="G164" s="8"/>
      <c r="H164" s="7"/>
      <c r="I164" s="7"/>
      <c r="J164" s="7"/>
      <c r="K164" s="7"/>
      <c r="L164" s="7"/>
      <c r="M164" s="7"/>
      <c r="N164" s="7"/>
      <c r="O164" s="7"/>
      <c r="P164" s="7"/>
    </row>
    <row r="165" spans="6:16" x14ac:dyDescent="0.2">
      <c r="F165" s="7"/>
      <c r="G165" s="8"/>
      <c r="H165" s="7"/>
      <c r="I165" s="7"/>
      <c r="J165" s="7"/>
      <c r="K165" s="7"/>
      <c r="L165" s="7"/>
      <c r="M165" s="7"/>
      <c r="N165" s="7"/>
      <c r="O165" s="7"/>
      <c r="P165" s="7"/>
    </row>
    <row r="166" spans="6:16" x14ac:dyDescent="0.2">
      <c r="F166" s="7"/>
      <c r="G166" s="8"/>
      <c r="H166" s="7"/>
      <c r="I166" s="7"/>
      <c r="J166" s="7"/>
      <c r="K166" s="7"/>
      <c r="L166" s="7"/>
      <c r="M166" s="7"/>
      <c r="N166" s="7"/>
      <c r="O166" s="7"/>
      <c r="P166" s="7"/>
    </row>
    <row r="167" spans="6:16" x14ac:dyDescent="0.2">
      <c r="F167" s="7"/>
      <c r="G167" s="8"/>
      <c r="H167" s="7"/>
      <c r="I167" s="7"/>
      <c r="J167" s="7"/>
      <c r="K167" s="7"/>
      <c r="L167" s="7"/>
      <c r="M167" s="7"/>
      <c r="N167" s="7"/>
      <c r="O167" s="7"/>
      <c r="P167" s="7"/>
    </row>
    <row r="168" spans="6:16" x14ac:dyDescent="0.2">
      <c r="F168" s="7"/>
      <c r="G168" s="8"/>
      <c r="H168" s="7"/>
      <c r="I168" s="7"/>
      <c r="J168" s="7"/>
      <c r="K168" s="7"/>
      <c r="L168" s="7"/>
      <c r="M168" s="7"/>
      <c r="N168" s="7"/>
      <c r="O168" s="7"/>
      <c r="P168" s="7"/>
    </row>
    <row r="169" spans="6:16" x14ac:dyDescent="0.2">
      <c r="F169" s="7"/>
      <c r="G169" s="8"/>
      <c r="H169" s="7"/>
      <c r="I169" s="7"/>
      <c r="J169" s="7"/>
      <c r="K169" s="7"/>
      <c r="L169" s="7"/>
      <c r="M169" s="7"/>
      <c r="N169" s="7"/>
      <c r="O169" s="7"/>
      <c r="P169" s="7"/>
    </row>
    <row r="170" spans="6:16" x14ac:dyDescent="0.2">
      <c r="F170" s="7"/>
      <c r="G170" s="8"/>
      <c r="H170" s="7"/>
      <c r="I170" s="7"/>
      <c r="J170" s="7"/>
      <c r="K170" s="7"/>
      <c r="L170" s="7"/>
      <c r="M170" s="7"/>
      <c r="N170" s="7"/>
      <c r="O170" s="7"/>
      <c r="P170" s="7"/>
    </row>
    <row r="171" spans="6:16" x14ac:dyDescent="0.2">
      <c r="F171" s="7"/>
      <c r="G171" s="8"/>
      <c r="H171" s="7"/>
      <c r="I171" s="7"/>
      <c r="J171" s="7"/>
      <c r="K171" s="7"/>
      <c r="L171" s="7"/>
      <c r="M171" s="7"/>
      <c r="N171" s="7"/>
      <c r="O171" s="7"/>
      <c r="P171" s="7"/>
    </row>
    <row r="172" spans="6:16" x14ac:dyDescent="0.2">
      <c r="F172" s="7"/>
      <c r="G172" s="8"/>
      <c r="H172" s="7"/>
      <c r="I172" s="7"/>
      <c r="J172" s="7"/>
      <c r="K172" s="7"/>
      <c r="L172" s="7"/>
      <c r="M172" s="7"/>
      <c r="N172" s="7"/>
      <c r="O172" s="7"/>
      <c r="P172" s="7"/>
    </row>
    <row r="173" spans="6:16" x14ac:dyDescent="0.2">
      <c r="F173" s="7"/>
      <c r="G173" s="8"/>
      <c r="H173" s="7"/>
      <c r="I173" s="7"/>
      <c r="J173" s="7"/>
      <c r="K173" s="7"/>
      <c r="L173" s="7"/>
      <c r="M173" s="7"/>
      <c r="N173" s="7"/>
      <c r="O173" s="7"/>
      <c r="P173" s="7"/>
    </row>
    <row r="174" spans="6:16" x14ac:dyDescent="0.2">
      <c r="F174" s="7"/>
      <c r="G174" s="8"/>
      <c r="H174" s="7"/>
      <c r="I174" s="7"/>
      <c r="J174" s="7"/>
      <c r="K174" s="7"/>
      <c r="L174" s="7"/>
      <c r="M174" s="7"/>
      <c r="N174" s="7"/>
      <c r="O174" s="7"/>
      <c r="P174" s="7"/>
    </row>
    <row r="175" spans="6:16" x14ac:dyDescent="0.2">
      <c r="F175" s="7"/>
      <c r="G175" s="8"/>
      <c r="H175" s="7"/>
      <c r="I175" s="7"/>
      <c r="J175" s="7"/>
      <c r="K175" s="7"/>
      <c r="L175" s="7"/>
      <c r="M175" s="7"/>
      <c r="N175" s="7"/>
      <c r="O175" s="7"/>
      <c r="P175" s="7"/>
    </row>
    <row r="176" spans="6:16" x14ac:dyDescent="0.2">
      <c r="F176" s="7"/>
      <c r="G176" s="8"/>
      <c r="H176" s="7"/>
      <c r="I176" s="7"/>
      <c r="J176" s="7"/>
      <c r="K176" s="7"/>
      <c r="L176" s="7"/>
      <c r="M176" s="7"/>
      <c r="N176" s="7"/>
      <c r="O176" s="7"/>
      <c r="P176" s="7"/>
    </row>
    <row r="177" spans="6:16" x14ac:dyDescent="0.2">
      <c r="F177" s="7"/>
      <c r="G177" s="8"/>
      <c r="H177" s="7"/>
      <c r="I177" s="7"/>
      <c r="J177" s="7"/>
      <c r="K177" s="7"/>
      <c r="L177" s="7"/>
      <c r="M177" s="7"/>
      <c r="N177" s="7"/>
      <c r="O177" s="7"/>
      <c r="P177" s="7"/>
    </row>
    <row r="178" spans="6:16" x14ac:dyDescent="0.2">
      <c r="F178" s="7"/>
      <c r="G178" s="8"/>
      <c r="H178" s="7"/>
      <c r="I178" s="7"/>
      <c r="J178" s="7"/>
      <c r="K178" s="7"/>
      <c r="L178" s="7"/>
      <c r="M178" s="7"/>
      <c r="N178" s="7"/>
      <c r="O178" s="7"/>
      <c r="P178" s="7"/>
    </row>
    <row r="179" spans="6:16" x14ac:dyDescent="0.2">
      <c r="F179" s="7"/>
      <c r="G179" s="8"/>
      <c r="H179" s="7"/>
      <c r="I179" s="7"/>
      <c r="J179" s="7"/>
      <c r="K179" s="7"/>
      <c r="L179" s="7"/>
      <c r="M179" s="7"/>
      <c r="N179" s="7"/>
      <c r="O179" s="7"/>
      <c r="P179" s="7"/>
    </row>
    <row r="180" spans="6:16" x14ac:dyDescent="0.2">
      <c r="F180" s="7"/>
      <c r="G180" s="8"/>
      <c r="H180" s="7"/>
      <c r="I180" s="7"/>
      <c r="J180" s="7"/>
      <c r="K180" s="7"/>
      <c r="L180" s="7"/>
      <c r="M180" s="7"/>
      <c r="N180" s="7"/>
      <c r="O180" s="7"/>
      <c r="P180" s="7"/>
    </row>
    <row r="181" spans="6:16" x14ac:dyDescent="0.2">
      <c r="F181" s="7"/>
      <c r="G181" s="8"/>
      <c r="H181" s="7"/>
      <c r="I181" s="7"/>
      <c r="J181" s="7"/>
      <c r="K181" s="7"/>
      <c r="L181" s="7"/>
      <c r="M181" s="7"/>
      <c r="N181" s="7"/>
      <c r="O181" s="7"/>
      <c r="P181" s="7"/>
    </row>
    <row r="182" spans="6:16" x14ac:dyDescent="0.2">
      <c r="F182" s="7"/>
      <c r="G182" s="8"/>
      <c r="H182" s="7"/>
      <c r="I182" s="7"/>
      <c r="J182" s="7"/>
      <c r="K182" s="7"/>
      <c r="L182" s="7"/>
      <c r="M182" s="7"/>
      <c r="N182" s="7"/>
      <c r="O182" s="7"/>
      <c r="P182" s="7"/>
    </row>
    <row r="183" spans="6:16" x14ac:dyDescent="0.2">
      <c r="F183" s="7"/>
      <c r="G183" s="8"/>
      <c r="H183" s="7"/>
      <c r="I183" s="7"/>
      <c r="J183" s="7"/>
      <c r="K183" s="7"/>
      <c r="L183" s="7"/>
      <c r="M183" s="7"/>
      <c r="N183" s="7"/>
      <c r="O183" s="7"/>
      <c r="P183" s="7"/>
    </row>
    <row r="184" spans="6:16" x14ac:dyDescent="0.2">
      <c r="F184" s="7"/>
      <c r="G184" s="8"/>
      <c r="H184" s="7"/>
      <c r="I184" s="7"/>
      <c r="J184" s="7"/>
      <c r="K184" s="7"/>
      <c r="L184" s="7"/>
      <c r="M184" s="7"/>
      <c r="N184" s="7"/>
      <c r="O184" s="7"/>
      <c r="P184" s="7"/>
    </row>
    <row r="185" spans="6:16" x14ac:dyDescent="0.2">
      <c r="F185" s="7"/>
      <c r="G185" s="8"/>
      <c r="H185" s="7"/>
      <c r="I185" s="7"/>
      <c r="J185" s="7"/>
      <c r="K185" s="7"/>
      <c r="L185" s="7"/>
      <c r="M185" s="7"/>
      <c r="N185" s="7"/>
      <c r="O185" s="7"/>
      <c r="P185" s="7"/>
    </row>
    <row r="186" spans="6:16" x14ac:dyDescent="0.2">
      <c r="F186" s="7"/>
      <c r="G186" s="8"/>
      <c r="H186" s="7"/>
      <c r="I186" s="7"/>
      <c r="J186" s="7"/>
      <c r="K186" s="7"/>
      <c r="L186" s="7"/>
      <c r="M186" s="7"/>
      <c r="N186" s="7"/>
      <c r="O186" s="7"/>
      <c r="P186" s="7"/>
    </row>
    <row r="187" spans="6:16" x14ac:dyDescent="0.2">
      <c r="F187" s="7"/>
      <c r="G187" s="8"/>
      <c r="H187" s="7"/>
      <c r="I187" s="7"/>
      <c r="J187" s="7"/>
      <c r="K187" s="7"/>
      <c r="L187" s="7"/>
      <c r="M187" s="7"/>
      <c r="N187" s="7"/>
      <c r="O187" s="7"/>
      <c r="P187" s="7"/>
    </row>
    <row r="188" spans="6:16" x14ac:dyDescent="0.2">
      <c r="F188" s="7"/>
      <c r="G188" s="8"/>
      <c r="H188" s="7"/>
      <c r="I188" s="7"/>
      <c r="J188" s="7"/>
      <c r="K188" s="7"/>
      <c r="L188" s="7"/>
      <c r="M188" s="7"/>
      <c r="N188" s="7"/>
      <c r="O188" s="7"/>
      <c r="P188" s="7"/>
    </row>
    <row r="189" spans="6:16" x14ac:dyDescent="0.2">
      <c r="F189" s="7"/>
      <c r="G189" s="8"/>
      <c r="H189" s="7"/>
      <c r="I189" s="7"/>
      <c r="J189" s="7"/>
      <c r="K189" s="7"/>
      <c r="L189" s="7"/>
      <c r="M189" s="7"/>
      <c r="N189" s="7"/>
      <c r="O189" s="7"/>
      <c r="P189" s="7"/>
    </row>
    <row r="190" spans="6:16" x14ac:dyDescent="0.2">
      <c r="F190" s="7"/>
      <c r="G190" s="8"/>
      <c r="H190" s="7"/>
      <c r="I190" s="7"/>
      <c r="J190" s="7"/>
      <c r="K190" s="7"/>
      <c r="L190" s="7"/>
      <c r="M190" s="7"/>
      <c r="N190" s="7"/>
      <c r="O190" s="7"/>
      <c r="P190" s="7"/>
    </row>
    <row r="191" spans="6:16" x14ac:dyDescent="0.2">
      <c r="F191" s="7"/>
      <c r="G191" s="8"/>
      <c r="H191" s="7"/>
      <c r="I191" s="7"/>
      <c r="J191" s="7"/>
      <c r="K191" s="7"/>
      <c r="L191" s="7"/>
      <c r="M191" s="7"/>
      <c r="N191" s="7"/>
      <c r="O191" s="7"/>
      <c r="P191" s="7"/>
    </row>
    <row r="192" spans="6:16" x14ac:dyDescent="0.2">
      <c r="F192" s="7"/>
      <c r="G192" s="8"/>
      <c r="H192" s="7"/>
      <c r="I192" s="7"/>
      <c r="J192" s="7"/>
      <c r="K192" s="7"/>
      <c r="L192" s="7"/>
      <c r="M192" s="7"/>
      <c r="N192" s="7"/>
      <c r="O192" s="7"/>
      <c r="P192" s="7"/>
    </row>
    <row r="193" spans="6:16" x14ac:dyDescent="0.2">
      <c r="F193" s="7"/>
      <c r="G193" s="8"/>
      <c r="H193" s="7"/>
      <c r="I193" s="7"/>
      <c r="J193" s="7"/>
      <c r="K193" s="7"/>
      <c r="L193" s="7"/>
      <c r="M193" s="7"/>
      <c r="N193" s="7"/>
      <c r="O193" s="7"/>
      <c r="P193" s="7"/>
    </row>
    <row r="194" spans="6:16" x14ac:dyDescent="0.2">
      <c r="F194" s="7"/>
      <c r="G194" s="8"/>
      <c r="H194" s="7"/>
      <c r="I194" s="7"/>
      <c r="J194" s="7"/>
      <c r="K194" s="7"/>
      <c r="L194" s="7"/>
      <c r="M194" s="7"/>
      <c r="N194" s="7"/>
      <c r="O194" s="7"/>
      <c r="P194" s="7"/>
    </row>
    <row r="195" spans="6:16" x14ac:dyDescent="0.2">
      <c r="F195" s="7"/>
      <c r="G195" s="8"/>
      <c r="H195" s="7"/>
      <c r="I195" s="7"/>
      <c r="J195" s="7"/>
      <c r="K195" s="7"/>
      <c r="L195" s="7"/>
      <c r="M195" s="7"/>
      <c r="N195" s="7"/>
      <c r="O195" s="7"/>
      <c r="P195" s="7"/>
    </row>
    <row r="196" spans="6:16" x14ac:dyDescent="0.2">
      <c r="F196" s="7"/>
      <c r="G196" s="8"/>
      <c r="H196" s="7"/>
      <c r="I196" s="7"/>
      <c r="J196" s="7"/>
      <c r="K196" s="7"/>
      <c r="L196" s="7"/>
      <c r="M196" s="7"/>
      <c r="N196" s="7"/>
      <c r="O196" s="7"/>
      <c r="P196" s="7"/>
    </row>
    <row r="197" spans="6:16" x14ac:dyDescent="0.2">
      <c r="F197" s="7"/>
      <c r="G197" s="8"/>
      <c r="H197" s="7"/>
      <c r="I197" s="7"/>
      <c r="J197" s="7"/>
      <c r="K197" s="7"/>
      <c r="L197" s="7"/>
      <c r="M197" s="7"/>
      <c r="N197" s="7"/>
      <c r="O197" s="7"/>
      <c r="P197" s="7"/>
    </row>
    <row r="198" spans="6:16" x14ac:dyDescent="0.2">
      <c r="F198" s="7"/>
      <c r="G198" s="8"/>
      <c r="H198" s="7"/>
      <c r="I198" s="7"/>
      <c r="J198" s="7"/>
      <c r="K198" s="7"/>
      <c r="L198" s="7"/>
      <c r="M198" s="7"/>
      <c r="N198" s="7"/>
      <c r="O198" s="7"/>
      <c r="P198" s="7"/>
    </row>
    <row r="199" spans="6:16" x14ac:dyDescent="0.2">
      <c r="F199" s="7"/>
      <c r="G199" s="8"/>
      <c r="H199" s="7"/>
      <c r="I199" s="7"/>
      <c r="J199" s="7"/>
      <c r="K199" s="7"/>
      <c r="L199" s="7"/>
      <c r="M199" s="7"/>
      <c r="N199" s="7"/>
      <c r="O199" s="7"/>
      <c r="P199" s="7"/>
    </row>
    <row r="200" spans="6:16" x14ac:dyDescent="0.2">
      <c r="F200" s="7"/>
      <c r="G200" s="8"/>
      <c r="H200" s="7"/>
      <c r="I200" s="7"/>
      <c r="J200" s="7"/>
      <c r="K200" s="7"/>
      <c r="L200" s="7"/>
      <c r="M200" s="7"/>
      <c r="N200" s="7"/>
      <c r="O200" s="7"/>
      <c r="P200" s="7"/>
    </row>
    <row r="201" spans="6:16" x14ac:dyDescent="0.2">
      <c r="F201" s="7"/>
      <c r="G201" s="8"/>
      <c r="H201" s="7"/>
      <c r="I201" s="7"/>
      <c r="J201" s="7"/>
      <c r="K201" s="7"/>
      <c r="L201" s="7"/>
      <c r="M201" s="7"/>
      <c r="N201" s="7"/>
      <c r="O201" s="7"/>
      <c r="P201" s="7"/>
    </row>
    <row r="202" spans="6:16" x14ac:dyDescent="0.2">
      <c r="F202" s="7"/>
      <c r="G202" s="8"/>
      <c r="H202" s="7"/>
      <c r="I202" s="7"/>
      <c r="J202" s="7"/>
      <c r="K202" s="7"/>
      <c r="L202" s="7"/>
      <c r="M202" s="7"/>
      <c r="N202" s="7"/>
      <c r="O202" s="7"/>
      <c r="P202" s="7"/>
    </row>
    <row r="203" spans="6:16" x14ac:dyDescent="0.2">
      <c r="F203" s="7"/>
      <c r="G203" s="8"/>
      <c r="H203" s="7"/>
      <c r="I203" s="7"/>
      <c r="J203" s="7"/>
      <c r="K203" s="7"/>
      <c r="L203" s="7"/>
      <c r="M203" s="7"/>
      <c r="N203" s="7"/>
      <c r="O203" s="7"/>
      <c r="P203" s="7"/>
    </row>
    <row r="204" spans="6:16" x14ac:dyDescent="0.2">
      <c r="F204" s="7"/>
      <c r="G204" s="8"/>
      <c r="H204" s="7"/>
      <c r="I204" s="7"/>
      <c r="J204" s="7"/>
      <c r="K204" s="7"/>
      <c r="L204" s="7"/>
      <c r="M204" s="7"/>
      <c r="N204" s="7"/>
      <c r="O204" s="7"/>
      <c r="P204" s="7"/>
    </row>
    <row r="205" spans="6:16" x14ac:dyDescent="0.2">
      <c r="F205" s="7"/>
      <c r="G205" s="8"/>
      <c r="H205" s="7"/>
      <c r="I205" s="7"/>
      <c r="J205" s="7"/>
      <c r="K205" s="7"/>
      <c r="L205" s="7"/>
      <c r="M205" s="7"/>
      <c r="N205" s="7"/>
      <c r="O205" s="7"/>
      <c r="P205" s="7"/>
    </row>
    <row r="206" spans="6:16" x14ac:dyDescent="0.2">
      <c r="F206" s="7"/>
      <c r="G206" s="8"/>
      <c r="H206" s="7"/>
      <c r="I206" s="7"/>
      <c r="J206" s="7"/>
      <c r="K206" s="7"/>
      <c r="L206" s="7"/>
      <c r="M206" s="7"/>
      <c r="N206" s="7"/>
      <c r="O206" s="7"/>
      <c r="P206" s="7"/>
    </row>
    <row r="207" spans="6:16" x14ac:dyDescent="0.2">
      <c r="F207" s="7"/>
      <c r="G207" s="8"/>
      <c r="H207" s="7"/>
      <c r="I207" s="7"/>
      <c r="J207" s="7"/>
      <c r="K207" s="7"/>
      <c r="L207" s="7"/>
      <c r="M207" s="7"/>
      <c r="N207" s="7"/>
      <c r="O207" s="7"/>
      <c r="P207" s="7"/>
    </row>
    <row r="208" spans="6:16" x14ac:dyDescent="0.2">
      <c r="F208" s="7"/>
      <c r="G208" s="8"/>
      <c r="H208" s="7"/>
      <c r="I208" s="7"/>
      <c r="J208" s="7"/>
      <c r="K208" s="7"/>
      <c r="L208" s="7"/>
      <c r="M208" s="7"/>
      <c r="N208" s="7"/>
      <c r="O208" s="7"/>
      <c r="P208" s="7"/>
    </row>
    <row r="209" spans="6:16" x14ac:dyDescent="0.2">
      <c r="F209" s="7"/>
      <c r="G209" s="8"/>
      <c r="H209" s="7"/>
      <c r="I209" s="7"/>
      <c r="J209" s="7"/>
      <c r="K209" s="7"/>
      <c r="L209" s="7"/>
      <c r="M209" s="7"/>
      <c r="N209" s="7"/>
      <c r="O209" s="7"/>
      <c r="P209" s="7"/>
    </row>
    <row r="210" spans="6:16" x14ac:dyDescent="0.2">
      <c r="F210" s="7"/>
      <c r="G210" s="8"/>
      <c r="H210" s="7"/>
      <c r="I210" s="7"/>
      <c r="J210" s="7"/>
      <c r="K210" s="7"/>
      <c r="L210" s="7"/>
      <c r="M210" s="7"/>
      <c r="N210" s="7"/>
      <c r="O210" s="7"/>
      <c r="P210" s="7"/>
    </row>
    <row r="211" spans="6:16" x14ac:dyDescent="0.2">
      <c r="F211" s="7"/>
      <c r="G211" s="8"/>
      <c r="H211" s="7"/>
      <c r="I211" s="7"/>
      <c r="J211" s="7"/>
      <c r="K211" s="7"/>
      <c r="L211" s="7"/>
      <c r="M211" s="7"/>
      <c r="N211" s="7"/>
      <c r="O211" s="7"/>
      <c r="P211" s="7"/>
    </row>
    <row r="212" spans="6:16" x14ac:dyDescent="0.2">
      <c r="F212" s="7"/>
      <c r="G212" s="8"/>
      <c r="H212" s="7"/>
      <c r="I212" s="7"/>
      <c r="J212" s="7"/>
      <c r="K212" s="7"/>
      <c r="L212" s="7"/>
      <c r="M212" s="7"/>
      <c r="N212" s="7"/>
      <c r="O212" s="7"/>
      <c r="P212" s="7"/>
    </row>
    <row r="213" spans="6:16" x14ac:dyDescent="0.2">
      <c r="F213" s="7"/>
      <c r="G213" s="8"/>
      <c r="H213" s="7"/>
      <c r="I213" s="7"/>
      <c r="J213" s="7"/>
      <c r="K213" s="7"/>
      <c r="L213" s="7"/>
      <c r="M213" s="7"/>
      <c r="N213" s="7"/>
      <c r="O213" s="7"/>
      <c r="P213" s="7"/>
    </row>
    <row r="214" spans="6:16" x14ac:dyDescent="0.2">
      <c r="F214" s="7"/>
      <c r="G214" s="8"/>
      <c r="H214" s="7"/>
      <c r="I214" s="7"/>
      <c r="J214" s="7"/>
      <c r="K214" s="7"/>
      <c r="L214" s="7"/>
      <c r="M214" s="7"/>
      <c r="N214" s="7"/>
      <c r="O214" s="7"/>
      <c r="P214" s="7"/>
    </row>
    <row r="215" spans="6:16" x14ac:dyDescent="0.2">
      <c r="F215" s="7"/>
      <c r="G215" s="8"/>
      <c r="H215" s="7"/>
      <c r="I215" s="7"/>
      <c r="J215" s="7"/>
      <c r="K215" s="7"/>
      <c r="L215" s="7"/>
      <c r="M215" s="7"/>
      <c r="N215" s="7"/>
      <c r="O215" s="7"/>
      <c r="P215" s="7"/>
    </row>
    <row r="216" spans="6:16" x14ac:dyDescent="0.2">
      <c r="F216" s="7"/>
      <c r="G216" s="8"/>
      <c r="H216" s="7"/>
      <c r="I216" s="7"/>
      <c r="J216" s="7"/>
      <c r="K216" s="7"/>
      <c r="L216" s="7"/>
      <c r="M216" s="7"/>
      <c r="N216" s="7"/>
      <c r="O216" s="7"/>
      <c r="P216" s="7"/>
    </row>
    <row r="217" spans="6:16" x14ac:dyDescent="0.2">
      <c r="F217" s="7"/>
      <c r="G217" s="8"/>
      <c r="H217" s="7"/>
      <c r="I217" s="7"/>
      <c r="J217" s="7"/>
      <c r="K217" s="7"/>
      <c r="L217" s="7"/>
      <c r="M217" s="7"/>
      <c r="N217" s="7"/>
      <c r="O217" s="7"/>
      <c r="P217" s="7"/>
    </row>
    <row r="218" spans="6:16" x14ac:dyDescent="0.2">
      <c r="F218" s="7"/>
      <c r="G218" s="8"/>
      <c r="H218" s="7"/>
      <c r="I218" s="7"/>
      <c r="J218" s="7"/>
      <c r="K218" s="7"/>
      <c r="L218" s="7"/>
      <c r="M218" s="7"/>
      <c r="N218" s="7"/>
      <c r="O218" s="7"/>
      <c r="P218" s="7"/>
    </row>
    <row r="219" spans="6:16" x14ac:dyDescent="0.2">
      <c r="F219" s="7"/>
      <c r="G219" s="8"/>
      <c r="H219" s="7"/>
      <c r="I219" s="7"/>
      <c r="J219" s="7"/>
      <c r="K219" s="7"/>
      <c r="L219" s="7"/>
      <c r="M219" s="7"/>
      <c r="N219" s="7"/>
      <c r="O219" s="7"/>
      <c r="P219" s="7"/>
    </row>
    <row r="220" spans="6:16" x14ac:dyDescent="0.2">
      <c r="F220" s="7"/>
      <c r="G220" s="8"/>
      <c r="H220" s="7"/>
      <c r="I220" s="7"/>
      <c r="J220" s="7"/>
      <c r="K220" s="7"/>
      <c r="L220" s="7"/>
      <c r="M220" s="7"/>
      <c r="N220" s="7"/>
      <c r="O220" s="7"/>
      <c r="P220" s="7"/>
    </row>
    <row r="221" spans="6:16" x14ac:dyDescent="0.2">
      <c r="F221" s="7"/>
      <c r="G221" s="8"/>
      <c r="H221" s="7"/>
      <c r="I221" s="7"/>
      <c r="J221" s="7"/>
      <c r="K221" s="7"/>
      <c r="L221" s="7"/>
      <c r="M221" s="7"/>
      <c r="N221" s="7"/>
      <c r="O221" s="7"/>
      <c r="P221" s="7"/>
    </row>
    <row r="222" spans="6:16" x14ac:dyDescent="0.2">
      <c r="F222" s="7"/>
      <c r="G222" s="8"/>
      <c r="H222" s="7"/>
      <c r="I222" s="7"/>
      <c r="J222" s="7"/>
      <c r="K222" s="7"/>
      <c r="L222" s="7"/>
      <c r="M222" s="7"/>
      <c r="N222" s="7"/>
      <c r="O222" s="7"/>
      <c r="P222" s="7"/>
    </row>
    <row r="223" spans="6:16" x14ac:dyDescent="0.2">
      <c r="F223" s="7"/>
      <c r="G223" s="8"/>
      <c r="H223" s="7"/>
      <c r="I223" s="7"/>
      <c r="J223" s="7"/>
      <c r="K223" s="7"/>
      <c r="L223" s="7"/>
      <c r="M223" s="7"/>
      <c r="N223" s="7"/>
      <c r="O223" s="7"/>
      <c r="P223" s="7"/>
    </row>
    <row r="224" spans="6:16" x14ac:dyDescent="0.2">
      <c r="F224" s="7"/>
      <c r="G224" s="8"/>
      <c r="H224" s="7"/>
      <c r="I224" s="7"/>
      <c r="J224" s="7"/>
      <c r="K224" s="7"/>
      <c r="L224" s="7"/>
      <c r="M224" s="7"/>
      <c r="N224" s="7"/>
      <c r="O224" s="7"/>
      <c r="P224" s="7"/>
    </row>
    <row r="225" spans="6:16" x14ac:dyDescent="0.2">
      <c r="F225" s="7"/>
      <c r="G225" s="8"/>
      <c r="H225" s="7"/>
      <c r="I225" s="7"/>
      <c r="J225" s="7"/>
      <c r="K225" s="7"/>
      <c r="L225" s="7"/>
      <c r="M225" s="7"/>
      <c r="N225" s="7"/>
      <c r="O225" s="7"/>
      <c r="P225" s="7"/>
    </row>
    <row r="226" spans="6:16" x14ac:dyDescent="0.2">
      <c r="F226" s="7"/>
      <c r="G226" s="8"/>
      <c r="H226" s="7"/>
      <c r="I226" s="7"/>
      <c r="J226" s="7"/>
      <c r="K226" s="7"/>
      <c r="L226" s="7"/>
      <c r="M226" s="7"/>
      <c r="N226" s="7"/>
      <c r="O226" s="7"/>
      <c r="P226" s="7"/>
    </row>
    <row r="227" spans="6:16" x14ac:dyDescent="0.2">
      <c r="F227" s="7"/>
      <c r="G227" s="8"/>
      <c r="H227" s="7"/>
      <c r="I227" s="7"/>
      <c r="J227" s="7"/>
      <c r="K227" s="7"/>
      <c r="L227" s="7"/>
      <c r="M227" s="7"/>
      <c r="N227" s="7"/>
      <c r="O227" s="7"/>
      <c r="P227" s="7"/>
    </row>
    <row r="228" spans="6:16" x14ac:dyDescent="0.2">
      <c r="F228" s="7"/>
      <c r="G228" s="8"/>
      <c r="H228" s="7"/>
      <c r="I228" s="7"/>
      <c r="J228" s="7"/>
      <c r="K228" s="7"/>
      <c r="L228" s="7"/>
      <c r="M228" s="7"/>
      <c r="N228" s="7"/>
      <c r="O228" s="7"/>
      <c r="P228" s="7"/>
    </row>
    <row r="229" spans="6:16" x14ac:dyDescent="0.2">
      <c r="F229" s="7"/>
      <c r="G229" s="8"/>
      <c r="H229" s="7"/>
      <c r="I229" s="7"/>
      <c r="J229" s="7"/>
      <c r="K229" s="7"/>
      <c r="L229" s="7"/>
      <c r="M229" s="7"/>
      <c r="N229" s="7"/>
      <c r="O229" s="7"/>
      <c r="P229" s="7"/>
    </row>
    <row r="230" spans="6:16" x14ac:dyDescent="0.2">
      <c r="F230" s="7"/>
      <c r="G230" s="8"/>
      <c r="H230" s="7"/>
      <c r="I230" s="7"/>
      <c r="J230" s="7"/>
      <c r="K230" s="7"/>
      <c r="L230" s="7"/>
      <c r="M230" s="7"/>
      <c r="N230" s="7"/>
      <c r="O230" s="7"/>
      <c r="P230" s="7"/>
    </row>
    <row r="231" spans="6:16" x14ac:dyDescent="0.2">
      <c r="F231" s="7"/>
      <c r="G231" s="8"/>
      <c r="H231" s="7"/>
      <c r="I231" s="7"/>
      <c r="J231" s="7"/>
      <c r="K231" s="7"/>
      <c r="L231" s="7"/>
      <c r="M231" s="7"/>
      <c r="N231" s="7"/>
      <c r="O231" s="7"/>
      <c r="P231" s="7"/>
    </row>
    <row r="232" spans="6:16" x14ac:dyDescent="0.2">
      <c r="F232" s="7"/>
      <c r="G232" s="8"/>
      <c r="H232" s="7"/>
      <c r="I232" s="7"/>
      <c r="J232" s="7"/>
      <c r="K232" s="7"/>
      <c r="L232" s="7"/>
      <c r="M232" s="7"/>
      <c r="N232" s="7"/>
      <c r="O232" s="7"/>
      <c r="P232" s="7"/>
    </row>
    <row r="233" spans="6:16" x14ac:dyDescent="0.2">
      <c r="F233" s="7"/>
      <c r="G233" s="8"/>
      <c r="H233" s="7"/>
      <c r="I233" s="7"/>
      <c r="J233" s="7"/>
      <c r="K233" s="7"/>
      <c r="L233" s="7"/>
      <c r="M233" s="7"/>
      <c r="N233" s="7"/>
      <c r="O233" s="7"/>
      <c r="P233" s="7"/>
    </row>
    <row r="234" spans="6:16" x14ac:dyDescent="0.2">
      <c r="F234" s="7"/>
      <c r="G234" s="8"/>
      <c r="H234" s="7"/>
      <c r="I234" s="7"/>
      <c r="J234" s="7"/>
      <c r="K234" s="7"/>
      <c r="L234" s="7"/>
      <c r="M234" s="7"/>
      <c r="N234" s="7"/>
      <c r="O234" s="7"/>
      <c r="P234" s="7"/>
    </row>
    <row r="235" spans="6:16" x14ac:dyDescent="0.2">
      <c r="F235" s="7"/>
      <c r="G235" s="8"/>
      <c r="H235" s="7"/>
      <c r="I235" s="7"/>
      <c r="J235" s="7"/>
      <c r="K235" s="7"/>
      <c r="L235" s="7"/>
      <c r="M235" s="7"/>
      <c r="N235" s="7"/>
      <c r="O235" s="7"/>
      <c r="P235" s="7"/>
    </row>
    <row r="236" spans="6:16" x14ac:dyDescent="0.2">
      <c r="F236" s="7"/>
      <c r="G236" s="8"/>
      <c r="H236" s="7"/>
      <c r="I236" s="7"/>
      <c r="J236" s="7"/>
      <c r="K236" s="7"/>
      <c r="L236" s="7"/>
      <c r="M236" s="7"/>
      <c r="N236" s="7"/>
      <c r="O236" s="7"/>
      <c r="P236" s="7"/>
    </row>
    <row r="237" spans="6:16" x14ac:dyDescent="0.2">
      <c r="F237" s="7"/>
      <c r="G237" s="8"/>
      <c r="H237" s="7"/>
      <c r="I237" s="7"/>
      <c r="J237" s="7"/>
      <c r="K237" s="7"/>
      <c r="L237" s="7"/>
      <c r="M237" s="7"/>
      <c r="N237" s="7"/>
      <c r="O237" s="7"/>
      <c r="P237" s="7"/>
    </row>
    <row r="238" spans="6:16" x14ac:dyDescent="0.2">
      <c r="F238" s="7"/>
      <c r="G238" s="8"/>
      <c r="H238" s="7"/>
      <c r="I238" s="7"/>
      <c r="J238" s="7"/>
      <c r="K238" s="7"/>
      <c r="L238" s="7"/>
      <c r="M238" s="7"/>
      <c r="N238" s="7"/>
      <c r="O238" s="7"/>
      <c r="P238" s="7"/>
    </row>
    <row r="239" spans="6:16" x14ac:dyDescent="0.2">
      <c r="F239" s="7"/>
      <c r="G239" s="8"/>
      <c r="H239" s="7"/>
      <c r="I239" s="7"/>
      <c r="J239" s="7"/>
      <c r="K239" s="7"/>
      <c r="L239" s="7"/>
      <c r="M239" s="7"/>
      <c r="N239" s="7"/>
      <c r="O239" s="7"/>
      <c r="P239" s="7"/>
    </row>
    <row r="240" spans="6:16" x14ac:dyDescent="0.2">
      <c r="F240" s="7"/>
      <c r="G240" s="8"/>
      <c r="H240" s="7"/>
      <c r="I240" s="7"/>
      <c r="J240" s="7"/>
      <c r="K240" s="7"/>
      <c r="L240" s="7"/>
      <c r="M240" s="7"/>
      <c r="N240" s="7"/>
      <c r="O240" s="7"/>
      <c r="P240" s="7"/>
    </row>
    <row r="241" spans="6:16" x14ac:dyDescent="0.2">
      <c r="F241" s="7"/>
      <c r="G241" s="8"/>
      <c r="H241" s="7"/>
      <c r="I241" s="7"/>
      <c r="J241" s="7"/>
      <c r="K241" s="7"/>
      <c r="L241" s="7"/>
      <c r="M241" s="7"/>
      <c r="N241" s="7"/>
      <c r="O241" s="7"/>
      <c r="P241" s="7"/>
    </row>
    <row r="242" spans="6:16" x14ac:dyDescent="0.2">
      <c r="F242" s="7"/>
      <c r="G242" s="8"/>
      <c r="H242" s="7"/>
      <c r="I242" s="7"/>
      <c r="J242" s="7"/>
      <c r="K242" s="7"/>
      <c r="L242" s="7"/>
      <c r="M242" s="7"/>
      <c r="N242" s="7"/>
      <c r="O242" s="7"/>
      <c r="P242" s="7"/>
    </row>
    <row r="243" spans="6:16" x14ac:dyDescent="0.2">
      <c r="F243" s="7"/>
      <c r="G243" s="8"/>
      <c r="H243" s="7"/>
      <c r="I243" s="7"/>
      <c r="J243" s="7"/>
      <c r="K243" s="7"/>
      <c r="L243" s="7"/>
      <c r="M243" s="7"/>
      <c r="N243" s="7"/>
      <c r="O243" s="7"/>
      <c r="P243" s="7"/>
    </row>
    <row r="244" spans="6:16" x14ac:dyDescent="0.2">
      <c r="F244" s="7"/>
      <c r="G244" s="8"/>
      <c r="H244" s="7"/>
      <c r="I244" s="7"/>
      <c r="J244" s="7"/>
      <c r="K244" s="7"/>
      <c r="L244" s="7"/>
      <c r="M244" s="7"/>
      <c r="N244" s="7"/>
      <c r="O244" s="7"/>
      <c r="P244" s="7"/>
    </row>
    <row r="245" spans="6:16" x14ac:dyDescent="0.2">
      <c r="F245" s="7"/>
      <c r="G245" s="8"/>
      <c r="H245" s="7"/>
      <c r="I245" s="7"/>
      <c r="J245" s="7"/>
      <c r="K245" s="7"/>
      <c r="L245" s="7"/>
      <c r="M245" s="7"/>
      <c r="N245" s="7"/>
      <c r="O245" s="7"/>
      <c r="P245" s="7"/>
    </row>
    <row r="246" spans="6:16" x14ac:dyDescent="0.2">
      <c r="F246" s="7"/>
      <c r="G246" s="8"/>
      <c r="H246" s="7"/>
      <c r="I246" s="7"/>
      <c r="J246" s="7"/>
      <c r="K246" s="7"/>
      <c r="L246" s="7"/>
      <c r="M246" s="7"/>
      <c r="N246" s="7"/>
      <c r="O246" s="7"/>
      <c r="P246" s="7"/>
    </row>
    <row r="247" spans="6:16" x14ac:dyDescent="0.2">
      <c r="F247" s="7"/>
      <c r="G247" s="8"/>
      <c r="H247" s="7"/>
      <c r="I247" s="7"/>
      <c r="J247" s="7"/>
      <c r="K247" s="7"/>
      <c r="L247" s="7"/>
      <c r="M247" s="7"/>
      <c r="N247" s="7"/>
      <c r="O247" s="7"/>
      <c r="P247" s="7"/>
    </row>
    <row r="248" spans="6:16" x14ac:dyDescent="0.2">
      <c r="F248" s="7"/>
      <c r="G248" s="8"/>
      <c r="H248" s="7"/>
      <c r="I248" s="7"/>
      <c r="J248" s="7"/>
      <c r="K248" s="7"/>
      <c r="L248" s="7"/>
      <c r="M248" s="7"/>
      <c r="N248" s="7"/>
      <c r="O248" s="7"/>
      <c r="P248" s="7"/>
    </row>
    <row r="249" spans="6:16" x14ac:dyDescent="0.2">
      <c r="F249" s="7"/>
      <c r="G249" s="8"/>
      <c r="H249" s="7"/>
      <c r="I249" s="7"/>
      <c r="J249" s="7"/>
      <c r="K249" s="7"/>
      <c r="L249" s="7"/>
      <c r="M249" s="7"/>
      <c r="N249" s="7"/>
      <c r="O249" s="7"/>
      <c r="P249" s="7"/>
    </row>
    <row r="250" spans="6:16" x14ac:dyDescent="0.2">
      <c r="F250" s="7"/>
      <c r="G250" s="8"/>
      <c r="H250" s="7"/>
      <c r="I250" s="7"/>
      <c r="J250" s="7"/>
      <c r="K250" s="7"/>
      <c r="L250" s="7"/>
      <c r="M250" s="7"/>
      <c r="N250" s="7"/>
      <c r="O250" s="7"/>
      <c r="P250" s="7"/>
    </row>
    <row r="251" spans="6:16" x14ac:dyDescent="0.2">
      <c r="F251" s="7"/>
      <c r="G251" s="8"/>
      <c r="H251" s="7"/>
      <c r="I251" s="7"/>
      <c r="J251" s="7"/>
      <c r="K251" s="7"/>
      <c r="L251" s="7"/>
      <c r="M251" s="7"/>
      <c r="N251" s="7"/>
      <c r="O251" s="7"/>
      <c r="P251" s="7"/>
    </row>
    <row r="252" spans="6:16" x14ac:dyDescent="0.2">
      <c r="F252" s="7"/>
      <c r="G252" s="8"/>
      <c r="H252" s="7"/>
      <c r="I252" s="7"/>
      <c r="J252" s="7"/>
      <c r="K252" s="7"/>
      <c r="L252" s="7"/>
      <c r="M252" s="7"/>
      <c r="N252" s="7"/>
      <c r="O252" s="7"/>
      <c r="P252" s="7"/>
    </row>
    <row r="253" spans="6:16" x14ac:dyDescent="0.2">
      <c r="F253" s="7"/>
      <c r="G253" s="8"/>
      <c r="H253" s="7"/>
      <c r="I253" s="7"/>
      <c r="J253" s="7"/>
      <c r="K253" s="7"/>
      <c r="L253" s="7"/>
      <c r="M253" s="7"/>
      <c r="N253" s="7"/>
      <c r="O253" s="7"/>
      <c r="P253" s="7"/>
    </row>
    <row r="254" spans="6:16" x14ac:dyDescent="0.2">
      <c r="F254" s="7"/>
      <c r="G254" s="8"/>
      <c r="H254" s="7"/>
      <c r="I254" s="7"/>
      <c r="J254" s="7"/>
      <c r="K254" s="7"/>
      <c r="L254" s="7"/>
      <c r="M254" s="7"/>
      <c r="N254" s="7"/>
      <c r="O254" s="7"/>
      <c r="P254" s="7"/>
    </row>
    <row r="255" spans="6:16" x14ac:dyDescent="0.2">
      <c r="F255" s="7"/>
      <c r="G255" s="8"/>
      <c r="H255" s="7"/>
      <c r="I255" s="7"/>
      <c r="J255" s="7"/>
      <c r="K255" s="7"/>
      <c r="L255" s="7"/>
      <c r="M255" s="7"/>
      <c r="N255" s="7"/>
      <c r="O255" s="7"/>
      <c r="P255" s="7"/>
    </row>
    <row r="256" spans="6:16" x14ac:dyDescent="0.2">
      <c r="F256" s="7"/>
      <c r="G256" s="8"/>
      <c r="H256" s="7"/>
      <c r="I256" s="7"/>
      <c r="J256" s="7"/>
      <c r="K256" s="7"/>
      <c r="L256" s="7"/>
      <c r="M256" s="7"/>
      <c r="N256" s="7"/>
      <c r="O256" s="7"/>
      <c r="P256" s="7"/>
    </row>
    <row r="257" spans="6:16" x14ac:dyDescent="0.2">
      <c r="F257" s="7"/>
      <c r="G257" s="8"/>
      <c r="H257" s="7"/>
      <c r="I257" s="7"/>
      <c r="J257" s="7"/>
      <c r="K257" s="7"/>
      <c r="L257" s="7"/>
      <c r="M257" s="7"/>
      <c r="N257" s="7"/>
      <c r="O257" s="7"/>
      <c r="P257" s="7"/>
    </row>
    <row r="258" spans="6:16" x14ac:dyDescent="0.2">
      <c r="F258" s="7"/>
      <c r="G258" s="8"/>
      <c r="H258" s="7"/>
      <c r="I258" s="7"/>
      <c r="J258" s="7"/>
      <c r="K258" s="7"/>
      <c r="L258" s="7"/>
      <c r="M258" s="7"/>
      <c r="N258" s="7"/>
      <c r="O258" s="7"/>
      <c r="P258" s="7"/>
    </row>
    <row r="259" spans="6:16" x14ac:dyDescent="0.2">
      <c r="F259" s="7"/>
      <c r="G259" s="8"/>
      <c r="H259" s="7"/>
      <c r="I259" s="7"/>
      <c r="J259" s="7"/>
      <c r="K259" s="7"/>
      <c r="L259" s="7"/>
      <c r="M259" s="7"/>
      <c r="N259" s="7"/>
      <c r="O259" s="7"/>
      <c r="P259" s="7"/>
    </row>
    <row r="260" spans="6:16" x14ac:dyDescent="0.2">
      <c r="F260" s="7"/>
      <c r="G260" s="8"/>
      <c r="H260" s="7"/>
      <c r="I260" s="7"/>
      <c r="J260" s="7"/>
      <c r="K260" s="7"/>
      <c r="L260" s="7"/>
      <c r="M260" s="7"/>
      <c r="N260" s="7"/>
      <c r="O260" s="7"/>
      <c r="P260" s="7"/>
    </row>
    <row r="261" spans="6:16" x14ac:dyDescent="0.2">
      <c r="F261" s="7"/>
      <c r="G261" s="8"/>
      <c r="H261" s="7"/>
      <c r="I261" s="7"/>
      <c r="J261" s="7"/>
      <c r="K261" s="7"/>
      <c r="L261" s="7"/>
      <c r="M261" s="7"/>
      <c r="N261" s="7"/>
      <c r="O261" s="7"/>
      <c r="P261" s="7"/>
    </row>
    <row r="262" spans="6:16" x14ac:dyDescent="0.2">
      <c r="F262" s="7"/>
      <c r="G262" s="8"/>
      <c r="H262" s="7"/>
      <c r="I262" s="7"/>
      <c r="J262" s="7"/>
      <c r="K262" s="7"/>
      <c r="L262" s="7"/>
      <c r="M262" s="7"/>
      <c r="N262" s="7"/>
      <c r="O262" s="7"/>
      <c r="P262" s="7"/>
    </row>
    <row r="263" spans="6:16" x14ac:dyDescent="0.2">
      <c r="F263" s="7"/>
      <c r="G263" s="8"/>
      <c r="H263" s="7"/>
      <c r="I263" s="7"/>
      <c r="J263" s="7"/>
      <c r="K263" s="7"/>
      <c r="L263" s="7"/>
      <c r="M263" s="7"/>
      <c r="N263" s="7"/>
      <c r="O263" s="7"/>
      <c r="P263" s="7"/>
    </row>
    <row r="264" spans="6:16" x14ac:dyDescent="0.2">
      <c r="F264" s="7"/>
      <c r="G264" s="8"/>
      <c r="H264" s="7"/>
      <c r="I264" s="7"/>
      <c r="J264" s="7"/>
      <c r="K264" s="7"/>
      <c r="L264" s="7"/>
      <c r="M264" s="7"/>
      <c r="N264" s="7"/>
      <c r="O264" s="7"/>
      <c r="P264" s="7"/>
    </row>
    <row r="265" spans="6:16" x14ac:dyDescent="0.2">
      <c r="F265" s="7"/>
      <c r="G265" s="8"/>
      <c r="H265" s="7"/>
      <c r="I265" s="7"/>
      <c r="J265" s="7"/>
      <c r="K265" s="7"/>
      <c r="L265" s="7"/>
      <c r="M265" s="7"/>
      <c r="N265" s="7"/>
      <c r="O265" s="7"/>
      <c r="P265" s="7"/>
    </row>
    <row r="266" spans="6:16" x14ac:dyDescent="0.2">
      <c r="F266" s="7"/>
      <c r="G266" s="8"/>
      <c r="H266" s="7"/>
      <c r="I266" s="7"/>
      <c r="J266" s="7"/>
      <c r="K266" s="7"/>
      <c r="L266" s="7"/>
      <c r="M266" s="7"/>
      <c r="N266" s="7"/>
      <c r="O266" s="7"/>
      <c r="P266" s="7"/>
    </row>
    <row r="267" spans="6:16" x14ac:dyDescent="0.2">
      <c r="F267" s="7"/>
      <c r="G267" s="8"/>
      <c r="H267" s="7"/>
      <c r="I267" s="7"/>
      <c r="J267" s="7"/>
      <c r="K267" s="7"/>
      <c r="L267" s="7"/>
      <c r="M267" s="7"/>
      <c r="N267" s="7"/>
      <c r="O267" s="7"/>
      <c r="P267" s="7"/>
    </row>
    <row r="268" spans="6:16" x14ac:dyDescent="0.2">
      <c r="F268" s="7"/>
      <c r="G268" s="8"/>
      <c r="H268" s="7"/>
      <c r="I268" s="7"/>
      <c r="J268" s="7"/>
      <c r="K268" s="7"/>
      <c r="L268" s="7"/>
      <c r="M268" s="7"/>
      <c r="N268" s="7"/>
      <c r="O268" s="7"/>
      <c r="P268" s="7"/>
    </row>
    <row r="269" spans="6:16" x14ac:dyDescent="0.2">
      <c r="F269" s="7"/>
      <c r="G269" s="8"/>
      <c r="H269" s="7"/>
      <c r="I269" s="7"/>
      <c r="J269" s="7"/>
      <c r="K269" s="7"/>
      <c r="L269" s="7"/>
      <c r="M269" s="7"/>
      <c r="N269" s="7"/>
      <c r="O269" s="7"/>
      <c r="P269" s="7"/>
    </row>
    <row r="270" spans="6:16" x14ac:dyDescent="0.2">
      <c r="F270" s="7"/>
      <c r="G270" s="8"/>
      <c r="H270" s="7"/>
      <c r="I270" s="7"/>
      <c r="J270" s="7"/>
      <c r="K270" s="7"/>
      <c r="L270" s="7"/>
      <c r="M270" s="7"/>
      <c r="N270" s="7"/>
      <c r="O270" s="7"/>
      <c r="P270" s="7"/>
    </row>
    <row r="271" spans="6:16" x14ac:dyDescent="0.2">
      <c r="F271" s="7"/>
      <c r="G271" s="8"/>
      <c r="H271" s="7"/>
      <c r="I271" s="7"/>
      <c r="J271" s="7"/>
      <c r="K271" s="7"/>
      <c r="L271" s="7"/>
      <c r="M271" s="7"/>
      <c r="N271" s="7"/>
      <c r="O271" s="7"/>
      <c r="P271" s="7"/>
    </row>
    <row r="272" spans="6:16" x14ac:dyDescent="0.2">
      <c r="F272" s="7"/>
      <c r="G272" s="8"/>
      <c r="H272" s="7"/>
      <c r="I272" s="7"/>
      <c r="J272" s="7"/>
      <c r="K272" s="7"/>
      <c r="L272" s="7"/>
      <c r="M272" s="7"/>
      <c r="N272" s="7"/>
      <c r="O272" s="7"/>
      <c r="P272" s="7"/>
    </row>
    <row r="273" spans="6:16" x14ac:dyDescent="0.2">
      <c r="F273" s="7"/>
      <c r="G273" s="8"/>
      <c r="H273" s="7"/>
      <c r="I273" s="7"/>
      <c r="J273" s="7"/>
      <c r="K273" s="7"/>
      <c r="L273" s="7"/>
      <c r="M273" s="7"/>
      <c r="N273" s="7"/>
      <c r="O273" s="7"/>
      <c r="P273" s="7"/>
    </row>
    <row r="274" spans="6:16" x14ac:dyDescent="0.2">
      <c r="F274" s="7"/>
      <c r="G274" s="8"/>
      <c r="H274" s="7"/>
      <c r="I274" s="7"/>
      <c r="J274" s="7"/>
      <c r="K274" s="7"/>
      <c r="L274" s="7"/>
      <c r="M274" s="7"/>
      <c r="N274" s="7"/>
      <c r="O274" s="7"/>
      <c r="P274" s="7"/>
    </row>
    <row r="275" spans="6:16" x14ac:dyDescent="0.2">
      <c r="F275" s="7"/>
      <c r="G275" s="8"/>
      <c r="H275" s="7"/>
      <c r="I275" s="7"/>
      <c r="J275" s="7"/>
      <c r="K275" s="7"/>
      <c r="L275" s="7"/>
      <c r="M275" s="7"/>
      <c r="N275" s="7"/>
      <c r="O275" s="7"/>
      <c r="P275" s="7"/>
    </row>
    <row r="276" spans="6:16" x14ac:dyDescent="0.2">
      <c r="F276" s="7"/>
      <c r="G276" s="8"/>
      <c r="H276" s="7"/>
      <c r="I276" s="7"/>
      <c r="J276" s="7"/>
      <c r="K276" s="7"/>
      <c r="L276" s="7"/>
      <c r="M276" s="7"/>
      <c r="N276" s="7"/>
      <c r="O276" s="7"/>
      <c r="P276" s="7"/>
    </row>
    <row r="277" spans="6:16" x14ac:dyDescent="0.2">
      <c r="F277" s="7"/>
      <c r="G277" s="8"/>
      <c r="H277" s="7"/>
      <c r="I277" s="7"/>
      <c r="J277" s="7"/>
      <c r="K277" s="7"/>
      <c r="L277" s="7"/>
      <c r="M277" s="7"/>
      <c r="N277" s="7"/>
      <c r="O277" s="7"/>
      <c r="P277" s="7"/>
    </row>
    <row r="278" spans="6:16" x14ac:dyDescent="0.2">
      <c r="F278" s="7"/>
      <c r="G278" s="8"/>
      <c r="H278" s="7"/>
      <c r="I278" s="7"/>
      <c r="J278" s="7"/>
      <c r="K278" s="7"/>
      <c r="L278" s="7"/>
      <c r="M278" s="7"/>
      <c r="N278" s="7"/>
      <c r="O278" s="7"/>
      <c r="P278" s="7"/>
    </row>
    <row r="279" spans="6:16" x14ac:dyDescent="0.2">
      <c r="F279" s="7"/>
      <c r="G279" s="8"/>
      <c r="H279" s="7"/>
      <c r="I279" s="7"/>
      <c r="J279" s="7"/>
      <c r="K279" s="7"/>
      <c r="L279" s="7"/>
      <c r="M279" s="7"/>
      <c r="N279" s="7"/>
      <c r="O279" s="7"/>
      <c r="P279" s="7"/>
    </row>
    <row r="280" spans="6:16" x14ac:dyDescent="0.2">
      <c r="F280" s="7"/>
      <c r="G280" s="8"/>
      <c r="H280" s="7"/>
      <c r="I280" s="7"/>
      <c r="J280" s="7"/>
      <c r="K280" s="7"/>
      <c r="L280" s="7"/>
      <c r="M280" s="7"/>
      <c r="N280" s="7"/>
      <c r="O280" s="7"/>
      <c r="P280" s="7"/>
    </row>
    <row r="281" spans="6:16" x14ac:dyDescent="0.2">
      <c r="F281" s="7"/>
      <c r="G281" s="8"/>
      <c r="H281" s="7"/>
      <c r="I281" s="7"/>
      <c r="J281" s="7"/>
      <c r="K281" s="7"/>
      <c r="L281" s="7"/>
      <c r="M281" s="7"/>
      <c r="N281" s="7"/>
      <c r="O281" s="7"/>
      <c r="P281" s="7"/>
    </row>
    <row r="282" spans="6:16" x14ac:dyDescent="0.2">
      <c r="F282" s="7"/>
      <c r="G282" s="8"/>
      <c r="H282" s="7"/>
      <c r="I282" s="7"/>
      <c r="J282" s="7"/>
      <c r="K282" s="7"/>
      <c r="L282" s="7"/>
      <c r="M282" s="7"/>
      <c r="N282" s="7"/>
      <c r="O282" s="7"/>
      <c r="P282" s="7"/>
    </row>
    <row r="283" spans="6:16" x14ac:dyDescent="0.2">
      <c r="F283" s="7"/>
      <c r="G283" s="8"/>
      <c r="H283" s="7"/>
      <c r="I283" s="7"/>
      <c r="J283" s="7"/>
      <c r="K283" s="7"/>
      <c r="L283" s="7"/>
      <c r="M283" s="7"/>
      <c r="N283" s="7"/>
      <c r="O283" s="7"/>
      <c r="P283" s="7"/>
    </row>
    <row r="284" spans="6:16" x14ac:dyDescent="0.2">
      <c r="F284" s="7"/>
      <c r="G284" s="8"/>
      <c r="H284" s="7"/>
      <c r="I284" s="7"/>
      <c r="J284" s="7"/>
      <c r="K284" s="7"/>
      <c r="L284" s="7"/>
      <c r="M284" s="7"/>
      <c r="N284" s="7"/>
      <c r="O284" s="7"/>
      <c r="P284" s="7"/>
    </row>
    <row r="285" spans="6:16" x14ac:dyDescent="0.2">
      <c r="F285" s="7"/>
      <c r="G285" s="8"/>
      <c r="H285" s="7"/>
      <c r="I285" s="7"/>
      <c r="J285" s="7"/>
      <c r="K285" s="7"/>
      <c r="L285" s="7"/>
      <c r="M285" s="7"/>
      <c r="N285" s="7"/>
      <c r="O285" s="7"/>
      <c r="P285" s="7"/>
    </row>
    <row r="286" spans="6:16" x14ac:dyDescent="0.2">
      <c r="F286" s="7"/>
      <c r="G286" s="8"/>
      <c r="H286" s="7"/>
      <c r="I286" s="7"/>
      <c r="J286" s="7"/>
      <c r="K286" s="7"/>
      <c r="L286" s="7"/>
      <c r="M286" s="7"/>
      <c r="N286" s="7"/>
      <c r="O286" s="7"/>
      <c r="P286" s="7"/>
    </row>
    <row r="287" spans="6:16" x14ac:dyDescent="0.2">
      <c r="F287" s="7"/>
      <c r="G287" s="8"/>
      <c r="H287" s="7"/>
      <c r="I287" s="7"/>
      <c r="J287" s="7"/>
      <c r="K287" s="7"/>
      <c r="L287" s="7"/>
      <c r="M287" s="7"/>
      <c r="N287" s="7"/>
      <c r="O287" s="7"/>
      <c r="P287" s="7"/>
    </row>
    <row r="288" spans="6:16" x14ac:dyDescent="0.2">
      <c r="F288" s="7"/>
      <c r="G288" s="8"/>
      <c r="H288" s="7"/>
      <c r="I288" s="7"/>
      <c r="J288" s="7"/>
      <c r="K288" s="7"/>
      <c r="L288" s="7"/>
      <c r="M288" s="7"/>
      <c r="N288" s="7"/>
      <c r="O288" s="7"/>
      <c r="P288" s="7"/>
    </row>
    <row r="289" spans="6:16" x14ac:dyDescent="0.2">
      <c r="F289" s="7"/>
      <c r="G289" s="8"/>
      <c r="H289" s="7"/>
      <c r="I289" s="7"/>
      <c r="J289" s="7"/>
      <c r="K289" s="7"/>
      <c r="L289" s="7"/>
      <c r="M289" s="7"/>
      <c r="N289" s="7"/>
      <c r="O289" s="7"/>
      <c r="P289" s="7"/>
    </row>
    <row r="290" spans="6:16" x14ac:dyDescent="0.2">
      <c r="F290" s="7"/>
      <c r="G290" s="8"/>
      <c r="H290" s="7"/>
      <c r="I290" s="7"/>
      <c r="J290" s="7"/>
      <c r="K290" s="7"/>
      <c r="L290" s="7"/>
      <c r="M290" s="7"/>
      <c r="N290" s="7"/>
      <c r="O290" s="7"/>
      <c r="P290" s="7"/>
    </row>
    <row r="291" spans="6:16" x14ac:dyDescent="0.2">
      <c r="F291" s="7"/>
      <c r="G291" s="8"/>
      <c r="H291" s="7"/>
      <c r="I291" s="7"/>
      <c r="J291" s="7"/>
      <c r="K291" s="7"/>
      <c r="L291" s="7"/>
      <c r="M291" s="7"/>
      <c r="N291" s="7"/>
      <c r="O291" s="7"/>
      <c r="P291" s="7"/>
    </row>
    <row r="292" spans="6:16" x14ac:dyDescent="0.2">
      <c r="F292" s="7"/>
      <c r="G292" s="8"/>
      <c r="H292" s="7"/>
      <c r="I292" s="7"/>
      <c r="J292" s="7"/>
      <c r="K292" s="7"/>
      <c r="L292" s="7"/>
      <c r="M292" s="7"/>
      <c r="N292" s="7"/>
      <c r="O292" s="7"/>
      <c r="P292" s="7"/>
    </row>
    <row r="293" spans="6:16" x14ac:dyDescent="0.2">
      <c r="F293" s="7"/>
      <c r="G293" s="8"/>
      <c r="H293" s="7"/>
      <c r="I293" s="7"/>
      <c r="J293" s="7"/>
      <c r="K293" s="7"/>
      <c r="L293" s="7"/>
      <c r="M293" s="7"/>
      <c r="N293" s="7"/>
      <c r="O293" s="7"/>
      <c r="P293" s="7"/>
    </row>
    <row r="294" spans="6:16" x14ac:dyDescent="0.2">
      <c r="F294" s="7"/>
      <c r="G294" s="8"/>
      <c r="H294" s="7"/>
      <c r="I294" s="7"/>
      <c r="J294" s="7"/>
      <c r="K294" s="7"/>
      <c r="L294" s="7"/>
      <c r="M294" s="7"/>
      <c r="N294" s="7"/>
      <c r="O294" s="7"/>
      <c r="P294" s="7"/>
    </row>
    <row r="295" spans="6:16" x14ac:dyDescent="0.2">
      <c r="F295" s="7"/>
      <c r="G295" s="8"/>
      <c r="H295" s="7"/>
      <c r="I295" s="7"/>
      <c r="J295" s="7"/>
      <c r="K295" s="7"/>
      <c r="L295" s="7"/>
      <c r="M295" s="7"/>
      <c r="N295" s="7"/>
      <c r="O295" s="7"/>
      <c r="P295" s="7"/>
    </row>
    <row r="296" spans="6:16" x14ac:dyDescent="0.2">
      <c r="F296" s="7"/>
      <c r="G296" s="8"/>
      <c r="H296" s="7"/>
      <c r="I296" s="7"/>
      <c r="J296" s="7"/>
      <c r="K296" s="7"/>
      <c r="L296" s="7"/>
      <c r="M296" s="7"/>
      <c r="N296" s="7"/>
      <c r="O296" s="7"/>
      <c r="P296" s="7"/>
    </row>
  </sheetData>
  <mergeCells count="9">
    <mergeCell ref="J6:K6"/>
    <mergeCell ref="L6:M6"/>
    <mergeCell ref="N6:O6"/>
    <mergeCell ref="I15:J15"/>
    <mergeCell ref="C19:H19"/>
    <mergeCell ref="I19:M19"/>
    <mergeCell ref="N19:S19"/>
    <mergeCell ref="T19:Y19"/>
    <mergeCell ref="Z19:AE19"/>
  </mergeCells>
  <phoneticPr fontId="59" type="noConversion"/>
  <conditionalFormatting sqref="T35:T65">
    <cfRule type="expression" dxfId="101" priority="13">
      <formula>AND($G$8="N/A",$T35&gt;1)</formula>
    </cfRule>
  </conditionalFormatting>
  <conditionalFormatting sqref="V35:V65">
    <cfRule type="expression" dxfId="100" priority="11">
      <formula>AND($G$10="N/A",$V35&gt;1)</formula>
    </cfRule>
  </conditionalFormatting>
  <conditionalFormatting sqref="U35:U65">
    <cfRule type="expression" dxfId="99" priority="12">
      <formula>AND($G$9="N/A",$U35&gt;1)</formula>
    </cfRule>
  </conditionalFormatting>
  <conditionalFormatting sqref="W35:W65">
    <cfRule type="expression" dxfId="98" priority="10">
      <formula>AND($G$11="N/A",$W35&gt;1)</formula>
    </cfRule>
  </conditionalFormatting>
  <conditionalFormatting sqref="X35:X65">
    <cfRule type="expression" dxfId="97" priority="9">
      <formula>AND($G$12="N/A",$X35&gt;1)</formula>
    </cfRule>
  </conditionalFormatting>
  <conditionalFormatting sqref="Y35:Y65">
    <cfRule type="expression" dxfId="96" priority="8">
      <formula>AND($G$13="N/A",$Y35&gt;1)</formula>
    </cfRule>
  </conditionalFormatting>
  <conditionalFormatting sqref="Z20:AE20">
    <cfRule type="expression" dxfId="95" priority="7">
      <formula>INDEX($H$8:$H$13,MATCH(Z$20,$B$8:$B$13,0))=TRUE</formula>
    </cfRule>
  </conditionalFormatting>
  <conditionalFormatting sqref="T22:T34">
    <cfRule type="expression" dxfId="94" priority="6">
      <formula>AND($G$8="N/A",$T22&gt;1)</formula>
    </cfRule>
  </conditionalFormatting>
  <conditionalFormatting sqref="V22:V34">
    <cfRule type="expression" dxfId="93" priority="4">
      <formula>AND($G$10="N/A",$V22&gt;1)</formula>
    </cfRule>
  </conditionalFormatting>
  <conditionalFormatting sqref="U22:U34">
    <cfRule type="expression" dxfId="92" priority="5">
      <formula>AND($G$9="N/A",U22&gt;1)</formula>
    </cfRule>
  </conditionalFormatting>
  <conditionalFormatting sqref="W22:W34">
    <cfRule type="expression" dxfId="91" priority="3">
      <formula>AND($G$11="N/A",$W22&gt;1)</formula>
    </cfRule>
  </conditionalFormatting>
  <conditionalFormatting sqref="X22:X34">
    <cfRule type="expression" dxfId="90" priority="2">
      <formula>AND($G$12="N/A",$X22&gt;1)</formula>
    </cfRule>
  </conditionalFormatting>
  <conditionalFormatting sqref="Y22:Y34">
    <cfRule type="expression" dxfId="89" priority="1">
      <formula>AND($G$13="N/A",$Y22&gt;1)</formula>
    </cfRule>
  </conditionalFormatting>
  <dataValidations count="4">
    <dataValidation type="list" allowBlank="1" showInputMessage="1" showErrorMessage="1" sqref="F8:F13" xr:uid="{00000000-0002-0000-0300-000000000000}">
      <formula1>Fuels</formula1>
    </dataValidation>
    <dataValidation type="decimal" operator="greaterThan" allowBlank="1" showInputMessage="1" showErrorMessage="1" error="Input a number greater than zero to avoid divide by zero." sqref="O8:O13" xr:uid="{00000000-0002-0000-0300-000001000000}">
      <formula1>0</formula1>
    </dataValidation>
    <dataValidation type="decimal" allowBlank="1" showInputMessage="1" showErrorMessage="1" error="Input must be a decimal value between 0.0 and 1.0." sqref="J9:K13" xr:uid="{00000000-0002-0000-0300-000002000000}">
      <formula1>0</formula1>
      <formula2>1</formula2>
    </dataValidation>
    <dataValidation type="list" allowBlank="1" showInputMessage="1" showErrorMessage="1" sqref="G8:G13" xr:uid="{00000000-0002-0000-0300-000003000000}">
      <formula1>Fuels2</formula1>
    </dataValidation>
  </dataValidations>
  <printOptions horizontalCentered="1" verticalCentered="1"/>
  <pageMargins left="0.5" right="0.5" top="0.5" bottom="0.5" header="0.5" footer="0.5"/>
  <pageSetup scale="80" orientation="portrait" horizontalDpi="4294967293" verticalDpi="300" r:id="rId1"/>
  <headerFooter alignWithMargins="0">
    <oddFooter>&amp;L_________________________
Laboratory Analytic Team - TAE&amp;R_________________________
&amp;F, &amp;A</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8487" r:id="rId4" name="Button 7">
              <controlPr defaultSize="0" print="0" autoFill="0" autoPict="0" macro="[0]!RunAll">
                <anchor moveWithCells="1" sizeWithCells="1">
                  <from>
                    <xdr:col>16</xdr:col>
                    <xdr:colOff>254000</xdr:colOff>
                    <xdr:row>8</xdr:row>
                    <xdr:rowOff>127000</xdr:rowOff>
                  </from>
                  <to>
                    <xdr:col>19</xdr:col>
                    <xdr:colOff>482600</xdr:colOff>
                    <xdr:row>11</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InputCls3">
    <tabColor indexed="43"/>
  </sheetPr>
  <dimension ref="A1:BF297"/>
  <sheetViews>
    <sheetView topLeftCell="D1" zoomScaleNormal="100" workbookViewId="0">
      <selection activeCell="U26" sqref="U26"/>
    </sheetView>
  </sheetViews>
  <sheetFormatPr baseColWidth="10" defaultColWidth="9.1640625" defaultRowHeight="14" x14ac:dyDescent="0.2"/>
  <cols>
    <col min="1" max="1" width="1.5" style="496" customWidth="1"/>
    <col min="2" max="2" width="9.1640625" style="496"/>
    <col min="3" max="4" width="9.5" style="496" customWidth="1"/>
    <col min="5" max="5" width="8.6640625" style="498" bestFit="1" customWidth="1"/>
    <col min="6" max="6" width="9" style="496" customWidth="1"/>
    <col min="7" max="7" width="8.6640625" style="498" bestFit="1" customWidth="1"/>
    <col min="8" max="8" width="9.33203125" style="496" customWidth="1"/>
    <col min="9" max="9" width="8.6640625" style="496" bestFit="1" customWidth="1"/>
    <col min="10" max="10" width="8.83203125" style="496" customWidth="1"/>
    <col min="11" max="11" width="8.6640625" style="496" bestFit="1" customWidth="1"/>
    <col min="12" max="12" width="7.83203125" style="496" customWidth="1"/>
    <col min="13" max="13" width="8.6640625" style="496" bestFit="1" customWidth="1"/>
    <col min="14" max="14" width="7.1640625" style="496" customWidth="1"/>
    <col min="15" max="15" width="8.6640625" style="496" bestFit="1" customWidth="1"/>
    <col min="16" max="16" width="9.33203125" style="496" customWidth="1"/>
    <col min="17" max="17" width="8.6640625" style="496" bestFit="1" customWidth="1"/>
    <col min="18" max="18" width="9.83203125" style="496" customWidth="1"/>
    <col min="19" max="19" width="9" style="496" customWidth="1"/>
    <col min="20" max="20" width="7.83203125" style="496" customWidth="1"/>
    <col min="21" max="21" width="8.6640625" style="496" bestFit="1" customWidth="1"/>
    <col min="22" max="22" width="7.5" style="496" customWidth="1"/>
    <col min="23" max="23" width="8.6640625" style="496" bestFit="1" customWidth="1"/>
    <col min="24" max="24" width="7.83203125" style="496" customWidth="1"/>
    <col min="25" max="25" width="7.1640625" style="496" customWidth="1"/>
    <col min="26" max="26" width="8.5" style="496" customWidth="1"/>
    <col min="27" max="27" width="7.1640625" style="496" customWidth="1"/>
    <col min="28" max="28" width="9.1640625" style="496"/>
    <col min="29" max="29" width="7.5" style="496" customWidth="1"/>
    <col min="30" max="30" width="8.5" style="496" customWidth="1"/>
    <col min="31" max="31" width="5.83203125" style="496" customWidth="1"/>
    <col min="32" max="32" width="7.83203125" style="496" customWidth="1"/>
    <col min="33" max="33" width="4.5" style="496" hidden="1" customWidth="1"/>
    <col min="34" max="34" width="6.5" style="496" hidden="1" customWidth="1"/>
    <col min="35" max="46" width="7.1640625" style="496" hidden="1" customWidth="1"/>
    <col min="47" max="58" width="6.5" style="496" hidden="1" customWidth="1"/>
    <col min="59" max="67" width="0" style="496" hidden="1" customWidth="1"/>
    <col min="68" max="16384" width="9.1640625" style="496"/>
  </cols>
  <sheetData>
    <row r="1" spans="1:27" s="538" customFormat="1" ht="16" x14ac:dyDescent="0.2">
      <c r="B1" s="770" t="s">
        <v>152</v>
      </c>
      <c r="C1" s="771"/>
      <c r="D1" s="771"/>
      <c r="E1" s="772"/>
      <c r="F1" s="771"/>
      <c r="G1" s="772"/>
    </row>
    <row r="2" spans="1:27" ht="5.25" customHeight="1" x14ac:dyDescent="0.2">
      <c r="B2" s="499"/>
      <c r="C2" s="497"/>
      <c r="D2" s="497"/>
      <c r="F2" s="497"/>
    </row>
    <row r="3" spans="1:27" customFormat="1" x14ac:dyDescent="0.2">
      <c r="A3" s="3"/>
      <c r="B3" s="1" t="s">
        <v>227</v>
      </c>
      <c r="C3" s="3"/>
      <c r="D3" s="765" t="s">
        <v>228</v>
      </c>
      <c r="E3" s="1380">
        <v>250</v>
      </c>
      <c r="F3" s="3"/>
      <c r="G3" s="2"/>
      <c r="H3" s="3"/>
      <c r="I3" s="3"/>
      <c r="J3" s="3"/>
      <c r="K3" s="3"/>
      <c r="L3" s="3"/>
      <c r="M3" s="3"/>
      <c r="N3" s="3"/>
      <c r="O3" s="3"/>
      <c r="P3" s="3"/>
    </row>
    <row r="4" spans="1:27" customFormat="1" x14ac:dyDescent="0.2">
      <c r="A4" s="3"/>
      <c r="B4" s="1"/>
      <c r="C4" s="3"/>
      <c r="D4" s="765"/>
      <c r="E4" s="769"/>
      <c r="F4" s="3"/>
      <c r="G4" s="2"/>
      <c r="H4" s="3"/>
      <c r="I4" s="3"/>
      <c r="J4" s="3"/>
      <c r="K4" s="3"/>
      <c r="L4" s="3"/>
      <c r="M4" s="3"/>
      <c r="N4" s="3"/>
      <c r="O4" s="3"/>
      <c r="P4" s="3"/>
    </row>
    <row r="5" spans="1:27" ht="16" thickBot="1" x14ac:dyDescent="0.25">
      <c r="B5" s="500" t="s">
        <v>74</v>
      </c>
      <c r="E5" s="496"/>
      <c r="G5" s="496"/>
      <c r="N5" s="501"/>
      <c r="O5" s="501"/>
    </row>
    <row r="6" spans="1:27" ht="24" customHeight="1" x14ac:dyDescent="0.2">
      <c r="B6" s="502"/>
      <c r="C6" s="503"/>
      <c r="D6" s="504"/>
      <c r="E6" s="504"/>
      <c r="F6" s="503"/>
      <c r="G6" s="503"/>
      <c r="H6" s="833"/>
      <c r="I6" s="603"/>
      <c r="J6" s="1537" t="s">
        <v>76</v>
      </c>
      <c r="K6" s="1538"/>
      <c r="L6" s="1528" t="s">
        <v>83</v>
      </c>
      <c r="M6" s="1529"/>
      <c r="N6" s="1528" t="s">
        <v>109</v>
      </c>
      <c r="O6" s="1529"/>
    </row>
    <row r="7" spans="1:27" ht="27" customHeight="1" thickBot="1" x14ac:dyDescent="0.25">
      <c r="B7" s="505"/>
      <c r="C7" s="602" t="s">
        <v>75</v>
      </c>
      <c r="D7" s="600"/>
      <c r="E7" s="601"/>
      <c r="F7" s="605" t="s">
        <v>211</v>
      </c>
      <c r="G7" s="605" t="s">
        <v>210</v>
      </c>
      <c r="H7" s="834" t="s">
        <v>264</v>
      </c>
      <c r="I7" s="604" t="s">
        <v>81</v>
      </c>
      <c r="J7" s="606" t="s">
        <v>283</v>
      </c>
      <c r="K7" s="607" t="s">
        <v>284</v>
      </c>
      <c r="L7" s="506" t="s">
        <v>113</v>
      </c>
      <c r="M7" s="507" t="s">
        <v>84</v>
      </c>
      <c r="N7" s="508" t="s">
        <v>95</v>
      </c>
      <c r="O7" s="509" t="s">
        <v>112</v>
      </c>
      <c r="P7" s="510"/>
    </row>
    <row r="8" spans="1:27" ht="15" thickTop="1" x14ac:dyDescent="0.2">
      <c r="B8" s="511" t="s">
        <v>69</v>
      </c>
      <c r="C8" s="1381" t="s">
        <v>183</v>
      </c>
      <c r="D8" s="1382"/>
      <c r="E8" s="1383"/>
      <c r="F8" s="1384" t="s">
        <v>5</v>
      </c>
      <c r="G8" s="1384" t="s">
        <v>229</v>
      </c>
      <c r="H8" s="893" t="b">
        <f>IF(AND(F8="Electricity",G8="N/A"),TRUE,FALSE)</f>
        <v>0</v>
      </c>
      <c r="I8" s="512"/>
      <c r="J8" s="513"/>
      <c r="K8" s="514"/>
      <c r="L8" s="515"/>
      <c r="M8" s="516"/>
      <c r="N8" s="1415">
        <v>0</v>
      </c>
      <c r="O8" s="1416">
        <v>350</v>
      </c>
      <c r="P8" s="517"/>
    </row>
    <row r="9" spans="1:27" x14ac:dyDescent="0.2">
      <c r="B9" s="518" t="s">
        <v>65</v>
      </c>
      <c r="C9" s="1385" t="s">
        <v>329</v>
      </c>
      <c r="D9" s="1386"/>
      <c r="E9" s="1387"/>
      <c r="F9" s="1388" t="s">
        <v>5</v>
      </c>
      <c r="G9" s="1388" t="s">
        <v>229</v>
      </c>
      <c r="H9" s="894" t="b">
        <f t="shared" ref="H9:H13" si="0">IF(AND(F9="Electricity",G9="N/A"),TRUE,FALSE)</f>
        <v>0</v>
      </c>
      <c r="I9" s="1396">
        <v>2021</v>
      </c>
      <c r="J9" s="1397">
        <v>0</v>
      </c>
      <c r="K9" s="1398">
        <v>0.5</v>
      </c>
      <c r="L9" s="1399">
        <v>5000</v>
      </c>
      <c r="M9" s="1400">
        <v>100</v>
      </c>
      <c r="N9" s="1401">
        <v>0</v>
      </c>
      <c r="O9" s="1402">
        <v>350</v>
      </c>
      <c r="R9" s="539"/>
    </row>
    <row r="10" spans="1:27" x14ac:dyDescent="0.2">
      <c r="B10" s="518" t="s">
        <v>66</v>
      </c>
      <c r="C10" s="1385" t="s">
        <v>321</v>
      </c>
      <c r="D10" s="1386"/>
      <c r="E10" s="1387"/>
      <c r="F10" s="1388" t="s">
        <v>5</v>
      </c>
      <c r="G10" s="1388" t="s">
        <v>229</v>
      </c>
      <c r="H10" s="894" t="b">
        <f t="shared" si="0"/>
        <v>0</v>
      </c>
      <c r="I10" s="1396">
        <v>2021</v>
      </c>
      <c r="J10" s="1397">
        <v>0</v>
      </c>
      <c r="K10" s="1398">
        <v>0.5</v>
      </c>
      <c r="L10" s="1399">
        <v>5000</v>
      </c>
      <c r="M10" s="1400">
        <v>100</v>
      </c>
      <c r="N10" s="1401">
        <v>0</v>
      </c>
      <c r="O10" s="1402">
        <v>350</v>
      </c>
    </row>
    <row r="11" spans="1:27" x14ac:dyDescent="0.2">
      <c r="B11" s="542" t="s">
        <v>67</v>
      </c>
      <c r="C11" s="1385" t="s">
        <v>322</v>
      </c>
      <c r="D11" s="1389"/>
      <c r="E11" s="1390"/>
      <c r="F11" s="1391" t="s">
        <v>5</v>
      </c>
      <c r="G11" s="1391" t="s">
        <v>229</v>
      </c>
      <c r="H11" s="895" t="b">
        <f t="shared" si="0"/>
        <v>0</v>
      </c>
      <c r="I11" s="1396">
        <v>2021</v>
      </c>
      <c r="J11" s="1513">
        <v>0</v>
      </c>
      <c r="K11" s="1403">
        <v>0.5</v>
      </c>
      <c r="L11" s="1404">
        <v>5000</v>
      </c>
      <c r="M11" s="1405">
        <v>100</v>
      </c>
      <c r="N11" s="1406">
        <v>0</v>
      </c>
      <c r="O11" s="1407">
        <v>350</v>
      </c>
      <c r="P11" s="497"/>
    </row>
    <row r="12" spans="1:27" x14ac:dyDescent="0.2">
      <c r="B12" s="542" t="s">
        <v>205</v>
      </c>
      <c r="C12" s="1385" t="s">
        <v>323</v>
      </c>
      <c r="D12" s="1389"/>
      <c r="E12" s="1390"/>
      <c r="F12" s="1391" t="s">
        <v>5</v>
      </c>
      <c r="G12" s="1391" t="s">
        <v>6</v>
      </c>
      <c r="H12" s="895" t="b">
        <f t="shared" si="0"/>
        <v>0</v>
      </c>
      <c r="I12" s="1396">
        <v>2021</v>
      </c>
      <c r="J12" s="1513">
        <v>0</v>
      </c>
      <c r="K12" s="1403">
        <v>0.5</v>
      </c>
      <c r="L12" s="1404">
        <v>5000</v>
      </c>
      <c r="M12" s="1405">
        <v>100</v>
      </c>
      <c r="N12" s="1406">
        <v>0</v>
      </c>
      <c r="O12" s="1407">
        <v>350</v>
      </c>
    </row>
    <row r="13" spans="1:27" ht="15" thickBot="1" x14ac:dyDescent="0.25">
      <c r="B13" s="519" t="s">
        <v>206</v>
      </c>
      <c r="C13" s="1392" t="s">
        <v>324</v>
      </c>
      <c r="D13" s="1393"/>
      <c r="E13" s="1394"/>
      <c r="F13" s="1395" t="s">
        <v>6</v>
      </c>
      <c r="G13" s="1395" t="s">
        <v>229</v>
      </c>
      <c r="H13" s="896" t="b">
        <f t="shared" si="0"/>
        <v>1</v>
      </c>
      <c r="I13" s="1408">
        <v>2021</v>
      </c>
      <c r="J13" s="1409">
        <v>0</v>
      </c>
      <c r="K13" s="1410">
        <v>0.5</v>
      </c>
      <c r="L13" s="1411">
        <v>5000</v>
      </c>
      <c r="M13" s="1412">
        <v>100</v>
      </c>
      <c r="N13" s="1413">
        <v>0</v>
      </c>
      <c r="O13" s="1414">
        <v>350</v>
      </c>
    </row>
    <row r="14" spans="1:27" ht="16" x14ac:dyDescent="0.2">
      <c r="B14" s="499"/>
      <c r="C14" s="496" t="s">
        <v>265</v>
      </c>
      <c r="D14" s="497"/>
      <c r="F14" s="497"/>
    </row>
    <row r="15" spans="1:27" ht="16" thickBot="1" x14ac:dyDescent="0.25">
      <c r="B15" s="520" t="s">
        <v>119</v>
      </c>
      <c r="C15" s="902"/>
      <c r="D15" s="497"/>
      <c r="F15" s="497"/>
    </row>
    <row r="16" spans="1:27" ht="15" thickBot="1" x14ac:dyDescent="0.25">
      <c r="B16" s="231"/>
      <c r="C16" s="4"/>
      <c r="D16" s="497"/>
      <c r="F16" s="497"/>
      <c r="T16" s="768" t="s">
        <v>230</v>
      </c>
      <c r="U16" s="496" t="s">
        <v>231</v>
      </c>
      <c r="Z16" s="901"/>
      <c r="AA16" s="496" t="s">
        <v>262</v>
      </c>
    </row>
    <row r="17" spans="2:31" x14ac:dyDescent="0.2">
      <c r="B17" s="231"/>
      <c r="C17" s="233"/>
      <c r="D17" s="497"/>
      <c r="F17" s="497"/>
      <c r="U17" s="496" t="s">
        <v>232</v>
      </c>
      <c r="Z17" s="232"/>
      <c r="AA17" s="496" t="s">
        <v>263</v>
      </c>
    </row>
    <row r="18" spans="2:31" ht="15" thickBot="1" x14ac:dyDescent="0.25">
      <c r="B18" s="230"/>
      <c r="C18" s="229"/>
    </row>
    <row r="19" spans="2:31" ht="17" thickBot="1" x14ac:dyDescent="0.25">
      <c r="B19" s="747"/>
      <c r="C19" s="1530" t="s">
        <v>221</v>
      </c>
      <c r="D19" s="1531"/>
      <c r="E19" s="1531"/>
      <c r="F19" s="1531"/>
      <c r="G19" s="1531"/>
      <c r="H19" s="1531"/>
      <c r="I19" s="1531" t="s">
        <v>222</v>
      </c>
      <c r="J19" s="1531"/>
      <c r="K19" s="1531"/>
      <c r="L19" s="1531"/>
      <c r="M19" s="1532"/>
      <c r="N19" s="1533" t="s">
        <v>223</v>
      </c>
      <c r="O19" s="1534"/>
      <c r="P19" s="1534"/>
      <c r="Q19" s="1534"/>
      <c r="R19" s="1534"/>
      <c r="S19" s="1535"/>
      <c r="T19" s="1533" t="s">
        <v>224</v>
      </c>
      <c r="U19" s="1534"/>
      <c r="V19" s="1534"/>
      <c r="W19" s="1534"/>
      <c r="X19" s="1534"/>
      <c r="Y19" s="1535"/>
      <c r="Z19" s="1533" t="s">
        <v>226</v>
      </c>
      <c r="AA19" s="1534"/>
      <c r="AB19" s="1534"/>
      <c r="AC19" s="1534"/>
      <c r="AD19" s="1534"/>
      <c r="AE19" s="1535"/>
    </row>
    <row r="20" spans="2:31" ht="15" thickBot="1" x14ac:dyDescent="0.25">
      <c r="B20" s="759" t="s">
        <v>225</v>
      </c>
      <c r="C20" s="762" t="s">
        <v>69</v>
      </c>
      <c r="D20" s="748" t="s">
        <v>65</v>
      </c>
      <c r="E20" s="749" t="s">
        <v>66</v>
      </c>
      <c r="F20" s="748" t="s">
        <v>67</v>
      </c>
      <c r="G20" s="749" t="s">
        <v>205</v>
      </c>
      <c r="H20" s="748" t="s">
        <v>206</v>
      </c>
      <c r="I20" s="748" t="s">
        <v>65</v>
      </c>
      <c r="J20" s="749" t="s">
        <v>66</v>
      </c>
      <c r="K20" s="748" t="s">
        <v>67</v>
      </c>
      <c r="L20" s="749" t="s">
        <v>205</v>
      </c>
      <c r="M20" s="763" t="s">
        <v>206</v>
      </c>
      <c r="N20" s="764" t="s">
        <v>69</v>
      </c>
      <c r="O20" s="750" t="s">
        <v>65</v>
      </c>
      <c r="P20" s="751" t="s">
        <v>66</v>
      </c>
      <c r="Q20" s="750" t="s">
        <v>67</v>
      </c>
      <c r="R20" s="751" t="s">
        <v>205</v>
      </c>
      <c r="S20" s="750" t="s">
        <v>206</v>
      </c>
      <c r="T20" s="750" t="s">
        <v>69</v>
      </c>
      <c r="U20" s="750" t="s">
        <v>65</v>
      </c>
      <c r="V20" s="751" t="s">
        <v>66</v>
      </c>
      <c r="W20" s="750" t="s">
        <v>67</v>
      </c>
      <c r="X20" s="751" t="s">
        <v>205</v>
      </c>
      <c r="Y20" s="752" t="s">
        <v>206</v>
      </c>
      <c r="Z20" s="750" t="s">
        <v>69</v>
      </c>
      <c r="AA20" s="750" t="s">
        <v>65</v>
      </c>
      <c r="AB20" s="751" t="s">
        <v>66</v>
      </c>
      <c r="AC20" s="750" t="s">
        <v>67</v>
      </c>
      <c r="AD20" s="751" t="s">
        <v>205</v>
      </c>
      <c r="AE20" s="752" t="s">
        <v>206</v>
      </c>
    </row>
    <row r="21" spans="2:31" ht="15" thickBot="1" x14ac:dyDescent="0.25">
      <c r="B21" s="760" t="s">
        <v>3</v>
      </c>
      <c r="C21" s="761"/>
      <c r="D21" s="1516" t="str">
        <f>INDEX($C$9:$C$13,MATCH(D20,$B$9:$B$13,0))</f>
        <v>Adv Conv</v>
      </c>
      <c r="E21" s="1516" t="str">
        <f t="shared" ref="E21:H21" si="1">INDEX($C$9:$C$13,MATCH(E20,$B$9:$B$13,0))</f>
        <v>ISG</v>
      </c>
      <c r="F21" s="1516" t="str">
        <f t="shared" si="1"/>
        <v>HEV</v>
      </c>
      <c r="G21" s="1516" t="str">
        <f t="shared" si="1"/>
        <v>PHEV</v>
      </c>
      <c r="H21" s="1517" t="str">
        <f t="shared" si="1"/>
        <v>BEV</v>
      </c>
      <c r="I21" s="1432">
        <v>0</v>
      </c>
      <c r="J21" s="1433">
        <v>0</v>
      </c>
      <c r="K21" s="1433">
        <v>0</v>
      </c>
      <c r="L21" s="1433">
        <v>0</v>
      </c>
      <c r="M21" s="1434">
        <v>0</v>
      </c>
      <c r="N21" s="753"/>
      <c r="O21" s="1516" t="str">
        <f>INDEX($C$9:$C$13,MATCH(O20,$B$9:$B$13,0))</f>
        <v>Adv Conv</v>
      </c>
      <c r="P21" s="1516" t="str">
        <f t="shared" ref="P21:S21" si="2">INDEX($C$9:$C$13,MATCH(P20,$B$9:$B$13,0))</f>
        <v>ISG</v>
      </c>
      <c r="Q21" s="1516" t="str">
        <f t="shared" si="2"/>
        <v>HEV</v>
      </c>
      <c r="R21" s="1516" t="str">
        <f t="shared" si="2"/>
        <v>PHEV</v>
      </c>
      <c r="S21" s="1517" t="str">
        <f t="shared" si="2"/>
        <v>BEV</v>
      </c>
      <c r="T21" s="754"/>
      <c r="U21" s="1516" t="str">
        <f>INDEX($C$9:$C$13,MATCH(U20,$B$9:$B$13,0))</f>
        <v>Adv Conv</v>
      </c>
      <c r="V21" s="1516" t="str">
        <f t="shared" ref="V21:Y21" si="3">INDEX($C$9:$C$13,MATCH(V20,$B$9:$B$13,0))</f>
        <v>ISG</v>
      </c>
      <c r="W21" s="1516" t="str">
        <f t="shared" si="3"/>
        <v>HEV</v>
      </c>
      <c r="X21" s="1516" t="str">
        <f t="shared" si="3"/>
        <v>PHEV</v>
      </c>
      <c r="Y21" s="1517" t="str">
        <f t="shared" si="3"/>
        <v>BEV</v>
      </c>
      <c r="Z21" s="753"/>
      <c r="AA21" s="1516" t="str">
        <f>INDEX($C$9:$C$13,MATCH(AA20,$B$9:$B$13,0))</f>
        <v>Adv Conv</v>
      </c>
      <c r="AB21" s="1516" t="str">
        <f t="shared" ref="AB21:AE21" si="4">INDEX($C$9:$C$13,MATCH(AB20,$B$9:$B$13,0))</f>
        <v>ISG</v>
      </c>
      <c r="AC21" s="1516" t="str">
        <f t="shared" si="4"/>
        <v>HEV</v>
      </c>
      <c r="AD21" s="1516" t="str">
        <f t="shared" si="4"/>
        <v>PHEV</v>
      </c>
      <c r="AE21" s="1517" t="str">
        <f t="shared" si="4"/>
        <v>BEV</v>
      </c>
    </row>
    <row r="22" spans="2:31" x14ac:dyDescent="0.2">
      <c r="B22" s="527">
        <v>2007</v>
      </c>
      <c r="C22" s="1417">
        <v>96771.806566877567</v>
      </c>
      <c r="D22" s="1418">
        <f t="shared" ref="D22:H24" si="5">D23</f>
        <v>1000000</v>
      </c>
      <c r="E22" s="1418">
        <f t="shared" si="5"/>
        <v>1000000</v>
      </c>
      <c r="F22" s="1418">
        <f t="shared" si="5"/>
        <v>1000000</v>
      </c>
      <c r="G22" s="1418">
        <f t="shared" si="5"/>
        <v>1000000</v>
      </c>
      <c r="H22" s="1419">
        <f t="shared" si="5"/>
        <v>1000000</v>
      </c>
      <c r="I22" s="1358">
        <v>0</v>
      </c>
      <c r="J22" s="528">
        <v>0</v>
      </c>
      <c r="K22" s="528">
        <v>0</v>
      </c>
      <c r="L22" s="528">
        <v>0</v>
      </c>
      <c r="M22" s="1363">
        <v>0</v>
      </c>
      <c r="N22" s="1507">
        <v>5.8642619111794092</v>
      </c>
      <c r="O22" s="1436">
        <f t="shared" ref="O22:W24" si="6">O23</f>
        <v>1</v>
      </c>
      <c r="P22" s="1436">
        <f t="shared" si="6"/>
        <v>1</v>
      </c>
      <c r="Q22" s="1436">
        <f t="shared" si="6"/>
        <v>1</v>
      </c>
      <c r="R22" s="1436">
        <f t="shared" si="6"/>
        <v>1</v>
      </c>
      <c r="S22" s="1437">
        <f t="shared" si="6"/>
        <v>1</v>
      </c>
      <c r="T22" s="1438">
        <f t="shared" si="6"/>
        <v>1</v>
      </c>
      <c r="U22" s="1439">
        <f t="shared" si="6"/>
        <v>1</v>
      </c>
      <c r="V22" s="1439">
        <f t="shared" si="6"/>
        <v>1</v>
      </c>
      <c r="W22" s="1439">
        <f t="shared" si="6"/>
        <v>1</v>
      </c>
      <c r="X22" s="1439">
        <f t="shared" ref="X22:AE24" si="7">X23</f>
        <v>1</v>
      </c>
      <c r="Y22" s="1440">
        <f t="shared" si="7"/>
        <v>1</v>
      </c>
      <c r="Z22" s="1438">
        <f t="shared" si="7"/>
        <v>0</v>
      </c>
      <c r="AA22" s="1439">
        <f t="shared" si="7"/>
        <v>0</v>
      </c>
      <c r="AB22" s="1439">
        <f t="shared" si="7"/>
        <v>0</v>
      </c>
      <c r="AC22" s="1439">
        <f t="shared" si="7"/>
        <v>0</v>
      </c>
      <c r="AD22" s="1439">
        <f t="shared" si="7"/>
        <v>0</v>
      </c>
      <c r="AE22" s="1440">
        <f t="shared" si="7"/>
        <v>0</v>
      </c>
    </row>
    <row r="23" spans="2:31" x14ac:dyDescent="0.2">
      <c r="B23" s="523">
        <v>2008</v>
      </c>
      <c r="C23" s="1420">
        <v>96771.806566877567</v>
      </c>
      <c r="D23" s="1421">
        <f t="shared" si="5"/>
        <v>1000000</v>
      </c>
      <c r="E23" s="1421">
        <f t="shared" si="5"/>
        <v>1000000</v>
      </c>
      <c r="F23" s="1421">
        <f t="shared" si="5"/>
        <v>1000000</v>
      </c>
      <c r="G23" s="1421">
        <f t="shared" si="5"/>
        <v>1000000</v>
      </c>
      <c r="H23" s="1422">
        <f t="shared" si="5"/>
        <v>1000000</v>
      </c>
      <c r="I23" s="1359">
        <v>0</v>
      </c>
      <c r="J23" s="524">
        <v>0</v>
      </c>
      <c r="K23" s="524">
        <v>0</v>
      </c>
      <c r="L23" s="524">
        <v>0</v>
      </c>
      <c r="M23" s="1364">
        <v>0</v>
      </c>
      <c r="N23" s="1508">
        <v>5.8642619111794092</v>
      </c>
      <c r="O23" s="1442">
        <f t="shared" si="6"/>
        <v>1</v>
      </c>
      <c r="P23" s="1442">
        <f t="shared" si="6"/>
        <v>1</v>
      </c>
      <c r="Q23" s="1442">
        <f t="shared" si="6"/>
        <v>1</v>
      </c>
      <c r="R23" s="1442">
        <f t="shared" si="6"/>
        <v>1</v>
      </c>
      <c r="S23" s="1443">
        <f t="shared" si="6"/>
        <v>1</v>
      </c>
      <c r="T23" s="1444">
        <f t="shared" si="6"/>
        <v>1</v>
      </c>
      <c r="U23" s="1445">
        <f t="shared" si="6"/>
        <v>1</v>
      </c>
      <c r="V23" s="1445">
        <f t="shared" si="6"/>
        <v>1</v>
      </c>
      <c r="W23" s="1445">
        <f t="shared" si="6"/>
        <v>1</v>
      </c>
      <c r="X23" s="1445">
        <f t="shared" si="7"/>
        <v>1</v>
      </c>
      <c r="Y23" s="1446">
        <f t="shared" si="7"/>
        <v>1</v>
      </c>
      <c r="Z23" s="1444">
        <f t="shared" si="7"/>
        <v>0</v>
      </c>
      <c r="AA23" s="1445">
        <f t="shared" si="7"/>
        <v>0</v>
      </c>
      <c r="AB23" s="1445">
        <f t="shared" si="7"/>
        <v>0</v>
      </c>
      <c r="AC23" s="1445">
        <f t="shared" si="7"/>
        <v>0</v>
      </c>
      <c r="AD23" s="1445">
        <f t="shared" si="7"/>
        <v>0</v>
      </c>
      <c r="AE23" s="1446">
        <f t="shared" si="7"/>
        <v>0</v>
      </c>
    </row>
    <row r="24" spans="2:31" x14ac:dyDescent="0.2">
      <c r="B24" s="523">
        <v>2009</v>
      </c>
      <c r="C24" s="1420">
        <v>96771.806566877567</v>
      </c>
      <c r="D24" s="1421">
        <f t="shared" si="5"/>
        <v>1000000</v>
      </c>
      <c r="E24" s="1421">
        <f t="shared" si="5"/>
        <v>1000000</v>
      </c>
      <c r="F24" s="1421">
        <f t="shared" si="5"/>
        <v>1000000</v>
      </c>
      <c r="G24" s="1421">
        <f t="shared" si="5"/>
        <v>1000000</v>
      </c>
      <c r="H24" s="1422">
        <f t="shared" si="5"/>
        <v>1000000</v>
      </c>
      <c r="I24" s="1359">
        <v>0</v>
      </c>
      <c r="J24" s="524">
        <v>0</v>
      </c>
      <c r="K24" s="524">
        <v>0</v>
      </c>
      <c r="L24" s="524">
        <v>0</v>
      </c>
      <c r="M24" s="1364">
        <v>0</v>
      </c>
      <c r="N24" s="1508">
        <v>5.8642619111794092</v>
      </c>
      <c r="O24" s="1442">
        <f t="shared" si="6"/>
        <v>1</v>
      </c>
      <c r="P24" s="1442">
        <f t="shared" si="6"/>
        <v>1</v>
      </c>
      <c r="Q24" s="1442">
        <f t="shared" si="6"/>
        <v>1</v>
      </c>
      <c r="R24" s="1442">
        <f t="shared" si="6"/>
        <v>1</v>
      </c>
      <c r="S24" s="1443">
        <f t="shared" si="6"/>
        <v>1</v>
      </c>
      <c r="T24" s="1444">
        <f t="shared" si="6"/>
        <v>1</v>
      </c>
      <c r="U24" s="1445">
        <f t="shared" si="6"/>
        <v>1</v>
      </c>
      <c r="V24" s="1445">
        <f t="shared" si="6"/>
        <v>1</v>
      </c>
      <c r="W24" s="1445">
        <f t="shared" si="6"/>
        <v>1</v>
      </c>
      <c r="X24" s="1445">
        <f t="shared" si="7"/>
        <v>1</v>
      </c>
      <c r="Y24" s="1446">
        <f t="shared" si="7"/>
        <v>1</v>
      </c>
      <c r="Z24" s="1444">
        <f t="shared" si="7"/>
        <v>0</v>
      </c>
      <c r="AA24" s="1445">
        <f t="shared" si="7"/>
        <v>0</v>
      </c>
      <c r="AB24" s="1445">
        <f t="shared" si="7"/>
        <v>0</v>
      </c>
      <c r="AC24" s="1445">
        <f t="shared" si="7"/>
        <v>0</v>
      </c>
      <c r="AD24" s="1445">
        <f t="shared" si="7"/>
        <v>0</v>
      </c>
      <c r="AE24" s="1446">
        <f t="shared" si="7"/>
        <v>0</v>
      </c>
    </row>
    <row r="25" spans="2:31" ht="15" thickBot="1" x14ac:dyDescent="0.25">
      <c r="B25" s="525">
        <v>2010</v>
      </c>
      <c r="C25" s="1423">
        <v>96771.806566877567</v>
      </c>
      <c r="D25" s="1424">
        <f t="shared" ref="D25:D33" si="8">D26</f>
        <v>1000000</v>
      </c>
      <c r="E25" s="1424">
        <f t="shared" ref="E25:E33" si="9">E26</f>
        <v>1000000</v>
      </c>
      <c r="F25" s="1424">
        <f t="shared" ref="F25:F33" si="10">F26</f>
        <v>1000000</v>
      </c>
      <c r="G25" s="1424">
        <f t="shared" ref="G25:G33" si="11">G26</f>
        <v>1000000</v>
      </c>
      <c r="H25" s="1425">
        <f t="shared" ref="H25:H33" si="12">H26</f>
        <v>1000000</v>
      </c>
      <c r="I25" s="1360">
        <v>0</v>
      </c>
      <c r="J25" s="526">
        <v>0</v>
      </c>
      <c r="K25" s="526">
        <v>0</v>
      </c>
      <c r="L25" s="526">
        <v>0</v>
      </c>
      <c r="M25" s="1365">
        <v>0</v>
      </c>
      <c r="N25" s="1509">
        <v>6.052867043708523</v>
      </c>
      <c r="O25" s="1448">
        <f t="shared" ref="O25:O33" si="13">O26</f>
        <v>1</v>
      </c>
      <c r="P25" s="1448">
        <f t="shared" ref="P25:P33" si="14">P26</f>
        <v>1</v>
      </c>
      <c r="Q25" s="1448">
        <f t="shared" ref="Q25:Q33" si="15">Q26</f>
        <v>1</v>
      </c>
      <c r="R25" s="1448">
        <f t="shared" ref="R25:R33" si="16">R26</f>
        <v>1</v>
      </c>
      <c r="S25" s="1449">
        <f t="shared" ref="S25:S33" si="17">S26</f>
        <v>1</v>
      </c>
      <c r="T25" s="1450">
        <v>1</v>
      </c>
      <c r="U25" s="1451">
        <f t="shared" ref="U25:U33" si="18">U26</f>
        <v>1</v>
      </c>
      <c r="V25" s="1451">
        <f t="shared" ref="V25:V33" si="19">V26</f>
        <v>1</v>
      </c>
      <c r="W25" s="1451">
        <f t="shared" ref="W25:W33" si="20">W26</f>
        <v>1</v>
      </c>
      <c r="X25" s="1451">
        <f t="shared" ref="X25:X33" si="21">X26</f>
        <v>1</v>
      </c>
      <c r="Y25" s="1452">
        <f t="shared" ref="Y25:Y34" si="22">Y26</f>
        <v>1</v>
      </c>
      <c r="Z25" s="1450">
        <v>0</v>
      </c>
      <c r="AA25" s="1451">
        <f t="shared" ref="AA25:AA33" si="23">AA26</f>
        <v>0</v>
      </c>
      <c r="AB25" s="1451">
        <f t="shared" ref="AB25:AB33" si="24">AB26</f>
        <v>0</v>
      </c>
      <c r="AC25" s="1451">
        <f t="shared" ref="AC25:AC33" si="25">AC26</f>
        <v>0</v>
      </c>
      <c r="AD25" s="1451">
        <f t="shared" ref="AD25:AD33" si="26">AD26</f>
        <v>0</v>
      </c>
      <c r="AE25" s="1452">
        <f t="shared" ref="AE25:AE33" si="27">AE26</f>
        <v>0</v>
      </c>
    </row>
    <row r="26" spans="2:31" x14ac:dyDescent="0.2">
      <c r="B26" s="527">
        <v>2011</v>
      </c>
      <c r="C26" s="1426">
        <v>96771.806566877567</v>
      </c>
      <c r="D26" s="1427">
        <f t="shared" si="8"/>
        <v>1000000</v>
      </c>
      <c r="E26" s="1427">
        <f t="shared" si="9"/>
        <v>1000000</v>
      </c>
      <c r="F26" s="1427">
        <f t="shared" si="10"/>
        <v>1000000</v>
      </c>
      <c r="G26" s="1427">
        <f t="shared" si="11"/>
        <v>1000000</v>
      </c>
      <c r="H26" s="1428">
        <f t="shared" si="12"/>
        <v>1000000</v>
      </c>
      <c r="I26" s="1358">
        <v>0</v>
      </c>
      <c r="J26" s="528">
        <v>0</v>
      </c>
      <c r="K26" s="528">
        <v>0</v>
      </c>
      <c r="L26" s="528">
        <v>0</v>
      </c>
      <c r="M26" s="1363">
        <v>0</v>
      </c>
      <c r="N26" s="1510">
        <v>6.1303718963155642</v>
      </c>
      <c r="O26" s="1454">
        <f t="shared" si="13"/>
        <v>1</v>
      </c>
      <c r="P26" s="1454">
        <f t="shared" si="14"/>
        <v>1</v>
      </c>
      <c r="Q26" s="1454">
        <f t="shared" si="15"/>
        <v>1</v>
      </c>
      <c r="R26" s="1454">
        <f t="shared" si="16"/>
        <v>1</v>
      </c>
      <c r="S26" s="1455">
        <f t="shared" si="17"/>
        <v>1</v>
      </c>
      <c r="T26" s="1456">
        <v>1</v>
      </c>
      <c r="U26" s="1457">
        <f t="shared" si="18"/>
        <v>1</v>
      </c>
      <c r="V26" s="1457">
        <f t="shared" si="19"/>
        <v>1</v>
      </c>
      <c r="W26" s="1457">
        <f t="shared" si="20"/>
        <v>1</v>
      </c>
      <c r="X26" s="1457">
        <f t="shared" si="21"/>
        <v>1</v>
      </c>
      <c r="Y26" s="1458">
        <f t="shared" si="22"/>
        <v>1</v>
      </c>
      <c r="Z26" s="1456">
        <v>0</v>
      </c>
      <c r="AA26" s="1457">
        <f t="shared" si="23"/>
        <v>0</v>
      </c>
      <c r="AB26" s="1457">
        <f t="shared" si="24"/>
        <v>0</v>
      </c>
      <c r="AC26" s="1457">
        <f t="shared" si="25"/>
        <v>0</v>
      </c>
      <c r="AD26" s="1457">
        <f t="shared" si="26"/>
        <v>0</v>
      </c>
      <c r="AE26" s="1458">
        <f t="shared" si="27"/>
        <v>0</v>
      </c>
    </row>
    <row r="27" spans="2:31" x14ac:dyDescent="0.2">
      <c r="B27" s="523">
        <v>2012</v>
      </c>
      <c r="C27" s="1420">
        <v>96771.806566877567</v>
      </c>
      <c r="D27" s="1421">
        <f t="shared" si="8"/>
        <v>1000000</v>
      </c>
      <c r="E27" s="1421">
        <f t="shared" si="9"/>
        <v>1000000</v>
      </c>
      <c r="F27" s="1421">
        <f t="shared" si="10"/>
        <v>1000000</v>
      </c>
      <c r="G27" s="1421">
        <f t="shared" si="11"/>
        <v>1000000</v>
      </c>
      <c r="H27" s="1422">
        <f t="shared" si="12"/>
        <v>1000000</v>
      </c>
      <c r="I27" s="1359">
        <v>0</v>
      </c>
      <c r="J27" s="524">
        <v>0</v>
      </c>
      <c r="K27" s="524">
        <v>0</v>
      </c>
      <c r="L27" s="524">
        <v>0</v>
      </c>
      <c r="M27" s="1364">
        <v>0</v>
      </c>
      <c r="N27" s="1508">
        <v>6.1630746462831922</v>
      </c>
      <c r="O27" s="1442">
        <f t="shared" si="13"/>
        <v>1</v>
      </c>
      <c r="P27" s="1442">
        <f t="shared" si="14"/>
        <v>1</v>
      </c>
      <c r="Q27" s="1442">
        <f t="shared" si="15"/>
        <v>1</v>
      </c>
      <c r="R27" s="1442">
        <f t="shared" si="16"/>
        <v>1</v>
      </c>
      <c r="S27" s="1443">
        <f t="shared" si="17"/>
        <v>1</v>
      </c>
      <c r="T27" s="1444">
        <v>1</v>
      </c>
      <c r="U27" s="1445">
        <f t="shared" si="18"/>
        <v>1</v>
      </c>
      <c r="V27" s="1445">
        <f t="shared" si="19"/>
        <v>1</v>
      </c>
      <c r="W27" s="1445">
        <f t="shared" si="20"/>
        <v>1</v>
      </c>
      <c r="X27" s="1445">
        <f t="shared" si="21"/>
        <v>1</v>
      </c>
      <c r="Y27" s="1446">
        <f t="shared" si="22"/>
        <v>1</v>
      </c>
      <c r="Z27" s="1444">
        <v>0</v>
      </c>
      <c r="AA27" s="1445">
        <f t="shared" si="23"/>
        <v>0</v>
      </c>
      <c r="AB27" s="1445">
        <f t="shared" si="24"/>
        <v>0</v>
      </c>
      <c r="AC27" s="1445">
        <f t="shared" si="25"/>
        <v>0</v>
      </c>
      <c r="AD27" s="1445">
        <f t="shared" si="26"/>
        <v>0</v>
      </c>
      <c r="AE27" s="1446">
        <f t="shared" si="27"/>
        <v>0</v>
      </c>
    </row>
    <row r="28" spans="2:31" x14ac:dyDescent="0.2">
      <c r="B28" s="523">
        <v>2013</v>
      </c>
      <c r="C28" s="1420">
        <v>96771.806566877567</v>
      </c>
      <c r="D28" s="1421">
        <f t="shared" si="8"/>
        <v>1000000</v>
      </c>
      <c r="E28" s="1421">
        <f t="shared" si="9"/>
        <v>1000000</v>
      </c>
      <c r="F28" s="1421">
        <f t="shared" si="10"/>
        <v>1000000</v>
      </c>
      <c r="G28" s="1421">
        <f t="shared" si="11"/>
        <v>1000000</v>
      </c>
      <c r="H28" s="1422">
        <f t="shared" si="12"/>
        <v>1000000</v>
      </c>
      <c r="I28" s="1359">
        <v>0</v>
      </c>
      <c r="J28" s="524">
        <v>0</v>
      </c>
      <c r="K28" s="524">
        <v>0</v>
      </c>
      <c r="L28" s="524">
        <v>0</v>
      </c>
      <c r="M28" s="1364">
        <v>0</v>
      </c>
      <c r="N28" s="1508">
        <v>6.2217527283520475</v>
      </c>
      <c r="O28" s="1442">
        <f t="shared" si="13"/>
        <v>1</v>
      </c>
      <c r="P28" s="1442">
        <f t="shared" si="14"/>
        <v>1</v>
      </c>
      <c r="Q28" s="1442">
        <f t="shared" si="15"/>
        <v>1</v>
      </c>
      <c r="R28" s="1442">
        <f t="shared" si="16"/>
        <v>1</v>
      </c>
      <c r="S28" s="1443">
        <f t="shared" si="17"/>
        <v>1</v>
      </c>
      <c r="T28" s="1444">
        <v>1</v>
      </c>
      <c r="U28" s="1445">
        <f t="shared" si="18"/>
        <v>1</v>
      </c>
      <c r="V28" s="1445">
        <f t="shared" si="19"/>
        <v>1</v>
      </c>
      <c r="W28" s="1445">
        <f t="shared" si="20"/>
        <v>1</v>
      </c>
      <c r="X28" s="1445">
        <f t="shared" si="21"/>
        <v>1</v>
      </c>
      <c r="Y28" s="1446">
        <f t="shared" si="22"/>
        <v>1</v>
      </c>
      <c r="Z28" s="1444">
        <v>0</v>
      </c>
      <c r="AA28" s="1445">
        <f t="shared" si="23"/>
        <v>0</v>
      </c>
      <c r="AB28" s="1445">
        <f t="shared" si="24"/>
        <v>0</v>
      </c>
      <c r="AC28" s="1445">
        <f t="shared" si="25"/>
        <v>0</v>
      </c>
      <c r="AD28" s="1445">
        <f t="shared" si="26"/>
        <v>0</v>
      </c>
      <c r="AE28" s="1446">
        <f t="shared" si="27"/>
        <v>0</v>
      </c>
    </row>
    <row r="29" spans="2:31" x14ac:dyDescent="0.2">
      <c r="B29" s="523">
        <v>2014</v>
      </c>
      <c r="C29" s="1420">
        <v>96771.806566877567</v>
      </c>
      <c r="D29" s="1421">
        <f t="shared" si="8"/>
        <v>1000000</v>
      </c>
      <c r="E29" s="1421">
        <f t="shared" si="9"/>
        <v>1000000</v>
      </c>
      <c r="F29" s="1421">
        <f t="shared" si="10"/>
        <v>1000000</v>
      </c>
      <c r="G29" s="1421">
        <f t="shared" si="11"/>
        <v>1000000</v>
      </c>
      <c r="H29" s="1422">
        <f t="shared" si="12"/>
        <v>1000000</v>
      </c>
      <c r="I29" s="1359">
        <v>0</v>
      </c>
      <c r="J29" s="524">
        <v>0</v>
      </c>
      <c r="K29" s="524">
        <v>0</v>
      </c>
      <c r="L29" s="524">
        <v>0</v>
      </c>
      <c r="M29" s="1364">
        <v>0</v>
      </c>
      <c r="N29" s="1508">
        <v>6.271565642860951</v>
      </c>
      <c r="O29" s="1442">
        <f t="shared" si="13"/>
        <v>1</v>
      </c>
      <c r="P29" s="1442">
        <f t="shared" si="14"/>
        <v>1</v>
      </c>
      <c r="Q29" s="1442">
        <f t="shared" si="15"/>
        <v>1</v>
      </c>
      <c r="R29" s="1442">
        <f t="shared" si="16"/>
        <v>1</v>
      </c>
      <c r="S29" s="1443">
        <f t="shared" si="17"/>
        <v>1</v>
      </c>
      <c r="T29" s="1444">
        <v>1</v>
      </c>
      <c r="U29" s="1445">
        <f t="shared" si="18"/>
        <v>1</v>
      </c>
      <c r="V29" s="1445">
        <f t="shared" si="19"/>
        <v>1</v>
      </c>
      <c r="W29" s="1445">
        <f t="shared" si="20"/>
        <v>1</v>
      </c>
      <c r="X29" s="1445">
        <f t="shared" si="21"/>
        <v>1</v>
      </c>
      <c r="Y29" s="1446">
        <f t="shared" si="22"/>
        <v>1</v>
      </c>
      <c r="Z29" s="1444">
        <v>0</v>
      </c>
      <c r="AA29" s="1445">
        <f t="shared" si="23"/>
        <v>0</v>
      </c>
      <c r="AB29" s="1445">
        <f t="shared" si="24"/>
        <v>0</v>
      </c>
      <c r="AC29" s="1445">
        <f t="shared" si="25"/>
        <v>0</v>
      </c>
      <c r="AD29" s="1445">
        <f t="shared" si="26"/>
        <v>0</v>
      </c>
      <c r="AE29" s="1446">
        <f t="shared" si="27"/>
        <v>0</v>
      </c>
    </row>
    <row r="30" spans="2:31" ht="15" thickBot="1" x14ac:dyDescent="0.25">
      <c r="B30" s="525">
        <v>2015</v>
      </c>
      <c r="C30" s="1423">
        <v>96771.806566877567</v>
      </c>
      <c r="D30" s="1424">
        <f t="shared" si="8"/>
        <v>1000000</v>
      </c>
      <c r="E30" s="1424">
        <f t="shared" si="9"/>
        <v>1000000</v>
      </c>
      <c r="F30" s="1424">
        <f t="shared" si="10"/>
        <v>1000000</v>
      </c>
      <c r="G30" s="1424">
        <f t="shared" si="11"/>
        <v>1000000</v>
      </c>
      <c r="H30" s="1425">
        <f t="shared" si="12"/>
        <v>1000000</v>
      </c>
      <c r="I30" s="1360">
        <v>0</v>
      </c>
      <c r="J30" s="526">
        <v>0</v>
      </c>
      <c r="K30" s="526">
        <v>0</v>
      </c>
      <c r="L30" s="526">
        <v>0</v>
      </c>
      <c r="M30" s="1365">
        <v>0</v>
      </c>
      <c r="N30" s="1509">
        <v>6.3449696493508245</v>
      </c>
      <c r="O30" s="1448">
        <f t="shared" si="13"/>
        <v>1</v>
      </c>
      <c r="P30" s="1448">
        <f t="shared" si="14"/>
        <v>1</v>
      </c>
      <c r="Q30" s="1459">
        <f t="shared" si="15"/>
        <v>1</v>
      </c>
      <c r="R30" s="1459">
        <f t="shared" si="16"/>
        <v>1</v>
      </c>
      <c r="S30" s="1460">
        <f t="shared" si="17"/>
        <v>1</v>
      </c>
      <c r="T30" s="1450">
        <v>1</v>
      </c>
      <c r="U30" s="1451">
        <f t="shared" si="18"/>
        <v>1</v>
      </c>
      <c r="V30" s="1451">
        <f t="shared" si="19"/>
        <v>1</v>
      </c>
      <c r="W30" s="1451">
        <f t="shared" si="20"/>
        <v>1</v>
      </c>
      <c r="X30" s="1451">
        <f t="shared" si="21"/>
        <v>1</v>
      </c>
      <c r="Y30" s="1452">
        <f t="shared" si="22"/>
        <v>1</v>
      </c>
      <c r="Z30" s="1450">
        <v>0</v>
      </c>
      <c r="AA30" s="1451">
        <f t="shared" si="23"/>
        <v>0</v>
      </c>
      <c r="AB30" s="1451">
        <f t="shared" si="24"/>
        <v>0</v>
      </c>
      <c r="AC30" s="1451">
        <f t="shared" si="25"/>
        <v>0</v>
      </c>
      <c r="AD30" s="1451">
        <f t="shared" si="26"/>
        <v>0</v>
      </c>
      <c r="AE30" s="1452">
        <f t="shared" si="27"/>
        <v>0</v>
      </c>
    </row>
    <row r="31" spans="2:31" x14ac:dyDescent="0.2">
      <c r="B31" s="527">
        <v>2016</v>
      </c>
      <c r="C31" s="1426">
        <v>96771.806566877567</v>
      </c>
      <c r="D31" s="1427">
        <f t="shared" si="8"/>
        <v>1000000</v>
      </c>
      <c r="E31" s="1427">
        <f t="shared" si="9"/>
        <v>1000000</v>
      </c>
      <c r="F31" s="1427">
        <f t="shared" si="10"/>
        <v>1000000</v>
      </c>
      <c r="G31" s="1427">
        <f t="shared" si="11"/>
        <v>1000000</v>
      </c>
      <c r="H31" s="1428">
        <f t="shared" si="12"/>
        <v>1000000</v>
      </c>
      <c r="I31" s="1358">
        <v>0</v>
      </c>
      <c r="J31" s="528">
        <v>0</v>
      </c>
      <c r="K31" s="528">
        <v>0</v>
      </c>
      <c r="L31" s="528">
        <v>0</v>
      </c>
      <c r="M31" s="1363">
        <v>0</v>
      </c>
      <c r="N31" s="1510">
        <v>6.4041892526830697</v>
      </c>
      <c r="O31" s="1442">
        <f t="shared" si="13"/>
        <v>1</v>
      </c>
      <c r="P31" s="1442">
        <f t="shared" si="14"/>
        <v>1</v>
      </c>
      <c r="Q31" s="1461">
        <f t="shared" si="15"/>
        <v>1</v>
      </c>
      <c r="R31" s="1461">
        <f t="shared" si="16"/>
        <v>1</v>
      </c>
      <c r="S31" s="1462">
        <f t="shared" si="17"/>
        <v>1</v>
      </c>
      <c r="T31" s="1456">
        <v>1</v>
      </c>
      <c r="U31" s="1457">
        <f t="shared" si="18"/>
        <v>1</v>
      </c>
      <c r="V31" s="1457">
        <f t="shared" si="19"/>
        <v>1</v>
      </c>
      <c r="W31" s="1457">
        <f t="shared" si="20"/>
        <v>1</v>
      </c>
      <c r="X31" s="1457">
        <f t="shared" si="21"/>
        <v>1</v>
      </c>
      <c r="Y31" s="1458">
        <f t="shared" si="22"/>
        <v>1</v>
      </c>
      <c r="Z31" s="1456">
        <v>0</v>
      </c>
      <c r="AA31" s="1457">
        <f t="shared" si="23"/>
        <v>0</v>
      </c>
      <c r="AB31" s="1457">
        <f t="shared" si="24"/>
        <v>0</v>
      </c>
      <c r="AC31" s="1457">
        <f t="shared" si="25"/>
        <v>0</v>
      </c>
      <c r="AD31" s="1457">
        <f t="shared" si="26"/>
        <v>0</v>
      </c>
      <c r="AE31" s="1458">
        <f t="shared" si="27"/>
        <v>0</v>
      </c>
    </row>
    <row r="32" spans="2:31" x14ac:dyDescent="0.2">
      <c r="B32" s="523">
        <v>2017</v>
      </c>
      <c r="C32" s="1420">
        <v>96771.806566877567</v>
      </c>
      <c r="D32" s="1421">
        <f t="shared" si="8"/>
        <v>1000000</v>
      </c>
      <c r="E32" s="1421">
        <f t="shared" si="9"/>
        <v>1000000</v>
      </c>
      <c r="F32" s="1421">
        <f t="shared" si="10"/>
        <v>1000000</v>
      </c>
      <c r="G32" s="1421">
        <f t="shared" si="11"/>
        <v>1000000</v>
      </c>
      <c r="H32" s="1422">
        <f t="shared" si="12"/>
        <v>1000000</v>
      </c>
      <c r="I32" s="1359">
        <v>0</v>
      </c>
      <c r="J32" s="524">
        <v>0</v>
      </c>
      <c r="K32" s="524">
        <v>0</v>
      </c>
      <c r="L32" s="524">
        <v>0</v>
      </c>
      <c r="M32" s="1364">
        <v>0</v>
      </c>
      <c r="N32" s="1508">
        <v>6.4980207200052869</v>
      </c>
      <c r="O32" s="1442">
        <f t="shared" si="13"/>
        <v>1</v>
      </c>
      <c r="P32" s="1442">
        <f t="shared" si="14"/>
        <v>1</v>
      </c>
      <c r="Q32" s="1461">
        <f t="shared" si="15"/>
        <v>1</v>
      </c>
      <c r="R32" s="1461">
        <f t="shared" si="16"/>
        <v>1</v>
      </c>
      <c r="S32" s="1462">
        <f t="shared" si="17"/>
        <v>1</v>
      </c>
      <c r="T32" s="1444">
        <v>1</v>
      </c>
      <c r="U32" s="1445">
        <f t="shared" si="18"/>
        <v>1</v>
      </c>
      <c r="V32" s="1445">
        <f t="shared" si="19"/>
        <v>1</v>
      </c>
      <c r="W32" s="1445">
        <f t="shared" si="20"/>
        <v>1</v>
      </c>
      <c r="X32" s="1445">
        <f t="shared" si="21"/>
        <v>1</v>
      </c>
      <c r="Y32" s="1446">
        <f t="shared" si="22"/>
        <v>1</v>
      </c>
      <c r="Z32" s="1444">
        <v>0</v>
      </c>
      <c r="AA32" s="1445">
        <f t="shared" si="23"/>
        <v>0</v>
      </c>
      <c r="AB32" s="1445">
        <f t="shared" si="24"/>
        <v>0</v>
      </c>
      <c r="AC32" s="1445">
        <f t="shared" si="25"/>
        <v>0</v>
      </c>
      <c r="AD32" s="1445">
        <f t="shared" si="26"/>
        <v>0</v>
      </c>
      <c r="AE32" s="1446">
        <f t="shared" si="27"/>
        <v>0</v>
      </c>
    </row>
    <row r="33" spans="2:31" x14ac:dyDescent="0.2">
      <c r="B33" s="523">
        <v>2018</v>
      </c>
      <c r="C33" s="1420">
        <v>96771.806566877567</v>
      </c>
      <c r="D33" s="1421">
        <f t="shared" si="8"/>
        <v>1000000</v>
      </c>
      <c r="E33" s="1421">
        <f t="shared" si="9"/>
        <v>1000000</v>
      </c>
      <c r="F33" s="1421">
        <f t="shared" si="10"/>
        <v>1000000</v>
      </c>
      <c r="G33" s="1421">
        <f t="shared" si="11"/>
        <v>1000000</v>
      </c>
      <c r="H33" s="1422">
        <f t="shared" si="12"/>
        <v>1000000</v>
      </c>
      <c r="I33" s="1359">
        <v>0</v>
      </c>
      <c r="J33" s="524">
        <v>0</v>
      </c>
      <c r="K33" s="524">
        <v>0</v>
      </c>
      <c r="L33" s="524">
        <v>0</v>
      </c>
      <c r="M33" s="1364">
        <v>0</v>
      </c>
      <c r="N33" s="1508">
        <v>6.7882707106377262</v>
      </c>
      <c r="O33" s="1442">
        <f t="shared" si="13"/>
        <v>1</v>
      </c>
      <c r="P33" s="1442">
        <f t="shared" si="14"/>
        <v>1</v>
      </c>
      <c r="Q33" s="1461">
        <f t="shared" si="15"/>
        <v>1</v>
      </c>
      <c r="R33" s="1461">
        <f t="shared" si="16"/>
        <v>1</v>
      </c>
      <c r="S33" s="1462">
        <f t="shared" si="17"/>
        <v>1</v>
      </c>
      <c r="T33" s="1444">
        <v>1</v>
      </c>
      <c r="U33" s="1445">
        <f t="shared" si="18"/>
        <v>1</v>
      </c>
      <c r="V33" s="1445">
        <f t="shared" si="19"/>
        <v>1</v>
      </c>
      <c r="W33" s="1445">
        <f t="shared" si="20"/>
        <v>1</v>
      </c>
      <c r="X33" s="1445">
        <f t="shared" si="21"/>
        <v>1</v>
      </c>
      <c r="Y33" s="1446">
        <f t="shared" si="22"/>
        <v>1</v>
      </c>
      <c r="Z33" s="1444">
        <v>0</v>
      </c>
      <c r="AA33" s="1445">
        <f t="shared" si="23"/>
        <v>0</v>
      </c>
      <c r="AB33" s="1445">
        <f t="shared" si="24"/>
        <v>0</v>
      </c>
      <c r="AC33" s="1445">
        <f t="shared" si="25"/>
        <v>0</v>
      </c>
      <c r="AD33" s="1445">
        <f t="shared" si="26"/>
        <v>0</v>
      </c>
      <c r="AE33" s="1446">
        <f t="shared" si="27"/>
        <v>0</v>
      </c>
    </row>
    <row r="34" spans="2:31" x14ac:dyDescent="0.2">
      <c r="B34" s="523">
        <v>2019</v>
      </c>
      <c r="C34" s="1420">
        <v>96771.806566877567</v>
      </c>
      <c r="D34" s="1421">
        <v>1000000</v>
      </c>
      <c r="E34" s="1421">
        <v>1000000</v>
      </c>
      <c r="F34" s="1421">
        <v>1000000</v>
      </c>
      <c r="G34" s="1421">
        <v>1000000</v>
      </c>
      <c r="H34" s="1422">
        <v>1000000</v>
      </c>
      <c r="I34" s="1359">
        <v>0</v>
      </c>
      <c r="J34" s="524">
        <v>0</v>
      </c>
      <c r="K34" s="524">
        <v>0</v>
      </c>
      <c r="L34" s="524">
        <v>0</v>
      </c>
      <c r="M34" s="1364">
        <v>0</v>
      </c>
      <c r="N34" s="1508">
        <v>6.8198260867882965</v>
      </c>
      <c r="O34" s="1442">
        <v>1</v>
      </c>
      <c r="P34" s="1442">
        <v>1</v>
      </c>
      <c r="Q34" s="1461">
        <v>1</v>
      </c>
      <c r="R34" s="1461">
        <v>1</v>
      </c>
      <c r="S34" s="1462">
        <v>1</v>
      </c>
      <c r="T34" s="1444">
        <v>1</v>
      </c>
      <c r="U34" s="1445">
        <v>1</v>
      </c>
      <c r="V34" s="1445">
        <v>1</v>
      </c>
      <c r="W34" s="1445">
        <v>1</v>
      </c>
      <c r="X34" s="1445">
        <v>1</v>
      </c>
      <c r="Y34" s="1446">
        <f t="shared" si="22"/>
        <v>1</v>
      </c>
      <c r="Z34" s="1444">
        <v>0</v>
      </c>
      <c r="AA34" s="1445">
        <v>0</v>
      </c>
      <c r="AB34" s="1445">
        <v>0</v>
      </c>
      <c r="AC34" s="1445">
        <v>0</v>
      </c>
      <c r="AD34" s="1445">
        <v>0</v>
      </c>
      <c r="AE34" s="1446">
        <v>0</v>
      </c>
    </row>
    <row r="35" spans="2:31" ht="15" thickBot="1" x14ac:dyDescent="0.25">
      <c r="B35" s="525">
        <v>2020</v>
      </c>
      <c r="C35" s="1423">
        <v>96771.806566877567</v>
      </c>
      <c r="D35" s="1424">
        <v>1000000</v>
      </c>
      <c r="E35" s="1424">
        <v>1000000</v>
      </c>
      <c r="F35" s="1424">
        <v>1000000</v>
      </c>
      <c r="G35" s="1424">
        <v>1000000</v>
      </c>
      <c r="H35" s="1425">
        <v>1000000</v>
      </c>
      <c r="I35" s="1360">
        <v>0</v>
      </c>
      <c r="J35" s="526">
        <v>0</v>
      </c>
      <c r="K35" s="526">
        <v>0</v>
      </c>
      <c r="L35" s="526">
        <v>0</v>
      </c>
      <c r="M35" s="1365">
        <v>0</v>
      </c>
      <c r="N35" s="1509">
        <v>6.8652961720744159</v>
      </c>
      <c r="O35" s="1448">
        <v>1</v>
      </c>
      <c r="P35" s="1448">
        <v>1</v>
      </c>
      <c r="Q35" s="1459">
        <v>1</v>
      </c>
      <c r="R35" s="1459">
        <v>1</v>
      </c>
      <c r="S35" s="1460">
        <v>1</v>
      </c>
      <c r="T35" s="1450">
        <v>1</v>
      </c>
      <c r="U35" s="1451">
        <v>1</v>
      </c>
      <c r="V35" s="1451">
        <v>1</v>
      </c>
      <c r="W35" s="1451">
        <v>1</v>
      </c>
      <c r="X35" s="1451">
        <v>1</v>
      </c>
      <c r="Y35" s="1452">
        <v>1</v>
      </c>
      <c r="Z35" s="1450">
        <v>0</v>
      </c>
      <c r="AA35" s="1451">
        <v>0</v>
      </c>
      <c r="AB35" s="1451">
        <v>0</v>
      </c>
      <c r="AC35" s="1451">
        <v>0</v>
      </c>
      <c r="AD35" s="1451">
        <v>0</v>
      </c>
      <c r="AE35" s="1452">
        <v>0</v>
      </c>
    </row>
    <row r="36" spans="2:31" x14ac:dyDescent="0.2">
      <c r="B36" s="527">
        <v>2021</v>
      </c>
      <c r="C36" s="1426">
        <v>97040.03007304229</v>
      </c>
      <c r="D36" s="1427">
        <v>840.46527088408766</v>
      </c>
      <c r="E36" s="1427">
        <v>1666.4794172293186</v>
      </c>
      <c r="F36" s="1427">
        <v>13109.729877727412</v>
      </c>
      <c r="G36" s="1427">
        <v>144164.79851970976</v>
      </c>
      <c r="H36" s="1428">
        <v>254951.09746535946</v>
      </c>
      <c r="I36" s="1358">
        <v>0</v>
      </c>
      <c r="J36" s="528">
        <v>0</v>
      </c>
      <c r="K36" s="528">
        <v>0</v>
      </c>
      <c r="L36" s="528">
        <v>0</v>
      </c>
      <c r="M36" s="1363">
        <v>0</v>
      </c>
      <c r="N36" s="1510">
        <v>7.1066946066856191</v>
      </c>
      <c r="O36" s="1454">
        <v>7.2514618381519949</v>
      </c>
      <c r="P36" s="1454">
        <v>7.642758539201461</v>
      </c>
      <c r="Q36" s="1461">
        <v>8.252103623726434</v>
      </c>
      <c r="R36" s="1461">
        <v>7.3375200040858592</v>
      </c>
      <c r="S36" s="1462">
        <v>19.338612344170912</v>
      </c>
      <c r="T36" s="1456">
        <v>1</v>
      </c>
      <c r="U36" s="1457">
        <v>1</v>
      </c>
      <c r="V36" s="1457">
        <v>1</v>
      </c>
      <c r="W36" s="1457">
        <v>1</v>
      </c>
      <c r="X36" s="1457">
        <v>20.378453913383929</v>
      </c>
      <c r="Y36" s="1458">
        <v>1</v>
      </c>
      <c r="Z36" s="1456">
        <v>0</v>
      </c>
      <c r="AA36" s="1457">
        <v>0</v>
      </c>
      <c r="AB36" s="1457">
        <v>0</v>
      </c>
      <c r="AC36" s="1457">
        <v>0</v>
      </c>
      <c r="AD36" s="1457">
        <v>153.2027870307013</v>
      </c>
      <c r="AE36" s="1458">
        <v>292.4829655213137</v>
      </c>
    </row>
    <row r="37" spans="2:31" x14ac:dyDescent="0.2">
      <c r="B37" s="523">
        <v>2022</v>
      </c>
      <c r="C37" s="1420">
        <v>97308.253579207012</v>
      </c>
      <c r="D37" s="1421">
        <v>1680.9305417681753</v>
      </c>
      <c r="E37" s="1421">
        <v>2360.5513691763335</v>
      </c>
      <c r="F37" s="1421">
        <v>12471.3290793755</v>
      </c>
      <c r="G37" s="1421">
        <v>122356.24341838573</v>
      </c>
      <c r="H37" s="1422">
        <v>215138.05970907584</v>
      </c>
      <c r="I37" s="1359">
        <v>0</v>
      </c>
      <c r="J37" s="524">
        <v>0</v>
      </c>
      <c r="K37" s="524">
        <v>0</v>
      </c>
      <c r="L37" s="524">
        <v>0</v>
      </c>
      <c r="M37" s="1364">
        <v>0</v>
      </c>
      <c r="N37" s="1508">
        <v>7.2549468572317179</v>
      </c>
      <c r="O37" s="1442">
        <v>7.5470263474657688</v>
      </c>
      <c r="P37" s="1442">
        <v>7.9604767491506108</v>
      </c>
      <c r="Q37" s="1463">
        <v>8.5867009582406837</v>
      </c>
      <c r="R37" s="1463">
        <v>7.7492075439830908</v>
      </c>
      <c r="S37" s="1464">
        <v>20.10703473654937</v>
      </c>
      <c r="T37" s="1444">
        <v>1</v>
      </c>
      <c r="U37" s="1445">
        <v>1</v>
      </c>
      <c r="V37" s="1445">
        <v>1</v>
      </c>
      <c r="W37" s="1445">
        <v>1</v>
      </c>
      <c r="X37" s="1445">
        <v>21.149650146430997</v>
      </c>
      <c r="Y37" s="1446">
        <v>1</v>
      </c>
      <c r="Z37" s="1444">
        <v>0</v>
      </c>
      <c r="AA37" s="1445">
        <v>0</v>
      </c>
      <c r="AB37" s="1445">
        <v>0</v>
      </c>
      <c r="AC37" s="1445">
        <v>0</v>
      </c>
      <c r="AD37" s="1445">
        <v>152.74080023675674</v>
      </c>
      <c r="AE37" s="1446">
        <v>292.4526104465981</v>
      </c>
    </row>
    <row r="38" spans="2:31" x14ac:dyDescent="0.2">
      <c r="B38" s="523">
        <v>2023</v>
      </c>
      <c r="C38" s="1420">
        <v>97576.477085371735</v>
      </c>
      <c r="D38" s="1421">
        <v>2521.395812652263</v>
      </c>
      <c r="E38" s="1421">
        <v>3054.6233211233484</v>
      </c>
      <c r="F38" s="1421">
        <v>11832.928281023589</v>
      </c>
      <c r="G38" s="1421">
        <v>100547.68831706169</v>
      </c>
      <c r="H38" s="1422">
        <v>175325.02195279219</v>
      </c>
      <c r="I38" s="1359">
        <v>0</v>
      </c>
      <c r="J38" s="524">
        <v>0</v>
      </c>
      <c r="K38" s="524">
        <v>0</v>
      </c>
      <c r="L38" s="524">
        <v>0</v>
      </c>
      <c r="M38" s="1364">
        <v>0</v>
      </c>
      <c r="N38" s="1508">
        <v>7.3952245468405886</v>
      </c>
      <c r="O38" s="1442">
        <v>7.8365961510935715</v>
      </c>
      <c r="P38" s="1442">
        <v>8.2719688938604357</v>
      </c>
      <c r="Q38" s="1463">
        <v>8.9144503459649904</v>
      </c>
      <c r="R38" s="1463">
        <v>8.1565012303305213</v>
      </c>
      <c r="S38" s="1464">
        <v>20.85917604808748</v>
      </c>
      <c r="T38" s="1444">
        <v>1</v>
      </c>
      <c r="U38" s="1445">
        <v>1</v>
      </c>
      <c r="V38" s="1445">
        <v>1</v>
      </c>
      <c r="W38" s="1445">
        <v>1</v>
      </c>
      <c r="X38" s="1445">
        <v>21.90311759406746</v>
      </c>
      <c r="Y38" s="1446">
        <v>1</v>
      </c>
      <c r="Z38" s="1444">
        <v>0</v>
      </c>
      <c r="AA38" s="1445">
        <v>0</v>
      </c>
      <c r="AB38" s="1445">
        <v>0</v>
      </c>
      <c r="AC38" s="1445">
        <v>0</v>
      </c>
      <c r="AD38" s="1445">
        <v>152.27881344281218</v>
      </c>
      <c r="AE38" s="1446">
        <v>292.4222553718825</v>
      </c>
    </row>
    <row r="39" spans="2:31" x14ac:dyDescent="0.2">
      <c r="B39" s="523">
        <v>2024</v>
      </c>
      <c r="C39" s="1420">
        <v>97844.700591536457</v>
      </c>
      <c r="D39" s="1421">
        <v>3361.8610835363506</v>
      </c>
      <c r="E39" s="1421">
        <v>3748.6952730703633</v>
      </c>
      <c r="F39" s="1421">
        <v>11194.527482671678</v>
      </c>
      <c r="G39" s="1421">
        <v>78739.13321573766</v>
      </c>
      <c r="H39" s="1422">
        <v>135511.98419650859</v>
      </c>
      <c r="I39" s="1359">
        <v>0</v>
      </c>
      <c r="J39" s="524">
        <v>0</v>
      </c>
      <c r="K39" s="524">
        <v>0</v>
      </c>
      <c r="L39" s="524">
        <v>0</v>
      </c>
      <c r="M39" s="1364">
        <v>0</v>
      </c>
      <c r="N39" s="1508">
        <v>7.5444330920738185</v>
      </c>
      <c r="O39" s="1442">
        <v>8.1378673626194438</v>
      </c>
      <c r="P39" s="1442">
        <v>8.5959051807146825</v>
      </c>
      <c r="Q39" s="1463">
        <v>9.2554843966218385</v>
      </c>
      <c r="R39" s="1463">
        <v>8.577655530394896</v>
      </c>
      <c r="S39" s="1464">
        <v>21.642168020992671</v>
      </c>
      <c r="T39" s="1444">
        <v>1</v>
      </c>
      <c r="U39" s="1445">
        <v>1</v>
      </c>
      <c r="V39" s="1445">
        <v>1</v>
      </c>
      <c r="W39" s="1445">
        <v>1</v>
      </c>
      <c r="X39" s="1445">
        <v>22.688403057509014</v>
      </c>
      <c r="Y39" s="1446">
        <v>1</v>
      </c>
      <c r="Z39" s="1444">
        <v>0</v>
      </c>
      <c r="AA39" s="1445">
        <v>0</v>
      </c>
      <c r="AB39" s="1445">
        <v>0</v>
      </c>
      <c r="AC39" s="1445">
        <v>0</v>
      </c>
      <c r="AD39" s="1445">
        <v>151.81682664886762</v>
      </c>
      <c r="AE39" s="1446">
        <v>292.3919002971669</v>
      </c>
    </row>
    <row r="40" spans="2:31" ht="15" thickBot="1" x14ac:dyDescent="0.25">
      <c r="B40" s="525">
        <v>2025</v>
      </c>
      <c r="C40" s="1423">
        <v>98112.924097701165</v>
      </c>
      <c r="D40" s="1424">
        <v>4202.3263544204674</v>
      </c>
      <c r="E40" s="1424">
        <v>4442.7672250173928</v>
      </c>
      <c r="F40" s="1424">
        <v>10556.126684319781</v>
      </c>
      <c r="G40" s="1424">
        <v>56930.578114413584</v>
      </c>
      <c r="H40" s="1425">
        <v>95698.946440225016</v>
      </c>
      <c r="I40" s="1360">
        <v>0</v>
      </c>
      <c r="J40" s="526">
        <v>0</v>
      </c>
      <c r="K40" s="526">
        <v>0</v>
      </c>
      <c r="L40" s="526">
        <v>0</v>
      </c>
      <c r="M40" s="1365">
        <v>0</v>
      </c>
      <c r="N40" s="1509">
        <v>7.6904954072333691</v>
      </c>
      <c r="O40" s="1448">
        <v>8.438014936260716</v>
      </c>
      <c r="P40" s="1448">
        <v>8.9187469265359489</v>
      </c>
      <c r="Q40" s="1459">
        <v>9.5952144109461681</v>
      </c>
      <c r="R40" s="1459">
        <v>8.9993014444510671</v>
      </c>
      <c r="S40" s="1460">
        <v>22.421876989082108</v>
      </c>
      <c r="T40" s="1450">
        <v>1</v>
      </c>
      <c r="U40" s="1451">
        <v>1</v>
      </c>
      <c r="V40" s="1451">
        <v>1</v>
      </c>
      <c r="W40" s="1451">
        <v>1</v>
      </c>
      <c r="X40" s="1451">
        <v>23.46967157835418</v>
      </c>
      <c r="Y40" s="1452">
        <v>1</v>
      </c>
      <c r="Z40" s="1450">
        <v>0</v>
      </c>
      <c r="AA40" s="1451">
        <v>0</v>
      </c>
      <c r="AB40" s="1451">
        <v>0</v>
      </c>
      <c r="AC40" s="1451">
        <v>0</v>
      </c>
      <c r="AD40" s="1451">
        <v>151.35483985492303</v>
      </c>
      <c r="AE40" s="1452">
        <v>292.36154522245141</v>
      </c>
    </row>
    <row r="41" spans="2:31" x14ac:dyDescent="0.2">
      <c r="B41" s="527">
        <v>2026</v>
      </c>
      <c r="C41" s="1426">
        <v>98535.258281973045</v>
      </c>
      <c r="D41" s="1427">
        <v>4373.8152336049534</v>
      </c>
      <c r="E41" s="1427">
        <v>4579.0086429013609</v>
      </c>
      <c r="F41" s="1427">
        <v>10405.351335317668</v>
      </c>
      <c r="G41" s="1427">
        <v>52011.723754359904</v>
      </c>
      <c r="H41" s="1428">
        <v>86083.468857967993</v>
      </c>
      <c r="I41" s="1358">
        <v>0</v>
      </c>
      <c r="J41" s="528">
        <v>0</v>
      </c>
      <c r="K41" s="528">
        <v>0</v>
      </c>
      <c r="L41" s="528">
        <v>0</v>
      </c>
      <c r="M41" s="1363">
        <v>0</v>
      </c>
      <c r="N41" s="1510">
        <v>7.8796174660298455</v>
      </c>
      <c r="O41" s="1454">
        <v>8.7883235625922929</v>
      </c>
      <c r="P41" s="1454">
        <v>9.2947241149660904</v>
      </c>
      <c r="Q41" s="1461">
        <v>9.9919516873462335</v>
      </c>
      <c r="R41" s="1461">
        <v>9.4765614577954143</v>
      </c>
      <c r="S41" s="1462">
        <v>23.334503972412637</v>
      </c>
      <c r="T41" s="1456">
        <v>1</v>
      </c>
      <c r="U41" s="1457">
        <v>1</v>
      </c>
      <c r="V41" s="1457">
        <v>1</v>
      </c>
      <c r="W41" s="1457">
        <v>1</v>
      </c>
      <c r="X41" s="1457">
        <v>24.389342503615332</v>
      </c>
      <c r="Y41" s="1458">
        <v>1</v>
      </c>
      <c r="Z41" s="1456">
        <v>0</v>
      </c>
      <c r="AA41" s="1457">
        <v>0</v>
      </c>
      <c r="AB41" s="1457">
        <v>0</v>
      </c>
      <c r="AC41" s="1457">
        <v>0</v>
      </c>
      <c r="AD41" s="1457">
        <v>152.00858941626836</v>
      </c>
      <c r="AE41" s="1458">
        <v>294.4439753397204</v>
      </c>
    </row>
    <row r="42" spans="2:31" x14ac:dyDescent="0.2">
      <c r="B42" s="523">
        <v>2027</v>
      </c>
      <c r="C42" s="1420">
        <v>98957.592466244925</v>
      </c>
      <c r="D42" s="1421">
        <v>4545.3041127894394</v>
      </c>
      <c r="E42" s="1421">
        <v>4715.250060785329</v>
      </c>
      <c r="F42" s="1421">
        <v>10254.575986315554</v>
      </c>
      <c r="G42" s="1421">
        <v>47092.869394306224</v>
      </c>
      <c r="H42" s="1422">
        <v>76467.991275710971</v>
      </c>
      <c r="I42" s="1359">
        <v>0</v>
      </c>
      <c r="J42" s="524">
        <v>0</v>
      </c>
      <c r="K42" s="524">
        <v>0</v>
      </c>
      <c r="L42" s="524">
        <v>0</v>
      </c>
      <c r="M42" s="1364">
        <v>0</v>
      </c>
      <c r="N42" s="1508">
        <v>8.0838815874836101</v>
      </c>
      <c r="O42" s="1442">
        <v>9.1593786749555619</v>
      </c>
      <c r="P42" s="1442">
        <v>9.6927950245681878</v>
      </c>
      <c r="Q42" s="1463">
        <v>10.412233966282747</v>
      </c>
      <c r="R42" s="1463">
        <v>9.9789475009735593</v>
      </c>
      <c r="S42" s="1464">
        <v>24.301731930902008</v>
      </c>
      <c r="T42" s="1444">
        <v>1</v>
      </c>
      <c r="U42" s="1445">
        <v>1</v>
      </c>
      <c r="V42" s="1445">
        <v>1</v>
      </c>
      <c r="W42" s="1445">
        <v>1</v>
      </c>
      <c r="X42" s="1445">
        <v>25.365135612382058</v>
      </c>
      <c r="Y42" s="1446">
        <v>1</v>
      </c>
      <c r="Z42" s="1444">
        <v>0</v>
      </c>
      <c r="AA42" s="1445">
        <v>0</v>
      </c>
      <c r="AB42" s="1445">
        <v>0</v>
      </c>
      <c r="AC42" s="1445">
        <v>0</v>
      </c>
      <c r="AD42" s="1445">
        <v>152.6623389776137</v>
      </c>
      <c r="AE42" s="1446">
        <v>296.52640545698938</v>
      </c>
    </row>
    <row r="43" spans="2:31" x14ac:dyDescent="0.2">
      <c r="B43" s="523">
        <v>2028</v>
      </c>
      <c r="C43" s="1420">
        <v>99379.926650516805</v>
      </c>
      <c r="D43" s="1421">
        <v>4716.7929919739254</v>
      </c>
      <c r="E43" s="1421">
        <v>4851.4914786692971</v>
      </c>
      <c r="F43" s="1421">
        <v>10103.800637313441</v>
      </c>
      <c r="G43" s="1421">
        <v>42174.015034252545</v>
      </c>
      <c r="H43" s="1422">
        <v>66852.513693453948</v>
      </c>
      <c r="I43" s="1359">
        <v>0</v>
      </c>
      <c r="J43" s="524">
        <v>0</v>
      </c>
      <c r="K43" s="524">
        <v>0</v>
      </c>
      <c r="L43" s="524">
        <v>0</v>
      </c>
      <c r="M43" s="1364">
        <v>0</v>
      </c>
      <c r="N43" s="1508">
        <v>8.1579983898762283</v>
      </c>
      <c r="O43" s="1442">
        <v>9.3847120142735569</v>
      </c>
      <c r="P43" s="1442">
        <v>9.9367251422608067</v>
      </c>
      <c r="Q43" s="1463">
        <v>10.666843043707351</v>
      </c>
      <c r="R43" s="1463">
        <v>10.3237961938114</v>
      </c>
      <c r="S43" s="1464">
        <v>24.882114628625285</v>
      </c>
      <c r="T43" s="1444">
        <v>1</v>
      </c>
      <c r="U43" s="1445">
        <v>1</v>
      </c>
      <c r="V43" s="1445">
        <v>1</v>
      </c>
      <c r="W43" s="1445">
        <v>1</v>
      </c>
      <c r="X43" s="1445">
        <v>25.936734864408546</v>
      </c>
      <c r="Y43" s="1446">
        <v>1</v>
      </c>
      <c r="Z43" s="1444">
        <v>0</v>
      </c>
      <c r="AA43" s="1445">
        <v>0</v>
      </c>
      <c r="AB43" s="1445">
        <v>0</v>
      </c>
      <c r="AC43" s="1445">
        <v>0</v>
      </c>
      <c r="AD43" s="1445">
        <v>153.31608853895904</v>
      </c>
      <c r="AE43" s="1446">
        <v>298.60883557425836</v>
      </c>
    </row>
    <row r="44" spans="2:31" x14ac:dyDescent="0.2">
      <c r="B44" s="523">
        <v>2029</v>
      </c>
      <c r="C44" s="1420">
        <v>99802.260834788685</v>
      </c>
      <c r="D44" s="1421">
        <v>4888.2818711584114</v>
      </c>
      <c r="E44" s="1421">
        <v>4987.7328965532652</v>
      </c>
      <c r="F44" s="1421">
        <v>9953.025288311328</v>
      </c>
      <c r="G44" s="1421">
        <v>37255.160674198865</v>
      </c>
      <c r="H44" s="1422">
        <v>57237.036111196925</v>
      </c>
      <c r="I44" s="1359">
        <v>0</v>
      </c>
      <c r="J44" s="524">
        <v>0</v>
      </c>
      <c r="K44" s="524">
        <v>0</v>
      </c>
      <c r="L44" s="524">
        <v>0</v>
      </c>
      <c r="M44" s="1364">
        <v>0</v>
      </c>
      <c r="N44" s="1508">
        <v>8.3204018705413638</v>
      </c>
      <c r="O44" s="1442">
        <v>9.7125571365681882</v>
      </c>
      <c r="P44" s="1442">
        <v>10.289233048717541</v>
      </c>
      <c r="Q44" s="1463">
        <v>11.037958743380047</v>
      </c>
      <c r="R44" s="1463">
        <v>10.782071844137519</v>
      </c>
      <c r="S44" s="1464">
        <v>25.734175887171379</v>
      </c>
      <c r="T44" s="1444">
        <v>1</v>
      </c>
      <c r="U44" s="1445">
        <v>1</v>
      </c>
      <c r="V44" s="1445">
        <v>1</v>
      </c>
      <c r="W44" s="1445">
        <v>1</v>
      </c>
      <c r="X44" s="1445">
        <v>26.791301395835184</v>
      </c>
      <c r="Y44" s="1446">
        <v>1</v>
      </c>
      <c r="Z44" s="1444">
        <v>0</v>
      </c>
      <c r="AA44" s="1445">
        <v>0</v>
      </c>
      <c r="AB44" s="1445">
        <v>0</v>
      </c>
      <c r="AC44" s="1445">
        <v>0</v>
      </c>
      <c r="AD44" s="1445">
        <v>153.96983810030437</v>
      </c>
      <c r="AE44" s="1446">
        <v>300.69126569152735</v>
      </c>
    </row>
    <row r="45" spans="2:31" ht="15" thickBot="1" x14ac:dyDescent="0.25">
      <c r="B45" s="525">
        <v>2030</v>
      </c>
      <c r="C45" s="1423">
        <v>100224.59501906054</v>
      </c>
      <c r="D45" s="1514">
        <v>5059.7707503429119</v>
      </c>
      <c r="E45" s="1514">
        <v>5123.9743144372333</v>
      </c>
      <c r="F45" s="1424">
        <v>9802.2499393092439</v>
      </c>
      <c r="G45" s="1424">
        <v>32336.306314145273</v>
      </c>
      <c r="H45" s="1425">
        <v>47621.558528939873</v>
      </c>
      <c r="I45" s="1360">
        <v>0</v>
      </c>
      <c r="J45" s="526">
        <v>0</v>
      </c>
      <c r="K45" s="526">
        <v>0</v>
      </c>
      <c r="L45" s="526">
        <v>0</v>
      </c>
      <c r="M45" s="1365">
        <v>0</v>
      </c>
      <c r="N45" s="1509">
        <v>8.4596513418802797</v>
      </c>
      <c r="O45" s="1448">
        <v>10.015389114320127</v>
      </c>
      <c r="P45" s="1448">
        <v>10.615318411461462</v>
      </c>
      <c r="Q45" s="1459">
        <v>11.380626544197902</v>
      </c>
      <c r="R45" s="1459">
        <v>11.213954622667076</v>
      </c>
      <c r="S45" s="1460">
        <v>26.51972111238014</v>
      </c>
      <c r="T45" s="1450">
        <v>1</v>
      </c>
      <c r="U45" s="1451">
        <v>1</v>
      </c>
      <c r="V45" s="1451">
        <v>1</v>
      </c>
      <c r="W45" s="1451">
        <v>1</v>
      </c>
      <c r="X45" s="1451">
        <v>27.576145944293774</v>
      </c>
      <c r="Y45" s="1452">
        <v>1</v>
      </c>
      <c r="Z45" s="1450">
        <v>0</v>
      </c>
      <c r="AA45" s="1451">
        <v>0</v>
      </c>
      <c r="AB45" s="1451">
        <v>0</v>
      </c>
      <c r="AC45" s="1451">
        <v>0</v>
      </c>
      <c r="AD45" s="1451">
        <v>154.62358766164965</v>
      </c>
      <c r="AE45" s="1452">
        <v>302.77369580879645</v>
      </c>
    </row>
    <row r="46" spans="2:31" x14ac:dyDescent="0.2">
      <c r="B46" s="527">
        <v>2031</v>
      </c>
      <c r="C46" s="1426">
        <v>100224.59501906054</v>
      </c>
      <c r="D46" s="1427">
        <v>5059.7707503429119</v>
      </c>
      <c r="E46" s="1427">
        <v>5123.9743144372333</v>
      </c>
      <c r="F46" s="1427">
        <v>10076.401732986604</v>
      </c>
      <c r="G46" s="1427">
        <v>30465.139959469729</v>
      </c>
      <c r="H46" s="1428">
        <v>43697.808657362766</v>
      </c>
      <c r="I46" s="1358">
        <v>0</v>
      </c>
      <c r="J46" s="528">
        <v>0</v>
      </c>
      <c r="K46" s="528">
        <v>0</v>
      </c>
      <c r="L46" s="528">
        <v>0</v>
      </c>
      <c r="M46" s="1363">
        <v>0</v>
      </c>
      <c r="N46" s="1510">
        <v>8.4765855799556995</v>
      </c>
      <c r="O46" s="1454">
        <f>$N46*O45/$N45</f>
        <v>10.035437574572883</v>
      </c>
      <c r="P46" s="1454">
        <f t="shared" ref="P46:Q65" si="28">$N46*P45/$N45</f>
        <v>10.636567789474968</v>
      </c>
      <c r="Q46" s="1461">
        <v>11.517968900373031</v>
      </c>
      <c r="R46" s="1461">
        <v>11.42376443404703</v>
      </c>
      <c r="S46" s="1462">
        <v>26.785155926023332</v>
      </c>
      <c r="T46" s="1456">
        <v>1</v>
      </c>
      <c r="U46" s="1457">
        <v>1</v>
      </c>
      <c r="V46" s="1457">
        <v>1</v>
      </c>
      <c r="W46" s="1457">
        <v>1</v>
      </c>
      <c r="X46" s="1457">
        <v>27.857908909155185</v>
      </c>
      <c r="Y46" s="1458">
        <v>1</v>
      </c>
      <c r="Z46" s="1456">
        <v>0</v>
      </c>
      <c r="AA46" s="1457">
        <v>0</v>
      </c>
      <c r="AB46" s="1457">
        <v>0</v>
      </c>
      <c r="AC46" s="1457">
        <v>0</v>
      </c>
      <c r="AD46" s="1457">
        <v>155.26752124817588</v>
      </c>
      <c r="AE46" s="1458">
        <v>303.88180125889505</v>
      </c>
    </row>
    <row r="47" spans="2:31" x14ac:dyDescent="0.2">
      <c r="B47" s="523">
        <v>2032</v>
      </c>
      <c r="C47" s="1420">
        <v>100224.59501906054</v>
      </c>
      <c r="D47" s="1427">
        <v>5059.7707503429119</v>
      </c>
      <c r="E47" s="1427">
        <v>5123.9743144372333</v>
      </c>
      <c r="F47" s="1427">
        <v>10350.553526663964</v>
      </c>
      <c r="G47" s="1427">
        <v>28593.973604794184</v>
      </c>
      <c r="H47" s="1428">
        <v>39774.058785785659</v>
      </c>
      <c r="I47" s="1359">
        <v>0</v>
      </c>
      <c r="J47" s="529">
        <v>0</v>
      </c>
      <c r="K47" s="524">
        <v>0</v>
      </c>
      <c r="L47" s="529">
        <v>0</v>
      </c>
      <c r="M47" s="1364">
        <v>0</v>
      </c>
      <c r="N47" s="1510">
        <v>8.4935198180311193</v>
      </c>
      <c r="O47" s="1442">
        <f t="shared" ref="O47:O65" si="29">$N47*O46/$N46</f>
        <v>10.055486034825639</v>
      </c>
      <c r="P47" s="1442">
        <f t="shared" si="28"/>
        <v>10.657817167488474</v>
      </c>
      <c r="Q47" s="1463">
        <v>11.655768988830102</v>
      </c>
      <c r="R47" s="1463">
        <v>11.634322856868829</v>
      </c>
      <c r="S47" s="1464">
        <v>27.051439185278891</v>
      </c>
      <c r="T47" s="1456">
        <v>1</v>
      </c>
      <c r="U47" s="1457">
        <v>1</v>
      </c>
      <c r="V47" s="1457">
        <v>1</v>
      </c>
      <c r="W47" s="1457">
        <v>1</v>
      </c>
      <c r="X47" s="1457">
        <v>28.140577109881232</v>
      </c>
      <c r="Y47" s="1458">
        <v>1</v>
      </c>
      <c r="Z47" s="1456">
        <v>0</v>
      </c>
      <c r="AA47" s="1457">
        <v>0</v>
      </c>
      <c r="AB47" s="1457">
        <v>0</v>
      </c>
      <c r="AC47" s="1457">
        <v>0</v>
      </c>
      <c r="AD47" s="1457">
        <v>155.91145483470211</v>
      </c>
      <c r="AE47" s="1458">
        <v>304.98990670899366</v>
      </c>
    </row>
    <row r="48" spans="2:31" x14ac:dyDescent="0.2">
      <c r="B48" s="523">
        <v>2033</v>
      </c>
      <c r="C48" s="1420">
        <v>100224.59501906054</v>
      </c>
      <c r="D48" s="1427">
        <v>5059.7707503429119</v>
      </c>
      <c r="E48" s="1427">
        <v>5123.9743144372333</v>
      </c>
      <c r="F48" s="1427">
        <v>10624.705320341323</v>
      </c>
      <c r="G48" s="1427">
        <v>26722.80725011864</v>
      </c>
      <c r="H48" s="1428">
        <v>35850.308914208552</v>
      </c>
      <c r="I48" s="1359">
        <v>0</v>
      </c>
      <c r="J48" s="524">
        <v>0</v>
      </c>
      <c r="K48" s="524">
        <v>0</v>
      </c>
      <c r="L48" s="524">
        <v>0</v>
      </c>
      <c r="M48" s="1364">
        <v>0</v>
      </c>
      <c r="N48" s="1510">
        <v>8.5104540561065392</v>
      </c>
      <c r="O48" s="1442">
        <f t="shared" si="29"/>
        <v>10.075534495078395</v>
      </c>
      <c r="P48" s="1442">
        <f t="shared" si="28"/>
        <v>10.67906654550198</v>
      </c>
      <c r="Q48" s="1463">
        <v>11.794026809569115</v>
      </c>
      <c r="R48" s="1463">
        <v>11.845629891132475</v>
      </c>
      <c r="S48" s="1464">
        <v>27.318570890146823</v>
      </c>
      <c r="T48" s="1456">
        <v>1</v>
      </c>
      <c r="U48" s="1457">
        <v>1</v>
      </c>
      <c r="V48" s="1457">
        <v>1</v>
      </c>
      <c r="W48" s="1457">
        <v>1</v>
      </c>
      <c r="X48" s="1457">
        <v>28.424150546471925</v>
      </c>
      <c r="Y48" s="1458">
        <v>1</v>
      </c>
      <c r="Z48" s="1456">
        <v>0</v>
      </c>
      <c r="AA48" s="1457">
        <v>0</v>
      </c>
      <c r="AB48" s="1457">
        <v>0</v>
      </c>
      <c r="AC48" s="1457">
        <v>0</v>
      </c>
      <c r="AD48" s="1457">
        <v>156.55538842122834</v>
      </c>
      <c r="AE48" s="1458">
        <v>306.09801215909226</v>
      </c>
    </row>
    <row r="49" spans="2:31" x14ac:dyDescent="0.2">
      <c r="B49" s="523">
        <v>2034</v>
      </c>
      <c r="C49" s="1420">
        <v>100224.59501906054</v>
      </c>
      <c r="D49" s="1427">
        <v>5059.7707503429119</v>
      </c>
      <c r="E49" s="1427">
        <v>5123.9743144372333</v>
      </c>
      <c r="F49" s="1427">
        <v>10898.857114018683</v>
      </c>
      <c r="G49" s="1427">
        <v>24851.640895443095</v>
      </c>
      <c r="H49" s="1428">
        <v>31926.559042631445</v>
      </c>
      <c r="I49" s="1359">
        <v>0</v>
      </c>
      <c r="J49" s="524">
        <v>0</v>
      </c>
      <c r="K49" s="524">
        <v>0</v>
      </c>
      <c r="L49" s="524">
        <v>0</v>
      </c>
      <c r="M49" s="1364">
        <v>0</v>
      </c>
      <c r="N49" s="1510">
        <v>8.5273882941819608</v>
      </c>
      <c r="O49" s="1442">
        <f t="shared" si="29"/>
        <v>10.095582955331153</v>
      </c>
      <c r="P49" s="1442">
        <f t="shared" si="28"/>
        <v>10.700315923515488</v>
      </c>
      <c r="Q49" s="1463">
        <v>11.932742362590075</v>
      </c>
      <c r="R49" s="1463">
        <v>12.057685536837971</v>
      </c>
      <c r="S49" s="1464">
        <v>27.586551040627128</v>
      </c>
      <c r="T49" s="1456">
        <v>1</v>
      </c>
      <c r="U49" s="1457">
        <v>1</v>
      </c>
      <c r="V49" s="1457">
        <v>1</v>
      </c>
      <c r="W49" s="1457">
        <v>1</v>
      </c>
      <c r="X49" s="1457">
        <v>28.708629218927264</v>
      </c>
      <c r="Y49" s="1458">
        <v>1</v>
      </c>
      <c r="Z49" s="1456">
        <v>0</v>
      </c>
      <c r="AA49" s="1457">
        <v>0</v>
      </c>
      <c r="AB49" s="1457">
        <v>0</v>
      </c>
      <c r="AC49" s="1457">
        <v>0</v>
      </c>
      <c r="AD49" s="1457">
        <v>157.19932200775457</v>
      </c>
      <c r="AE49" s="1458">
        <v>307.20611760919087</v>
      </c>
    </row>
    <row r="50" spans="2:31" ht="15" thickBot="1" x14ac:dyDescent="0.25">
      <c r="B50" s="530">
        <v>2035</v>
      </c>
      <c r="C50" s="1429">
        <v>100224.59501906054</v>
      </c>
      <c r="D50" s="1430">
        <v>5059.7707503429119</v>
      </c>
      <c r="E50" s="1430">
        <v>5123.9743144372333</v>
      </c>
      <c r="F50" s="1430">
        <v>11173.008907696058</v>
      </c>
      <c r="G50" s="1430">
        <v>22980.474540767522</v>
      </c>
      <c r="H50" s="1431">
        <v>28002.809171054396</v>
      </c>
      <c r="I50" s="1361">
        <v>0</v>
      </c>
      <c r="J50" s="531">
        <v>0</v>
      </c>
      <c r="K50" s="531">
        <v>0</v>
      </c>
      <c r="L50" s="531">
        <v>0</v>
      </c>
      <c r="M50" s="1366">
        <v>0</v>
      </c>
      <c r="N50" s="1511">
        <v>8.5443225322573806</v>
      </c>
      <c r="O50" s="1448">
        <f t="shared" si="29"/>
        <v>10.115631415583909</v>
      </c>
      <c r="P50" s="1448">
        <f t="shared" si="28"/>
        <v>10.721565301528994</v>
      </c>
      <c r="Q50" s="1459">
        <v>12.071915647892972</v>
      </c>
      <c r="R50" s="1459">
        <v>12.270489793985307</v>
      </c>
      <c r="S50" s="1460">
        <v>27.855379636719789</v>
      </c>
      <c r="T50" s="1466">
        <v>1</v>
      </c>
      <c r="U50" s="1467">
        <v>1</v>
      </c>
      <c r="V50" s="1467">
        <v>1</v>
      </c>
      <c r="W50" s="1467">
        <v>1</v>
      </c>
      <c r="X50" s="1467">
        <v>28.994013127247239</v>
      </c>
      <c r="Y50" s="1468">
        <v>1</v>
      </c>
      <c r="Z50" s="1466">
        <v>0</v>
      </c>
      <c r="AA50" s="1467">
        <v>0</v>
      </c>
      <c r="AB50" s="1467">
        <v>0</v>
      </c>
      <c r="AC50" s="1467">
        <v>0</v>
      </c>
      <c r="AD50" s="1467">
        <v>157.84325559428083</v>
      </c>
      <c r="AE50" s="1468">
        <v>308.31422305928947</v>
      </c>
    </row>
    <row r="51" spans="2:31" x14ac:dyDescent="0.2">
      <c r="B51" s="532">
        <v>2036</v>
      </c>
      <c r="C51" s="1417">
        <v>100224.59501906054</v>
      </c>
      <c r="D51" s="1418">
        <v>5059.7707503429119</v>
      </c>
      <c r="E51" s="1418">
        <v>5123.9743144372333</v>
      </c>
      <c r="F51" s="1515">
        <v>11472.423184880303</v>
      </c>
      <c r="G51" s="1418">
        <v>22995.141953531071</v>
      </c>
      <c r="H51" s="1419">
        <v>27642.703353960344</v>
      </c>
      <c r="I51" s="1362">
        <v>0</v>
      </c>
      <c r="J51" s="533">
        <v>0</v>
      </c>
      <c r="K51" s="533">
        <v>0</v>
      </c>
      <c r="L51" s="533">
        <v>0</v>
      </c>
      <c r="M51" s="1367">
        <v>0</v>
      </c>
      <c r="N51" s="1507">
        <v>8.5444945413697049</v>
      </c>
      <c r="O51" s="1436">
        <f t="shared" si="29"/>
        <v>10.115835057332429</v>
      </c>
      <c r="P51" s="1436">
        <f t="shared" si="28"/>
        <v>10.721781141570528</v>
      </c>
      <c r="Q51" s="1469">
        <f t="shared" si="28"/>
        <v>12.072158672367623</v>
      </c>
      <c r="R51" s="1469">
        <v>12.341382408440833</v>
      </c>
      <c r="S51" s="1470">
        <v>27.952689269003422</v>
      </c>
      <c r="T51" s="1438">
        <v>1</v>
      </c>
      <c r="U51" s="1439">
        <v>1</v>
      </c>
      <c r="V51" s="1439">
        <v>1</v>
      </c>
      <c r="W51" s="1439">
        <v>1</v>
      </c>
      <c r="X51" s="1439">
        <v>29.096687729032773</v>
      </c>
      <c r="Y51" s="1440">
        <v>1</v>
      </c>
      <c r="Z51" s="1438">
        <v>0</v>
      </c>
      <c r="AA51" s="1439">
        <v>0</v>
      </c>
      <c r="AB51" s="1439">
        <v>0</v>
      </c>
      <c r="AC51" s="1439">
        <v>0</v>
      </c>
      <c r="AD51" s="1439">
        <v>158.13927134135037</v>
      </c>
      <c r="AE51" s="1440">
        <v>308.91458792033222</v>
      </c>
    </row>
    <row r="52" spans="2:31" x14ac:dyDescent="0.2">
      <c r="B52" s="523">
        <v>2037</v>
      </c>
      <c r="C52" s="1420">
        <v>100224.59501906054</v>
      </c>
      <c r="D52" s="1421">
        <v>5059.7707503429119</v>
      </c>
      <c r="E52" s="1421">
        <v>5123.9743144372333</v>
      </c>
      <c r="F52" s="1421">
        <v>11472.423184880303</v>
      </c>
      <c r="G52" s="1421">
        <v>23009.809366294619</v>
      </c>
      <c r="H52" s="1422">
        <v>27282.597536866291</v>
      </c>
      <c r="I52" s="1359">
        <v>0</v>
      </c>
      <c r="J52" s="524">
        <v>0</v>
      </c>
      <c r="K52" s="524">
        <v>0</v>
      </c>
      <c r="L52" s="524">
        <v>0</v>
      </c>
      <c r="M52" s="1364">
        <v>0</v>
      </c>
      <c r="N52" s="1508">
        <v>8.5450857966197695</v>
      </c>
      <c r="O52" s="1442">
        <f t="shared" si="29"/>
        <v>10.116535044974469</v>
      </c>
      <c r="P52" s="1442">
        <f t="shared" si="28"/>
        <v>10.722523058995755</v>
      </c>
      <c r="Q52" s="1463">
        <f t="shared" si="28"/>
        <v>12.072994032161008</v>
      </c>
      <c r="R52" s="1463">
        <v>12.412886878652932</v>
      </c>
      <c r="S52" s="1464">
        <v>28.05137907678122</v>
      </c>
      <c r="T52" s="1444">
        <v>1</v>
      </c>
      <c r="U52" s="1445">
        <v>1</v>
      </c>
      <c r="V52" s="1445">
        <v>1</v>
      </c>
      <c r="W52" s="1445">
        <v>1</v>
      </c>
      <c r="X52" s="1445">
        <v>29.20079911519996</v>
      </c>
      <c r="Y52" s="1446">
        <v>1</v>
      </c>
      <c r="Z52" s="1444">
        <v>0</v>
      </c>
      <c r="AA52" s="1445">
        <v>0</v>
      </c>
      <c r="AB52" s="1445">
        <v>0</v>
      </c>
      <c r="AC52" s="1445">
        <v>0</v>
      </c>
      <c r="AD52" s="1445">
        <v>158.4352870884199</v>
      </c>
      <c r="AE52" s="1446">
        <v>309.51495278137497</v>
      </c>
    </row>
    <row r="53" spans="2:31" x14ac:dyDescent="0.2">
      <c r="B53" s="523">
        <v>2038</v>
      </c>
      <c r="C53" s="1420">
        <v>100224.59501906054</v>
      </c>
      <c r="D53" s="1421">
        <v>5059.7707503429119</v>
      </c>
      <c r="E53" s="1421">
        <v>5123.9743144372333</v>
      </c>
      <c r="F53" s="1421">
        <v>11472.423184880303</v>
      </c>
      <c r="G53" s="1421">
        <v>23024.476779058168</v>
      </c>
      <c r="H53" s="1422">
        <v>26922.491719772239</v>
      </c>
      <c r="I53" s="1359">
        <v>0</v>
      </c>
      <c r="J53" s="524">
        <v>0</v>
      </c>
      <c r="K53" s="524">
        <v>0</v>
      </c>
      <c r="L53" s="524">
        <v>0</v>
      </c>
      <c r="M53" s="1364">
        <v>0</v>
      </c>
      <c r="N53" s="1508">
        <v>8.5458752554962878</v>
      </c>
      <c r="O53" s="1442">
        <f t="shared" si="29"/>
        <v>10.11746968607474</v>
      </c>
      <c r="P53" s="1442">
        <f t="shared" si="28"/>
        <v>10.723513685796828</v>
      </c>
      <c r="Q53" s="1463">
        <f t="shared" si="28"/>
        <v>12.074109425561577</v>
      </c>
      <c r="R53" s="1463">
        <v>12.484690681998952</v>
      </c>
      <c r="S53" s="1464">
        <v>28.150735171236917</v>
      </c>
      <c r="T53" s="1444">
        <v>1</v>
      </c>
      <c r="U53" s="1445">
        <v>1</v>
      </c>
      <c r="V53" s="1445">
        <v>1</v>
      </c>
      <c r="W53" s="1445">
        <v>1</v>
      </c>
      <c r="X53" s="1445">
        <v>29.305604312118653</v>
      </c>
      <c r="Y53" s="1446">
        <v>1</v>
      </c>
      <c r="Z53" s="1444">
        <v>0</v>
      </c>
      <c r="AA53" s="1445">
        <v>0</v>
      </c>
      <c r="AB53" s="1445">
        <v>0</v>
      </c>
      <c r="AC53" s="1445">
        <v>0</v>
      </c>
      <c r="AD53" s="1445">
        <v>158.73130283548943</v>
      </c>
      <c r="AE53" s="1446">
        <v>310.11531764241772</v>
      </c>
    </row>
    <row r="54" spans="2:31" x14ac:dyDescent="0.2">
      <c r="B54" s="523">
        <v>2039</v>
      </c>
      <c r="C54" s="1420">
        <v>100224.59501906054</v>
      </c>
      <c r="D54" s="1421">
        <v>5059.7707503429119</v>
      </c>
      <c r="E54" s="1421">
        <v>5123.9743144372333</v>
      </c>
      <c r="F54" s="1421">
        <v>11472.423184880303</v>
      </c>
      <c r="G54" s="1421">
        <v>23039.144191821717</v>
      </c>
      <c r="H54" s="1422">
        <v>26562.385902678187</v>
      </c>
      <c r="I54" s="1359">
        <v>0</v>
      </c>
      <c r="J54" s="524">
        <v>0</v>
      </c>
      <c r="K54" s="524">
        <v>0</v>
      </c>
      <c r="L54" s="524">
        <v>0</v>
      </c>
      <c r="M54" s="1364">
        <v>0</v>
      </c>
      <c r="N54" s="1508">
        <v>8.5469273081410861</v>
      </c>
      <c r="O54" s="1442">
        <f t="shared" si="29"/>
        <v>10.118715212182209</v>
      </c>
      <c r="P54" s="1442">
        <f t="shared" si="28"/>
        <v>10.724833819849501</v>
      </c>
      <c r="Q54" s="1463">
        <f t="shared" si="28"/>
        <v>12.075595826705401</v>
      </c>
      <c r="R54" s="1463">
        <v>12.556893334797435</v>
      </c>
      <c r="S54" s="1464">
        <v>28.250977120018931</v>
      </c>
      <c r="T54" s="1444">
        <v>1</v>
      </c>
      <c r="U54" s="1445">
        <v>1</v>
      </c>
      <c r="V54" s="1445">
        <v>1</v>
      </c>
      <c r="W54" s="1445">
        <v>1</v>
      </c>
      <c r="X54" s="1445">
        <v>29.411332000976703</v>
      </c>
      <c r="Y54" s="1446">
        <v>1</v>
      </c>
      <c r="Z54" s="1444">
        <v>0</v>
      </c>
      <c r="AA54" s="1445">
        <v>0</v>
      </c>
      <c r="AB54" s="1445">
        <v>0</v>
      </c>
      <c r="AC54" s="1445">
        <v>0</v>
      </c>
      <c r="AD54" s="1445">
        <v>159.02731858255896</v>
      </c>
      <c r="AE54" s="1446">
        <v>310.71568250346047</v>
      </c>
    </row>
    <row r="55" spans="2:31" ht="15" thickBot="1" x14ac:dyDescent="0.25">
      <c r="B55" s="525">
        <v>2040</v>
      </c>
      <c r="C55" s="1423">
        <v>100224.59501906054</v>
      </c>
      <c r="D55" s="1424">
        <v>5059.7707503429119</v>
      </c>
      <c r="E55" s="1424">
        <v>5123.9743144372333</v>
      </c>
      <c r="F55" s="1424">
        <v>11472.423184880303</v>
      </c>
      <c r="G55" s="1424">
        <v>23053.811604585266</v>
      </c>
      <c r="H55" s="1425">
        <v>26202.280085584134</v>
      </c>
      <c r="I55" s="1360">
        <v>0</v>
      </c>
      <c r="J55" s="526">
        <v>0</v>
      </c>
      <c r="K55" s="526">
        <v>0</v>
      </c>
      <c r="L55" s="526">
        <v>0</v>
      </c>
      <c r="M55" s="1365">
        <v>0</v>
      </c>
      <c r="N55" s="1509">
        <v>8.5484593706521306</v>
      </c>
      <c r="O55" s="1448">
        <f t="shared" si="29"/>
        <v>10.120529022418053</v>
      </c>
      <c r="P55" s="1448">
        <f t="shared" si="28"/>
        <v>10.726756278674783</v>
      </c>
      <c r="Q55" s="1459">
        <f t="shared" si="28"/>
        <v>12.077760413696447</v>
      </c>
      <c r="R55" s="1459">
        <v>12.629822569300575</v>
      </c>
      <c r="S55" s="1460">
        <v>28.352834951169029</v>
      </c>
      <c r="T55" s="1450">
        <v>1</v>
      </c>
      <c r="U55" s="1451">
        <v>1</v>
      </c>
      <c r="V55" s="1451">
        <v>1</v>
      </c>
      <c r="W55" s="1451">
        <v>1</v>
      </c>
      <c r="X55" s="1451">
        <v>29.518742355289458</v>
      </c>
      <c r="Y55" s="1452">
        <v>1</v>
      </c>
      <c r="Z55" s="1450">
        <v>0</v>
      </c>
      <c r="AA55" s="1451">
        <v>0</v>
      </c>
      <c r="AB55" s="1451">
        <v>0</v>
      </c>
      <c r="AC55" s="1451">
        <v>0</v>
      </c>
      <c r="AD55" s="1451">
        <v>159.32333432962849</v>
      </c>
      <c r="AE55" s="1452">
        <v>311.31604736450322</v>
      </c>
    </row>
    <row r="56" spans="2:31" x14ac:dyDescent="0.2">
      <c r="B56" s="532">
        <v>2041</v>
      </c>
      <c r="C56" s="1417">
        <v>100224.59501906054</v>
      </c>
      <c r="D56" s="1418">
        <v>5059.7707503429119</v>
      </c>
      <c r="E56" s="1418">
        <v>5123.9743144372333</v>
      </c>
      <c r="F56" s="1418">
        <v>11472.423184880303</v>
      </c>
      <c r="G56" s="1418">
        <v>23068.479017348815</v>
      </c>
      <c r="H56" s="1419">
        <v>25842.174268490082</v>
      </c>
      <c r="I56" s="1362">
        <v>0</v>
      </c>
      <c r="J56" s="533">
        <v>0</v>
      </c>
      <c r="K56" s="533">
        <v>0</v>
      </c>
      <c r="L56" s="533">
        <v>0</v>
      </c>
      <c r="M56" s="1367">
        <v>0</v>
      </c>
      <c r="N56" s="1507">
        <v>8.5501630690723598</v>
      </c>
      <c r="O56" s="1454">
        <f t="shared" si="29"/>
        <v>10.122546032566872</v>
      </c>
      <c r="P56" s="1454">
        <f t="shared" si="28"/>
        <v>10.728894109239773</v>
      </c>
      <c r="Q56" s="1454">
        <f t="shared" si="28"/>
        <v>12.080167497879049</v>
      </c>
      <c r="R56" s="1454">
        <v>12.703032138457624</v>
      </c>
      <c r="S56" s="1455">
        <v>28.455298688698463</v>
      </c>
      <c r="T56" s="1438">
        <v>1</v>
      </c>
      <c r="U56" s="1439">
        <v>1</v>
      </c>
      <c r="V56" s="1439">
        <v>1</v>
      </c>
      <c r="W56" s="1439">
        <v>1</v>
      </c>
      <c r="X56" s="1439">
        <v>29.626784048071297</v>
      </c>
      <c r="Y56" s="1440">
        <v>1</v>
      </c>
      <c r="Z56" s="1438">
        <v>0</v>
      </c>
      <c r="AA56" s="1439">
        <v>0</v>
      </c>
      <c r="AB56" s="1439">
        <v>0</v>
      </c>
      <c r="AC56" s="1439">
        <v>0</v>
      </c>
      <c r="AD56" s="1439">
        <v>159.61935007669803</v>
      </c>
      <c r="AE56" s="1440">
        <v>311.91641222554597</v>
      </c>
    </row>
    <row r="57" spans="2:31" x14ac:dyDescent="0.2">
      <c r="B57" s="523">
        <v>2042</v>
      </c>
      <c r="C57" s="1420">
        <v>100224.59501906054</v>
      </c>
      <c r="D57" s="1421">
        <v>5059.7707503429119</v>
      </c>
      <c r="E57" s="1421">
        <v>5123.9743144372333</v>
      </c>
      <c r="F57" s="1421">
        <v>11472.423184880303</v>
      </c>
      <c r="G57" s="1421">
        <v>23083.146430112363</v>
      </c>
      <c r="H57" s="1422">
        <v>25482.06845139603</v>
      </c>
      <c r="I57" s="1359">
        <v>0</v>
      </c>
      <c r="J57" s="524">
        <v>0</v>
      </c>
      <c r="K57" s="524">
        <v>0</v>
      </c>
      <c r="L57" s="524">
        <v>0</v>
      </c>
      <c r="M57" s="1364">
        <v>0</v>
      </c>
      <c r="N57" s="1508">
        <v>8.552006775413572</v>
      </c>
      <c r="O57" s="1442">
        <f t="shared" si="29"/>
        <v>10.124728798223934</v>
      </c>
      <c r="P57" s="1442">
        <f t="shared" si="28"/>
        <v>10.731207624191898</v>
      </c>
      <c r="Q57" s="1442">
        <f t="shared" si="28"/>
        <v>12.082772393392599</v>
      </c>
      <c r="R57" s="1442">
        <v>12.77647904810412</v>
      </c>
      <c r="S57" s="1443">
        <v>28.558268545496833</v>
      </c>
      <c r="T57" s="1444">
        <v>1</v>
      </c>
      <c r="U57" s="1445">
        <v>1</v>
      </c>
      <c r="V57" s="1445">
        <v>1</v>
      </c>
      <c r="W57" s="1445">
        <v>1</v>
      </c>
      <c r="X57" s="1445">
        <v>29.73535326090752</v>
      </c>
      <c r="Y57" s="1446">
        <v>1</v>
      </c>
      <c r="Z57" s="1444">
        <v>0</v>
      </c>
      <c r="AA57" s="1445">
        <v>0</v>
      </c>
      <c r="AB57" s="1445">
        <v>0</v>
      </c>
      <c r="AC57" s="1445">
        <v>0</v>
      </c>
      <c r="AD57" s="1445">
        <v>159.91536582376756</v>
      </c>
      <c r="AE57" s="1446">
        <v>312.51677708658872</v>
      </c>
    </row>
    <row r="58" spans="2:31" x14ac:dyDescent="0.2">
      <c r="B58" s="523">
        <v>2043</v>
      </c>
      <c r="C58" s="1420">
        <v>100224.59501906054</v>
      </c>
      <c r="D58" s="1421">
        <v>5059.7707503429119</v>
      </c>
      <c r="E58" s="1421">
        <v>5123.9743144372333</v>
      </c>
      <c r="F58" s="1421">
        <v>11472.423184880303</v>
      </c>
      <c r="G58" s="1421">
        <v>23097.813842875912</v>
      </c>
      <c r="H58" s="1422">
        <v>25121.962634301977</v>
      </c>
      <c r="I58" s="1359">
        <v>0</v>
      </c>
      <c r="J58" s="524">
        <v>0</v>
      </c>
      <c r="K58" s="524">
        <v>0</v>
      </c>
      <c r="L58" s="524">
        <v>0</v>
      </c>
      <c r="M58" s="1364">
        <v>0</v>
      </c>
      <c r="N58" s="1508">
        <v>8.5541625159132924</v>
      </c>
      <c r="O58" s="1442">
        <f t="shared" si="29"/>
        <v>10.127280981412301</v>
      </c>
      <c r="P58" s="1442">
        <f t="shared" si="28"/>
        <v>10.733912685061691</v>
      </c>
      <c r="Q58" s="1442">
        <f t="shared" si="28"/>
        <v>12.085818148907226</v>
      </c>
      <c r="R58" s="1442">
        <v>12.850425196081595</v>
      </c>
      <c r="S58" s="1443">
        <v>28.662325683640393</v>
      </c>
      <c r="T58" s="1444">
        <v>1</v>
      </c>
      <c r="U58" s="1445">
        <v>1</v>
      </c>
      <c r="V58" s="1445">
        <v>1</v>
      </c>
      <c r="W58" s="1445">
        <v>1</v>
      </c>
      <c r="X58" s="1445">
        <v>29.845055203445884</v>
      </c>
      <c r="Y58" s="1446">
        <v>1</v>
      </c>
      <c r="Z58" s="1444">
        <v>0</v>
      </c>
      <c r="AA58" s="1445">
        <v>0</v>
      </c>
      <c r="AB58" s="1445">
        <v>0</v>
      </c>
      <c r="AC58" s="1445">
        <v>0</v>
      </c>
      <c r="AD58" s="1445">
        <v>160.21138157083709</v>
      </c>
      <c r="AE58" s="1446">
        <v>313.11714194763147</v>
      </c>
    </row>
    <row r="59" spans="2:31" x14ac:dyDescent="0.2">
      <c r="B59" s="523">
        <v>2044</v>
      </c>
      <c r="C59" s="1420">
        <v>100224.59501906054</v>
      </c>
      <c r="D59" s="1421">
        <v>5059.7707503429119</v>
      </c>
      <c r="E59" s="1421">
        <v>5123.9743144372333</v>
      </c>
      <c r="F59" s="1421">
        <v>11472.423184880303</v>
      </c>
      <c r="G59" s="1421">
        <v>23112.481255639461</v>
      </c>
      <c r="H59" s="1422">
        <v>24761.856817207925</v>
      </c>
      <c r="I59" s="1359">
        <v>0</v>
      </c>
      <c r="J59" s="524">
        <v>0</v>
      </c>
      <c r="K59" s="524">
        <v>0</v>
      </c>
      <c r="L59" s="524">
        <v>0</v>
      </c>
      <c r="M59" s="1364">
        <v>0</v>
      </c>
      <c r="N59" s="1508">
        <v>8.5564345191960758</v>
      </c>
      <c r="O59" s="1442">
        <f t="shared" si="29"/>
        <v>10.12997080821798</v>
      </c>
      <c r="P59" s="1442">
        <f t="shared" si="28"/>
        <v>10.736763634504399</v>
      </c>
      <c r="Q59" s="1442">
        <f t="shared" si="28"/>
        <v>12.089028167241382</v>
      </c>
      <c r="R59" s="1442">
        <v>12.924582607371574</v>
      </c>
      <c r="S59" s="1443">
        <v>28.766822517152743</v>
      </c>
      <c r="T59" s="1444">
        <v>1</v>
      </c>
      <c r="U59" s="1445">
        <v>1</v>
      </c>
      <c r="V59" s="1445">
        <v>1</v>
      </c>
      <c r="W59" s="1445">
        <v>1</v>
      </c>
      <c r="X59" s="1445">
        <v>29.955215684507468</v>
      </c>
      <c r="Y59" s="1446">
        <v>1</v>
      </c>
      <c r="Z59" s="1444">
        <v>0</v>
      </c>
      <c r="AA59" s="1445">
        <v>0</v>
      </c>
      <c r="AB59" s="1445">
        <v>0</v>
      </c>
      <c r="AC59" s="1445">
        <v>0</v>
      </c>
      <c r="AD59" s="1445">
        <v>160.50739731790662</v>
      </c>
      <c r="AE59" s="1446">
        <v>313.71750680867422</v>
      </c>
    </row>
    <row r="60" spans="2:31" ht="15" thickBot="1" x14ac:dyDescent="0.25">
      <c r="B60" s="525">
        <v>2045</v>
      </c>
      <c r="C60" s="1423">
        <v>100224.59501906054</v>
      </c>
      <c r="D60" s="1424">
        <v>5059.7707503429119</v>
      </c>
      <c r="E60" s="1424">
        <v>5123.9743144372333</v>
      </c>
      <c r="F60" s="1424">
        <v>11472.423184880303</v>
      </c>
      <c r="G60" s="1424">
        <v>23127.14866840301</v>
      </c>
      <c r="H60" s="1425">
        <v>24401.751000113873</v>
      </c>
      <c r="I60" s="1360">
        <v>0</v>
      </c>
      <c r="J60" s="526">
        <v>0</v>
      </c>
      <c r="K60" s="526">
        <v>0</v>
      </c>
      <c r="L60" s="526">
        <v>0</v>
      </c>
      <c r="M60" s="1365">
        <v>0</v>
      </c>
      <c r="N60" s="1509">
        <v>8.5588402101966423</v>
      </c>
      <c r="O60" s="1448">
        <f t="shared" si="29"/>
        <v>10.132818908037438</v>
      </c>
      <c r="P60" s="1448">
        <f t="shared" si="28"/>
        <v>10.739782337632763</v>
      </c>
      <c r="Q60" s="1448">
        <f t="shared" si="28"/>
        <v>12.092427067355944</v>
      </c>
      <c r="R60" s="1448">
        <v>12.998980630356771</v>
      </c>
      <c r="S60" s="1449">
        <v>28.871821775460866</v>
      </c>
      <c r="T60" s="1450">
        <v>1</v>
      </c>
      <c r="U60" s="1451">
        <v>1</v>
      </c>
      <c r="V60" s="1451">
        <v>1</v>
      </c>
      <c r="W60" s="1451">
        <v>1</v>
      </c>
      <c r="X60" s="1451">
        <v>30.065900082605818</v>
      </c>
      <c r="Y60" s="1452">
        <v>1</v>
      </c>
      <c r="Z60" s="1450">
        <v>0</v>
      </c>
      <c r="AA60" s="1451">
        <v>0</v>
      </c>
      <c r="AB60" s="1451">
        <v>0</v>
      </c>
      <c r="AC60" s="1451">
        <v>0</v>
      </c>
      <c r="AD60" s="1451">
        <v>160.80341306497616</v>
      </c>
      <c r="AE60" s="1452">
        <v>314.31787166971696</v>
      </c>
    </row>
    <row r="61" spans="2:31" x14ac:dyDescent="0.2">
      <c r="B61" s="532">
        <v>2046</v>
      </c>
      <c r="C61" s="1417">
        <v>100224.59501906054</v>
      </c>
      <c r="D61" s="1418">
        <v>5059.7707503429119</v>
      </c>
      <c r="E61" s="1418">
        <v>5123.9743144372333</v>
      </c>
      <c r="F61" s="1418">
        <v>11472.423184880303</v>
      </c>
      <c r="G61" s="1418">
        <v>23141.816081166558</v>
      </c>
      <c r="H61" s="1419">
        <v>24041.64518301982</v>
      </c>
      <c r="I61" s="1362">
        <v>0</v>
      </c>
      <c r="J61" s="533">
        <v>0</v>
      </c>
      <c r="K61" s="533">
        <v>0</v>
      </c>
      <c r="L61" s="533">
        <v>0</v>
      </c>
      <c r="M61" s="1367">
        <v>0</v>
      </c>
      <c r="N61" s="1507">
        <v>8.5606020112770658</v>
      </c>
      <c r="O61" s="1436">
        <f t="shared" si="29"/>
        <v>10.134904705979856</v>
      </c>
      <c r="P61" s="1436">
        <f t="shared" si="28"/>
        <v>10.741993076431626</v>
      </c>
      <c r="Q61" s="1436">
        <f t="shared" si="28"/>
        <v>12.094916242355009</v>
      </c>
      <c r="R61" s="1436">
        <v>13.072435183999087</v>
      </c>
      <c r="S61" s="1437">
        <v>28.974696166673027</v>
      </c>
      <c r="T61" s="1438">
        <v>1</v>
      </c>
      <c r="U61" s="1439">
        <v>1</v>
      </c>
      <c r="V61" s="1439">
        <v>1</v>
      </c>
      <c r="W61" s="1439">
        <v>1</v>
      </c>
      <c r="X61" s="1439">
        <v>30.17437238745957</v>
      </c>
      <c r="Y61" s="1440">
        <v>1</v>
      </c>
      <c r="Z61" s="1438">
        <v>0</v>
      </c>
      <c r="AA61" s="1439">
        <v>0</v>
      </c>
      <c r="AB61" s="1439">
        <v>0</v>
      </c>
      <c r="AC61" s="1439">
        <v>0</v>
      </c>
      <c r="AD61" s="1439">
        <v>161.09942881204569</v>
      </c>
      <c r="AE61" s="1440">
        <v>314.91823653075971</v>
      </c>
    </row>
    <row r="62" spans="2:31" x14ac:dyDescent="0.2">
      <c r="B62" s="523">
        <v>2047</v>
      </c>
      <c r="C62" s="1420">
        <v>100224.59501906054</v>
      </c>
      <c r="D62" s="1421">
        <v>5059.7707503429119</v>
      </c>
      <c r="E62" s="1421">
        <v>5123.9743144372333</v>
      </c>
      <c r="F62" s="1421">
        <v>11472.423184880303</v>
      </c>
      <c r="G62" s="1421">
        <v>23156.483493930107</v>
      </c>
      <c r="H62" s="1422">
        <v>23681.539365925768</v>
      </c>
      <c r="I62" s="1359">
        <v>0</v>
      </c>
      <c r="J62" s="524">
        <v>0</v>
      </c>
      <c r="K62" s="524">
        <v>0</v>
      </c>
      <c r="L62" s="524">
        <v>0</v>
      </c>
      <c r="M62" s="1364">
        <v>0</v>
      </c>
      <c r="N62" s="1508">
        <v>8.5625313997551658</v>
      </c>
      <c r="O62" s="1442">
        <f t="shared" si="29"/>
        <v>10.137188910798701</v>
      </c>
      <c r="P62" s="1442">
        <f t="shared" si="28"/>
        <v>10.744414106827175</v>
      </c>
      <c r="Q62" s="1442">
        <f t="shared" si="28"/>
        <v>12.097642194573186</v>
      </c>
      <c r="R62" s="1442">
        <v>13.146176169978935</v>
      </c>
      <c r="S62" s="1443">
        <v>29.078179578785281</v>
      </c>
      <c r="T62" s="1444">
        <v>1</v>
      </c>
      <c r="U62" s="1445">
        <v>1</v>
      </c>
      <c r="V62" s="1445">
        <v>1</v>
      </c>
      <c r="W62" s="1445">
        <v>1</v>
      </c>
      <c r="X62" s="1445">
        <v>30.283479506527545</v>
      </c>
      <c r="Y62" s="1446">
        <v>1</v>
      </c>
      <c r="Z62" s="1444">
        <v>0</v>
      </c>
      <c r="AA62" s="1445">
        <v>0</v>
      </c>
      <c r="AB62" s="1445">
        <v>0</v>
      </c>
      <c r="AC62" s="1445">
        <v>0</v>
      </c>
      <c r="AD62" s="1445">
        <v>161.39544455911522</v>
      </c>
      <c r="AE62" s="1446">
        <v>315.51860139180246</v>
      </c>
    </row>
    <row r="63" spans="2:31" x14ac:dyDescent="0.2">
      <c r="B63" s="523">
        <v>2048</v>
      </c>
      <c r="C63" s="1420">
        <v>100224.59501906054</v>
      </c>
      <c r="D63" s="1421">
        <v>5059.7707503429119</v>
      </c>
      <c r="E63" s="1421">
        <v>5123.9743144372333</v>
      </c>
      <c r="F63" s="1421">
        <v>11472.423184880303</v>
      </c>
      <c r="G63" s="1421">
        <v>23171.150906693656</v>
      </c>
      <c r="H63" s="1422">
        <v>23321.433548831716</v>
      </c>
      <c r="I63" s="1359">
        <v>0</v>
      </c>
      <c r="J63" s="524">
        <v>0</v>
      </c>
      <c r="K63" s="524">
        <v>0</v>
      </c>
      <c r="L63" s="524">
        <v>0</v>
      </c>
      <c r="M63" s="1364">
        <v>0</v>
      </c>
      <c r="N63" s="1508">
        <v>8.562689035627594</v>
      </c>
      <c r="O63" s="1442">
        <f t="shared" si="29"/>
        <v>10.137375536055101</v>
      </c>
      <c r="P63" s="1442">
        <f t="shared" si="28"/>
        <v>10.744611911075987</v>
      </c>
      <c r="Q63" s="1442">
        <f t="shared" si="28"/>
        <v>12.097864911698839</v>
      </c>
      <c r="R63" s="1442">
        <v>13.217214214445622</v>
      </c>
      <c r="S63" s="1443">
        <v>29.175669786952263</v>
      </c>
      <c r="T63" s="1444">
        <v>1</v>
      </c>
      <c r="U63" s="1445">
        <v>1</v>
      </c>
      <c r="V63" s="1445">
        <v>1</v>
      </c>
      <c r="W63" s="1445">
        <v>1</v>
      </c>
      <c r="X63" s="1445">
        <v>30.386345326703662</v>
      </c>
      <c r="Y63" s="1446">
        <v>1</v>
      </c>
      <c r="Z63" s="1444">
        <v>0</v>
      </c>
      <c r="AA63" s="1445">
        <v>0</v>
      </c>
      <c r="AB63" s="1445">
        <v>0</v>
      </c>
      <c r="AC63" s="1445">
        <v>0</v>
      </c>
      <c r="AD63" s="1445">
        <v>161.69146030618475</v>
      </c>
      <c r="AE63" s="1446">
        <v>316.11896625284521</v>
      </c>
    </row>
    <row r="64" spans="2:31" x14ac:dyDescent="0.2">
      <c r="B64" s="523">
        <v>2049</v>
      </c>
      <c r="C64" s="1420">
        <v>100224.59501906054</v>
      </c>
      <c r="D64" s="1421">
        <v>5059.7707503429119</v>
      </c>
      <c r="E64" s="1421">
        <v>5123.9743144372333</v>
      </c>
      <c r="F64" s="1421">
        <v>11472.423184880303</v>
      </c>
      <c r="G64" s="1421">
        <v>23185.818319457205</v>
      </c>
      <c r="H64" s="1422">
        <v>22961.327731737663</v>
      </c>
      <c r="I64" s="1359">
        <v>0</v>
      </c>
      <c r="J64" s="524">
        <v>0</v>
      </c>
      <c r="K64" s="524">
        <v>0</v>
      </c>
      <c r="L64" s="524">
        <v>0</v>
      </c>
      <c r="M64" s="1364">
        <v>0</v>
      </c>
      <c r="N64" s="1508">
        <v>8.5628466715000222</v>
      </c>
      <c r="O64" s="1442">
        <f t="shared" si="29"/>
        <v>10.137562161311502</v>
      </c>
      <c r="P64" s="1442">
        <f t="shared" si="28"/>
        <v>10.7448097153248</v>
      </c>
      <c r="Q64" s="1442">
        <f t="shared" si="28"/>
        <v>12.098087628824493</v>
      </c>
      <c r="R64" s="1442">
        <v>13.288254865568454</v>
      </c>
      <c r="S64" s="1443">
        <v>29.273163564924715</v>
      </c>
      <c r="T64" s="1444">
        <v>1</v>
      </c>
      <c r="U64" s="1445">
        <v>1</v>
      </c>
      <c r="V64" s="1445">
        <v>1</v>
      </c>
      <c r="W64" s="1445">
        <v>1</v>
      </c>
      <c r="X64" s="1445">
        <v>30.489214913794232</v>
      </c>
      <c r="Y64" s="1446">
        <v>1</v>
      </c>
      <c r="Z64" s="1444">
        <v>0</v>
      </c>
      <c r="AA64" s="1445">
        <v>0</v>
      </c>
      <c r="AB64" s="1445">
        <v>0</v>
      </c>
      <c r="AC64" s="1445">
        <v>0</v>
      </c>
      <c r="AD64" s="1445">
        <v>161.98747605325428</v>
      </c>
      <c r="AE64" s="1446">
        <v>316.71933111388796</v>
      </c>
    </row>
    <row r="65" spans="2:31" ht="15" thickBot="1" x14ac:dyDescent="0.25">
      <c r="B65" s="525">
        <v>2050</v>
      </c>
      <c r="C65" s="1423">
        <v>100224.59501906054</v>
      </c>
      <c r="D65" s="1424">
        <v>5059.7707503429119</v>
      </c>
      <c r="E65" s="1424">
        <v>5123.9743144372333</v>
      </c>
      <c r="F65" s="1424">
        <v>11472.423184880303</v>
      </c>
      <c r="G65" s="1424">
        <v>23200.485732220724</v>
      </c>
      <c r="H65" s="1425">
        <v>22601.221914643567</v>
      </c>
      <c r="I65" s="1360">
        <v>0</v>
      </c>
      <c r="J65" s="526">
        <v>0</v>
      </c>
      <c r="K65" s="526">
        <v>0</v>
      </c>
      <c r="L65" s="526">
        <v>0</v>
      </c>
      <c r="M65" s="1365">
        <v>0</v>
      </c>
      <c r="N65" s="1509">
        <v>8.5630043073724504</v>
      </c>
      <c r="O65" s="1448">
        <f t="shared" si="29"/>
        <v>10.137748786567903</v>
      </c>
      <c r="P65" s="1448">
        <f t="shared" si="28"/>
        <v>10.745007519573612</v>
      </c>
      <c r="Q65" s="1459">
        <f t="shared" si="28"/>
        <v>12.098310345950145</v>
      </c>
      <c r="R65" s="1459">
        <v>13.359298123347438</v>
      </c>
      <c r="S65" s="1460">
        <v>29.37066091270264</v>
      </c>
      <c r="T65" s="1450">
        <v>1</v>
      </c>
      <c r="U65" s="1451">
        <v>1</v>
      </c>
      <c r="V65" s="1451">
        <v>1</v>
      </c>
      <c r="W65" s="1451">
        <v>1</v>
      </c>
      <c r="X65" s="1451">
        <v>30.592088267799273</v>
      </c>
      <c r="Y65" s="1452">
        <v>1</v>
      </c>
      <c r="Z65" s="1450">
        <v>0</v>
      </c>
      <c r="AA65" s="1451">
        <v>0</v>
      </c>
      <c r="AB65" s="1451">
        <v>0</v>
      </c>
      <c r="AC65" s="1451">
        <v>0</v>
      </c>
      <c r="AD65" s="1451">
        <v>162.28349180032379</v>
      </c>
      <c r="AE65" s="1452">
        <v>317.31969597493031</v>
      </c>
    </row>
    <row r="66" spans="2:31" ht="15" thickBot="1" x14ac:dyDescent="0.25">
      <c r="C66" s="497"/>
      <c r="D66" s="497"/>
      <c r="F66" s="497"/>
    </row>
    <row r="67" spans="2:31" ht="15" thickBot="1" x14ac:dyDescent="0.25">
      <c r="B67" s="536"/>
      <c r="C67" s="537" t="s">
        <v>202</v>
      </c>
      <c r="D67" s="497"/>
      <c r="F67" s="497"/>
    </row>
    <row r="68" spans="2:31" x14ac:dyDescent="0.2">
      <c r="F68" s="534"/>
      <c r="G68" s="535"/>
      <c r="H68" s="534"/>
      <c r="I68" s="534"/>
      <c r="J68" s="534"/>
      <c r="K68" s="534"/>
      <c r="L68" s="534"/>
      <c r="M68" s="534"/>
      <c r="N68" s="534"/>
      <c r="O68" s="534"/>
      <c r="P68" s="534"/>
    </row>
    <row r="69" spans="2:31" x14ac:dyDescent="0.2">
      <c r="D69" s="537"/>
      <c r="F69" s="534"/>
      <c r="G69" s="535"/>
      <c r="H69" s="534"/>
      <c r="I69" s="534"/>
      <c r="J69" s="534"/>
      <c r="K69" s="534"/>
      <c r="L69" s="534"/>
      <c r="M69" s="534"/>
      <c r="N69" s="534"/>
      <c r="O69" s="534"/>
      <c r="P69" s="534"/>
    </row>
    <row r="70" spans="2:31" x14ac:dyDescent="0.2">
      <c r="B70" s="538"/>
      <c r="F70" s="534"/>
      <c r="G70" s="535"/>
      <c r="H70" s="534"/>
      <c r="I70" s="534"/>
      <c r="J70" s="534"/>
      <c r="K70" s="534"/>
      <c r="L70" s="534"/>
      <c r="M70" s="534"/>
      <c r="N70" s="534"/>
      <c r="O70" s="534"/>
      <c r="P70" s="534"/>
    </row>
    <row r="71" spans="2:31" x14ac:dyDescent="0.2">
      <c r="B71" s="538"/>
      <c r="C71" s="538"/>
      <c r="D71" s="538"/>
      <c r="F71" s="534"/>
      <c r="G71" s="535"/>
      <c r="H71" s="534"/>
      <c r="I71" s="534"/>
      <c r="J71" s="534"/>
      <c r="K71" s="534"/>
      <c r="L71" s="534"/>
      <c r="M71" s="534"/>
      <c r="N71" s="534"/>
      <c r="O71" s="534"/>
      <c r="P71" s="534"/>
    </row>
    <row r="72" spans="2:31" x14ac:dyDescent="0.2">
      <c r="F72" s="534"/>
      <c r="G72" s="535"/>
      <c r="H72" s="534"/>
      <c r="I72" s="534"/>
      <c r="J72" s="534"/>
      <c r="K72" s="534"/>
      <c r="L72" s="534"/>
      <c r="M72" s="534"/>
      <c r="N72" s="534"/>
      <c r="O72" s="534"/>
      <c r="P72" s="534"/>
    </row>
    <row r="73" spans="2:31" x14ac:dyDescent="0.2">
      <c r="F73" s="534"/>
      <c r="G73" s="535"/>
      <c r="H73" s="534"/>
      <c r="I73" s="534"/>
      <c r="J73" s="534"/>
      <c r="K73" s="534"/>
      <c r="L73" s="534"/>
      <c r="M73" s="534"/>
      <c r="N73" s="534"/>
      <c r="O73" s="534"/>
      <c r="P73" s="534"/>
    </row>
    <row r="74" spans="2:31" x14ac:dyDescent="0.2">
      <c r="F74" s="534"/>
      <c r="G74" s="535"/>
      <c r="H74" s="534"/>
      <c r="I74" s="534"/>
      <c r="J74" s="534"/>
      <c r="K74" s="534"/>
      <c r="L74" s="534"/>
      <c r="M74" s="534"/>
      <c r="N74" s="534"/>
      <c r="O74" s="534"/>
      <c r="P74" s="534"/>
    </row>
    <row r="75" spans="2:31" x14ac:dyDescent="0.2">
      <c r="F75" s="534"/>
      <c r="G75" s="535"/>
      <c r="H75" s="534"/>
      <c r="I75" s="534"/>
      <c r="J75" s="534"/>
      <c r="K75" s="534"/>
      <c r="L75" s="534"/>
      <c r="M75" s="534"/>
      <c r="N75" s="534"/>
      <c r="O75" s="534"/>
      <c r="P75" s="534"/>
    </row>
    <row r="76" spans="2:31" x14ac:dyDescent="0.2">
      <c r="F76" s="534"/>
      <c r="G76" s="535"/>
      <c r="H76" s="534"/>
      <c r="I76" s="534"/>
      <c r="J76" s="534"/>
      <c r="K76" s="534"/>
      <c r="L76" s="534"/>
      <c r="M76" s="534"/>
      <c r="N76" s="534"/>
      <c r="O76" s="534"/>
      <c r="P76" s="534"/>
    </row>
    <row r="77" spans="2:31" x14ac:dyDescent="0.2">
      <c r="F77" s="534"/>
      <c r="G77" s="535"/>
      <c r="H77" s="534"/>
      <c r="I77" s="534"/>
      <c r="J77" s="534"/>
      <c r="K77" s="534"/>
      <c r="L77" s="534"/>
      <c r="M77" s="534"/>
      <c r="N77" s="534"/>
      <c r="O77" s="534"/>
      <c r="P77" s="534"/>
    </row>
    <row r="78" spans="2:31" x14ac:dyDescent="0.2">
      <c r="F78" s="534"/>
      <c r="G78" s="535"/>
      <c r="H78" s="534"/>
      <c r="I78" s="534"/>
      <c r="J78" s="534"/>
      <c r="K78" s="534"/>
      <c r="L78" s="534"/>
      <c r="M78" s="534"/>
      <c r="N78" s="534"/>
      <c r="O78" s="534"/>
      <c r="P78" s="534"/>
    </row>
    <row r="79" spans="2:31" x14ac:dyDescent="0.2">
      <c r="F79" s="534"/>
      <c r="G79" s="535"/>
      <c r="H79" s="534"/>
      <c r="I79" s="534"/>
      <c r="J79" s="534"/>
      <c r="K79" s="534"/>
      <c r="L79" s="534"/>
      <c r="M79" s="534"/>
      <c r="N79" s="534"/>
      <c r="O79" s="534"/>
      <c r="P79" s="534"/>
    </row>
    <row r="80" spans="2:31" x14ac:dyDescent="0.2">
      <c r="F80" s="534"/>
      <c r="G80" s="535"/>
      <c r="H80" s="534"/>
      <c r="I80" s="534"/>
      <c r="J80" s="534"/>
      <c r="K80" s="534"/>
      <c r="L80" s="534"/>
      <c r="M80" s="534"/>
      <c r="N80" s="534"/>
      <c r="O80" s="534"/>
      <c r="P80" s="534"/>
    </row>
    <row r="81" spans="6:16" x14ac:dyDescent="0.2">
      <c r="F81" s="534"/>
      <c r="G81" s="535"/>
      <c r="H81" s="534"/>
      <c r="I81" s="534"/>
      <c r="J81" s="534"/>
      <c r="K81" s="534"/>
      <c r="L81" s="534"/>
      <c r="M81" s="534"/>
      <c r="N81" s="534"/>
      <c r="O81" s="534"/>
      <c r="P81" s="534"/>
    </row>
    <row r="82" spans="6:16" x14ac:dyDescent="0.2">
      <c r="F82" s="534"/>
      <c r="G82" s="535"/>
      <c r="H82" s="534"/>
      <c r="I82" s="534"/>
      <c r="J82" s="534"/>
      <c r="K82" s="534"/>
      <c r="L82" s="534"/>
      <c r="M82" s="534"/>
      <c r="N82" s="534"/>
      <c r="O82" s="534"/>
      <c r="P82" s="534"/>
    </row>
    <row r="83" spans="6:16" x14ac:dyDescent="0.2">
      <c r="F83" s="534"/>
      <c r="G83" s="535"/>
      <c r="H83" s="534"/>
      <c r="I83" s="534"/>
      <c r="J83" s="534"/>
      <c r="K83" s="534"/>
      <c r="L83" s="534"/>
      <c r="M83" s="534"/>
      <c r="N83" s="534"/>
      <c r="O83" s="534"/>
      <c r="P83" s="534"/>
    </row>
    <row r="84" spans="6:16" x14ac:dyDescent="0.2">
      <c r="F84" s="534"/>
      <c r="G84" s="535"/>
      <c r="H84" s="534"/>
      <c r="I84" s="534"/>
      <c r="J84" s="534"/>
      <c r="K84" s="534"/>
      <c r="L84" s="534"/>
      <c r="M84" s="534"/>
      <c r="N84" s="534"/>
      <c r="O84" s="534"/>
      <c r="P84" s="534"/>
    </row>
    <row r="85" spans="6:16" x14ac:dyDescent="0.2">
      <c r="F85" s="534"/>
      <c r="G85" s="535"/>
      <c r="H85" s="534"/>
      <c r="I85" s="534"/>
      <c r="J85" s="534"/>
      <c r="K85" s="534"/>
      <c r="L85" s="534"/>
      <c r="M85" s="534"/>
      <c r="N85" s="534"/>
      <c r="O85" s="534"/>
      <c r="P85" s="534"/>
    </row>
    <row r="86" spans="6:16" x14ac:dyDescent="0.2">
      <c r="F86" s="534"/>
      <c r="G86" s="535"/>
      <c r="H86" s="534"/>
      <c r="I86" s="534"/>
      <c r="J86" s="534"/>
      <c r="K86" s="534"/>
      <c r="L86" s="534"/>
      <c r="M86" s="534"/>
      <c r="N86" s="534"/>
      <c r="O86" s="534"/>
      <c r="P86" s="534"/>
    </row>
    <row r="87" spans="6:16" x14ac:dyDescent="0.2">
      <c r="F87" s="534"/>
      <c r="G87" s="535"/>
      <c r="H87" s="534"/>
      <c r="I87" s="534"/>
      <c r="J87" s="534"/>
      <c r="K87" s="534"/>
      <c r="L87" s="534"/>
      <c r="M87" s="534"/>
      <c r="N87" s="534"/>
      <c r="O87" s="534"/>
      <c r="P87" s="534"/>
    </row>
    <row r="88" spans="6:16" x14ac:dyDescent="0.2">
      <c r="F88" s="534"/>
      <c r="G88" s="535"/>
      <c r="H88" s="534"/>
      <c r="I88" s="534"/>
      <c r="J88" s="534"/>
      <c r="K88" s="534"/>
      <c r="L88" s="534"/>
      <c r="M88" s="534"/>
      <c r="N88" s="534"/>
      <c r="O88" s="534"/>
      <c r="P88" s="534"/>
    </row>
    <row r="89" spans="6:16" x14ac:dyDescent="0.2">
      <c r="F89" s="534"/>
      <c r="G89" s="535"/>
      <c r="H89" s="534"/>
      <c r="I89" s="534"/>
      <c r="J89" s="534"/>
      <c r="K89" s="534"/>
      <c r="L89" s="534"/>
      <c r="M89" s="534"/>
      <c r="N89" s="534"/>
      <c r="O89" s="534"/>
      <c r="P89" s="534"/>
    </row>
    <row r="90" spans="6:16" x14ac:dyDescent="0.2">
      <c r="F90" s="534"/>
      <c r="G90" s="535"/>
      <c r="H90" s="534"/>
      <c r="I90" s="534"/>
      <c r="J90" s="534"/>
      <c r="K90" s="534"/>
      <c r="L90" s="534"/>
      <c r="M90" s="534"/>
      <c r="N90" s="534"/>
      <c r="O90" s="534"/>
      <c r="P90" s="534"/>
    </row>
    <row r="91" spans="6:16" x14ac:dyDescent="0.2">
      <c r="F91" s="534"/>
      <c r="G91" s="535"/>
      <c r="H91" s="534"/>
      <c r="I91" s="534"/>
      <c r="J91" s="534"/>
      <c r="K91" s="534"/>
      <c r="L91" s="534"/>
      <c r="M91" s="534"/>
      <c r="N91" s="534"/>
      <c r="O91" s="534"/>
      <c r="P91" s="534"/>
    </row>
    <row r="92" spans="6:16" x14ac:dyDescent="0.2">
      <c r="F92" s="534"/>
      <c r="G92" s="535"/>
      <c r="H92" s="534"/>
      <c r="I92" s="534"/>
      <c r="J92" s="534"/>
      <c r="K92" s="534"/>
      <c r="L92" s="534"/>
      <c r="M92" s="534"/>
      <c r="N92" s="534"/>
      <c r="O92" s="534"/>
      <c r="P92" s="534"/>
    </row>
    <row r="93" spans="6:16" x14ac:dyDescent="0.2">
      <c r="F93" s="534"/>
      <c r="G93" s="535"/>
      <c r="H93" s="534"/>
      <c r="I93" s="534"/>
      <c r="J93" s="534"/>
      <c r="K93" s="534"/>
      <c r="L93" s="534"/>
      <c r="M93" s="534"/>
      <c r="N93" s="534"/>
      <c r="O93" s="534"/>
      <c r="P93" s="534"/>
    </row>
    <row r="94" spans="6:16" x14ac:dyDescent="0.2">
      <c r="F94" s="534"/>
      <c r="G94" s="535"/>
      <c r="H94" s="534"/>
      <c r="I94" s="534"/>
      <c r="J94" s="534"/>
      <c r="K94" s="534"/>
      <c r="L94" s="534"/>
      <c r="M94" s="534"/>
      <c r="N94" s="534"/>
      <c r="O94" s="534"/>
      <c r="P94" s="534"/>
    </row>
    <row r="95" spans="6:16" x14ac:dyDescent="0.2">
      <c r="F95" s="534"/>
      <c r="G95" s="535"/>
      <c r="H95" s="534"/>
      <c r="I95" s="534"/>
      <c r="J95" s="534"/>
      <c r="K95" s="534"/>
      <c r="L95" s="534"/>
      <c r="M95" s="534"/>
      <c r="N95" s="534"/>
      <c r="O95" s="534"/>
      <c r="P95" s="534"/>
    </row>
    <row r="96" spans="6:16" x14ac:dyDescent="0.2">
      <c r="F96" s="534"/>
      <c r="G96" s="535"/>
      <c r="H96" s="534"/>
      <c r="I96" s="534"/>
      <c r="J96" s="534"/>
      <c r="K96" s="534"/>
      <c r="L96" s="534"/>
      <c r="M96" s="534"/>
      <c r="N96" s="534"/>
      <c r="O96" s="534"/>
      <c r="P96" s="534"/>
    </row>
    <row r="97" spans="6:16" x14ac:dyDescent="0.2">
      <c r="F97" s="534"/>
      <c r="G97" s="535"/>
      <c r="H97" s="534"/>
      <c r="I97" s="534"/>
      <c r="J97" s="534"/>
      <c r="K97" s="534"/>
      <c r="L97" s="534"/>
      <c r="M97" s="534"/>
      <c r="N97" s="534"/>
      <c r="O97" s="534"/>
      <c r="P97" s="534"/>
    </row>
    <row r="98" spans="6:16" x14ac:dyDescent="0.2">
      <c r="F98" s="534"/>
      <c r="G98" s="535"/>
      <c r="H98" s="534"/>
      <c r="I98" s="534"/>
      <c r="J98" s="534"/>
      <c r="K98" s="534"/>
      <c r="L98" s="534"/>
      <c r="M98" s="534"/>
      <c r="N98" s="534"/>
      <c r="O98" s="534"/>
      <c r="P98" s="534"/>
    </row>
    <row r="99" spans="6:16" x14ac:dyDescent="0.2">
      <c r="F99" s="534"/>
      <c r="G99" s="535"/>
      <c r="H99" s="534"/>
      <c r="I99" s="534"/>
      <c r="J99" s="534"/>
      <c r="K99" s="534"/>
      <c r="L99" s="534"/>
      <c r="M99" s="534"/>
      <c r="N99" s="534"/>
      <c r="O99" s="534"/>
      <c r="P99" s="534"/>
    </row>
    <row r="100" spans="6:16" x14ac:dyDescent="0.2">
      <c r="F100" s="534"/>
      <c r="G100" s="535"/>
      <c r="H100" s="534"/>
      <c r="I100" s="534"/>
      <c r="J100" s="534"/>
      <c r="K100" s="534"/>
      <c r="L100" s="534"/>
      <c r="M100" s="534"/>
      <c r="N100" s="534"/>
      <c r="O100" s="534"/>
      <c r="P100" s="534"/>
    </row>
    <row r="101" spans="6:16" x14ac:dyDescent="0.2">
      <c r="F101" s="534"/>
      <c r="G101" s="535"/>
      <c r="H101" s="534"/>
      <c r="I101" s="534"/>
      <c r="J101" s="534"/>
      <c r="K101" s="534"/>
      <c r="L101" s="534"/>
      <c r="M101" s="534"/>
      <c r="N101" s="534"/>
      <c r="O101" s="534"/>
      <c r="P101" s="534"/>
    </row>
    <row r="102" spans="6:16" x14ac:dyDescent="0.2">
      <c r="F102" s="534"/>
      <c r="G102" s="535"/>
      <c r="H102" s="534"/>
      <c r="I102" s="534"/>
      <c r="J102" s="534"/>
      <c r="K102" s="534"/>
      <c r="L102" s="534"/>
      <c r="M102" s="534"/>
      <c r="N102" s="534"/>
      <c r="O102" s="534"/>
      <c r="P102" s="534"/>
    </row>
    <row r="103" spans="6:16" x14ac:dyDescent="0.2">
      <c r="F103" s="534"/>
      <c r="G103" s="535"/>
      <c r="H103" s="534"/>
      <c r="I103" s="534"/>
      <c r="J103" s="534"/>
      <c r="K103" s="534"/>
      <c r="L103" s="534"/>
      <c r="M103" s="534"/>
      <c r="N103" s="534"/>
      <c r="O103" s="534"/>
      <c r="P103" s="534"/>
    </row>
    <row r="104" spans="6:16" x14ac:dyDescent="0.2">
      <c r="F104" s="534"/>
      <c r="G104" s="535"/>
      <c r="H104" s="534"/>
      <c r="I104" s="534"/>
      <c r="J104" s="534"/>
      <c r="K104" s="534"/>
      <c r="L104" s="534"/>
      <c r="M104" s="534"/>
      <c r="N104" s="534"/>
      <c r="O104" s="534"/>
      <c r="P104" s="534"/>
    </row>
    <row r="105" spans="6:16" x14ac:dyDescent="0.2">
      <c r="F105" s="534"/>
      <c r="G105" s="535"/>
      <c r="H105" s="534"/>
      <c r="I105" s="534"/>
      <c r="J105" s="534"/>
      <c r="K105" s="534"/>
      <c r="L105" s="534"/>
      <c r="M105" s="534"/>
      <c r="N105" s="534"/>
      <c r="O105" s="534"/>
      <c r="P105" s="534"/>
    </row>
    <row r="106" spans="6:16" x14ac:dyDescent="0.2">
      <c r="F106" s="534"/>
      <c r="G106" s="535"/>
      <c r="H106" s="534"/>
      <c r="I106" s="534"/>
      <c r="J106" s="534"/>
      <c r="K106" s="534"/>
      <c r="L106" s="534"/>
      <c r="M106" s="534"/>
      <c r="N106" s="534"/>
      <c r="O106" s="534"/>
      <c r="P106" s="534"/>
    </row>
    <row r="107" spans="6:16" x14ac:dyDescent="0.2">
      <c r="F107" s="534"/>
      <c r="G107" s="535"/>
      <c r="H107" s="534"/>
      <c r="I107" s="534"/>
      <c r="J107" s="534"/>
      <c r="K107" s="534"/>
      <c r="L107" s="534"/>
      <c r="M107" s="534"/>
      <c r="N107" s="534"/>
      <c r="O107" s="534"/>
      <c r="P107" s="534"/>
    </row>
    <row r="108" spans="6:16" x14ac:dyDescent="0.2">
      <c r="F108" s="534"/>
      <c r="G108" s="535"/>
      <c r="H108" s="534"/>
      <c r="I108" s="534"/>
      <c r="J108" s="534"/>
      <c r="K108" s="534"/>
      <c r="L108" s="534"/>
      <c r="M108" s="534"/>
      <c r="N108" s="534"/>
      <c r="O108" s="534"/>
      <c r="P108" s="534"/>
    </row>
    <row r="109" spans="6:16" x14ac:dyDescent="0.2">
      <c r="F109" s="534"/>
      <c r="G109" s="535"/>
      <c r="H109" s="534"/>
      <c r="I109" s="534"/>
      <c r="J109" s="534"/>
      <c r="K109" s="534"/>
      <c r="L109" s="534"/>
      <c r="M109" s="534"/>
      <c r="N109" s="534"/>
      <c r="O109" s="534"/>
      <c r="P109" s="534"/>
    </row>
    <row r="110" spans="6:16" x14ac:dyDescent="0.2">
      <c r="F110" s="534"/>
      <c r="G110" s="535"/>
      <c r="H110" s="534"/>
      <c r="I110" s="534"/>
      <c r="J110" s="534"/>
      <c r="K110" s="534"/>
      <c r="L110" s="534"/>
      <c r="M110" s="534"/>
      <c r="N110" s="534"/>
      <c r="O110" s="534"/>
      <c r="P110" s="534"/>
    </row>
    <row r="111" spans="6:16" x14ac:dyDescent="0.2">
      <c r="F111" s="534"/>
      <c r="G111" s="535"/>
      <c r="H111" s="534"/>
      <c r="I111" s="534"/>
      <c r="J111" s="534"/>
      <c r="K111" s="534"/>
      <c r="L111" s="534"/>
      <c r="M111" s="534"/>
      <c r="N111" s="534"/>
      <c r="O111" s="534"/>
      <c r="P111" s="534"/>
    </row>
    <row r="112" spans="6:16" x14ac:dyDescent="0.2">
      <c r="F112" s="534"/>
      <c r="G112" s="535"/>
      <c r="H112" s="534"/>
      <c r="I112" s="534"/>
      <c r="J112" s="534"/>
      <c r="K112" s="534"/>
      <c r="L112" s="534"/>
      <c r="M112" s="534"/>
      <c r="N112" s="534"/>
      <c r="O112" s="534"/>
      <c r="P112" s="534"/>
    </row>
    <row r="113" spans="6:16" x14ac:dyDescent="0.2">
      <c r="F113" s="534"/>
      <c r="G113" s="535"/>
      <c r="H113" s="534"/>
      <c r="I113" s="534"/>
      <c r="J113" s="534"/>
      <c r="K113" s="534"/>
      <c r="L113" s="534"/>
      <c r="M113" s="534"/>
      <c r="N113" s="534"/>
      <c r="O113" s="534"/>
      <c r="P113" s="534"/>
    </row>
    <row r="114" spans="6:16" x14ac:dyDescent="0.2">
      <c r="F114" s="534"/>
      <c r="G114" s="535"/>
      <c r="H114" s="534"/>
      <c r="I114" s="534"/>
      <c r="J114" s="534"/>
      <c r="K114" s="534"/>
      <c r="L114" s="534"/>
      <c r="M114" s="534"/>
      <c r="N114" s="534"/>
      <c r="O114" s="534"/>
      <c r="P114" s="534"/>
    </row>
    <row r="115" spans="6:16" x14ac:dyDescent="0.2">
      <c r="F115" s="534"/>
      <c r="G115" s="535"/>
      <c r="H115" s="534"/>
      <c r="I115" s="534"/>
      <c r="J115" s="534"/>
      <c r="K115" s="534"/>
      <c r="L115" s="534"/>
      <c r="M115" s="534"/>
      <c r="N115" s="534"/>
      <c r="O115" s="534"/>
      <c r="P115" s="534"/>
    </row>
    <row r="116" spans="6:16" x14ac:dyDescent="0.2">
      <c r="F116" s="534"/>
      <c r="G116" s="535"/>
      <c r="H116" s="534"/>
      <c r="I116" s="534"/>
      <c r="J116" s="534"/>
      <c r="K116" s="534"/>
      <c r="L116" s="534"/>
      <c r="M116" s="534"/>
      <c r="N116" s="534"/>
      <c r="O116" s="534"/>
      <c r="P116" s="534"/>
    </row>
    <row r="117" spans="6:16" x14ac:dyDescent="0.2">
      <c r="F117" s="534"/>
      <c r="G117" s="535"/>
      <c r="H117" s="534"/>
      <c r="I117" s="534"/>
      <c r="J117" s="534"/>
      <c r="K117" s="534"/>
      <c r="L117" s="534"/>
      <c r="M117" s="534"/>
      <c r="N117" s="534"/>
      <c r="O117" s="534"/>
      <c r="P117" s="534"/>
    </row>
    <row r="118" spans="6:16" x14ac:dyDescent="0.2">
      <c r="F118" s="534"/>
      <c r="G118" s="535"/>
      <c r="H118" s="534"/>
      <c r="I118" s="534"/>
      <c r="J118" s="534"/>
      <c r="K118" s="534"/>
      <c r="L118" s="534"/>
      <c r="M118" s="534"/>
      <c r="N118" s="534"/>
      <c r="O118" s="534"/>
      <c r="P118" s="534"/>
    </row>
    <row r="119" spans="6:16" x14ac:dyDescent="0.2">
      <c r="F119" s="534"/>
      <c r="G119" s="535"/>
      <c r="H119" s="534"/>
      <c r="I119" s="534"/>
      <c r="J119" s="534"/>
      <c r="K119" s="534"/>
      <c r="L119" s="534"/>
      <c r="M119" s="534"/>
      <c r="N119" s="534"/>
      <c r="O119" s="534"/>
      <c r="P119" s="534"/>
    </row>
    <row r="120" spans="6:16" x14ac:dyDescent="0.2">
      <c r="F120" s="534"/>
      <c r="G120" s="535"/>
      <c r="H120" s="534"/>
      <c r="I120" s="534"/>
      <c r="J120" s="534"/>
      <c r="K120" s="534"/>
      <c r="L120" s="534"/>
      <c r="M120" s="534"/>
      <c r="N120" s="534"/>
      <c r="O120" s="534"/>
      <c r="P120" s="534"/>
    </row>
    <row r="121" spans="6:16" x14ac:dyDescent="0.2">
      <c r="F121" s="534"/>
      <c r="G121" s="535"/>
      <c r="H121" s="534"/>
      <c r="I121" s="534"/>
      <c r="J121" s="534"/>
      <c r="K121" s="534"/>
      <c r="L121" s="534"/>
      <c r="M121" s="534"/>
      <c r="N121" s="534"/>
      <c r="O121" s="534"/>
      <c r="P121" s="534"/>
    </row>
    <row r="122" spans="6:16" x14ac:dyDescent="0.2">
      <c r="F122" s="534"/>
      <c r="G122" s="535"/>
      <c r="H122" s="534"/>
      <c r="I122" s="534"/>
      <c r="J122" s="534"/>
      <c r="K122" s="534"/>
      <c r="L122" s="534"/>
      <c r="M122" s="534"/>
      <c r="N122" s="534"/>
      <c r="O122" s="534"/>
      <c r="P122" s="534"/>
    </row>
    <row r="123" spans="6:16" x14ac:dyDescent="0.2">
      <c r="F123" s="534"/>
      <c r="G123" s="535"/>
      <c r="H123" s="534"/>
      <c r="I123" s="534"/>
      <c r="J123" s="534"/>
      <c r="K123" s="534"/>
      <c r="L123" s="534"/>
      <c r="M123" s="534"/>
      <c r="N123" s="534"/>
      <c r="O123" s="534"/>
      <c r="P123" s="534"/>
    </row>
    <row r="124" spans="6:16" x14ac:dyDescent="0.2">
      <c r="F124" s="534"/>
      <c r="G124" s="535"/>
      <c r="H124" s="534"/>
      <c r="I124" s="534"/>
      <c r="J124" s="534"/>
      <c r="K124" s="534"/>
      <c r="L124" s="534"/>
      <c r="M124" s="534"/>
      <c r="N124" s="534"/>
      <c r="O124" s="534"/>
      <c r="P124" s="534"/>
    </row>
    <row r="125" spans="6:16" x14ac:dyDescent="0.2">
      <c r="F125" s="534"/>
      <c r="G125" s="535"/>
      <c r="H125" s="534"/>
      <c r="I125" s="534"/>
      <c r="J125" s="534"/>
      <c r="K125" s="534"/>
      <c r="L125" s="534"/>
      <c r="M125" s="534"/>
      <c r="N125" s="534"/>
      <c r="O125" s="534"/>
      <c r="P125" s="534"/>
    </row>
    <row r="126" spans="6:16" x14ac:dyDescent="0.2">
      <c r="F126" s="534"/>
      <c r="G126" s="535"/>
      <c r="H126" s="534"/>
      <c r="I126" s="534"/>
      <c r="J126" s="534"/>
      <c r="K126" s="534"/>
      <c r="L126" s="534"/>
      <c r="M126" s="534"/>
      <c r="N126" s="534"/>
      <c r="O126" s="534"/>
      <c r="P126" s="534"/>
    </row>
    <row r="127" spans="6:16" x14ac:dyDescent="0.2">
      <c r="F127" s="534"/>
      <c r="G127" s="535"/>
      <c r="H127" s="534"/>
      <c r="I127" s="534"/>
      <c r="J127" s="534"/>
      <c r="K127" s="534"/>
      <c r="L127" s="534"/>
      <c r="M127" s="534"/>
      <c r="N127" s="534"/>
      <c r="O127" s="534"/>
      <c r="P127" s="534"/>
    </row>
    <row r="128" spans="6:16" x14ac:dyDescent="0.2">
      <c r="F128" s="534"/>
      <c r="G128" s="535"/>
      <c r="H128" s="534"/>
      <c r="I128" s="534"/>
      <c r="J128" s="534"/>
      <c r="K128" s="534"/>
      <c r="L128" s="534"/>
      <c r="M128" s="534"/>
      <c r="N128" s="534"/>
      <c r="O128" s="534"/>
      <c r="P128" s="534"/>
    </row>
    <row r="129" spans="6:16" x14ac:dyDescent="0.2">
      <c r="F129" s="534"/>
      <c r="G129" s="535"/>
      <c r="H129" s="534"/>
      <c r="I129" s="534"/>
      <c r="J129" s="534"/>
      <c r="K129" s="534"/>
      <c r="L129" s="534"/>
      <c r="M129" s="534"/>
      <c r="N129" s="534"/>
      <c r="O129" s="534"/>
      <c r="P129" s="534"/>
    </row>
    <row r="130" spans="6:16" x14ac:dyDescent="0.2">
      <c r="F130" s="534"/>
      <c r="G130" s="535"/>
      <c r="H130" s="534"/>
      <c r="I130" s="534"/>
      <c r="J130" s="534"/>
      <c r="K130" s="534"/>
      <c r="L130" s="534"/>
      <c r="M130" s="534"/>
      <c r="N130" s="534"/>
      <c r="O130" s="534"/>
      <c r="P130" s="534"/>
    </row>
    <row r="131" spans="6:16" x14ac:dyDescent="0.2">
      <c r="F131" s="534"/>
      <c r="G131" s="535"/>
      <c r="H131" s="534"/>
      <c r="I131" s="534"/>
      <c r="J131" s="534"/>
      <c r="K131" s="534"/>
      <c r="L131" s="534"/>
      <c r="M131" s="534"/>
      <c r="N131" s="534"/>
      <c r="O131" s="534"/>
      <c r="P131" s="534"/>
    </row>
    <row r="132" spans="6:16" x14ac:dyDescent="0.2">
      <c r="F132" s="534"/>
      <c r="G132" s="535"/>
      <c r="H132" s="534"/>
      <c r="I132" s="534"/>
      <c r="J132" s="534"/>
      <c r="K132" s="534"/>
      <c r="L132" s="534"/>
      <c r="M132" s="534"/>
      <c r="N132" s="534"/>
      <c r="O132" s="534"/>
      <c r="P132" s="534"/>
    </row>
    <row r="133" spans="6:16" x14ac:dyDescent="0.2">
      <c r="F133" s="534"/>
      <c r="G133" s="535"/>
      <c r="H133" s="534"/>
      <c r="I133" s="534"/>
      <c r="J133" s="534"/>
      <c r="K133" s="534"/>
      <c r="L133" s="534"/>
      <c r="M133" s="534"/>
      <c r="N133" s="534"/>
      <c r="O133" s="534"/>
      <c r="P133" s="534"/>
    </row>
    <row r="134" spans="6:16" x14ac:dyDescent="0.2">
      <c r="F134" s="534"/>
      <c r="G134" s="535"/>
      <c r="H134" s="534"/>
      <c r="I134" s="534"/>
      <c r="J134" s="534"/>
      <c r="K134" s="534"/>
      <c r="L134" s="534"/>
      <c r="M134" s="534"/>
      <c r="N134" s="534"/>
      <c r="O134" s="534"/>
      <c r="P134" s="534"/>
    </row>
    <row r="135" spans="6:16" x14ac:dyDescent="0.2">
      <c r="F135" s="534"/>
      <c r="G135" s="535"/>
      <c r="H135" s="534"/>
      <c r="I135" s="534"/>
      <c r="J135" s="534"/>
      <c r="K135" s="534"/>
      <c r="L135" s="534"/>
      <c r="M135" s="534"/>
      <c r="N135" s="534"/>
      <c r="O135" s="534"/>
      <c r="P135" s="534"/>
    </row>
    <row r="136" spans="6:16" x14ac:dyDescent="0.2">
      <c r="F136" s="534"/>
      <c r="G136" s="535"/>
      <c r="H136" s="534"/>
      <c r="I136" s="534"/>
      <c r="J136" s="534"/>
      <c r="K136" s="534"/>
      <c r="L136" s="534"/>
      <c r="M136" s="534"/>
      <c r="N136" s="534"/>
      <c r="O136" s="534"/>
      <c r="P136" s="534"/>
    </row>
    <row r="137" spans="6:16" x14ac:dyDescent="0.2">
      <c r="F137" s="534"/>
      <c r="G137" s="535"/>
      <c r="H137" s="534"/>
      <c r="I137" s="534"/>
      <c r="J137" s="534"/>
      <c r="K137" s="534"/>
      <c r="L137" s="534"/>
      <c r="M137" s="534"/>
      <c r="N137" s="534"/>
      <c r="O137" s="534"/>
      <c r="P137" s="534"/>
    </row>
    <row r="138" spans="6:16" x14ac:dyDescent="0.2">
      <c r="F138" s="534"/>
      <c r="G138" s="535"/>
      <c r="H138" s="534"/>
      <c r="I138" s="534"/>
      <c r="J138" s="534"/>
      <c r="K138" s="534"/>
      <c r="L138" s="534"/>
      <c r="M138" s="534"/>
      <c r="N138" s="534"/>
      <c r="O138" s="534"/>
      <c r="P138" s="534"/>
    </row>
    <row r="139" spans="6:16" x14ac:dyDescent="0.2">
      <c r="F139" s="534"/>
      <c r="G139" s="535"/>
      <c r="H139" s="534"/>
      <c r="I139" s="534"/>
      <c r="J139" s="534"/>
      <c r="K139" s="534"/>
      <c r="L139" s="534"/>
      <c r="M139" s="534"/>
      <c r="N139" s="534"/>
      <c r="O139" s="534"/>
      <c r="P139" s="534"/>
    </row>
    <row r="140" spans="6:16" x14ac:dyDescent="0.2">
      <c r="F140" s="534"/>
      <c r="G140" s="535"/>
      <c r="H140" s="534"/>
      <c r="I140" s="534"/>
      <c r="J140" s="534"/>
      <c r="K140" s="534"/>
      <c r="L140" s="534"/>
      <c r="M140" s="534"/>
      <c r="N140" s="534"/>
      <c r="O140" s="534"/>
      <c r="P140" s="534"/>
    </row>
    <row r="141" spans="6:16" x14ac:dyDescent="0.2">
      <c r="F141" s="534"/>
      <c r="G141" s="535"/>
      <c r="H141" s="534"/>
      <c r="I141" s="534"/>
      <c r="J141" s="534"/>
      <c r="K141" s="534"/>
      <c r="L141" s="534"/>
      <c r="M141" s="534"/>
      <c r="N141" s="534"/>
      <c r="O141" s="534"/>
      <c r="P141" s="534"/>
    </row>
    <row r="142" spans="6:16" x14ac:dyDescent="0.2">
      <c r="F142" s="534"/>
      <c r="G142" s="535"/>
      <c r="H142" s="534"/>
      <c r="I142" s="534"/>
      <c r="J142" s="534"/>
      <c r="K142" s="534"/>
      <c r="L142" s="534"/>
      <c r="M142" s="534"/>
      <c r="N142" s="534"/>
      <c r="O142" s="534"/>
      <c r="P142" s="534"/>
    </row>
    <row r="143" spans="6:16" x14ac:dyDescent="0.2">
      <c r="F143" s="534"/>
      <c r="G143" s="535"/>
      <c r="H143" s="534"/>
      <c r="I143" s="534"/>
      <c r="J143" s="534"/>
      <c r="K143" s="534"/>
      <c r="L143" s="534"/>
      <c r="M143" s="534"/>
      <c r="N143" s="534"/>
      <c r="O143" s="534"/>
      <c r="P143" s="534"/>
    </row>
    <row r="144" spans="6:16" x14ac:dyDescent="0.2">
      <c r="F144" s="534"/>
      <c r="G144" s="535"/>
      <c r="H144" s="534"/>
      <c r="I144" s="534"/>
      <c r="J144" s="534"/>
      <c r="K144" s="534"/>
      <c r="L144" s="534"/>
      <c r="M144" s="534"/>
      <c r="N144" s="534"/>
      <c r="O144" s="534"/>
      <c r="P144" s="534"/>
    </row>
    <row r="145" spans="6:16" x14ac:dyDescent="0.2">
      <c r="F145" s="534"/>
      <c r="G145" s="535"/>
      <c r="H145" s="534"/>
      <c r="I145" s="534"/>
      <c r="J145" s="534"/>
      <c r="K145" s="534"/>
      <c r="L145" s="534"/>
      <c r="M145" s="534"/>
      <c r="N145" s="534"/>
      <c r="O145" s="534"/>
      <c r="P145" s="534"/>
    </row>
    <row r="146" spans="6:16" x14ac:dyDescent="0.2">
      <c r="F146" s="534"/>
      <c r="G146" s="535"/>
      <c r="H146" s="534"/>
      <c r="I146" s="534"/>
      <c r="J146" s="534"/>
      <c r="K146" s="534"/>
      <c r="L146" s="534"/>
      <c r="M146" s="534"/>
      <c r="N146" s="534"/>
      <c r="O146" s="534"/>
      <c r="P146" s="534"/>
    </row>
    <row r="147" spans="6:16" x14ac:dyDescent="0.2">
      <c r="F147" s="534"/>
      <c r="G147" s="535"/>
      <c r="H147" s="534"/>
      <c r="I147" s="534"/>
      <c r="J147" s="534"/>
      <c r="K147" s="534"/>
      <c r="L147" s="534"/>
      <c r="M147" s="534"/>
      <c r="N147" s="534"/>
      <c r="O147" s="534"/>
      <c r="P147" s="534"/>
    </row>
    <row r="148" spans="6:16" x14ac:dyDescent="0.2">
      <c r="F148" s="534"/>
      <c r="G148" s="535"/>
      <c r="H148" s="534"/>
      <c r="I148" s="534"/>
      <c r="J148" s="534"/>
      <c r="K148" s="534"/>
      <c r="L148" s="534"/>
      <c r="M148" s="534"/>
      <c r="N148" s="534"/>
      <c r="O148" s="534"/>
      <c r="P148" s="534"/>
    </row>
    <row r="149" spans="6:16" x14ac:dyDescent="0.2">
      <c r="F149" s="534"/>
      <c r="G149" s="535"/>
      <c r="H149" s="534"/>
      <c r="I149" s="534"/>
      <c r="J149" s="534"/>
      <c r="K149" s="534"/>
      <c r="L149" s="534"/>
      <c r="M149" s="534"/>
      <c r="N149" s="534"/>
      <c r="O149" s="534"/>
      <c r="P149" s="534"/>
    </row>
    <row r="150" spans="6:16" x14ac:dyDescent="0.2">
      <c r="F150" s="534"/>
      <c r="G150" s="535"/>
      <c r="H150" s="534"/>
      <c r="I150" s="534"/>
      <c r="J150" s="534"/>
      <c r="K150" s="534"/>
      <c r="L150" s="534"/>
      <c r="M150" s="534"/>
      <c r="N150" s="534"/>
      <c r="O150" s="534"/>
      <c r="P150" s="534"/>
    </row>
    <row r="151" spans="6:16" x14ac:dyDescent="0.2">
      <c r="F151" s="534"/>
      <c r="G151" s="535"/>
      <c r="H151" s="534"/>
      <c r="I151" s="534"/>
      <c r="J151" s="534"/>
      <c r="K151" s="534"/>
      <c r="L151" s="534"/>
      <c r="M151" s="534"/>
      <c r="N151" s="534"/>
      <c r="O151" s="534"/>
      <c r="P151" s="534"/>
    </row>
    <row r="152" spans="6:16" x14ac:dyDescent="0.2">
      <c r="F152" s="534"/>
      <c r="G152" s="535"/>
      <c r="H152" s="534"/>
      <c r="I152" s="534"/>
      <c r="J152" s="534"/>
      <c r="K152" s="534"/>
      <c r="L152" s="534"/>
      <c r="M152" s="534"/>
      <c r="N152" s="534"/>
      <c r="O152" s="534"/>
      <c r="P152" s="534"/>
    </row>
    <row r="153" spans="6:16" x14ac:dyDescent="0.2">
      <c r="F153" s="534"/>
      <c r="G153" s="535"/>
      <c r="H153" s="534"/>
      <c r="I153" s="534"/>
      <c r="J153" s="534"/>
      <c r="K153" s="534"/>
      <c r="L153" s="534"/>
      <c r="M153" s="534"/>
      <c r="N153" s="534"/>
      <c r="O153" s="534"/>
      <c r="P153" s="534"/>
    </row>
    <row r="154" spans="6:16" x14ac:dyDescent="0.2">
      <c r="F154" s="534"/>
      <c r="G154" s="535"/>
      <c r="H154" s="534"/>
      <c r="I154" s="534"/>
      <c r="J154" s="534"/>
      <c r="K154" s="534"/>
      <c r="L154" s="534"/>
      <c r="M154" s="534"/>
      <c r="N154" s="534"/>
      <c r="O154" s="534"/>
      <c r="P154" s="534"/>
    </row>
    <row r="155" spans="6:16" x14ac:dyDescent="0.2">
      <c r="F155" s="534"/>
      <c r="G155" s="535"/>
      <c r="H155" s="534"/>
      <c r="I155" s="534"/>
      <c r="J155" s="534"/>
      <c r="K155" s="534"/>
      <c r="L155" s="534"/>
      <c r="M155" s="534"/>
      <c r="N155" s="534"/>
      <c r="O155" s="534"/>
      <c r="P155" s="534"/>
    </row>
    <row r="156" spans="6:16" x14ac:dyDescent="0.2">
      <c r="F156" s="534"/>
      <c r="G156" s="535"/>
      <c r="H156" s="534"/>
      <c r="I156" s="534"/>
      <c r="J156" s="534"/>
      <c r="K156" s="534"/>
      <c r="L156" s="534"/>
      <c r="M156" s="534"/>
      <c r="N156" s="534"/>
      <c r="O156" s="534"/>
      <c r="P156" s="534"/>
    </row>
    <row r="157" spans="6:16" x14ac:dyDescent="0.2">
      <c r="F157" s="534"/>
      <c r="G157" s="535"/>
      <c r="H157" s="534"/>
      <c r="I157" s="534"/>
      <c r="J157" s="534"/>
      <c r="K157" s="534"/>
      <c r="L157" s="534"/>
      <c r="M157" s="534"/>
      <c r="N157" s="534"/>
      <c r="O157" s="534"/>
      <c r="P157" s="534"/>
    </row>
    <row r="158" spans="6:16" x14ac:dyDescent="0.2">
      <c r="F158" s="534"/>
      <c r="G158" s="535"/>
      <c r="H158" s="534"/>
      <c r="I158" s="534"/>
      <c r="J158" s="534"/>
      <c r="K158" s="534"/>
      <c r="L158" s="534"/>
      <c r="M158" s="534"/>
      <c r="N158" s="534"/>
      <c r="O158" s="534"/>
      <c r="P158" s="534"/>
    </row>
    <row r="159" spans="6:16" x14ac:dyDescent="0.2">
      <c r="F159" s="534"/>
      <c r="G159" s="535"/>
      <c r="H159" s="534"/>
      <c r="I159" s="534"/>
      <c r="J159" s="534"/>
      <c r="K159" s="534"/>
      <c r="L159" s="534"/>
      <c r="M159" s="534"/>
      <c r="N159" s="534"/>
      <c r="O159" s="534"/>
      <c r="P159" s="534"/>
    </row>
    <row r="160" spans="6:16" x14ac:dyDescent="0.2">
      <c r="F160" s="534"/>
      <c r="G160" s="535"/>
      <c r="H160" s="534"/>
      <c r="I160" s="534"/>
      <c r="J160" s="534"/>
      <c r="K160" s="534"/>
      <c r="L160" s="534"/>
      <c r="M160" s="534"/>
      <c r="N160" s="534"/>
      <c r="O160" s="534"/>
      <c r="P160" s="534"/>
    </row>
    <row r="161" spans="6:16" x14ac:dyDescent="0.2">
      <c r="F161" s="534"/>
      <c r="G161" s="535"/>
      <c r="H161" s="534"/>
      <c r="I161" s="534"/>
      <c r="J161" s="534"/>
      <c r="K161" s="534"/>
      <c r="L161" s="534"/>
      <c r="M161" s="534"/>
      <c r="N161" s="534"/>
      <c r="O161" s="534"/>
      <c r="P161" s="534"/>
    </row>
    <row r="162" spans="6:16" x14ac:dyDescent="0.2">
      <c r="F162" s="534"/>
      <c r="G162" s="535"/>
      <c r="H162" s="534"/>
      <c r="I162" s="534"/>
      <c r="J162" s="534"/>
      <c r="K162" s="534"/>
      <c r="L162" s="534"/>
      <c r="M162" s="534"/>
      <c r="N162" s="534"/>
      <c r="O162" s="534"/>
      <c r="P162" s="534"/>
    </row>
    <row r="163" spans="6:16" x14ac:dyDescent="0.2">
      <c r="F163" s="534"/>
      <c r="G163" s="535"/>
      <c r="H163" s="534"/>
      <c r="I163" s="534"/>
      <c r="J163" s="534"/>
      <c r="K163" s="534"/>
      <c r="L163" s="534"/>
      <c r="M163" s="534"/>
      <c r="N163" s="534"/>
      <c r="O163" s="534"/>
      <c r="P163" s="534"/>
    </row>
    <row r="164" spans="6:16" x14ac:dyDescent="0.2">
      <c r="F164" s="534"/>
      <c r="G164" s="535"/>
      <c r="H164" s="534"/>
      <c r="I164" s="534"/>
      <c r="J164" s="534"/>
      <c r="K164" s="534"/>
      <c r="L164" s="534"/>
      <c r="M164" s="534"/>
      <c r="N164" s="534"/>
      <c r="O164" s="534"/>
      <c r="P164" s="534"/>
    </row>
    <row r="165" spans="6:16" x14ac:dyDescent="0.2">
      <c r="F165" s="534"/>
      <c r="G165" s="535"/>
      <c r="H165" s="534"/>
      <c r="I165" s="534"/>
      <c r="J165" s="534"/>
      <c r="K165" s="534"/>
      <c r="L165" s="534"/>
      <c r="M165" s="534"/>
      <c r="N165" s="534"/>
      <c r="O165" s="534"/>
      <c r="P165" s="534"/>
    </row>
    <row r="166" spans="6:16" x14ac:dyDescent="0.2">
      <c r="F166" s="534"/>
      <c r="G166" s="535"/>
      <c r="H166" s="534"/>
      <c r="I166" s="534"/>
      <c r="J166" s="534"/>
      <c r="K166" s="534"/>
      <c r="L166" s="534"/>
      <c r="M166" s="534"/>
      <c r="N166" s="534"/>
      <c r="O166" s="534"/>
      <c r="P166" s="534"/>
    </row>
    <row r="167" spans="6:16" x14ac:dyDescent="0.2">
      <c r="F167" s="534"/>
      <c r="G167" s="535"/>
      <c r="H167" s="534"/>
      <c r="I167" s="534"/>
      <c r="J167" s="534"/>
      <c r="K167" s="534"/>
      <c r="L167" s="534"/>
      <c r="M167" s="534"/>
      <c r="N167" s="534"/>
      <c r="O167" s="534"/>
      <c r="P167" s="534"/>
    </row>
    <row r="168" spans="6:16" x14ac:dyDescent="0.2">
      <c r="F168" s="534"/>
      <c r="G168" s="535"/>
      <c r="H168" s="534"/>
      <c r="I168" s="534"/>
      <c r="J168" s="534"/>
      <c r="K168" s="534"/>
      <c r="L168" s="534"/>
      <c r="M168" s="534"/>
      <c r="N168" s="534"/>
      <c r="O168" s="534"/>
      <c r="P168" s="534"/>
    </row>
    <row r="169" spans="6:16" x14ac:dyDescent="0.2">
      <c r="F169" s="534"/>
      <c r="G169" s="535"/>
      <c r="H169" s="534"/>
      <c r="I169" s="534"/>
      <c r="J169" s="534"/>
      <c r="K169" s="534"/>
      <c r="L169" s="534"/>
      <c r="M169" s="534"/>
      <c r="N169" s="534"/>
      <c r="O169" s="534"/>
      <c r="P169" s="534"/>
    </row>
    <row r="170" spans="6:16" x14ac:dyDescent="0.2">
      <c r="F170" s="534"/>
      <c r="G170" s="535"/>
      <c r="H170" s="534"/>
      <c r="I170" s="534"/>
      <c r="J170" s="534"/>
      <c r="K170" s="534"/>
      <c r="L170" s="534"/>
      <c r="M170" s="534"/>
      <c r="N170" s="534"/>
      <c r="O170" s="534"/>
      <c r="P170" s="534"/>
    </row>
    <row r="171" spans="6:16" x14ac:dyDescent="0.2">
      <c r="F171" s="534"/>
      <c r="G171" s="535"/>
      <c r="H171" s="534"/>
      <c r="I171" s="534"/>
      <c r="J171" s="534"/>
      <c r="K171" s="534"/>
      <c r="L171" s="534"/>
      <c r="M171" s="534"/>
      <c r="N171" s="534"/>
      <c r="O171" s="534"/>
      <c r="P171" s="534"/>
    </row>
    <row r="172" spans="6:16" x14ac:dyDescent="0.2">
      <c r="F172" s="534"/>
      <c r="G172" s="535"/>
      <c r="H172" s="534"/>
      <c r="I172" s="534"/>
      <c r="J172" s="534"/>
      <c r="K172" s="534"/>
      <c r="L172" s="534"/>
      <c r="M172" s="534"/>
      <c r="N172" s="534"/>
      <c r="O172" s="534"/>
      <c r="P172" s="534"/>
    </row>
    <row r="173" spans="6:16" x14ac:dyDescent="0.2">
      <c r="F173" s="534"/>
      <c r="G173" s="535"/>
      <c r="H173" s="534"/>
      <c r="I173" s="534"/>
      <c r="J173" s="534"/>
      <c r="K173" s="534"/>
      <c r="L173" s="534"/>
      <c r="M173" s="534"/>
      <c r="N173" s="534"/>
      <c r="O173" s="534"/>
      <c r="P173" s="534"/>
    </row>
    <row r="174" spans="6:16" x14ac:dyDescent="0.2">
      <c r="F174" s="534"/>
      <c r="G174" s="535"/>
      <c r="H174" s="534"/>
      <c r="I174" s="534"/>
      <c r="J174" s="534"/>
      <c r="K174" s="534"/>
      <c r="L174" s="534"/>
      <c r="M174" s="534"/>
      <c r="N174" s="534"/>
      <c r="O174" s="534"/>
      <c r="P174" s="534"/>
    </row>
    <row r="175" spans="6:16" x14ac:dyDescent="0.2">
      <c r="F175" s="534"/>
      <c r="G175" s="535"/>
      <c r="H175" s="534"/>
      <c r="I175" s="534"/>
      <c r="J175" s="534"/>
      <c r="K175" s="534"/>
      <c r="L175" s="534"/>
      <c r="M175" s="534"/>
      <c r="N175" s="534"/>
      <c r="O175" s="534"/>
      <c r="P175" s="534"/>
    </row>
    <row r="176" spans="6:16" x14ac:dyDescent="0.2">
      <c r="F176" s="534"/>
      <c r="G176" s="535"/>
      <c r="H176" s="534"/>
      <c r="I176" s="534"/>
      <c r="J176" s="534"/>
      <c r="K176" s="534"/>
      <c r="L176" s="534"/>
      <c r="M176" s="534"/>
      <c r="N176" s="534"/>
      <c r="O176" s="534"/>
      <c r="P176" s="534"/>
    </row>
    <row r="177" spans="6:16" x14ac:dyDescent="0.2">
      <c r="F177" s="534"/>
      <c r="G177" s="535"/>
      <c r="H177" s="534"/>
      <c r="I177" s="534"/>
      <c r="J177" s="534"/>
      <c r="K177" s="534"/>
      <c r="L177" s="534"/>
      <c r="M177" s="534"/>
      <c r="N177" s="534"/>
      <c r="O177" s="534"/>
      <c r="P177" s="534"/>
    </row>
    <row r="178" spans="6:16" x14ac:dyDescent="0.2">
      <c r="F178" s="534"/>
      <c r="G178" s="535"/>
      <c r="H178" s="534"/>
      <c r="I178" s="534"/>
      <c r="J178" s="534"/>
      <c r="K178" s="534"/>
      <c r="L178" s="534"/>
      <c r="M178" s="534"/>
      <c r="N178" s="534"/>
      <c r="O178" s="534"/>
      <c r="P178" s="534"/>
    </row>
    <row r="179" spans="6:16" x14ac:dyDescent="0.2">
      <c r="F179" s="534"/>
      <c r="G179" s="535"/>
      <c r="H179" s="534"/>
      <c r="I179" s="534"/>
      <c r="J179" s="534"/>
      <c r="K179" s="534"/>
      <c r="L179" s="534"/>
      <c r="M179" s="534"/>
      <c r="N179" s="534"/>
      <c r="O179" s="534"/>
      <c r="P179" s="534"/>
    </row>
    <row r="180" spans="6:16" x14ac:dyDescent="0.2">
      <c r="F180" s="534"/>
      <c r="G180" s="535"/>
      <c r="H180" s="534"/>
      <c r="I180" s="534"/>
      <c r="J180" s="534"/>
      <c r="K180" s="534"/>
      <c r="L180" s="534"/>
      <c r="M180" s="534"/>
      <c r="N180" s="534"/>
      <c r="O180" s="534"/>
      <c r="P180" s="534"/>
    </row>
    <row r="181" spans="6:16" x14ac:dyDescent="0.2">
      <c r="F181" s="534"/>
      <c r="G181" s="535"/>
      <c r="H181" s="534"/>
      <c r="I181" s="534"/>
      <c r="J181" s="534"/>
      <c r="K181" s="534"/>
      <c r="L181" s="534"/>
      <c r="M181" s="534"/>
      <c r="N181" s="534"/>
      <c r="O181" s="534"/>
      <c r="P181" s="534"/>
    </row>
    <row r="182" spans="6:16" x14ac:dyDescent="0.2">
      <c r="F182" s="534"/>
      <c r="G182" s="535"/>
      <c r="H182" s="534"/>
      <c r="I182" s="534"/>
      <c r="J182" s="534"/>
      <c r="K182" s="534"/>
      <c r="L182" s="534"/>
      <c r="M182" s="534"/>
      <c r="N182" s="534"/>
      <c r="O182" s="534"/>
      <c r="P182" s="534"/>
    </row>
    <row r="183" spans="6:16" x14ac:dyDescent="0.2">
      <c r="F183" s="534"/>
      <c r="G183" s="535"/>
      <c r="H183" s="534"/>
      <c r="I183" s="534"/>
      <c r="J183" s="534"/>
      <c r="K183" s="534"/>
      <c r="L183" s="534"/>
      <c r="M183" s="534"/>
      <c r="N183" s="534"/>
      <c r="O183" s="534"/>
      <c r="P183" s="534"/>
    </row>
    <row r="184" spans="6:16" x14ac:dyDescent="0.2">
      <c r="F184" s="534"/>
      <c r="G184" s="535"/>
      <c r="H184" s="534"/>
      <c r="I184" s="534"/>
      <c r="J184" s="534"/>
      <c r="K184" s="534"/>
      <c r="L184" s="534"/>
      <c r="M184" s="534"/>
      <c r="N184" s="534"/>
      <c r="O184" s="534"/>
      <c r="P184" s="534"/>
    </row>
    <row r="185" spans="6:16" x14ac:dyDescent="0.2">
      <c r="F185" s="534"/>
      <c r="G185" s="535"/>
      <c r="H185" s="534"/>
      <c r="I185" s="534"/>
      <c r="J185" s="534"/>
      <c r="K185" s="534"/>
      <c r="L185" s="534"/>
      <c r="M185" s="534"/>
      <c r="N185" s="534"/>
      <c r="O185" s="534"/>
      <c r="P185" s="534"/>
    </row>
    <row r="186" spans="6:16" x14ac:dyDescent="0.2">
      <c r="F186" s="534"/>
      <c r="G186" s="535"/>
      <c r="H186" s="534"/>
      <c r="I186" s="534"/>
      <c r="J186" s="534"/>
      <c r="K186" s="534"/>
      <c r="L186" s="534"/>
      <c r="M186" s="534"/>
      <c r="N186" s="534"/>
      <c r="O186" s="534"/>
      <c r="P186" s="534"/>
    </row>
    <row r="187" spans="6:16" x14ac:dyDescent="0.2">
      <c r="F187" s="534"/>
      <c r="G187" s="535"/>
      <c r="H187" s="534"/>
      <c r="I187" s="534"/>
      <c r="J187" s="534"/>
      <c r="K187" s="534"/>
      <c r="L187" s="534"/>
      <c r="M187" s="534"/>
      <c r="N187" s="534"/>
      <c r="O187" s="534"/>
      <c r="P187" s="534"/>
    </row>
    <row r="188" spans="6:16" x14ac:dyDescent="0.2">
      <c r="F188" s="534"/>
      <c r="G188" s="535"/>
      <c r="H188" s="534"/>
      <c r="I188" s="534"/>
      <c r="J188" s="534"/>
      <c r="K188" s="534"/>
      <c r="L188" s="534"/>
      <c r="M188" s="534"/>
      <c r="N188" s="534"/>
      <c r="O188" s="534"/>
      <c r="P188" s="534"/>
    </row>
    <row r="189" spans="6:16" x14ac:dyDescent="0.2">
      <c r="F189" s="534"/>
      <c r="G189" s="535"/>
      <c r="H189" s="534"/>
      <c r="I189" s="534"/>
      <c r="J189" s="534"/>
      <c r="K189" s="534"/>
      <c r="L189" s="534"/>
      <c r="M189" s="534"/>
      <c r="N189" s="534"/>
      <c r="O189" s="534"/>
      <c r="P189" s="534"/>
    </row>
    <row r="190" spans="6:16" x14ac:dyDescent="0.2">
      <c r="F190" s="534"/>
      <c r="G190" s="535"/>
      <c r="H190" s="534"/>
      <c r="I190" s="534"/>
      <c r="J190" s="534"/>
      <c r="K190" s="534"/>
      <c r="L190" s="534"/>
      <c r="M190" s="534"/>
      <c r="N190" s="534"/>
      <c r="O190" s="534"/>
      <c r="P190" s="534"/>
    </row>
    <row r="191" spans="6:16" x14ac:dyDescent="0.2">
      <c r="F191" s="534"/>
      <c r="G191" s="535"/>
      <c r="H191" s="534"/>
      <c r="I191" s="534"/>
      <c r="J191" s="534"/>
      <c r="K191" s="534"/>
      <c r="L191" s="534"/>
      <c r="M191" s="534"/>
      <c r="N191" s="534"/>
      <c r="O191" s="534"/>
      <c r="P191" s="534"/>
    </row>
    <row r="192" spans="6:16" x14ac:dyDescent="0.2">
      <c r="F192" s="534"/>
      <c r="G192" s="535"/>
      <c r="H192" s="534"/>
      <c r="I192" s="534"/>
      <c r="J192" s="534"/>
      <c r="K192" s="534"/>
      <c r="L192" s="534"/>
      <c r="M192" s="534"/>
      <c r="N192" s="534"/>
      <c r="O192" s="534"/>
      <c r="P192" s="534"/>
    </row>
    <row r="193" spans="6:16" x14ac:dyDescent="0.2">
      <c r="F193" s="534"/>
      <c r="G193" s="535"/>
      <c r="H193" s="534"/>
      <c r="I193" s="534"/>
      <c r="J193" s="534"/>
      <c r="K193" s="534"/>
      <c r="L193" s="534"/>
      <c r="M193" s="534"/>
      <c r="N193" s="534"/>
      <c r="O193" s="534"/>
      <c r="P193" s="534"/>
    </row>
    <row r="194" spans="6:16" x14ac:dyDescent="0.2">
      <c r="F194" s="534"/>
      <c r="G194" s="535"/>
      <c r="H194" s="534"/>
      <c r="I194" s="534"/>
      <c r="J194" s="534"/>
      <c r="K194" s="534"/>
      <c r="L194" s="534"/>
      <c r="M194" s="534"/>
      <c r="N194" s="534"/>
      <c r="O194" s="534"/>
      <c r="P194" s="534"/>
    </row>
    <row r="195" spans="6:16" x14ac:dyDescent="0.2">
      <c r="F195" s="534"/>
      <c r="G195" s="535"/>
      <c r="H195" s="534"/>
      <c r="I195" s="534"/>
      <c r="J195" s="534"/>
      <c r="K195" s="534"/>
      <c r="L195" s="534"/>
      <c r="M195" s="534"/>
      <c r="N195" s="534"/>
      <c r="O195" s="534"/>
      <c r="P195" s="534"/>
    </row>
    <row r="196" spans="6:16" x14ac:dyDescent="0.2">
      <c r="F196" s="534"/>
      <c r="G196" s="535"/>
      <c r="H196" s="534"/>
      <c r="I196" s="534"/>
      <c r="J196" s="534"/>
      <c r="K196" s="534"/>
      <c r="L196" s="534"/>
      <c r="M196" s="534"/>
      <c r="N196" s="534"/>
      <c r="O196" s="534"/>
      <c r="P196" s="534"/>
    </row>
    <row r="197" spans="6:16" x14ac:dyDescent="0.2">
      <c r="F197" s="534"/>
      <c r="G197" s="535"/>
      <c r="H197" s="534"/>
      <c r="I197" s="534"/>
      <c r="J197" s="534"/>
      <c r="K197" s="534"/>
      <c r="L197" s="534"/>
      <c r="M197" s="534"/>
      <c r="N197" s="534"/>
      <c r="O197" s="534"/>
      <c r="P197" s="534"/>
    </row>
    <row r="198" spans="6:16" x14ac:dyDescent="0.2">
      <c r="F198" s="534"/>
      <c r="G198" s="535"/>
      <c r="H198" s="534"/>
      <c r="I198" s="534"/>
      <c r="J198" s="534"/>
      <c r="K198" s="534"/>
      <c r="L198" s="534"/>
      <c r="M198" s="534"/>
      <c r="N198" s="534"/>
      <c r="O198" s="534"/>
      <c r="P198" s="534"/>
    </row>
    <row r="199" spans="6:16" x14ac:dyDescent="0.2">
      <c r="F199" s="534"/>
      <c r="G199" s="535"/>
      <c r="H199" s="534"/>
      <c r="I199" s="534"/>
      <c r="J199" s="534"/>
      <c r="K199" s="534"/>
      <c r="L199" s="534"/>
      <c r="M199" s="534"/>
      <c r="N199" s="534"/>
      <c r="O199" s="534"/>
      <c r="P199" s="534"/>
    </row>
    <row r="200" spans="6:16" x14ac:dyDescent="0.2">
      <c r="F200" s="534"/>
      <c r="G200" s="535"/>
      <c r="H200" s="534"/>
      <c r="I200" s="534"/>
      <c r="J200" s="534"/>
      <c r="K200" s="534"/>
      <c r="L200" s="534"/>
      <c r="M200" s="534"/>
      <c r="N200" s="534"/>
      <c r="O200" s="534"/>
      <c r="P200" s="534"/>
    </row>
    <row r="201" spans="6:16" x14ac:dyDescent="0.2">
      <c r="F201" s="534"/>
      <c r="G201" s="535"/>
      <c r="H201" s="534"/>
      <c r="I201" s="534"/>
      <c r="J201" s="534"/>
      <c r="K201" s="534"/>
      <c r="L201" s="534"/>
      <c r="M201" s="534"/>
      <c r="N201" s="534"/>
      <c r="O201" s="534"/>
      <c r="P201" s="534"/>
    </row>
    <row r="202" spans="6:16" x14ac:dyDescent="0.2">
      <c r="F202" s="534"/>
      <c r="G202" s="535"/>
      <c r="H202" s="534"/>
      <c r="I202" s="534"/>
      <c r="J202" s="534"/>
      <c r="K202" s="534"/>
      <c r="L202" s="534"/>
      <c r="M202" s="534"/>
      <c r="N202" s="534"/>
      <c r="O202" s="534"/>
      <c r="P202" s="534"/>
    </row>
    <row r="203" spans="6:16" x14ac:dyDescent="0.2">
      <c r="F203" s="534"/>
      <c r="G203" s="535"/>
      <c r="H203" s="534"/>
      <c r="I203" s="534"/>
      <c r="J203" s="534"/>
      <c r="K203" s="534"/>
      <c r="L203" s="534"/>
      <c r="M203" s="534"/>
      <c r="N203" s="534"/>
      <c r="O203" s="534"/>
      <c r="P203" s="534"/>
    </row>
    <row r="204" spans="6:16" x14ac:dyDescent="0.2">
      <c r="F204" s="534"/>
      <c r="G204" s="535"/>
      <c r="H204" s="534"/>
      <c r="I204" s="534"/>
      <c r="J204" s="534"/>
      <c r="K204" s="534"/>
      <c r="L204" s="534"/>
      <c r="M204" s="534"/>
      <c r="N204" s="534"/>
      <c r="O204" s="534"/>
      <c r="P204" s="534"/>
    </row>
    <row r="205" spans="6:16" x14ac:dyDescent="0.2">
      <c r="F205" s="534"/>
      <c r="G205" s="535"/>
      <c r="H205" s="534"/>
      <c r="I205" s="534"/>
      <c r="J205" s="534"/>
      <c r="K205" s="534"/>
      <c r="L205" s="534"/>
      <c r="M205" s="534"/>
      <c r="N205" s="534"/>
      <c r="O205" s="534"/>
      <c r="P205" s="534"/>
    </row>
    <row r="206" spans="6:16" x14ac:dyDescent="0.2">
      <c r="F206" s="534"/>
      <c r="G206" s="535"/>
      <c r="H206" s="534"/>
      <c r="I206" s="534"/>
      <c r="J206" s="534"/>
      <c r="K206" s="534"/>
      <c r="L206" s="534"/>
      <c r="M206" s="534"/>
      <c r="N206" s="534"/>
      <c r="O206" s="534"/>
      <c r="P206" s="534"/>
    </row>
    <row r="207" spans="6:16" x14ac:dyDescent="0.2">
      <c r="F207" s="534"/>
      <c r="G207" s="535"/>
      <c r="H207" s="534"/>
      <c r="I207" s="534"/>
      <c r="J207" s="534"/>
      <c r="K207" s="534"/>
      <c r="L207" s="534"/>
      <c r="M207" s="534"/>
      <c r="N207" s="534"/>
      <c r="O207" s="534"/>
      <c r="P207" s="534"/>
    </row>
    <row r="208" spans="6:16" x14ac:dyDescent="0.2">
      <c r="F208" s="534"/>
      <c r="G208" s="535"/>
      <c r="H208" s="534"/>
      <c r="I208" s="534"/>
      <c r="J208" s="534"/>
      <c r="K208" s="534"/>
      <c r="L208" s="534"/>
      <c r="M208" s="534"/>
      <c r="N208" s="534"/>
      <c r="O208" s="534"/>
      <c r="P208" s="534"/>
    </row>
    <row r="209" spans="6:16" x14ac:dyDescent="0.2">
      <c r="F209" s="534"/>
      <c r="G209" s="535"/>
      <c r="H209" s="534"/>
      <c r="I209" s="534"/>
      <c r="J209" s="534"/>
      <c r="K209" s="534"/>
      <c r="L209" s="534"/>
      <c r="M209" s="534"/>
      <c r="N209" s="534"/>
      <c r="O209" s="534"/>
      <c r="P209" s="534"/>
    </row>
    <row r="210" spans="6:16" x14ac:dyDescent="0.2">
      <c r="F210" s="534"/>
      <c r="G210" s="535"/>
      <c r="H210" s="534"/>
      <c r="I210" s="534"/>
      <c r="J210" s="534"/>
      <c r="K210" s="534"/>
      <c r="L210" s="534"/>
      <c r="M210" s="534"/>
      <c r="N210" s="534"/>
      <c r="O210" s="534"/>
      <c r="P210" s="534"/>
    </row>
    <row r="211" spans="6:16" x14ac:dyDescent="0.2">
      <c r="F211" s="534"/>
      <c r="G211" s="535"/>
      <c r="H211" s="534"/>
      <c r="I211" s="534"/>
      <c r="J211" s="534"/>
      <c r="K211" s="534"/>
      <c r="L211" s="534"/>
      <c r="M211" s="534"/>
      <c r="N211" s="534"/>
      <c r="O211" s="534"/>
      <c r="P211" s="534"/>
    </row>
    <row r="212" spans="6:16" x14ac:dyDescent="0.2">
      <c r="F212" s="534"/>
      <c r="G212" s="535"/>
      <c r="H212" s="534"/>
      <c r="I212" s="534"/>
      <c r="J212" s="534"/>
      <c r="K212" s="534"/>
      <c r="L212" s="534"/>
      <c r="M212" s="534"/>
      <c r="N212" s="534"/>
      <c r="O212" s="534"/>
      <c r="P212" s="534"/>
    </row>
    <row r="213" spans="6:16" x14ac:dyDescent="0.2">
      <c r="F213" s="534"/>
      <c r="G213" s="535"/>
      <c r="H213" s="534"/>
      <c r="I213" s="534"/>
      <c r="J213" s="534"/>
      <c r="K213" s="534"/>
      <c r="L213" s="534"/>
      <c r="M213" s="534"/>
      <c r="N213" s="534"/>
      <c r="O213" s="534"/>
      <c r="P213" s="534"/>
    </row>
    <row r="214" spans="6:16" x14ac:dyDescent="0.2">
      <c r="F214" s="534"/>
      <c r="G214" s="535"/>
      <c r="H214" s="534"/>
      <c r="I214" s="534"/>
      <c r="J214" s="534"/>
      <c r="K214" s="534"/>
      <c r="L214" s="534"/>
      <c r="M214" s="534"/>
      <c r="N214" s="534"/>
      <c r="O214" s="534"/>
      <c r="P214" s="534"/>
    </row>
    <row r="215" spans="6:16" x14ac:dyDescent="0.2">
      <c r="F215" s="534"/>
      <c r="G215" s="535"/>
      <c r="H215" s="534"/>
      <c r="I215" s="534"/>
      <c r="J215" s="534"/>
      <c r="K215" s="534"/>
      <c r="L215" s="534"/>
      <c r="M215" s="534"/>
      <c r="N215" s="534"/>
      <c r="O215" s="534"/>
      <c r="P215" s="534"/>
    </row>
    <row r="216" spans="6:16" x14ac:dyDescent="0.2">
      <c r="F216" s="534"/>
      <c r="G216" s="535"/>
      <c r="H216" s="534"/>
      <c r="I216" s="534"/>
      <c r="J216" s="534"/>
      <c r="K216" s="534"/>
      <c r="L216" s="534"/>
      <c r="M216" s="534"/>
      <c r="N216" s="534"/>
      <c r="O216" s="534"/>
      <c r="P216" s="534"/>
    </row>
    <row r="217" spans="6:16" x14ac:dyDescent="0.2">
      <c r="F217" s="534"/>
      <c r="G217" s="535"/>
      <c r="H217" s="534"/>
      <c r="I217" s="534"/>
      <c r="J217" s="534"/>
      <c r="K217" s="534"/>
      <c r="L217" s="534"/>
      <c r="M217" s="534"/>
      <c r="N217" s="534"/>
      <c r="O217" s="534"/>
      <c r="P217" s="534"/>
    </row>
    <row r="218" spans="6:16" x14ac:dyDescent="0.2">
      <c r="F218" s="534"/>
      <c r="G218" s="535"/>
      <c r="H218" s="534"/>
      <c r="I218" s="534"/>
      <c r="J218" s="534"/>
      <c r="K218" s="534"/>
      <c r="L218" s="534"/>
      <c r="M218" s="534"/>
      <c r="N218" s="534"/>
      <c r="O218" s="534"/>
      <c r="P218" s="534"/>
    </row>
    <row r="219" spans="6:16" x14ac:dyDescent="0.2">
      <c r="F219" s="534"/>
      <c r="G219" s="535"/>
      <c r="H219" s="534"/>
      <c r="I219" s="534"/>
      <c r="J219" s="534"/>
      <c r="K219" s="534"/>
      <c r="L219" s="534"/>
      <c r="M219" s="534"/>
      <c r="N219" s="534"/>
      <c r="O219" s="534"/>
      <c r="P219" s="534"/>
    </row>
    <row r="220" spans="6:16" x14ac:dyDescent="0.2">
      <c r="F220" s="534"/>
      <c r="G220" s="535"/>
      <c r="H220" s="534"/>
      <c r="I220" s="534"/>
      <c r="J220" s="534"/>
      <c r="K220" s="534"/>
      <c r="L220" s="534"/>
      <c r="M220" s="534"/>
      <c r="N220" s="534"/>
      <c r="O220" s="534"/>
      <c r="P220" s="534"/>
    </row>
    <row r="221" spans="6:16" x14ac:dyDescent="0.2">
      <c r="F221" s="534"/>
      <c r="G221" s="535"/>
      <c r="H221" s="534"/>
      <c r="I221" s="534"/>
      <c r="J221" s="534"/>
      <c r="K221" s="534"/>
      <c r="L221" s="534"/>
      <c r="M221" s="534"/>
      <c r="N221" s="534"/>
      <c r="O221" s="534"/>
      <c r="P221" s="534"/>
    </row>
    <row r="222" spans="6:16" x14ac:dyDescent="0.2">
      <c r="F222" s="534"/>
      <c r="G222" s="535"/>
      <c r="H222" s="534"/>
      <c r="I222" s="534"/>
      <c r="J222" s="534"/>
      <c r="K222" s="534"/>
      <c r="L222" s="534"/>
      <c r="M222" s="534"/>
      <c r="N222" s="534"/>
      <c r="O222" s="534"/>
      <c r="P222" s="534"/>
    </row>
    <row r="223" spans="6:16" x14ac:dyDescent="0.2">
      <c r="F223" s="534"/>
      <c r="G223" s="535"/>
      <c r="H223" s="534"/>
      <c r="I223" s="534"/>
      <c r="J223" s="534"/>
      <c r="K223" s="534"/>
      <c r="L223" s="534"/>
      <c r="M223" s="534"/>
      <c r="N223" s="534"/>
      <c r="O223" s="534"/>
      <c r="P223" s="534"/>
    </row>
    <row r="224" spans="6:16" x14ac:dyDescent="0.2">
      <c r="F224" s="534"/>
      <c r="G224" s="535"/>
      <c r="H224" s="534"/>
      <c r="I224" s="534"/>
      <c r="J224" s="534"/>
      <c r="K224" s="534"/>
      <c r="L224" s="534"/>
      <c r="M224" s="534"/>
      <c r="N224" s="534"/>
      <c r="O224" s="534"/>
      <c r="P224" s="534"/>
    </row>
    <row r="225" spans="6:16" x14ac:dyDescent="0.2">
      <c r="F225" s="534"/>
      <c r="G225" s="535"/>
      <c r="H225" s="534"/>
      <c r="I225" s="534"/>
      <c r="J225" s="534"/>
      <c r="K225" s="534"/>
      <c r="L225" s="534"/>
      <c r="M225" s="534"/>
      <c r="N225" s="534"/>
      <c r="O225" s="534"/>
      <c r="P225" s="534"/>
    </row>
    <row r="226" spans="6:16" x14ac:dyDescent="0.2">
      <c r="F226" s="534"/>
      <c r="G226" s="535"/>
      <c r="H226" s="534"/>
      <c r="I226" s="534"/>
      <c r="J226" s="534"/>
      <c r="K226" s="534"/>
      <c r="L226" s="534"/>
      <c r="M226" s="534"/>
      <c r="N226" s="534"/>
      <c r="O226" s="534"/>
      <c r="P226" s="534"/>
    </row>
    <row r="227" spans="6:16" x14ac:dyDescent="0.2">
      <c r="F227" s="534"/>
      <c r="G227" s="535"/>
      <c r="H227" s="534"/>
      <c r="I227" s="534"/>
      <c r="J227" s="534"/>
      <c r="K227" s="534"/>
      <c r="L227" s="534"/>
      <c r="M227" s="534"/>
      <c r="N227" s="534"/>
      <c r="O227" s="534"/>
      <c r="P227" s="534"/>
    </row>
    <row r="228" spans="6:16" x14ac:dyDescent="0.2">
      <c r="F228" s="534"/>
      <c r="G228" s="535"/>
      <c r="H228" s="534"/>
      <c r="I228" s="534"/>
      <c r="J228" s="534"/>
      <c r="K228" s="534"/>
      <c r="L228" s="534"/>
      <c r="M228" s="534"/>
      <c r="N228" s="534"/>
      <c r="O228" s="534"/>
      <c r="P228" s="534"/>
    </row>
    <row r="229" spans="6:16" x14ac:dyDescent="0.2">
      <c r="F229" s="534"/>
      <c r="G229" s="535"/>
      <c r="H229" s="534"/>
      <c r="I229" s="534"/>
      <c r="J229" s="534"/>
      <c r="K229" s="534"/>
      <c r="L229" s="534"/>
      <c r="M229" s="534"/>
      <c r="N229" s="534"/>
      <c r="O229" s="534"/>
      <c r="P229" s="534"/>
    </row>
    <row r="230" spans="6:16" x14ac:dyDescent="0.2">
      <c r="F230" s="534"/>
      <c r="G230" s="535"/>
      <c r="H230" s="534"/>
      <c r="I230" s="534"/>
      <c r="J230" s="534"/>
      <c r="K230" s="534"/>
      <c r="L230" s="534"/>
      <c r="M230" s="534"/>
      <c r="N230" s="534"/>
      <c r="O230" s="534"/>
      <c r="P230" s="534"/>
    </row>
    <row r="231" spans="6:16" x14ac:dyDescent="0.2">
      <c r="F231" s="534"/>
      <c r="G231" s="535"/>
      <c r="H231" s="534"/>
      <c r="I231" s="534"/>
      <c r="J231" s="534"/>
      <c r="K231" s="534"/>
      <c r="L231" s="534"/>
      <c r="M231" s="534"/>
      <c r="N231" s="534"/>
      <c r="O231" s="534"/>
      <c r="P231" s="534"/>
    </row>
    <row r="232" spans="6:16" x14ac:dyDescent="0.2">
      <c r="F232" s="534"/>
      <c r="G232" s="535"/>
      <c r="H232" s="534"/>
      <c r="I232" s="534"/>
      <c r="J232" s="534"/>
      <c r="K232" s="534"/>
      <c r="L232" s="534"/>
      <c r="M232" s="534"/>
      <c r="N232" s="534"/>
      <c r="O232" s="534"/>
      <c r="P232" s="534"/>
    </row>
    <row r="233" spans="6:16" x14ac:dyDescent="0.2">
      <c r="F233" s="534"/>
      <c r="G233" s="535"/>
      <c r="H233" s="534"/>
      <c r="I233" s="534"/>
      <c r="J233" s="534"/>
      <c r="K233" s="534"/>
      <c r="L233" s="534"/>
      <c r="M233" s="534"/>
      <c r="N233" s="534"/>
      <c r="O233" s="534"/>
      <c r="P233" s="534"/>
    </row>
    <row r="234" spans="6:16" x14ac:dyDescent="0.2">
      <c r="F234" s="534"/>
      <c r="G234" s="535"/>
      <c r="H234" s="534"/>
      <c r="I234" s="534"/>
      <c r="J234" s="534"/>
      <c r="K234" s="534"/>
      <c r="L234" s="534"/>
      <c r="M234" s="534"/>
      <c r="N234" s="534"/>
      <c r="O234" s="534"/>
      <c r="P234" s="534"/>
    </row>
    <row r="235" spans="6:16" x14ac:dyDescent="0.2">
      <c r="F235" s="534"/>
      <c r="G235" s="535"/>
      <c r="H235" s="534"/>
      <c r="I235" s="534"/>
      <c r="J235" s="534"/>
      <c r="K235" s="534"/>
      <c r="L235" s="534"/>
      <c r="M235" s="534"/>
      <c r="N235" s="534"/>
      <c r="O235" s="534"/>
      <c r="P235" s="534"/>
    </row>
    <row r="236" spans="6:16" x14ac:dyDescent="0.2">
      <c r="F236" s="534"/>
      <c r="G236" s="535"/>
      <c r="H236" s="534"/>
      <c r="I236" s="534"/>
      <c r="J236" s="534"/>
      <c r="K236" s="534"/>
      <c r="L236" s="534"/>
      <c r="M236" s="534"/>
      <c r="N236" s="534"/>
      <c r="O236" s="534"/>
      <c r="P236" s="534"/>
    </row>
    <row r="237" spans="6:16" x14ac:dyDescent="0.2">
      <c r="F237" s="534"/>
      <c r="G237" s="535"/>
      <c r="H237" s="534"/>
      <c r="I237" s="534"/>
      <c r="J237" s="534"/>
      <c r="K237" s="534"/>
      <c r="L237" s="534"/>
      <c r="M237" s="534"/>
      <c r="N237" s="534"/>
      <c r="O237" s="534"/>
      <c r="P237" s="534"/>
    </row>
    <row r="238" spans="6:16" x14ac:dyDescent="0.2">
      <c r="F238" s="534"/>
      <c r="G238" s="535"/>
      <c r="H238" s="534"/>
      <c r="I238" s="534"/>
      <c r="J238" s="534"/>
      <c r="K238" s="534"/>
      <c r="L238" s="534"/>
      <c r="M238" s="534"/>
      <c r="N238" s="534"/>
      <c r="O238" s="534"/>
      <c r="P238" s="534"/>
    </row>
    <row r="239" spans="6:16" x14ac:dyDescent="0.2">
      <c r="F239" s="534"/>
      <c r="G239" s="535"/>
      <c r="H239" s="534"/>
      <c r="I239" s="534"/>
      <c r="J239" s="534"/>
      <c r="K239" s="534"/>
      <c r="L239" s="534"/>
      <c r="M239" s="534"/>
      <c r="N239" s="534"/>
      <c r="O239" s="534"/>
      <c r="P239" s="534"/>
    </row>
    <row r="240" spans="6:16" x14ac:dyDescent="0.2">
      <c r="F240" s="534"/>
      <c r="G240" s="535"/>
      <c r="H240" s="534"/>
      <c r="I240" s="534"/>
      <c r="J240" s="534"/>
      <c r="K240" s="534"/>
      <c r="L240" s="534"/>
      <c r="M240" s="534"/>
      <c r="N240" s="534"/>
      <c r="O240" s="534"/>
      <c r="P240" s="534"/>
    </row>
    <row r="241" spans="6:16" x14ac:dyDescent="0.2">
      <c r="F241" s="534"/>
      <c r="G241" s="535"/>
      <c r="H241" s="534"/>
      <c r="I241" s="534"/>
      <c r="J241" s="534"/>
      <c r="K241" s="534"/>
      <c r="L241" s="534"/>
      <c r="M241" s="534"/>
      <c r="N241" s="534"/>
      <c r="O241" s="534"/>
      <c r="P241" s="534"/>
    </row>
    <row r="242" spans="6:16" x14ac:dyDescent="0.2">
      <c r="F242" s="534"/>
      <c r="G242" s="535"/>
      <c r="H242" s="534"/>
      <c r="I242" s="534"/>
      <c r="J242" s="534"/>
      <c r="K242" s="534"/>
      <c r="L242" s="534"/>
      <c r="M242" s="534"/>
      <c r="N242" s="534"/>
      <c r="O242" s="534"/>
      <c r="P242" s="534"/>
    </row>
    <row r="243" spans="6:16" x14ac:dyDescent="0.2">
      <c r="F243" s="534"/>
      <c r="G243" s="535"/>
      <c r="H243" s="534"/>
      <c r="I243" s="534"/>
      <c r="J243" s="534"/>
      <c r="K243" s="534"/>
      <c r="L243" s="534"/>
      <c r="M243" s="534"/>
      <c r="N243" s="534"/>
      <c r="O243" s="534"/>
      <c r="P243" s="534"/>
    </row>
    <row r="244" spans="6:16" x14ac:dyDescent="0.2">
      <c r="F244" s="534"/>
      <c r="G244" s="535"/>
      <c r="H244" s="534"/>
      <c r="I244" s="534"/>
      <c r="J244" s="534"/>
      <c r="K244" s="534"/>
      <c r="L244" s="534"/>
      <c r="M244" s="534"/>
      <c r="N244" s="534"/>
      <c r="O244" s="534"/>
      <c r="P244" s="534"/>
    </row>
    <row r="245" spans="6:16" x14ac:dyDescent="0.2">
      <c r="F245" s="534"/>
      <c r="G245" s="535"/>
      <c r="H245" s="534"/>
      <c r="I245" s="534"/>
      <c r="J245" s="534"/>
      <c r="K245" s="534"/>
      <c r="L245" s="534"/>
      <c r="M245" s="534"/>
      <c r="N245" s="534"/>
      <c r="O245" s="534"/>
      <c r="P245" s="534"/>
    </row>
    <row r="246" spans="6:16" x14ac:dyDescent="0.2">
      <c r="F246" s="534"/>
      <c r="G246" s="535"/>
      <c r="H246" s="534"/>
      <c r="I246" s="534"/>
      <c r="J246" s="534"/>
      <c r="K246" s="534"/>
      <c r="L246" s="534"/>
      <c r="M246" s="534"/>
      <c r="N246" s="534"/>
      <c r="O246" s="534"/>
      <c r="P246" s="534"/>
    </row>
    <row r="247" spans="6:16" x14ac:dyDescent="0.2">
      <c r="F247" s="534"/>
      <c r="G247" s="535"/>
      <c r="H247" s="534"/>
      <c r="I247" s="534"/>
      <c r="J247" s="534"/>
      <c r="K247" s="534"/>
      <c r="L247" s="534"/>
      <c r="M247" s="534"/>
      <c r="N247" s="534"/>
      <c r="O247" s="534"/>
      <c r="P247" s="534"/>
    </row>
    <row r="248" spans="6:16" x14ac:dyDescent="0.2">
      <c r="F248" s="534"/>
      <c r="G248" s="535"/>
      <c r="H248" s="534"/>
      <c r="I248" s="534"/>
      <c r="J248" s="534"/>
      <c r="K248" s="534"/>
      <c r="L248" s="534"/>
      <c r="M248" s="534"/>
      <c r="N248" s="534"/>
      <c r="O248" s="534"/>
      <c r="P248" s="534"/>
    </row>
    <row r="249" spans="6:16" x14ac:dyDescent="0.2">
      <c r="F249" s="534"/>
      <c r="G249" s="535"/>
      <c r="H249" s="534"/>
      <c r="I249" s="534"/>
      <c r="J249" s="534"/>
      <c r="K249" s="534"/>
      <c r="L249" s="534"/>
      <c r="M249" s="534"/>
      <c r="N249" s="534"/>
      <c r="O249" s="534"/>
      <c r="P249" s="534"/>
    </row>
    <row r="250" spans="6:16" x14ac:dyDescent="0.2">
      <c r="F250" s="534"/>
      <c r="G250" s="535"/>
      <c r="H250" s="534"/>
      <c r="I250" s="534"/>
      <c r="J250" s="534"/>
      <c r="K250" s="534"/>
      <c r="L250" s="534"/>
      <c r="M250" s="534"/>
      <c r="N250" s="534"/>
      <c r="O250" s="534"/>
      <c r="P250" s="534"/>
    </row>
    <row r="251" spans="6:16" x14ac:dyDescent="0.2">
      <c r="F251" s="534"/>
      <c r="G251" s="535"/>
      <c r="H251" s="534"/>
      <c r="I251" s="534"/>
      <c r="J251" s="534"/>
      <c r="K251" s="534"/>
      <c r="L251" s="534"/>
      <c r="M251" s="534"/>
      <c r="N251" s="534"/>
      <c r="O251" s="534"/>
      <c r="P251" s="534"/>
    </row>
    <row r="252" spans="6:16" x14ac:dyDescent="0.2">
      <c r="F252" s="534"/>
      <c r="G252" s="535"/>
      <c r="H252" s="534"/>
      <c r="I252" s="534"/>
      <c r="J252" s="534"/>
      <c r="K252" s="534"/>
      <c r="L252" s="534"/>
      <c r="M252" s="534"/>
      <c r="N252" s="534"/>
      <c r="O252" s="534"/>
      <c r="P252" s="534"/>
    </row>
    <row r="253" spans="6:16" x14ac:dyDescent="0.2">
      <c r="F253" s="534"/>
      <c r="G253" s="535"/>
      <c r="H253" s="534"/>
      <c r="I253" s="534"/>
      <c r="J253" s="534"/>
      <c r="K253" s="534"/>
      <c r="L253" s="534"/>
      <c r="M253" s="534"/>
      <c r="N253" s="534"/>
      <c r="O253" s="534"/>
      <c r="P253" s="534"/>
    </row>
    <row r="254" spans="6:16" x14ac:dyDescent="0.2">
      <c r="F254" s="534"/>
      <c r="G254" s="535"/>
      <c r="H254" s="534"/>
      <c r="I254" s="534"/>
      <c r="J254" s="534"/>
      <c r="K254" s="534"/>
      <c r="L254" s="534"/>
      <c r="M254" s="534"/>
      <c r="N254" s="534"/>
      <c r="O254" s="534"/>
      <c r="P254" s="534"/>
    </row>
    <row r="255" spans="6:16" x14ac:dyDescent="0.2">
      <c r="F255" s="534"/>
      <c r="G255" s="535"/>
      <c r="H255" s="534"/>
      <c r="I255" s="534"/>
      <c r="J255" s="534"/>
      <c r="K255" s="534"/>
      <c r="L255" s="534"/>
      <c r="M255" s="534"/>
      <c r="N255" s="534"/>
      <c r="O255" s="534"/>
      <c r="P255" s="534"/>
    </row>
    <row r="256" spans="6:16" x14ac:dyDescent="0.2">
      <c r="F256" s="534"/>
      <c r="G256" s="535"/>
      <c r="H256" s="534"/>
      <c r="I256" s="534"/>
      <c r="J256" s="534"/>
      <c r="K256" s="534"/>
      <c r="L256" s="534"/>
      <c r="M256" s="534"/>
      <c r="N256" s="534"/>
      <c r="O256" s="534"/>
      <c r="P256" s="534"/>
    </row>
    <row r="257" spans="6:16" x14ac:dyDescent="0.2">
      <c r="F257" s="534"/>
      <c r="G257" s="535"/>
      <c r="H257" s="534"/>
      <c r="I257" s="534"/>
      <c r="J257" s="534"/>
      <c r="K257" s="534"/>
      <c r="L257" s="534"/>
      <c r="M257" s="534"/>
      <c r="N257" s="534"/>
      <c r="O257" s="534"/>
      <c r="P257" s="534"/>
    </row>
    <row r="258" spans="6:16" x14ac:dyDescent="0.2">
      <c r="F258" s="534"/>
      <c r="G258" s="535"/>
      <c r="H258" s="534"/>
      <c r="I258" s="534"/>
      <c r="J258" s="534"/>
      <c r="K258" s="534"/>
      <c r="L258" s="534"/>
      <c r="M258" s="534"/>
      <c r="N258" s="534"/>
      <c r="O258" s="534"/>
      <c r="P258" s="534"/>
    </row>
    <row r="259" spans="6:16" x14ac:dyDescent="0.2">
      <c r="F259" s="534"/>
      <c r="G259" s="535"/>
      <c r="H259" s="534"/>
      <c r="I259" s="534"/>
      <c r="J259" s="534"/>
      <c r="K259" s="534"/>
      <c r="L259" s="534"/>
      <c r="M259" s="534"/>
      <c r="N259" s="534"/>
      <c r="O259" s="534"/>
      <c r="P259" s="534"/>
    </row>
    <row r="260" spans="6:16" x14ac:dyDescent="0.2">
      <c r="F260" s="534"/>
      <c r="G260" s="535"/>
      <c r="H260" s="534"/>
      <c r="I260" s="534"/>
      <c r="J260" s="534"/>
      <c r="K260" s="534"/>
      <c r="L260" s="534"/>
      <c r="M260" s="534"/>
      <c r="N260" s="534"/>
      <c r="O260" s="534"/>
      <c r="P260" s="534"/>
    </row>
    <row r="261" spans="6:16" x14ac:dyDescent="0.2">
      <c r="F261" s="534"/>
      <c r="G261" s="535"/>
      <c r="H261" s="534"/>
      <c r="I261" s="534"/>
      <c r="J261" s="534"/>
      <c r="K261" s="534"/>
      <c r="L261" s="534"/>
      <c r="M261" s="534"/>
      <c r="N261" s="534"/>
      <c r="O261" s="534"/>
      <c r="P261" s="534"/>
    </row>
    <row r="262" spans="6:16" x14ac:dyDescent="0.2">
      <c r="F262" s="534"/>
      <c r="G262" s="535"/>
      <c r="H262" s="534"/>
      <c r="I262" s="534"/>
      <c r="J262" s="534"/>
      <c r="K262" s="534"/>
      <c r="L262" s="534"/>
      <c r="M262" s="534"/>
      <c r="N262" s="534"/>
      <c r="O262" s="534"/>
      <c r="P262" s="534"/>
    </row>
    <row r="263" spans="6:16" x14ac:dyDescent="0.2">
      <c r="F263" s="534"/>
      <c r="G263" s="535"/>
      <c r="H263" s="534"/>
      <c r="I263" s="534"/>
      <c r="J263" s="534"/>
      <c r="K263" s="534"/>
      <c r="L263" s="534"/>
      <c r="M263" s="534"/>
      <c r="N263" s="534"/>
      <c r="O263" s="534"/>
      <c r="P263" s="534"/>
    </row>
    <row r="264" spans="6:16" x14ac:dyDescent="0.2">
      <c r="F264" s="534"/>
      <c r="G264" s="535"/>
      <c r="H264" s="534"/>
      <c r="I264" s="534"/>
      <c r="J264" s="534"/>
      <c r="K264" s="534"/>
      <c r="L264" s="534"/>
      <c r="M264" s="534"/>
      <c r="N264" s="534"/>
      <c r="O264" s="534"/>
      <c r="P264" s="534"/>
    </row>
    <row r="265" spans="6:16" x14ac:dyDescent="0.2">
      <c r="F265" s="534"/>
      <c r="G265" s="535"/>
      <c r="H265" s="534"/>
      <c r="I265" s="534"/>
      <c r="J265" s="534"/>
      <c r="K265" s="534"/>
      <c r="L265" s="534"/>
      <c r="M265" s="534"/>
      <c r="N265" s="534"/>
      <c r="O265" s="534"/>
      <c r="P265" s="534"/>
    </row>
    <row r="266" spans="6:16" x14ac:dyDescent="0.2">
      <c r="F266" s="534"/>
      <c r="G266" s="535"/>
      <c r="H266" s="534"/>
      <c r="I266" s="534"/>
      <c r="J266" s="534"/>
      <c r="K266" s="534"/>
      <c r="L266" s="534"/>
      <c r="M266" s="534"/>
      <c r="N266" s="534"/>
      <c r="O266" s="534"/>
      <c r="P266" s="534"/>
    </row>
    <row r="267" spans="6:16" x14ac:dyDescent="0.2">
      <c r="F267" s="534"/>
      <c r="G267" s="535"/>
      <c r="H267" s="534"/>
      <c r="I267" s="534"/>
      <c r="J267" s="534"/>
      <c r="K267" s="534"/>
      <c r="L267" s="534"/>
      <c r="M267" s="534"/>
      <c r="N267" s="534"/>
      <c r="O267" s="534"/>
      <c r="P267" s="534"/>
    </row>
    <row r="268" spans="6:16" x14ac:dyDescent="0.2">
      <c r="F268" s="534"/>
      <c r="G268" s="535"/>
      <c r="H268" s="534"/>
      <c r="I268" s="534"/>
      <c r="J268" s="534"/>
      <c r="K268" s="534"/>
      <c r="L268" s="534"/>
      <c r="M268" s="534"/>
      <c r="N268" s="534"/>
      <c r="O268" s="534"/>
      <c r="P268" s="534"/>
    </row>
    <row r="269" spans="6:16" x14ac:dyDescent="0.2">
      <c r="F269" s="534"/>
      <c r="G269" s="535"/>
      <c r="H269" s="534"/>
      <c r="I269" s="534"/>
      <c r="J269" s="534"/>
      <c r="K269" s="534"/>
      <c r="L269" s="534"/>
      <c r="M269" s="534"/>
      <c r="N269" s="534"/>
      <c r="O269" s="534"/>
      <c r="P269" s="534"/>
    </row>
    <row r="270" spans="6:16" x14ac:dyDescent="0.2">
      <c r="F270" s="534"/>
      <c r="G270" s="535"/>
      <c r="H270" s="534"/>
      <c r="I270" s="534"/>
      <c r="J270" s="534"/>
      <c r="K270" s="534"/>
      <c r="L270" s="534"/>
      <c r="M270" s="534"/>
      <c r="N270" s="534"/>
      <c r="O270" s="534"/>
      <c r="P270" s="534"/>
    </row>
    <row r="271" spans="6:16" x14ac:dyDescent="0.2">
      <c r="F271" s="534"/>
      <c r="G271" s="535"/>
      <c r="H271" s="534"/>
      <c r="I271" s="534"/>
      <c r="J271" s="534"/>
      <c r="K271" s="534"/>
      <c r="L271" s="534"/>
      <c r="M271" s="534"/>
      <c r="N271" s="534"/>
      <c r="O271" s="534"/>
      <c r="P271" s="534"/>
    </row>
    <row r="272" spans="6:16" x14ac:dyDescent="0.2">
      <c r="F272" s="534"/>
      <c r="G272" s="535"/>
      <c r="H272" s="534"/>
      <c r="I272" s="534"/>
      <c r="J272" s="534"/>
      <c r="K272" s="534"/>
      <c r="L272" s="534"/>
      <c r="M272" s="534"/>
      <c r="N272" s="534"/>
      <c r="O272" s="534"/>
      <c r="P272" s="534"/>
    </row>
    <row r="273" spans="6:16" x14ac:dyDescent="0.2">
      <c r="F273" s="534"/>
      <c r="G273" s="535"/>
      <c r="H273" s="534"/>
      <c r="I273" s="534"/>
      <c r="J273" s="534"/>
      <c r="K273" s="534"/>
      <c r="L273" s="534"/>
      <c r="M273" s="534"/>
      <c r="N273" s="534"/>
      <c r="O273" s="534"/>
      <c r="P273" s="534"/>
    </row>
    <row r="274" spans="6:16" x14ac:dyDescent="0.2">
      <c r="F274" s="534"/>
      <c r="G274" s="535"/>
      <c r="H274" s="534"/>
      <c r="I274" s="534"/>
      <c r="J274" s="534"/>
      <c r="K274" s="534"/>
      <c r="L274" s="534"/>
      <c r="M274" s="534"/>
      <c r="N274" s="534"/>
      <c r="O274" s="534"/>
      <c r="P274" s="534"/>
    </row>
    <row r="275" spans="6:16" x14ac:dyDescent="0.2">
      <c r="F275" s="534"/>
      <c r="G275" s="535"/>
      <c r="H275" s="534"/>
      <c r="I275" s="534"/>
      <c r="J275" s="534"/>
      <c r="K275" s="534"/>
      <c r="L275" s="534"/>
      <c r="M275" s="534"/>
      <c r="N275" s="534"/>
      <c r="O275" s="534"/>
      <c r="P275" s="534"/>
    </row>
    <row r="276" spans="6:16" x14ac:dyDescent="0.2">
      <c r="F276" s="534"/>
      <c r="G276" s="535"/>
      <c r="H276" s="534"/>
      <c r="I276" s="534"/>
      <c r="J276" s="534"/>
      <c r="K276" s="534"/>
      <c r="L276" s="534"/>
      <c r="M276" s="534"/>
      <c r="N276" s="534"/>
      <c r="O276" s="534"/>
      <c r="P276" s="534"/>
    </row>
    <row r="277" spans="6:16" x14ac:dyDescent="0.2">
      <c r="F277" s="534"/>
      <c r="G277" s="535"/>
      <c r="H277" s="534"/>
      <c r="I277" s="534"/>
      <c r="J277" s="534"/>
      <c r="K277" s="534"/>
      <c r="L277" s="534"/>
      <c r="M277" s="534"/>
      <c r="N277" s="534"/>
      <c r="O277" s="534"/>
      <c r="P277" s="534"/>
    </row>
    <row r="278" spans="6:16" x14ac:dyDescent="0.2">
      <c r="F278" s="534"/>
      <c r="G278" s="535"/>
      <c r="H278" s="534"/>
      <c r="I278" s="534"/>
      <c r="J278" s="534"/>
      <c r="K278" s="534"/>
      <c r="L278" s="534"/>
      <c r="M278" s="534"/>
      <c r="N278" s="534"/>
      <c r="O278" s="534"/>
      <c r="P278" s="534"/>
    </row>
    <row r="279" spans="6:16" x14ac:dyDescent="0.2">
      <c r="F279" s="534"/>
      <c r="G279" s="535"/>
      <c r="H279" s="534"/>
      <c r="I279" s="534"/>
      <c r="J279" s="534"/>
      <c r="K279" s="534"/>
      <c r="L279" s="534"/>
      <c r="M279" s="534"/>
      <c r="N279" s="534"/>
      <c r="O279" s="534"/>
      <c r="P279" s="534"/>
    </row>
    <row r="280" spans="6:16" x14ac:dyDescent="0.2">
      <c r="F280" s="534"/>
      <c r="G280" s="535"/>
      <c r="H280" s="534"/>
      <c r="I280" s="534"/>
      <c r="J280" s="534"/>
      <c r="K280" s="534"/>
      <c r="L280" s="534"/>
      <c r="M280" s="534"/>
      <c r="N280" s="534"/>
      <c r="O280" s="534"/>
      <c r="P280" s="534"/>
    </row>
    <row r="281" spans="6:16" x14ac:dyDescent="0.2">
      <c r="F281" s="534"/>
      <c r="G281" s="535"/>
      <c r="H281" s="534"/>
      <c r="I281" s="534"/>
      <c r="J281" s="534"/>
      <c r="K281" s="534"/>
      <c r="L281" s="534"/>
      <c r="M281" s="534"/>
      <c r="N281" s="534"/>
      <c r="O281" s="534"/>
      <c r="P281" s="534"/>
    </row>
    <row r="282" spans="6:16" x14ac:dyDescent="0.2">
      <c r="F282" s="534"/>
      <c r="G282" s="535"/>
      <c r="H282" s="534"/>
      <c r="I282" s="534"/>
      <c r="J282" s="534"/>
      <c r="K282" s="534"/>
      <c r="L282" s="534"/>
      <c r="M282" s="534"/>
      <c r="N282" s="534"/>
      <c r="O282" s="534"/>
      <c r="P282" s="534"/>
    </row>
    <row r="283" spans="6:16" x14ac:dyDescent="0.2">
      <c r="F283" s="534"/>
      <c r="G283" s="535"/>
      <c r="H283" s="534"/>
      <c r="I283" s="534"/>
      <c r="J283" s="534"/>
      <c r="K283" s="534"/>
      <c r="L283" s="534"/>
      <c r="M283" s="534"/>
      <c r="N283" s="534"/>
      <c r="O283" s="534"/>
      <c r="P283" s="534"/>
    </row>
    <row r="284" spans="6:16" x14ac:dyDescent="0.2">
      <c r="F284" s="534"/>
      <c r="G284" s="535"/>
      <c r="H284" s="534"/>
      <c r="I284" s="534"/>
      <c r="J284" s="534"/>
      <c r="K284" s="534"/>
      <c r="L284" s="534"/>
      <c r="M284" s="534"/>
      <c r="N284" s="534"/>
      <c r="O284" s="534"/>
      <c r="P284" s="534"/>
    </row>
    <row r="285" spans="6:16" x14ac:dyDescent="0.2">
      <c r="F285" s="534"/>
      <c r="G285" s="535"/>
      <c r="H285" s="534"/>
      <c r="I285" s="534"/>
      <c r="J285" s="534"/>
      <c r="K285" s="534"/>
      <c r="L285" s="534"/>
      <c r="M285" s="534"/>
      <c r="N285" s="534"/>
      <c r="O285" s="534"/>
      <c r="P285" s="534"/>
    </row>
    <row r="286" spans="6:16" x14ac:dyDescent="0.2">
      <c r="F286" s="534"/>
      <c r="G286" s="535"/>
      <c r="H286" s="534"/>
      <c r="I286" s="534"/>
      <c r="J286" s="534"/>
      <c r="K286" s="534"/>
      <c r="L286" s="534"/>
      <c r="M286" s="534"/>
      <c r="N286" s="534"/>
      <c r="O286" s="534"/>
      <c r="P286" s="534"/>
    </row>
    <row r="287" spans="6:16" x14ac:dyDescent="0.2">
      <c r="F287" s="534"/>
      <c r="G287" s="535"/>
      <c r="H287" s="534"/>
      <c r="I287" s="534"/>
      <c r="J287" s="534"/>
      <c r="K287" s="534"/>
      <c r="L287" s="534"/>
      <c r="M287" s="534"/>
      <c r="N287" s="534"/>
      <c r="O287" s="534"/>
      <c r="P287" s="534"/>
    </row>
    <row r="288" spans="6:16" x14ac:dyDescent="0.2">
      <c r="F288" s="534"/>
      <c r="G288" s="535"/>
      <c r="H288" s="534"/>
      <c r="I288" s="534"/>
      <c r="J288" s="534"/>
      <c r="K288" s="534"/>
      <c r="L288" s="534"/>
      <c r="M288" s="534"/>
      <c r="N288" s="534"/>
      <c r="O288" s="534"/>
      <c r="P288" s="534"/>
    </row>
    <row r="289" spans="6:16" x14ac:dyDescent="0.2">
      <c r="F289" s="534"/>
      <c r="G289" s="535"/>
      <c r="H289" s="534"/>
      <c r="I289" s="534"/>
      <c r="J289" s="534"/>
      <c r="K289" s="534"/>
      <c r="L289" s="534"/>
      <c r="M289" s="534"/>
      <c r="N289" s="534"/>
      <c r="O289" s="534"/>
      <c r="P289" s="534"/>
    </row>
    <row r="290" spans="6:16" x14ac:dyDescent="0.2">
      <c r="F290" s="534"/>
      <c r="G290" s="535"/>
      <c r="H290" s="534"/>
      <c r="I290" s="534"/>
      <c r="J290" s="534"/>
      <c r="K290" s="534"/>
      <c r="L290" s="534"/>
      <c r="M290" s="534"/>
      <c r="N290" s="534"/>
      <c r="O290" s="534"/>
      <c r="P290" s="534"/>
    </row>
    <row r="291" spans="6:16" x14ac:dyDescent="0.2">
      <c r="F291" s="534"/>
      <c r="G291" s="535"/>
      <c r="H291" s="534"/>
      <c r="I291" s="534"/>
      <c r="J291" s="534"/>
      <c r="K291" s="534"/>
      <c r="L291" s="534"/>
      <c r="M291" s="534"/>
      <c r="N291" s="534"/>
      <c r="O291" s="534"/>
      <c r="P291" s="534"/>
    </row>
    <row r="292" spans="6:16" x14ac:dyDescent="0.2">
      <c r="F292" s="534"/>
      <c r="G292" s="535"/>
      <c r="H292" s="534"/>
      <c r="I292" s="534"/>
      <c r="J292" s="534"/>
      <c r="K292" s="534"/>
      <c r="L292" s="534"/>
      <c r="M292" s="534"/>
      <c r="N292" s="534"/>
      <c r="O292" s="534"/>
      <c r="P292" s="534"/>
    </row>
    <row r="293" spans="6:16" x14ac:dyDescent="0.2">
      <c r="F293" s="534"/>
      <c r="G293" s="535"/>
      <c r="H293" s="534"/>
      <c r="I293" s="534"/>
      <c r="J293" s="534"/>
      <c r="K293" s="534"/>
      <c r="L293" s="534"/>
      <c r="M293" s="534"/>
      <c r="N293" s="534"/>
      <c r="O293" s="534"/>
      <c r="P293" s="534"/>
    </row>
    <row r="294" spans="6:16" x14ac:dyDescent="0.2">
      <c r="F294" s="534"/>
      <c r="G294" s="535"/>
      <c r="H294" s="534"/>
      <c r="I294" s="534"/>
      <c r="J294" s="534"/>
      <c r="K294" s="534"/>
      <c r="L294" s="534"/>
      <c r="M294" s="534"/>
      <c r="N294" s="534"/>
      <c r="O294" s="534"/>
      <c r="P294" s="534"/>
    </row>
    <row r="295" spans="6:16" x14ac:dyDescent="0.2">
      <c r="F295" s="534"/>
      <c r="G295" s="535"/>
      <c r="H295" s="534"/>
      <c r="I295" s="534"/>
      <c r="J295" s="534"/>
      <c r="K295" s="534"/>
      <c r="L295" s="534"/>
      <c r="M295" s="534"/>
      <c r="N295" s="534"/>
      <c r="O295" s="534"/>
      <c r="P295" s="534"/>
    </row>
    <row r="296" spans="6:16" x14ac:dyDescent="0.2">
      <c r="F296" s="534"/>
      <c r="G296" s="535"/>
      <c r="H296" s="534"/>
      <c r="I296" s="534"/>
      <c r="J296" s="534"/>
      <c r="K296" s="534"/>
      <c r="L296" s="534"/>
      <c r="M296" s="534"/>
      <c r="N296" s="534"/>
      <c r="O296" s="534"/>
      <c r="P296" s="534"/>
    </row>
    <row r="297" spans="6:16" x14ac:dyDescent="0.2">
      <c r="F297" s="534"/>
      <c r="G297" s="535"/>
      <c r="H297" s="534"/>
      <c r="I297" s="534"/>
      <c r="J297" s="534"/>
      <c r="K297" s="534"/>
      <c r="L297" s="534"/>
      <c r="M297" s="534"/>
      <c r="N297" s="534"/>
      <c r="O297" s="534"/>
      <c r="P297" s="534"/>
    </row>
  </sheetData>
  <mergeCells count="8">
    <mergeCell ref="Z19:AE19"/>
    <mergeCell ref="J6:K6"/>
    <mergeCell ref="L6:M6"/>
    <mergeCell ref="N6:O6"/>
    <mergeCell ref="C19:H19"/>
    <mergeCell ref="I19:M19"/>
    <mergeCell ref="N19:S19"/>
    <mergeCell ref="T19:Y19"/>
  </mergeCells>
  <conditionalFormatting sqref="T35:T65">
    <cfRule type="expression" dxfId="88" priority="13">
      <formula>AND($G$8="N/A",$T35&gt;1)</formula>
    </cfRule>
  </conditionalFormatting>
  <conditionalFormatting sqref="V35:V65">
    <cfRule type="expression" dxfId="87" priority="11">
      <formula>AND($G$10="N/A",$V35&gt;1)</formula>
    </cfRule>
  </conditionalFormatting>
  <conditionalFormatting sqref="U35:U65">
    <cfRule type="expression" dxfId="86" priority="12">
      <formula>AND($G$9="N/A",U35&gt;1)</formula>
    </cfRule>
  </conditionalFormatting>
  <conditionalFormatting sqref="W35:W65">
    <cfRule type="expression" dxfId="85" priority="10">
      <formula>AND($G$11="N/A",$W35&gt;1)</formula>
    </cfRule>
  </conditionalFormatting>
  <conditionalFormatting sqref="X35:X65">
    <cfRule type="expression" dxfId="84" priority="9">
      <formula>AND($G$12="N/A",$X35&gt;1)</formula>
    </cfRule>
  </conditionalFormatting>
  <conditionalFormatting sqref="Y35:Y65">
    <cfRule type="expression" dxfId="83" priority="8">
      <formula>AND($G$13="N/A",$Y35&gt;1)</formula>
    </cfRule>
  </conditionalFormatting>
  <conditionalFormatting sqref="Z20:AE20">
    <cfRule type="expression" dxfId="82" priority="7">
      <formula>INDEX($H$8:$H$13,MATCH(Z$20,$B$8:$B$13,0))=TRUE</formula>
    </cfRule>
  </conditionalFormatting>
  <conditionalFormatting sqref="T22:T34">
    <cfRule type="expression" dxfId="81" priority="6">
      <formula>AND($G$8="N/A",$T22&gt;1)</formula>
    </cfRule>
  </conditionalFormatting>
  <conditionalFormatting sqref="V22:V34">
    <cfRule type="expression" dxfId="80" priority="4">
      <formula>AND($G$10="N/A",$V22&gt;1)</formula>
    </cfRule>
  </conditionalFormatting>
  <conditionalFormatting sqref="U22:U34">
    <cfRule type="expression" dxfId="79" priority="5">
      <formula>AND($G$9="N/A",U22&gt;1)</formula>
    </cfRule>
  </conditionalFormatting>
  <conditionalFormatting sqref="W22:W34">
    <cfRule type="expression" dxfId="78" priority="3">
      <formula>AND($G$11="N/A",$W22&gt;1)</formula>
    </cfRule>
  </conditionalFormatting>
  <conditionalFormatting sqref="X22:X34">
    <cfRule type="expression" dxfId="77" priority="2">
      <formula>AND($G$12="N/A",$X22&gt;1)</formula>
    </cfRule>
  </conditionalFormatting>
  <conditionalFormatting sqref="Y22:Y34">
    <cfRule type="expression" dxfId="76" priority="1">
      <formula>AND($G$13="N/A",$Y22&gt;1)</formula>
    </cfRule>
  </conditionalFormatting>
  <dataValidations disablePrompts="1" count="2">
    <dataValidation type="list" allowBlank="1" showInputMessage="1" showErrorMessage="1" sqref="F8:F13" xr:uid="{00000000-0002-0000-0400-000000000000}">
      <formula1>Fuels</formula1>
    </dataValidation>
    <dataValidation type="list" allowBlank="1" showInputMessage="1" showErrorMessage="1" sqref="G8:G13" xr:uid="{00000000-0002-0000-0400-000001000000}">
      <formula1>Fuels2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67942" r:id="rId3" name="Button 6">
              <controlPr defaultSize="0" print="0" autoFill="0" autoPict="0" macro="[0]!RunAll">
                <anchor moveWithCells="1" sizeWithCells="1">
                  <from>
                    <xdr:col>16</xdr:col>
                    <xdr:colOff>25400</xdr:colOff>
                    <xdr:row>11</xdr:row>
                    <xdr:rowOff>0</xdr:rowOff>
                  </from>
                  <to>
                    <xdr:col>18</xdr:col>
                    <xdr:colOff>381000</xdr:colOff>
                    <xdr:row>13</xdr:row>
                    <xdr:rowOff>25400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uelPrice">
    <tabColor indexed="43"/>
    <pageSetUpPr fitToPage="1"/>
  </sheetPr>
  <dimension ref="A1:AZ105"/>
  <sheetViews>
    <sheetView zoomScale="90" zoomScaleNormal="90" workbookViewId="0">
      <pane xSplit="1" ySplit="10" topLeftCell="N41" activePane="bottomRight" state="frozen"/>
      <selection activeCell="B5" sqref="B5:H5"/>
      <selection pane="topRight" activeCell="B5" sqref="B5:H5"/>
      <selection pane="bottomLeft" activeCell="B5" sqref="B5:H5"/>
      <selection pane="bottomRight" activeCell="L72" sqref="L72"/>
    </sheetView>
  </sheetViews>
  <sheetFormatPr baseColWidth="10" defaultColWidth="9.1640625" defaultRowHeight="14" x14ac:dyDescent="0.2"/>
  <cols>
    <col min="1" max="1" width="9.1640625" style="3"/>
    <col min="2" max="4" width="9.5" style="3" customWidth="1"/>
    <col min="5" max="10" width="9.5" style="7" customWidth="1"/>
    <col min="11" max="11" width="8.5" style="53" customWidth="1"/>
    <col min="12" max="18" width="8.5" style="3" customWidth="1"/>
    <col min="19" max="20" width="9.5" style="3" customWidth="1"/>
    <col min="21" max="22" width="9.5" customWidth="1"/>
    <col min="23" max="25" width="9.1640625" style="3"/>
    <col min="26" max="26" width="9.5" style="3" customWidth="1"/>
    <col min="27" max="30" width="9.1640625" style="3"/>
    <col min="31" max="32" width="9.1640625" style="48"/>
    <col min="33" max="50" width="9.1640625" style="3"/>
    <col min="51" max="51" width="9.1640625" style="3" customWidth="1"/>
    <col min="52" max="16384" width="9.1640625" style="3"/>
  </cols>
  <sheetData>
    <row r="1" spans="1:52" x14ac:dyDescent="0.2">
      <c r="A1" s="55" t="s">
        <v>4</v>
      </c>
      <c r="M1" s="3" t="s">
        <v>403</v>
      </c>
      <c r="P1" s="3" t="s">
        <v>369</v>
      </c>
    </row>
    <row r="2" spans="1:52" x14ac:dyDescent="0.2">
      <c r="A2" s="492" t="s">
        <v>422</v>
      </c>
      <c r="B2" s="493"/>
      <c r="C2" s="493"/>
      <c r="D2" s="493"/>
      <c r="E2" s="1370" t="s">
        <v>423</v>
      </c>
      <c r="F2" s="53"/>
      <c r="G2" s="56" t="s">
        <v>424</v>
      </c>
      <c r="H2" s="56"/>
      <c r="I2" s="56"/>
      <c r="J2" s="56"/>
      <c r="K2" s="226"/>
      <c r="L2" s="57" t="s">
        <v>208</v>
      </c>
      <c r="M2" s="2">
        <v>134200</v>
      </c>
      <c r="N2" s="3" t="s">
        <v>209</v>
      </c>
      <c r="P2" s="3">
        <f>107.932/104.757</f>
        <v>1.0303082371583761</v>
      </c>
      <c r="Q2" s="3" t="s">
        <v>428</v>
      </c>
      <c r="X2" s="10"/>
      <c r="Y2" s="10"/>
      <c r="Z2" s="10"/>
      <c r="AA2" s="10"/>
    </row>
    <row r="3" spans="1:52" x14ac:dyDescent="0.2">
      <c r="A3" s="494" t="s">
        <v>203</v>
      </c>
      <c r="B3" s="493"/>
      <c r="C3" s="495"/>
      <c r="D3" s="493"/>
      <c r="E3" s="226" t="s">
        <v>439</v>
      </c>
      <c r="F3" s="53"/>
      <c r="L3" s="57" t="s">
        <v>317</v>
      </c>
      <c r="M3" s="2">
        <v>138700</v>
      </c>
      <c r="N3" s="3" t="s">
        <v>318</v>
      </c>
      <c r="W3" s="765"/>
      <c r="X3" s="10"/>
      <c r="Y3" s="1378"/>
      <c r="Z3" s="10"/>
      <c r="AA3" s="10"/>
    </row>
    <row r="4" spans="1:52" x14ac:dyDescent="0.2">
      <c r="A4" s="653" t="s">
        <v>330</v>
      </c>
      <c r="B4" s="654"/>
      <c r="C4" s="655"/>
      <c r="D4" s="654"/>
      <c r="E4" s="226" t="s">
        <v>357</v>
      </c>
      <c r="F4" s="53"/>
      <c r="L4" s="57" t="s">
        <v>435</v>
      </c>
      <c r="M4" s="2">
        <v>120726</v>
      </c>
      <c r="N4" s="3" t="s">
        <v>318</v>
      </c>
      <c r="O4" s="3" t="s">
        <v>436</v>
      </c>
      <c r="W4" s="765"/>
    </row>
    <row r="5" spans="1:52" ht="16" x14ac:dyDescent="0.2">
      <c r="A5" s="58"/>
      <c r="B5" s="48"/>
      <c r="C5" s="59"/>
      <c r="D5" s="48"/>
      <c r="E5" s="53"/>
      <c r="F5" s="53"/>
      <c r="G5" s="1261"/>
      <c r="L5" s="612"/>
      <c r="X5" s="1377" t="s">
        <v>327</v>
      </c>
    </row>
    <row r="6" spans="1:52" ht="17" thickBot="1" x14ac:dyDescent="0.25">
      <c r="D6" s="48"/>
      <c r="E6" s="48"/>
      <c r="F6" s="3"/>
      <c r="G6" s="1261"/>
      <c r="H6" s="3"/>
      <c r="I6" s="3"/>
      <c r="J6" s="3"/>
      <c r="K6" s="3"/>
      <c r="U6" s="496" t="s">
        <v>451</v>
      </c>
      <c r="X6" s="1374">
        <f>2.24/2.86</f>
        <v>0.78321678321678334</v>
      </c>
      <c r="Y6" s="1374">
        <f>2.34/2.2</f>
        <v>1.0636363636363635</v>
      </c>
      <c r="Z6" s="1374">
        <f>AVERAGE(2.54/2.77,2.54/2.64,2.65/2.56,2.43/2.57,3.11/3.42)</f>
        <v>0.95382539762429508</v>
      </c>
      <c r="AA6" s="1379">
        <v>1</v>
      </c>
      <c r="AB6" s="1374">
        <f>AVERAGE(3.14/3.15,3.13/3.14,2.68/2.93,2.65/2.91)</f>
        <v>0.95474234308247208</v>
      </c>
      <c r="AC6" s="1379">
        <v>1</v>
      </c>
      <c r="AD6" s="1374">
        <f>1.93/2.23</f>
        <v>0.86547085201793716</v>
      </c>
      <c r="AE6" s="1379">
        <v>1</v>
      </c>
      <c r="AF6" s="7"/>
      <c r="AG6" s="53"/>
      <c r="AH6" s="612"/>
      <c r="AU6" s="3" t="s">
        <v>429</v>
      </c>
    </row>
    <row r="7" spans="1:52" ht="16.5" customHeight="1" thickBot="1" x14ac:dyDescent="0.25">
      <c r="A7" s="1542" t="s">
        <v>282</v>
      </c>
      <c r="B7" s="1543"/>
      <c r="C7" s="1543"/>
      <c r="D7" s="1543"/>
      <c r="E7" s="1543"/>
      <c r="F7" s="1543"/>
      <c r="G7" s="1543"/>
      <c r="H7" s="1543"/>
      <c r="I7" s="1543"/>
      <c r="J7" s="1543"/>
      <c r="K7" s="1543"/>
      <c r="L7" s="1543"/>
      <c r="M7" s="1543"/>
      <c r="N7" s="1543"/>
      <c r="O7" s="1543"/>
      <c r="P7" s="1543"/>
      <c r="Q7" s="1543"/>
      <c r="R7" s="1543"/>
      <c r="S7" s="1543"/>
      <c r="T7" s="1543"/>
      <c r="U7" s="1380" t="b">
        <v>1</v>
      </c>
      <c r="W7" s="1542" t="s">
        <v>281</v>
      </c>
      <c r="X7" s="1543"/>
      <c r="Y7" s="1543"/>
      <c r="Z7" s="1543"/>
      <c r="AA7" s="1543"/>
      <c r="AB7" s="1543"/>
      <c r="AC7" s="1543"/>
      <c r="AD7" s="1543"/>
      <c r="AE7" s="1543"/>
      <c r="AF7" s="1543"/>
      <c r="AG7" s="1543"/>
      <c r="AH7" s="1543"/>
      <c r="AI7" s="1543"/>
      <c r="AJ7" s="1543"/>
      <c r="AK7" s="1543"/>
      <c r="AL7" s="1543"/>
      <c r="AM7" s="1543"/>
      <c r="AN7" s="1543"/>
      <c r="AO7" s="1543"/>
      <c r="AP7" s="1544"/>
      <c r="AQ7" s="969"/>
      <c r="AU7" s="3" t="s">
        <v>431</v>
      </c>
    </row>
    <row r="8" spans="1:52" ht="12.75" customHeight="1" x14ac:dyDescent="0.2">
      <c r="A8" s="557"/>
      <c r="B8" s="1545" t="s">
        <v>425</v>
      </c>
      <c r="C8" s="1545"/>
      <c r="D8" s="1545"/>
      <c r="E8" s="1545"/>
      <c r="F8" s="1545"/>
      <c r="G8" s="1545"/>
      <c r="H8" s="1545"/>
      <c r="I8" s="1545"/>
      <c r="J8" s="952"/>
      <c r="K8" s="952"/>
      <c r="L8" s="1546" t="s">
        <v>426</v>
      </c>
      <c r="M8" s="1546"/>
      <c r="N8" s="1546"/>
      <c r="O8" s="1546"/>
      <c r="P8" s="1546"/>
      <c r="Q8" s="1546"/>
      <c r="R8" s="1546"/>
      <c r="S8" s="1546"/>
      <c r="T8" s="558"/>
      <c r="U8" s="496"/>
      <c r="W8" s="959"/>
      <c r="X8" s="1546" t="s">
        <v>427</v>
      </c>
      <c r="Y8" s="1546"/>
      <c r="Z8" s="1546"/>
      <c r="AA8" s="1546"/>
      <c r="AB8" s="1546"/>
      <c r="AC8" s="1546"/>
      <c r="AD8" s="1546"/>
      <c r="AE8" s="1546"/>
      <c r="AF8" s="1368"/>
      <c r="AG8" s="1368"/>
      <c r="AH8" s="1546" t="s">
        <v>426</v>
      </c>
      <c r="AI8" s="1546"/>
      <c r="AJ8" s="1546"/>
      <c r="AK8" s="1546"/>
      <c r="AL8" s="1546"/>
      <c r="AM8" s="1546"/>
      <c r="AN8" s="1546"/>
      <c r="AO8" s="1546"/>
      <c r="AP8" s="960"/>
      <c r="AQ8" s="970"/>
      <c r="AU8" s="3" t="s">
        <v>432</v>
      </c>
      <c r="AW8" s="3" t="s">
        <v>433</v>
      </c>
      <c r="AY8" s="3" t="s">
        <v>434</v>
      </c>
    </row>
    <row r="9" spans="1:52" ht="12.75" hidden="1" customHeight="1" x14ac:dyDescent="0.2">
      <c r="A9" s="559"/>
      <c r="B9" s="1547"/>
      <c r="C9" s="1547"/>
      <c r="D9" s="1547"/>
      <c r="E9" s="1547"/>
      <c r="F9" s="1547"/>
      <c r="G9" s="1547"/>
      <c r="H9" s="1547"/>
      <c r="I9" s="1547"/>
      <c r="J9" s="953"/>
      <c r="K9" s="953"/>
      <c r="L9" s="1548"/>
      <c r="M9" s="1548"/>
      <c r="N9" s="1548"/>
      <c r="O9" s="1548"/>
      <c r="P9" s="1548"/>
      <c r="Q9" s="1548"/>
      <c r="R9" s="1548"/>
      <c r="S9" s="1548"/>
      <c r="T9" s="560"/>
      <c r="U9" s="496"/>
      <c r="W9" s="559"/>
      <c r="X9" s="1547"/>
      <c r="Y9" s="1547"/>
      <c r="Z9" s="1547"/>
      <c r="AA9" s="1547"/>
      <c r="AB9" s="1547"/>
      <c r="AC9" s="1547"/>
      <c r="AD9" s="1547"/>
      <c r="AE9" s="1547"/>
      <c r="AF9" s="1369"/>
      <c r="AG9" s="1369"/>
      <c r="AH9" s="1548"/>
      <c r="AI9" s="1548"/>
      <c r="AJ9" s="1548"/>
      <c r="AK9" s="1548"/>
      <c r="AL9" s="1548"/>
      <c r="AM9" s="1548"/>
      <c r="AN9" s="1548"/>
      <c r="AO9" s="1548"/>
      <c r="AP9" s="560"/>
      <c r="AQ9" s="970"/>
    </row>
    <row r="10" spans="1:52" ht="31" thickBot="1" x14ac:dyDescent="0.25">
      <c r="A10" s="561" t="s">
        <v>3</v>
      </c>
      <c r="B10" s="562" t="s">
        <v>2</v>
      </c>
      <c r="C10" s="563" t="s">
        <v>50</v>
      </c>
      <c r="D10" s="563" t="s">
        <v>0</v>
      </c>
      <c r="E10" s="563" t="s">
        <v>51</v>
      </c>
      <c r="F10" s="563" t="s">
        <v>5</v>
      </c>
      <c r="G10" s="563" t="s">
        <v>52</v>
      </c>
      <c r="H10" s="563" t="s">
        <v>1</v>
      </c>
      <c r="I10" s="563" t="s">
        <v>6</v>
      </c>
      <c r="J10" s="563" t="s">
        <v>207</v>
      </c>
      <c r="K10" s="565" t="str">
        <f>A10</f>
        <v>Year</v>
      </c>
      <c r="L10" s="566" t="s">
        <v>2</v>
      </c>
      <c r="M10" s="566" t="s">
        <v>50</v>
      </c>
      <c r="N10" s="566" t="s">
        <v>0</v>
      </c>
      <c r="O10" s="566" t="s">
        <v>51</v>
      </c>
      <c r="P10" s="566" t="s">
        <v>5</v>
      </c>
      <c r="Q10" s="566" t="s">
        <v>52</v>
      </c>
      <c r="R10" s="566" t="s">
        <v>1</v>
      </c>
      <c r="S10" s="566" t="s">
        <v>6</v>
      </c>
      <c r="T10" s="567" t="s">
        <v>207</v>
      </c>
      <c r="U10" s="1521" t="s">
        <v>421</v>
      </c>
      <c r="W10" s="561" t="s">
        <v>3</v>
      </c>
      <c r="X10" s="562" t="s">
        <v>2</v>
      </c>
      <c r="Y10" s="563" t="s">
        <v>50</v>
      </c>
      <c r="Z10" s="563" t="s">
        <v>0</v>
      </c>
      <c r="AA10" s="563" t="s">
        <v>51</v>
      </c>
      <c r="AB10" s="563" t="s">
        <v>5</v>
      </c>
      <c r="AC10" s="563" t="s">
        <v>52</v>
      </c>
      <c r="AD10" s="563" t="s">
        <v>1</v>
      </c>
      <c r="AE10" s="563" t="s">
        <v>6</v>
      </c>
      <c r="AF10" s="563" t="s">
        <v>207</v>
      </c>
      <c r="AG10" s="565" t="str">
        <f>W10</f>
        <v>Year</v>
      </c>
      <c r="AH10" s="566" t="s">
        <v>2</v>
      </c>
      <c r="AI10" s="566" t="s">
        <v>50</v>
      </c>
      <c r="AJ10" s="566" t="s">
        <v>0</v>
      </c>
      <c r="AK10" s="566" t="s">
        <v>51</v>
      </c>
      <c r="AL10" s="566" t="s">
        <v>5</v>
      </c>
      <c r="AM10" s="566" t="s">
        <v>52</v>
      </c>
      <c r="AN10" s="566" t="s">
        <v>1</v>
      </c>
      <c r="AO10" s="566" t="s">
        <v>6</v>
      </c>
      <c r="AP10" s="567" t="s">
        <v>207</v>
      </c>
      <c r="AQ10" s="970"/>
      <c r="AT10" s="1372" t="s">
        <v>430</v>
      </c>
      <c r="AU10" s="3" t="s">
        <v>0</v>
      </c>
      <c r="AV10" s="3" t="s">
        <v>5</v>
      </c>
      <c r="AW10" s="3" t="s">
        <v>0</v>
      </c>
      <c r="AX10" s="3" t="s">
        <v>5</v>
      </c>
      <c r="AY10" s="3" t="s">
        <v>0</v>
      </c>
      <c r="AZ10" s="3" t="s">
        <v>5</v>
      </c>
    </row>
    <row r="11" spans="1:52" ht="15" thickBot="1" x14ac:dyDescent="0.25">
      <c r="A11" s="961">
        <v>2007</v>
      </c>
      <c r="B11" s="1373">
        <v>23.831382999999999</v>
      </c>
      <c r="C11" s="1373">
        <v>27.431152000000001</v>
      </c>
      <c r="D11" s="962">
        <f>AY11</f>
        <v>19.139039844907355</v>
      </c>
      <c r="E11" s="1373">
        <v>15.767529</v>
      </c>
      <c r="F11" s="962">
        <f>AZ11</f>
        <v>16.870047225373874</v>
      </c>
      <c r="G11" s="1373">
        <v>9.1869709999999998</v>
      </c>
      <c r="H11" s="1373">
        <v>13.840966</v>
      </c>
      <c r="I11" s="1373">
        <v>32.004199999999997</v>
      </c>
      <c r="J11" s="1310">
        <f t="shared" ref="J11:J18" si="0">K62/$M$2*10^6</f>
        <v>7.4515648286140088</v>
      </c>
      <c r="K11" s="546">
        <f t="shared" ref="K11:K15" si="1">A11</f>
        <v>2007</v>
      </c>
      <c r="L11" s="547">
        <f t="shared" ref="L11:L54" si="2">B11*HVDiesel/10^6</f>
        <v>3.3054128221000001</v>
      </c>
      <c r="M11" s="547">
        <f t="shared" ref="M11:M54" si="3">C11*HVDiesel/10^6</f>
        <v>3.8047007823999999</v>
      </c>
      <c r="N11" s="547">
        <f t="shared" ref="N11:N54" si="4">D11*HVDiesel/10^6</f>
        <v>2.6545848264886498</v>
      </c>
      <c r="O11" s="547">
        <f t="shared" ref="O11:O54" si="5">E11*HVDiesel/10^6</f>
        <v>2.1869562722999998</v>
      </c>
      <c r="P11" s="547">
        <f t="shared" ref="P11:P54" si="6">F11*HVDiesel/10^6</f>
        <v>2.339875550159356</v>
      </c>
      <c r="Q11" s="547">
        <f t="shared" ref="Q11:Q54" si="7">G11*HVDiesel/10^6</f>
        <v>1.2742328777</v>
      </c>
      <c r="R11" s="547">
        <f t="shared" ref="R11:R54" si="8">H11*HVDiesel/10^6</f>
        <v>1.9197419842000001</v>
      </c>
      <c r="S11" s="547">
        <f t="shared" ref="S11:S54" si="9">IF($U$7,U11,1)*I11*HVDiesel/10^6</f>
        <v>8.877965080000001</v>
      </c>
      <c r="T11" s="548">
        <f t="shared" ref="T11:T54" si="10">J11*HVDiesel/10^6</f>
        <v>1.033532041728763</v>
      </c>
      <c r="U11" s="1375">
        <v>2</v>
      </c>
      <c r="W11" s="556">
        <v>2007</v>
      </c>
      <c r="X11" s="568">
        <f t="shared" ref="X11:X58" si="11">$X$6*B11</f>
        <v>18.665139132867136</v>
      </c>
      <c r="Y11" s="568">
        <f t="shared" ref="Y11:Y58" si="12">$Y$6*C11</f>
        <v>29.176770763636359</v>
      </c>
      <c r="Z11" s="568">
        <f t="shared" ref="Z11:Z58" si="13">$Z$6*D11</f>
        <v>18.255302290215983</v>
      </c>
      <c r="AA11" s="568">
        <f>$AA$6*E11</f>
        <v>15.767529</v>
      </c>
      <c r="AB11" s="568">
        <f t="shared" ref="AB11:AB58" si="14">$AB$6*F11</f>
        <v>16.106548415865408</v>
      </c>
      <c r="AC11" s="568">
        <f>$AC$6*G11</f>
        <v>9.1869709999999998</v>
      </c>
      <c r="AD11" s="568">
        <f t="shared" ref="AD11:AD54" si="15">$AD$6*H11</f>
        <v>11.9789526367713</v>
      </c>
      <c r="AE11" s="568">
        <f>$AE$6*I11</f>
        <v>32.004199999999997</v>
      </c>
      <c r="AF11" s="651">
        <f t="shared" ref="AF11:AF18" si="16">AG62/$M$2*10^6</f>
        <v>7.4515648286140088</v>
      </c>
      <c r="AG11" s="546">
        <f t="shared" ref="AG11:AG15" si="17">W11</f>
        <v>2007</v>
      </c>
      <c r="AH11" s="547">
        <f t="shared" ref="AH11:AH54" si="18">X11*HVDiesel/10^6</f>
        <v>2.5888547977286716</v>
      </c>
      <c r="AI11" s="547">
        <f t="shared" ref="AI11:AI54" si="19">Y11*HVDiesel/10^6</f>
        <v>4.0468181049163627</v>
      </c>
      <c r="AJ11" s="547">
        <f t="shared" ref="AJ11:AJ54" si="20">Z11*HVDiesel/10^6</f>
        <v>2.5320104276529567</v>
      </c>
      <c r="AK11" s="547">
        <f t="shared" ref="AK11:AK54" si="21">AA11*HVDiesel/10^6</f>
        <v>2.1869562722999998</v>
      </c>
      <c r="AL11" s="547">
        <f t="shared" ref="AL11:AL54" si="22">AB11*HVDiesel/10^6</f>
        <v>2.2339782652805322</v>
      </c>
      <c r="AM11" s="547">
        <f t="shared" ref="AM11:AM54" si="23">AC11*HVDiesel/10^6</f>
        <v>1.2742328777</v>
      </c>
      <c r="AN11" s="547">
        <f t="shared" ref="AN11:AN54" si="24">AD11*HVDiesel/10^6</f>
        <v>1.6614807307201793</v>
      </c>
      <c r="AO11" s="547">
        <f t="shared" ref="AO11:AO54" si="25">IF($U$7,U11,1)*AE11*HVDiesel/10^6</f>
        <v>8.877965080000001</v>
      </c>
      <c r="AP11" s="548">
        <f t="shared" ref="AP11:AP54" si="26">AF11*HVDiesel/10^6</f>
        <v>1.033532041728763</v>
      </c>
      <c r="AQ11" s="10"/>
      <c r="AR11" s="1" t="s">
        <v>210</v>
      </c>
      <c r="AT11" s="3">
        <v>5.3440000000000003</v>
      </c>
      <c r="AU11" s="3">
        <v>2.8488790800000006</v>
      </c>
      <c r="AV11" s="3">
        <v>2.8849999999999998</v>
      </c>
      <c r="AW11" s="3">
        <f t="shared" ref="AW11:AW23" si="27">AU11*(HVDiesel/HVGasoline)*$AT11/$AT$23</f>
        <v>2.6545848264886494</v>
      </c>
      <c r="AX11" s="3">
        <f>AV11*$AT11/$AT$23</f>
        <v>2.3398755501593564</v>
      </c>
      <c r="AY11" s="3">
        <f t="shared" ref="AY11:AY23" si="28">(AU11/HVGasoline)*($AT11/$AT$23)*10^6</f>
        <v>19.139039844907355</v>
      </c>
      <c r="AZ11" s="3">
        <f t="shared" ref="AZ11:AZ23" si="29">(AV11/HVDiesel)*($AT11/$AT$23)*10^6</f>
        <v>16.870047225373874</v>
      </c>
    </row>
    <row r="12" spans="1:52" ht="15" thickTop="1" x14ac:dyDescent="0.2">
      <c r="A12" s="487">
        <v>2008</v>
      </c>
      <c r="B12" s="1350">
        <v>28.925077000000002</v>
      </c>
      <c r="C12" s="1350">
        <v>33.544201000000001</v>
      </c>
      <c r="D12" s="569">
        <f t="shared" ref="D12:D22" si="30">AY12</f>
        <v>23.14446391167051</v>
      </c>
      <c r="E12" s="1350">
        <v>24.678422999999999</v>
      </c>
      <c r="F12" s="569">
        <f t="shared" ref="F12:F22" si="31">AZ12</f>
        <v>23.0911244330991</v>
      </c>
      <c r="G12" s="1350">
        <v>15.781518</v>
      </c>
      <c r="H12" s="1350">
        <v>20.719681000000001</v>
      </c>
      <c r="I12" s="1350">
        <v>41.567065999999997</v>
      </c>
      <c r="J12" s="1311">
        <f t="shared" si="0"/>
        <v>7.4515648286140088</v>
      </c>
      <c r="K12" s="549">
        <f t="shared" si="1"/>
        <v>2008</v>
      </c>
      <c r="L12" s="544">
        <f t="shared" si="2"/>
        <v>4.0119081799000007</v>
      </c>
      <c r="M12" s="544">
        <f t="shared" si="3"/>
        <v>4.6525806786999997</v>
      </c>
      <c r="N12" s="544">
        <f t="shared" si="4"/>
        <v>3.2101371445486997</v>
      </c>
      <c r="O12" s="544">
        <f t="shared" si="5"/>
        <v>3.4228972701</v>
      </c>
      <c r="P12" s="544">
        <f t="shared" si="6"/>
        <v>3.2027389588708455</v>
      </c>
      <c r="Q12" s="544">
        <f t="shared" si="7"/>
        <v>2.1888965466000001</v>
      </c>
      <c r="R12" s="544">
        <f t="shared" si="8"/>
        <v>2.8738197547000004</v>
      </c>
      <c r="S12" s="544">
        <f t="shared" si="9"/>
        <v>11.530704108399998</v>
      </c>
      <c r="T12" s="550">
        <f t="shared" si="10"/>
        <v>1.033532041728763</v>
      </c>
      <c r="U12" s="1375">
        <v>2</v>
      </c>
      <c r="W12" s="487">
        <v>2008</v>
      </c>
      <c r="X12" s="569">
        <f t="shared" si="11"/>
        <v>22.654605762237768</v>
      </c>
      <c r="Y12" s="569">
        <f t="shared" si="12"/>
        <v>35.678831972727266</v>
      </c>
      <c r="Z12" s="569">
        <f t="shared" si="13"/>
        <v>22.075777493350273</v>
      </c>
      <c r="AA12" s="569">
        <f t="shared" ref="AA12:AA54" si="32">$AA$6*E12</f>
        <v>24.678422999999999</v>
      </c>
      <c r="AB12" s="569">
        <f t="shared" si="14"/>
        <v>22.046074245665956</v>
      </c>
      <c r="AC12" s="569">
        <f t="shared" ref="AC12:AC54" si="33">$AC$6*G12</f>
        <v>15.781518</v>
      </c>
      <c r="AD12" s="569">
        <f t="shared" si="15"/>
        <v>17.932279968609866</v>
      </c>
      <c r="AE12" s="569">
        <f t="shared" ref="AE12:AE54" si="34">$AE$6*I12</f>
        <v>41.567065999999997</v>
      </c>
      <c r="AF12" s="651">
        <f t="shared" si="16"/>
        <v>7.4515648286140088</v>
      </c>
      <c r="AG12" s="549">
        <f t="shared" si="17"/>
        <v>2008</v>
      </c>
      <c r="AH12" s="544">
        <f t="shared" si="18"/>
        <v>3.1421938192223786</v>
      </c>
      <c r="AI12" s="544">
        <f t="shared" si="19"/>
        <v>4.9486539946172723</v>
      </c>
      <c r="AJ12" s="544">
        <f t="shared" si="20"/>
        <v>3.0619103383276829</v>
      </c>
      <c r="AK12" s="544">
        <f t="shared" si="21"/>
        <v>3.4228972701</v>
      </c>
      <c r="AL12" s="544">
        <f t="shared" si="22"/>
        <v>3.0577904978738677</v>
      </c>
      <c r="AM12" s="544">
        <f t="shared" si="23"/>
        <v>2.1888965466000001</v>
      </c>
      <c r="AN12" s="544">
        <f t="shared" si="24"/>
        <v>2.4872072316461886</v>
      </c>
      <c r="AO12" s="544">
        <f t="shared" si="25"/>
        <v>11.530704108399998</v>
      </c>
      <c r="AP12" s="550">
        <f t="shared" si="26"/>
        <v>1.033532041728763</v>
      </c>
      <c r="AQ12" s="10"/>
      <c r="AR12" s="966" t="str">
        <f t="array" ref="AR12:AR20">TRANSPOSE(AH10:AP10)</f>
        <v>LPG</v>
      </c>
      <c r="AT12" s="3">
        <v>5.5490000000000004</v>
      </c>
      <c r="AU12" s="3">
        <v>3.31781923</v>
      </c>
      <c r="AV12" s="3">
        <v>3.8029999999999999</v>
      </c>
      <c r="AW12" s="3">
        <f t="shared" si="27"/>
        <v>3.2101371445486993</v>
      </c>
      <c r="AX12" s="3">
        <f t="shared" ref="AX12:AX23" si="35">AV12*$AT12/$AT$23</f>
        <v>3.202738958870845</v>
      </c>
      <c r="AY12" s="3">
        <f t="shared" si="28"/>
        <v>23.14446391167051</v>
      </c>
      <c r="AZ12" s="3">
        <f t="shared" si="29"/>
        <v>23.0911244330991</v>
      </c>
    </row>
    <row r="13" spans="1:52" x14ac:dyDescent="0.2">
      <c r="A13" s="487">
        <v>2009</v>
      </c>
      <c r="B13" s="1350">
        <v>27.142980999999999</v>
      </c>
      <c r="C13" s="1350">
        <v>22.027393</v>
      </c>
      <c r="D13" s="569">
        <f t="shared" si="30"/>
        <v>16.686242881839721</v>
      </c>
      <c r="E13" s="1350">
        <v>13.673363</v>
      </c>
      <c r="F13" s="569">
        <f t="shared" si="31"/>
        <v>14.925186643575737</v>
      </c>
      <c r="G13" s="1350">
        <v>11.342912999999999</v>
      </c>
      <c r="H13" s="1350">
        <v>16.473005000000001</v>
      </c>
      <c r="I13" s="1350">
        <v>62.290424000000002</v>
      </c>
      <c r="J13" s="1311">
        <f t="shared" si="0"/>
        <v>7.4515648286140088</v>
      </c>
      <c r="K13" s="549">
        <f t="shared" si="1"/>
        <v>2009</v>
      </c>
      <c r="L13" s="544">
        <f t="shared" si="2"/>
        <v>3.7647314647000001</v>
      </c>
      <c r="M13" s="544">
        <f t="shared" si="3"/>
        <v>3.0551994090999997</v>
      </c>
      <c r="N13" s="544">
        <f t="shared" si="4"/>
        <v>2.314381887711169</v>
      </c>
      <c r="O13" s="544">
        <f t="shared" si="5"/>
        <v>1.8964954480999998</v>
      </c>
      <c r="P13" s="544">
        <f t="shared" si="6"/>
        <v>2.0701233874639549</v>
      </c>
      <c r="Q13" s="544">
        <f t="shared" si="7"/>
        <v>1.5732620330999998</v>
      </c>
      <c r="R13" s="544">
        <f t="shared" si="8"/>
        <v>2.2848057935000003</v>
      </c>
      <c r="S13" s="544">
        <f t="shared" si="9"/>
        <v>17.279363617600001</v>
      </c>
      <c r="T13" s="550">
        <f t="shared" si="10"/>
        <v>1.033532041728763</v>
      </c>
      <c r="U13" s="1375">
        <v>2</v>
      </c>
      <c r="W13" s="487">
        <v>2009</v>
      </c>
      <c r="X13" s="569">
        <f t="shared" si="11"/>
        <v>21.258838265734269</v>
      </c>
      <c r="Y13" s="569">
        <f t="shared" si="12"/>
        <v>23.429136190909087</v>
      </c>
      <c r="Z13" s="569">
        <f t="shared" si="13"/>
        <v>15.915762251626335</v>
      </c>
      <c r="AA13" s="569">
        <f t="shared" si="32"/>
        <v>13.673363</v>
      </c>
      <c r="AB13" s="569">
        <f t="shared" si="14"/>
        <v>14.249707667030716</v>
      </c>
      <c r="AC13" s="569">
        <f t="shared" si="33"/>
        <v>11.342912999999999</v>
      </c>
      <c r="AD13" s="569">
        <f t="shared" si="15"/>
        <v>14.25690567264574</v>
      </c>
      <c r="AE13" s="569">
        <f t="shared" si="34"/>
        <v>62.290424000000002</v>
      </c>
      <c r="AF13" s="651">
        <f t="shared" si="16"/>
        <v>7.4515648286140088</v>
      </c>
      <c r="AG13" s="549">
        <f t="shared" si="17"/>
        <v>2009</v>
      </c>
      <c r="AH13" s="544">
        <f t="shared" si="18"/>
        <v>2.9486008674573432</v>
      </c>
      <c r="AI13" s="544">
        <f t="shared" si="19"/>
        <v>3.2496211896790905</v>
      </c>
      <c r="AJ13" s="544">
        <f t="shared" si="20"/>
        <v>2.2075162243005728</v>
      </c>
      <c r="AK13" s="544">
        <f t="shared" si="21"/>
        <v>1.8964954480999998</v>
      </c>
      <c r="AL13" s="544">
        <f t="shared" si="22"/>
        <v>1.9764344534171603</v>
      </c>
      <c r="AM13" s="544">
        <f t="shared" si="23"/>
        <v>1.5732620330999998</v>
      </c>
      <c r="AN13" s="544">
        <f t="shared" si="24"/>
        <v>1.9774328167959641</v>
      </c>
      <c r="AO13" s="544">
        <f t="shared" si="25"/>
        <v>17.279363617600001</v>
      </c>
      <c r="AP13" s="550">
        <f t="shared" si="26"/>
        <v>1.033532041728763</v>
      </c>
      <c r="AQ13" s="10"/>
      <c r="AR13" s="967" t="str">
        <v>E85</v>
      </c>
      <c r="AT13" s="3">
        <v>5.5289999999999999</v>
      </c>
      <c r="AU13" s="3">
        <v>2.40066903</v>
      </c>
      <c r="AV13" s="3">
        <v>2.4670000000000001</v>
      </c>
      <c r="AW13" s="3">
        <f t="shared" si="27"/>
        <v>2.314381887711169</v>
      </c>
      <c r="AX13" s="3">
        <f t="shared" si="35"/>
        <v>2.0701233874639549</v>
      </c>
      <c r="AY13" s="3">
        <f t="shared" si="28"/>
        <v>16.686242881839721</v>
      </c>
      <c r="AZ13" s="3">
        <f t="shared" si="29"/>
        <v>14.925186643575737</v>
      </c>
    </row>
    <row r="14" spans="1:52" x14ac:dyDescent="0.2">
      <c r="A14" s="488">
        <v>2010</v>
      </c>
      <c r="B14" s="1350">
        <v>26.497553</v>
      </c>
      <c r="C14" s="1350">
        <v>26.790133000000001</v>
      </c>
      <c r="D14" s="569">
        <f t="shared" si="30"/>
        <v>20.042935750421385</v>
      </c>
      <c r="E14" s="1350">
        <v>17.441685</v>
      </c>
      <c r="F14" s="569">
        <f t="shared" si="31"/>
        <v>18.399326924350003</v>
      </c>
      <c r="G14" s="1350">
        <v>11.209270999999999</v>
      </c>
      <c r="H14" s="1350">
        <v>17.178132999999999</v>
      </c>
      <c r="I14" s="1350">
        <v>44.797077000000002</v>
      </c>
      <c r="J14" s="1311">
        <f t="shared" si="0"/>
        <v>7.4515648286140088</v>
      </c>
      <c r="K14" s="551">
        <f t="shared" si="1"/>
        <v>2010</v>
      </c>
      <c r="L14" s="545">
        <f t="shared" si="2"/>
        <v>3.6752106011000003</v>
      </c>
      <c r="M14" s="545">
        <f t="shared" si="3"/>
        <v>3.7157914471</v>
      </c>
      <c r="N14" s="545">
        <f t="shared" si="4"/>
        <v>2.7799551885834464</v>
      </c>
      <c r="O14" s="545">
        <f t="shared" si="5"/>
        <v>2.4191617095</v>
      </c>
      <c r="P14" s="545">
        <f t="shared" si="6"/>
        <v>2.5519866444073456</v>
      </c>
      <c r="Q14" s="545">
        <f t="shared" si="7"/>
        <v>1.5547258876999999</v>
      </c>
      <c r="R14" s="545">
        <f t="shared" si="8"/>
        <v>2.3826070471</v>
      </c>
      <c r="S14" s="545">
        <f t="shared" si="9"/>
        <v>12.4267091598</v>
      </c>
      <c r="T14" s="552">
        <f t="shared" si="10"/>
        <v>1.033532041728763</v>
      </c>
      <c r="U14" s="1375">
        <v>2</v>
      </c>
      <c r="W14" s="488">
        <v>2010</v>
      </c>
      <c r="X14" s="569">
        <f t="shared" si="11"/>
        <v>20.753328223776226</v>
      </c>
      <c r="Y14" s="569">
        <f t="shared" si="12"/>
        <v>28.494959645454543</v>
      </c>
      <c r="Z14" s="569">
        <f t="shared" si="13"/>
        <v>19.117461161703876</v>
      </c>
      <c r="AA14" s="569">
        <f t="shared" si="32"/>
        <v>17.441685</v>
      </c>
      <c r="AB14" s="569">
        <f t="shared" si="14"/>
        <v>17.566616498894337</v>
      </c>
      <c r="AC14" s="569">
        <f t="shared" si="33"/>
        <v>11.209270999999999</v>
      </c>
      <c r="AD14" s="569">
        <f t="shared" si="15"/>
        <v>14.867173403587442</v>
      </c>
      <c r="AE14" s="569">
        <f t="shared" si="34"/>
        <v>44.797077000000002</v>
      </c>
      <c r="AF14" s="651">
        <f t="shared" si="16"/>
        <v>7.4515648286140088</v>
      </c>
      <c r="AG14" s="551">
        <f t="shared" si="17"/>
        <v>2010</v>
      </c>
      <c r="AH14" s="545">
        <f t="shared" si="18"/>
        <v>2.8784866246377625</v>
      </c>
      <c r="AI14" s="545">
        <f t="shared" si="19"/>
        <v>3.9522509028245452</v>
      </c>
      <c r="AJ14" s="545">
        <f t="shared" si="20"/>
        <v>2.6515918631283277</v>
      </c>
      <c r="AK14" s="545">
        <f t="shared" si="21"/>
        <v>2.4191617095</v>
      </c>
      <c r="AL14" s="545">
        <f t="shared" si="22"/>
        <v>2.4364897083966448</v>
      </c>
      <c r="AM14" s="545">
        <f t="shared" si="23"/>
        <v>1.5547258876999999</v>
      </c>
      <c r="AN14" s="545">
        <f t="shared" si="24"/>
        <v>2.0620769510775783</v>
      </c>
      <c r="AO14" s="545">
        <f t="shared" si="25"/>
        <v>12.4267091598</v>
      </c>
      <c r="AP14" s="552">
        <f t="shared" si="26"/>
        <v>1.033532041728763</v>
      </c>
      <c r="AQ14" s="10"/>
      <c r="AR14" s="967" t="str">
        <v>Gasoline</v>
      </c>
      <c r="AT14" s="3">
        <v>5.62</v>
      </c>
      <c r="AU14" s="3">
        <v>2.8369085599999999</v>
      </c>
      <c r="AV14" s="3">
        <v>2.992</v>
      </c>
      <c r="AW14" s="3">
        <f t="shared" si="27"/>
        <v>2.7799551885834464</v>
      </c>
      <c r="AX14" s="3">
        <f t="shared" si="35"/>
        <v>2.5519866444073456</v>
      </c>
      <c r="AY14" s="3">
        <f t="shared" si="28"/>
        <v>20.042935750421385</v>
      </c>
      <c r="AZ14" s="3">
        <f t="shared" si="29"/>
        <v>18.399326924350003</v>
      </c>
    </row>
    <row r="15" spans="1:52" x14ac:dyDescent="0.2">
      <c r="A15" s="489">
        <v>2011</v>
      </c>
      <c r="B15" s="1350">
        <v>27.153307000000002</v>
      </c>
      <c r="C15" s="1350">
        <v>34.314692999999998</v>
      </c>
      <c r="D15" s="569">
        <f t="shared" si="30"/>
        <v>26.064227985794453</v>
      </c>
      <c r="E15" s="1350">
        <v>23.669519000000001</v>
      </c>
      <c r="F15" s="569">
        <f t="shared" si="31"/>
        <v>24.357827814441997</v>
      </c>
      <c r="G15" s="1350">
        <v>18.559363999999999</v>
      </c>
      <c r="H15" s="1350">
        <v>17.058402999999998</v>
      </c>
      <c r="I15" s="1350">
        <v>35.388840000000002</v>
      </c>
      <c r="J15" s="1311">
        <f t="shared" si="0"/>
        <v>7.4515648286140088</v>
      </c>
      <c r="K15" s="549">
        <f t="shared" si="1"/>
        <v>2011</v>
      </c>
      <c r="L15" s="544">
        <f t="shared" si="2"/>
        <v>3.7661636809000001</v>
      </c>
      <c r="M15" s="544">
        <f t="shared" si="3"/>
        <v>4.7594479190999994</v>
      </c>
      <c r="N15" s="544">
        <f t="shared" si="4"/>
        <v>3.6151084216296905</v>
      </c>
      <c r="O15" s="544">
        <f t="shared" si="5"/>
        <v>3.2829622853</v>
      </c>
      <c r="P15" s="544">
        <f t="shared" si="6"/>
        <v>3.3784307178631048</v>
      </c>
      <c r="Q15" s="544">
        <f t="shared" si="7"/>
        <v>2.5741837867999999</v>
      </c>
      <c r="R15" s="544">
        <f t="shared" si="8"/>
        <v>2.3660004960999999</v>
      </c>
      <c r="S15" s="544">
        <f t="shared" si="9"/>
        <v>9.8168642160000008</v>
      </c>
      <c r="T15" s="550">
        <f t="shared" si="10"/>
        <v>1.033532041728763</v>
      </c>
      <c r="U15" s="1375">
        <v>2</v>
      </c>
      <c r="W15" s="489">
        <v>2011</v>
      </c>
      <c r="X15" s="569">
        <f t="shared" si="11"/>
        <v>21.266925762237769</v>
      </c>
      <c r="Y15" s="569">
        <f t="shared" si="12"/>
        <v>36.498355281818178</v>
      </c>
      <c r="Z15" s="569">
        <f t="shared" si="13"/>
        <v>24.860722622320672</v>
      </c>
      <c r="AA15" s="569">
        <f t="shared" si="32"/>
        <v>23.669519000000001</v>
      </c>
      <c r="AB15" s="569">
        <f t="shared" si="14"/>
        <v>23.255449599959761</v>
      </c>
      <c r="AC15" s="569">
        <f t="shared" si="33"/>
        <v>18.559363999999999</v>
      </c>
      <c r="AD15" s="569">
        <f t="shared" si="15"/>
        <v>14.763550578475334</v>
      </c>
      <c r="AE15" s="569">
        <f t="shared" si="34"/>
        <v>35.388840000000002</v>
      </c>
      <c r="AF15" s="651">
        <f t="shared" si="16"/>
        <v>7.4515648286140088</v>
      </c>
      <c r="AG15" s="549">
        <f t="shared" si="17"/>
        <v>2011</v>
      </c>
      <c r="AH15" s="544">
        <f t="shared" si="18"/>
        <v>2.9497226032223787</v>
      </c>
      <c r="AI15" s="544">
        <f t="shared" si="19"/>
        <v>5.0623218775881806</v>
      </c>
      <c r="AJ15" s="544">
        <f t="shared" si="20"/>
        <v>3.4481822277158773</v>
      </c>
      <c r="AK15" s="544">
        <f t="shared" si="21"/>
        <v>3.2829622853</v>
      </c>
      <c r="AL15" s="544">
        <f t="shared" si="22"/>
        <v>3.2255308595144192</v>
      </c>
      <c r="AM15" s="544">
        <f t="shared" si="23"/>
        <v>2.5741837867999999</v>
      </c>
      <c r="AN15" s="544">
        <f t="shared" si="24"/>
        <v>2.0477044652345286</v>
      </c>
      <c r="AO15" s="544">
        <f t="shared" si="25"/>
        <v>9.8168642160000008</v>
      </c>
      <c r="AP15" s="550">
        <f t="shared" si="26"/>
        <v>1.033532041728763</v>
      </c>
      <c r="AQ15" s="10"/>
      <c r="AR15" s="967" t="str">
        <v>Jet Fuel</v>
      </c>
      <c r="AT15" s="3">
        <v>5.7969999999999997</v>
      </c>
      <c r="AU15" s="3">
        <v>3.5765300999999998</v>
      </c>
      <c r="AV15" s="3">
        <v>3.84</v>
      </c>
      <c r="AW15" s="3">
        <f t="shared" si="27"/>
        <v>3.61510842162969</v>
      </c>
      <c r="AX15" s="3">
        <f t="shared" si="35"/>
        <v>3.3784307178631048</v>
      </c>
      <c r="AY15" s="3">
        <f t="shared" si="28"/>
        <v>26.064227985794453</v>
      </c>
      <c r="AZ15" s="3">
        <f t="shared" si="29"/>
        <v>24.357827814441997</v>
      </c>
    </row>
    <row r="16" spans="1:52" x14ac:dyDescent="0.2">
      <c r="A16" s="963">
        <v>2012</v>
      </c>
      <c r="B16" s="1371">
        <v>26.060852000000001</v>
      </c>
      <c r="C16" s="1371">
        <v>36.734264000000003</v>
      </c>
      <c r="D16" s="570">
        <f t="shared" si="30"/>
        <v>27.478804154101759</v>
      </c>
      <c r="E16" s="1371">
        <v>23.645123000000002</v>
      </c>
      <c r="F16" s="570">
        <f t="shared" si="31"/>
        <v>25.690778463111101</v>
      </c>
      <c r="G16" s="1371">
        <v>20.590979000000001</v>
      </c>
      <c r="H16" s="1371">
        <v>17.207750000000001</v>
      </c>
      <c r="I16" s="1371">
        <v>30.248889999999999</v>
      </c>
      <c r="J16" s="1311">
        <f t="shared" si="0"/>
        <v>7.4515648286140088</v>
      </c>
      <c r="K16" s="549">
        <v>2012</v>
      </c>
      <c r="L16" s="544">
        <f t="shared" si="2"/>
        <v>3.6146401724000001</v>
      </c>
      <c r="M16" s="544">
        <f t="shared" si="3"/>
        <v>5.095042416800001</v>
      </c>
      <c r="N16" s="544">
        <f t="shared" si="4"/>
        <v>3.8113101361739141</v>
      </c>
      <c r="O16" s="544">
        <f t="shared" si="5"/>
        <v>3.2795785601000005</v>
      </c>
      <c r="P16" s="544">
        <f t="shared" si="6"/>
        <v>3.5633109728335097</v>
      </c>
      <c r="Q16" s="544">
        <f t="shared" si="7"/>
        <v>2.8559687873000001</v>
      </c>
      <c r="R16" s="544">
        <f t="shared" si="8"/>
        <v>2.3867149250000002</v>
      </c>
      <c r="S16" s="544">
        <f t="shared" si="9"/>
        <v>8.3910420859999988</v>
      </c>
      <c r="T16" s="550">
        <f t="shared" si="10"/>
        <v>1.033532041728763</v>
      </c>
      <c r="U16" s="1375">
        <v>2</v>
      </c>
      <c r="W16" s="963">
        <v>2012</v>
      </c>
      <c r="X16" s="570">
        <f t="shared" si="11"/>
        <v>20.411296671328675</v>
      </c>
      <c r="Y16" s="570">
        <f t="shared" si="12"/>
        <v>39.07189898181818</v>
      </c>
      <c r="Z16" s="570">
        <f t="shared" si="13"/>
        <v>26.209981298526241</v>
      </c>
      <c r="AA16" s="570">
        <f t="shared" si="32"/>
        <v>23.645123000000002</v>
      </c>
      <c r="AB16" s="570">
        <f t="shared" si="14"/>
        <v>24.528074025483402</v>
      </c>
      <c r="AC16" s="570">
        <f t="shared" si="33"/>
        <v>20.590979000000001</v>
      </c>
      <c r="AD16" s="570">
        <f t="shared" si="15"/>
        <v>14.892806053811659</v>
      </c>
      <c r="AE16" s="570">
        <f t="shared" si="34"/>
        <v>30.248889999999999</v>
      </c>
      <c r="AF16" s="651">
        <f t="shared" si="16"/>
        <v>7.4515648286140088</v>
      </c>
      <c r="AG16" s="549">
        <v>2012</v>
      </c>
      <c r="AH16" s="544">
        <f t="shared" si="18"/>
        <v>2.8310468483132873</v>
      </c>
      <c r="AI16" s="544">
        <f t="shared" si="19"/>
        <v>5.4192723887781815</v>
      </c>
      <c r="AJ16" s="544">
        <f t="shared" si="20"/>
        <v>3.6353244061055894</v>
      </c>
      <c r="AK16" s="544">
        <f t="shared" si="21"/>
        <v>3.2795785601000005</v>
      </c>
      <c r="AL16" s="544">
        <f t="shared" si="22"/>
        <v>3.4020438673345481</v>
      </c>
      <c r="AM16" s="544">
        <f t="shared" si="23"/>
        <v>2.8559687873000001</v>
      </c>
      <c r="AN16" s="544">
        <f t="shared" si="24"/>
        <v>2.0656321996636771</v>
      </c>
      <c r="AO16" s="544">
        <f t="shared" si="25"/>
        <v>8.3910420859999988</v>
      </c>
      <c r="AP16" s="550">
        <f t="shared" si="26"/>
        <v>1.033532041728763</v>
      </c>
      <c r="AQ16" s="10"/>
      <c r="AR16" s="967" t="str">
        <v>Diesel</v>
      </c>
      <c r="AT16" s="3">
        <v>5.9169999999999998</v>
      </c>
      <c r="AU16" s="3">
        <v>3.6941674600000001</v>
      </c>
      <c r="AV16" s="3">
        <v>3.968</v>
      </c>
      <c r="AW16" s="3">
        <f t="shared" si="27"/>
        <v>3.8113101361739137</v>
      </c>
      <c r="AX16" s="3">
        <f t="shared" si="35"/>
        <v>3.5633109728335102</v>
      </c>
      <c r="AY16" s="3">
        <f t="shared" si="28"/>
        <v>27.478804154101759</v>
      </c>
      <c r="AZ16" s="3">
        <f t="shared" si="29"/>
        <v>25.690778463111101</v>
      </c>
    </row>
    <row r="17" spans="1:52" x14ac:dyDescent="0.2">
      <c r="A17" s="963">
        <v>2013</v>
      </c>
      <c r="B17" s="1371">
        <v>25.294118999999998</v>
      </c>
      <c r="C17" s="1371">
        <v>33.997013000000003</v>
      </c>
      <c r="D17" s="570">
        <f t="shared" si="30"/>
        <v>27.042850352976672</v>
      </c>
      <c r="E17" s="1371">
        <v>22.417128000000002</v>
      </c>
      <c r="F17" s="570">
        <f t="shared" si="31"/>
        <v>25.766314550818404</v>
      </c>
      <c r="G17" s="1371">
        <v>19.805682999999998</v>
      </c>
      <c r="H17" s="1371">
        <v>18.155642</v>
      </c>
      <c r="I17" s="1371">
        <v>31.006128</v>
      </c>
      <c r="J17" s="1311">
        <f t="shared" si="0"/>
        <v>7.4515648286140088</v>
      </c>
      <c r="K17" s="549">
        <v>2013</v>
      </c>
      <c r="L17" s="544">
        <f t="shared" si="2"/>
        <v>3.5082943052999997</v>
      </c>
      <c r="M17" s="544">
        <f t="shared" si="3"/>
        <v>4.7153857031000008</v>
      </c>
      <c r="N17" s="544">
        <f t="shared" si="4"/>
        <v>3.7508433439578641</v>
      </c>
      <c r="O17" s="544">
        <f t="shared" si="5"/>
        <v>3.1092556536000004</v>
      </c>
      <c r="P17" s="544">
        <f t="shared" si="6"/>
        <v>3.5737878281985127</v>
      </c>
      <c r="Q17" s="544">
        <f t="shared" si="7"/>
        <v>2.7470482320999996</v>
      </c>
      <c r="R17" s="544">
        <f t="shared" si="8"/>
        <v>2.5181875454</v>
      </c>
      <c r="S17" s="544">
        <f t="shared" si="9"/>
        <v>8.6010999072000001</v>
      </c>
      <c r="T17" s="550">
        <f t="shared" si="10"/>
        <v>1.033532041728763</v>
      </c>
      <c r="U17" s="1375">
        <v>2</v>
      </c>
      <c r="W17" s="963">
        <v>2013</v>
      </c>
      <c r="X17" s="570">
        <f t="shared" si="11"/>
        <v>19.810778517482518</v>
      </c>
      <c r="Y17" s="570">
        <f t="shared" si="12"/>
        <v>36.160459281818177</v>
      </c>
      <c r="Z17" s="570">
        <f t="shared" si="13"/>
        <v>25.794157490822283</v>
      </c>
      <c r="AA17" s="570">
        <f t="shared" si="32"/>
        <v>22.417128000000002</v>
      </c>
      <c r="AB17" s="570">
        <f t="shared" si="14"/>
        <v>24.600191526848356</v>
      </c>
      <c r="AC17" s="570">
        <f t="shared" si="33"/>
        <v>19.805682999999998</v>
      </c>
      <c r="AD17" s="570">
        <f t="shared" si="15"/>
        <v>15.713178950672646</v>
      </c>
      <c r="AE17" s="570">
        <f t="shared" si="34"/>
        <v>31.006128</v>
      </c>
      <c r="AF17" s="651">
        <f t="shared" si="16"/>
        <v>7.4515648286140088</v>
      </c>
      <c r="AG17" s="549">
        <v>2013</v>
      </c>
      <c r="AH17" s="544">
        <f t="shared" si="18"/>
        <v>2.7477549803748254</v>
      </c>
      <c r="AI17" s="544">
        <f t="shared" si="19"/>
        <v>5.0154557023881816</v>
      </c>
      <c r="AJ17" s="544">
        <f t="shared" si="20"/>
        <v>3.5776496439770509</v>
      </c>
      <c r="AK17" s="544">
        <f t="shared" si="21"/>
        <v>3.1092556536000004</v>
      </c>
      <c r="AL17" s="544">
        <f t="shared" si="22"/>
        <v>3.4120465647738669</v>
      </c>
      <c r="AM17" s="544">
        <f t="shared" si="23"/>
        <v>2.7470482320999996</v>
      </c>
      <c r="AN17" s="544">
        <f t="shared" si="24"/>
        <v>2.1794179204582957</v>
      </c>
      <c r="AO17" s="544">
        <f t="shared" si="25"/>
        <v>8.6010999072000001</v>
      </c>
      <c r="AP17" s="550">
        <f t="shared" si="26"/>
        <v>1.033532041728763</v>
      </c>
      <c r="AQ17" s="10"/>
      <c r="AR17" s="967" t="str">
        <v>Residual Fuel Oil</v>
      </c>
      <c r="AT17" s="3">
        <v>6.0039999999999996</v>
      </c>
      <c r="AU17" s="3">
        <v>3.58287866</v>
      </c>
      <c r="AV17" s="3">
        <v>3.9220000000000002</v>
      </c>
      <c r="AW17" s="3">
        <f t="shared" si="27"/>
        <v>3.7508433439578632</v>
      </c>
      <c r="AX17" s="3">
        <f t="shared" si="35"/>
        <v>3.5737878281985127</v>
      </c>
      <c r="AY17" s="3">
        <f t="shared" si="28"/>
        <v>27.042850352976672</v>
      </c>
      <c r="AZ17" s="3">
        <f t="shared" si="29"/>
        <v>25.766314550818404</v>
      </c>
    </row>
    <row r="18" spans="1:52" x14ac:dyDescent="0.2">
      <c r="A18" s="963">
        <v>2014</v>
      </c>
      <c r="B18" s="1371">
        <v>24.395772999999998</v>
      </c>
      <c r="C18" s="1371">
        <v>33.250518999999997</v>
      </c>
      <c r="D18" s="570">
        <f t="shared" si="30"/>
        <v>26.273234518958141</v>
      </c>
      <c r="E18" s="1371">
        <v>20.819944</v>
      </c>
      <c r="F18" s="570">
        <f t="shared" si="31"/>
        <v>25.535037257590947</v>
      </c>
      <c r="G18" s="1371">
        <v>14.62518</v>
      </c>
      <c r="H18" s="1371">
        <v>18.43741</v>
      </c>
      <c r="I18" s="1371">
        <v>32.181133000000003</v>
      </c>
      <c r="J18" s="1311">
        <f t="shared" si="0"/>
        <v>7.4515648286140088</v>
      </c>
      <c r="K18" s="549">
        <v>2014</v>
      </c>
      <c r="L18" s="544">
        <f t="shared" si="2"/>
        <v>3.3836937150999997</v>
      </c>
      <c r="M18" s="544">
        <f t="shared" si="3"/>
        <v>4.6118469852999997</v>
      </c>
      <c r="N18" s="544">
        <f t="shared" si="4"/>
        <v>3.6440976277794941</v>
      </c>
      <c r="O18" s="544">
        <f t="shared" si="5"/>
        <v>2.8877262328</v>
      </c>
      <c r="P18" s="544">
        <f t="shared" si="6"/>
        <v>3.5417096676278645</v>
      </c>
      <c r="Q18" s="544">
        <f t="shared" si="7"/>
        <v>2.028512466</v>
      </c>
      <c r="R18" s="544">
        <f t="shared" si="8"/>
        <v>2.5572687670000001</v>
      </c>
      <c r="S18" s="544">
        <f t="shared" si="9"/>
        <v>8.927046294200002</v>
      </c>
      <c r="T18" s="550">
        <f t="shared" si="10"/>
        <v>1.033532041728763</v>
      </c>
      <c r="U18" s="1375">
        <v>2</v>
      </c>
      <c r="W18" s="963">
        <v>2014</v>
      </c>
      <c r="X18" s="570">
        <f t="shared" si="11"/>
        <v>19.107178853146856</v>
      </c>
      <c r="Y18" s="570">
        <f t="shared" si="12"/>
        <v>35.36646111818181</v>
      </c>
      <c r="Z18" s="570">
        <f t="shared" si="13"/>
        <v>25.060078361921605</v>
      </c>
      <c r="AA18" s="570">
        <f t="shared" si="32"/>
        <v>20.819944</v>
      </c>
      <c r="AB18" s="570">
        <f t="shared" si="14"/>
        <v>24.379381302010604</v>
      </c>
      <c r="AC18" s="570">
        <f t="shared" si="33"/>
        <v>14.62518</v>
      </c>
      <c r="AD18" s="570">
        <f t="shared" si="15"/>
        <v>15.957040941704035</v>
      </c>
      <c r="AE18" s="570">
        <f t="shared" si="34"/>
        <v>32.181133000000003</v>
      </c>
      <c r="AF18" s="651">
        <f t="shared" si="16"/>
        <v>7.4515648286140088</v>
      </c>
      <c r="AG18" s="549">
        <v>2014</v>
      </c>
      <c r="AH18" s="544">
        <f t="shared" si="18"/>
        <v>2.6501657069314692</v>
      </c>
      <c r="AI18" s="544">
        <f t="shared" si="19"/>
        <v>4.9053281570918168</v>
      </c>
      <c r="AJ18" s="544">
        <f t="shared" si="20"/>
        <v>3.4758328687985265</v>
      </c>
      <c r="AK18" s="544">
        <f t="shared" si="21"/>
        <v>2.8877262328</v>
      </c>
      <c r="AL18" s="544">
        <f t="shared" si="22"/>
        <v>3.3814201865888709</v>
      </c>
      <c r="AM18" s="544">
        <f t="shared" si="23"/>
        <v>2.028512466</v>
      </c>
      <c r="AN18" s="544">
        <f t="shared" si="24"/>
        <v>2.2132415786143493</v>
      </c>
      <c r="AO18" s="544">
        <f t="shared" si="25"/>
        <v>8.927046294200002</v>
      </c>
      <c r="AP18" s="550">
        <f t="shared" si="26"/>
        <v>1.033532041728763</v>
      </c>
      <c r="AQ18" s="10"/>
      <c r="AR18" s="967" t="str">
        <v>CNG</v>
      </c>
      <c r="AT18" s="3">
        <v>6.101</v>
      </c>
      <c r="AU18" s="3">
        <v>3.4255699199999996</v>
      </c>
      <c r="AV18" s="3">
        <v>3.8250000000000002</v>
      </c>
      <c r="AW18" s="3">
        <f t="shared" si="27"/>
        <v>3.6440976277794945</v>
      </c>
      <c r="AX18" s="3">
        <f t="shared" si="35"/>
        <v>3.5417096676278645</v>
      </c>
      <c r="AY18" s="3">
        <f t="shared" si="28"/>
        <v>26.273234518958141</v>
      </c>
      <c r="AZ18" s="3">
        <f t="shared" si="29"/>
        <v>25.535037257590947</v>
      </c>
    </row>
    <row r="19" spans="1:52" x14ac:dyDescent="0.2">
      <c r="A19" s="964">
        <v>2015</v>
      </c>
      <c r="B19" s="1371">
        <v>17.964410999999998</v>
      </c>
      <c r="C19" s="1371">
        <v>23.267790000000002</v>
      </c>
      <c r="D19" s="570">
        <f t="shared" si="30"/>
        <v>19.276370412676094</v>
      </c>
      <c r="E19" s="1371">
        <v>11.972967000000001</v>
      </c>
      <c r="F19" s="570">
        <f t="shared" si="31"/>
        <v>18.095159363615679</v>
      </c>
      <c r="G19" s="1371">
        <v>8.1054680000000001</v>
      </c>
      <c r="H19" s="1371">
        <v>16.648273</v>
      </c>
      <c r="I19" s="1371">
        <v>29.485486999999999</v>
      </c>
      <c r="J19" s="1311">
        <f>P2*K70/$M$2*10^6</f>
        <v>7.6774086226406553</v>
      </c>
      <c r="K19" s="551">
        <v>2015</v>
      </c>
      <c r="L19" s="545">
        <f t="shared" si="2"/>
        <v>2.4916638057</v>
      </c>
      <c r="M19" s="545">
        <f t="shared" si="3"/>
        <v>3.2272424730000004</v>
      </c>
      <c r="N19" s="545">
        <f t="shared" si="4"/>
        <v>2.6736325762381745</v>
      </c>
      <c r="O19" s="545">
        <f t="shared" si="5"/>
        <v>1.6606505228999999</v>
      </c>
      <c r="P19" s="545">
        <f t="shared" si="6"/>
        <v>2.5097986037334943</v>
      </c>
      <c r="Q19" s="545">
        <f t="shared" si="7"/>
        <v>1.1242284116000001</v>
      </c>
      <c r="R19" s="545">
        <f t="shared" si="8"/>
        <v>2.3091154651000001</v>
      </c>
      <c r="S19" s="545">
        <f t="shared" si="9"/>
        <v>8.1792740938000001</v>
      </c>
      <c r="T19" s="552">
        <f t="shared" si="10"/>
        <v>1.0648565759602588</v>
      </c>
      <c r="U19" s="1375">
        <v>2</v>
      </c>
      <c r="W19" s="964">
        <v>2015</v>
      </c>
      <c r="X19" s="570">
        <f t="shared" si="11"/>
        <v>14.070028195804197</v>
      </c>
      <c r="Y19" s="570">
        <f t="shared" si="12"/>
        <v>24.748467545454545</v>
      </c>
      <c r="Z19" s="570">
        <f t="shared" si="13"/>
        <v>18.386291673623973</v>
      </c>
      <c r="AA19" s="570">
        <f t="shared" si="32"/>
        <v>11.972967000000001</v>
      </c>
      <c r="AB19" s="570">
        <f t="shared" si="14"/>
        <v>17.276214849269167</v>
      </c>
      <c r="AC19" s="570">
        <f t="shared" si="33"/>
        <v>8.1054680000000001</v>
      </c>
      <c r="AD19" s="570">
        <f t="shared" si="15"/>
        <v>14.408595017937218</v>
      </c>
      <c r="AE19" s="570">
        <f t="shared" si="34"/>
        <v>29.485486999999999</v>
      </c>
      <c r="AF19" s="651">
        <f>$P$2*AG70/$M$2*10^6</f>
        <v>7.6774086226406553</v>
      </c>
      <c r="AG19" s="551">
        <v>2015</v>
      </c>
      <c r="AH19" s="545">
        <f t="shared" si="18"/>
        <v>1.951512910758042</v>
      </c>
      <c r="AI19" s="545">
        <f t="shared" si="19"/>
        <v>3.4326124485545457</v>
      </c>
      <c r="AJ19" s="545">
        <f t="shared" si="20"/>
        <v>2.5501786551316452</v>
      </c>
      <c r="AK19" s="545">
        <f t="shared" si="21"/>
        <v>1.6606505228999999</v>
      </c>
      <c r="AL19" s="545">
        <f t="shared" si="22"/>
        <v>2.3962109995936332</v>
      </c>
      <c r="AM19" s="545">
        <f t="shared" si="23"/>
        <v>1.1242284116000001</v>
      </c>
      <c r="AN19" s="545">
        <f t="shared" si="24"/>
        <v>1.9984721289878922</v>
      </c>
      <c r="AO19" s="545">
        <f t="shared" si="25"/>
        <v>8.1792740938000001</v>
      </c>
      <c r="AP19" s="552">
        <f t="shared" si="26"/>
        <v>1.0648565759602588</v>
      </c>
      <c r="AQ19" s="10"/>
      <c r="AR19" s="967" t="str">
        <v>Electricity</v>
      </c>
      <c r="AT19" s="3">
        <v>6.109</v>
      </c>
      <c r="AU19" s="3">
        <v>2.5100100299999997</v>
      </c>
      <c r="AV19" s="3">
        <v>2.7069999999999999</v>
      </c>
      <c r="AW19" s="3">
        <f t="shared" si="27"/>
        <v>2.6736325762381741</v>
      </c>
      <c r="AX19" s="3">
        <f t="shared" si="35"/>
        <v>2.5097986037334952</v>
      </c>
      <c r="AY19" s="3">
        <f t="shared" si="28"/>
        <v>19.276370412676094</v>
      </c>
      <c r="AZ19" s="3">
        <f t="shared" si="29"/>
        <v>18.095159363615679</v>
      </c>
    </row>
    <row r="20" spans="1:52" x14ac:dyDescent="0.2">
      <c r="A20" s="963">
        <v>2016</v>
      </c>
      <c r="B20" s="1350">
        <v>17.741709</v>
      </c>
      <c r="C20" s="1350">
        <v>20.812339999999999</v>
      </c>
      <c r="D20" s="569">
        <f t="shared" si="30"/>
        <v>17.133898361264325</v>
      </c>
      <c r="E20" s="1350">
        <v>9.9809680000000007</v>
      </c>
      <c r="F20" s="569">
        <f t="shared" si="31"/>
        <v>15.595396535463674</v>
      </c>
      <c r="G20" s="1350">
        <v>6.2571779999999997</v>
      </c>
      <c r="H20" s="1350">
        <v>14.278964</v>
      </c>
      <c r="I20" s="1350">
        <v>28.885411999999999</v>
      </c>
      <c r="J20" s="1311">
        <f>$P$2*K71/$M$2*10^6</f>
        <v>7.6774086226406553</v>
      </c>
      <c r="K20" s="549">
        <v>2016</v>
      </c>
      <c r="L20" s="544">
        <f t="shared" si="2"/>
        <v>2.4607750383</v>
      </c>
      <c r="M20" s="544">
        <f t="shared" si="3"/>
        <v>2.8866715579999997</v>
      </c>
      <c r="N20" s="544">
        <f t="shared" si="4"/>
        <v>2.3764717027073621</v>
      </c>
      <c r="O20" s="544">
        <f t="shared" si="5"/>
        <v>1.3843602616000001</v>
      </c>
      <c r="P20" s="544">
        <f t="shared" si="6"/>
        <v>2.1630814994688117</v>
      </c>
      <c r="Q20" s="544">
        <f t="shared" si="7"/>
        <v>0.86787058859999988</v>
      </c>
      <c r="R20" s="544">
        <f t="shared" si="8"/>
        <v>1.9804923068000002</v>
      </c>
      <c r="S20" s="544">
        <f t="shared" si="9"/>
        <v>8.0128132887999985</v>
      </c>
      <c r="T20" s="550">
        <f t="shared" si="10"/>
        <v>1.0648565759602588</v>
      </c>
      <c r="U20" s="1375">
        <v>2</v>
      </c>
      <c r="W20" s="963">
        <v>2016</v>
      </c>
      <c r="X20" s="1350">
        <f t="shared" si="11"/>
        <v>13.895604251748255</v>
      </c>
      <c r="Y20" s="1350">
        <f t="shared" si="12"/>
        <v>22.136761636363634</v>
      </c>
      <c r="Z20" s="1350">
        <f t="shared" si="13"/>
        <v>16.342747417287203</v>
      </c>
      <c r="AA20" s="1350">
        <f t="shared" si="32"/>
        <v>9.9809680000000007</v>
      </c>
      <c r="AB20" s="1350">
        <f t="shared" si="14"/>
        <v>14.889585429568855</v>
      </c>
      <c r="AC20" s="1350">
        <f t="shared" si="33"/>
        <v>6.2571779999999997</v>
      </c>
      <c r="AD20" s="1350">
        <f t="shared" si="15"/>
        <v>12.358027139013453</v>
      </c>
      <c r="AE20" s="1350">
        <f t="shared" si="34"/>
        <v>28.885411999999999</v>
      </c>
      <c r="AF20" s="651">
        <f>$P$2*AG71/$M$2*10^6</f>
        <v>7.6774086226406553</v>
      </c>
      <c r="AG20" s="549">
        <v>2016</v>
      </c>
      <c r="AH20" s="544">
        <f t="shared" si="18"/>
        <v>1.9273203097174829</v>
      </c>
      <c r="AI20" s="544">
        <f t="shared" si="19"/>
        <v>3.0703688389636361</v>
      </c>
      <c r="AJ20" s="544">
        <f t="shared" si="20"/>
        <v>2.2667390667777352</v>
      </c>
      <c r="AK20" s="544">
        <f t="shared" si="21"/>
        <v>1.3843602616000001</v>
      </c>
      <c r="AL20" s="544">
        <f t="shared" si="22"/>
        <v>2.0651854990812004</v>
      </c>
      <c r="AM20" s="544">
        <f t="shared" si="23"/>
        <v>0.86787058859999988</v>
      </c>
      <c r="AN20" s="544">
        <f t="shared" si="24"/>
        <v>1.714058364181166</v>
      </c>
      <c r="AO20" s="544">
        <f t="shared" si="25"/>
        <v>8.0128132887999985</v>
      </c>
      <c r="AP20" s="550">
        <f t="shared" si="26"/>
        <v>1.0648565759602588</v>
      </c>
      <c r="AQ20" s="10"/>
      <c r="AR20" s="967" t="str">
        <v>Hydrogen</v>
      </c>
      <c r="AT20" s="3">
        <v>6.1859999999999999</v>
      </c>
      <c r="AU20" s="3">
        <v>2.2032642600000001</v>
      </c>
      <c r="AV20" s="3">
        <v>2.3039999999999998</v>
      </c>
      <c r="AW20" s="3">
        <f t="shared" si="27"/>
        <v>2.3764717027073621</v>
      </c>
      <c r="AX20" s="3">
        <f t="shared" si="35"/>
        <v>2.1630814994688112</v>
      </c>
      <c r="AY20" s="3">
        <f t="shared" si="28"/>
        <v>17.133898361264325</v>
      </c>
      <c r="AZ20" s="3">
        <f t="shared" si="29"/>
        <v>15.595396535463674</v>
      </c>
    </row>
    <row r="21" spans="1:52" ht="15" thickBot="1" x14ac:dyDescent="0.25">
      <c r="A21" s="963">
        <v>2017</v>
      </c>
      <c r="B21" s="1371">
        <v>19.093874</v>
      </c>
      <c r="C21" s="1371">
        <v>22.146609999999999</v>
      </c>
      <c r="D21" s="570">
        <f t="shared" si="30"/>
        <v>19.605030446056329</v>
      </c>
      <c r="E21" s="1371">
        <v>12.362413999999999</v>
      </c>
      <c r="F21" s="570">
        <f t="shared" si="31"/>
        <v>18.320171162026067</v>
      </c>
      <c r="G21" s="1371">
        <v>8.6428510000000003</v>
      </c>
      <c r="H21" s="1371">
        <v>14.744268999999999</v>
      </c>
      <c r="I21" s="1371">
        <v>29.101451999999998</v>
      </c>
      <c r="J21" s="1311">
        <f t="shared" ref="J21:J54" si="36">$P$2*K72/$M$2*10^6</f>
        <v>7.6774086226406553</v>
      </c>
      <c r="K21" s="549">
        <v>2017</v>
      </c>
      <c r="L21" s="544">
        <f t="shared" si="2"/>
        <v>2.6483203237999997</v>
      </c>
      <c r="M21" s="544">
        <f t="shared" si="3"/>
        <v>3.0717348069999999</v>
      </c>
      <c r="N21" s="544">
        <f t="shared" si="4"/>
        <v>2.7192177228680126</v>
      </c>
      <c r="O21" s="544">
        <f t="shared" si="5"/>
        <v>1.7146668217999999</v>
      </c>
      <c r="P21" s="544">
        <f t="shared" si="6"/>
        <v>2.5410077401730158</v>
      </c>
      <c r="Q21" s="544">
        <f t="shared" si="7"/>
        <v>1.1987634336999999</v>
      </c>
      <c r="R21" s="544">
        <f t="shared" si="8"/>
        <v>2.0450301102999999</v>
      </c>
      <c r="S21" s="544">
        <f t="shared" si="9"/>
        <v>8.0727427847999991</v>
      </c>
      <c r="T21" s="550">
        <f t="shared" si="10"/>
        <v>1.0648565759602588</v>
      </c>
      <c r="U21" s="1375">
        <v>2</v>
      </c>
      <c r="W21" s="963">
        <v>2017</v>
      </c>
      <c r="X21" s="1371">
        <f t="shared" si="11"/>
        <v>14.954642573426575</v>
      </c>
      <c r="Y21" s="1371">
        <f t="shared" si="12"/>
        <v>23.555939727272722</v>
      </c>
      <c r="Z21" s="1371">
        <f t="shared" si="13"/>
        <v>18.69977596064609</v>
      </c>
      <c r="AA21" s="1371">
        <f t="shared" si="32"/>
        <v>12.362413999999999</v>
      </c>
      <c r="AB21" s="1371">
        <f t="shared" si="14"/>
        <v>17.491043140904704</v>
      </c>
      <c r="AC21" s="1371">
        <f t="shared" si="33"/>
        <v>8.6428510000000003</v>
      </c>
      <c r="AD21" s="1371">
        <f t="shared" si="15"/>
        <v>12.760735053811658</v>
      </c>
      <c r="AE21" s="1371">
        <f t="shared" si="34"/>
        <v>29.101451999999998</v>
      </c>
      <c r="AF21" s="651">
        <f t="shared" ref="AF21:AF54" si="37">$P$2*AG72/$M$2*10^6</f>
        <v>7.6774086226406553</v>
      </c>
      <c r="AG21" s="549">
        <v>2017</v>
      </c>
      <c r="AH21" s="544">
        <f t="shared" si="18"/>
        <v>2.0742089249342661</v>
      </c>
      <c r="AI21" s="544">
        <f t="shared" si="19"/>
        <v>3.2672088401727266</v>
      </c>
      <c r="AJ21" s="544">
        <f t="shared" si="20"/>
        <v>2.5936589257416123</v>
      </c>
      <c r="AK21" s="544">
        <f t="shared" si="21"/>
        <v>1.7146668217999999</v>
      </c>
      <c r="AL21" s="544">
        <f t="shared" si="22"/>
        <v>2.4260076836434825</v>
      </c>
      <c r="AM21" s="544">
        <f t="shared" si="23"/>
        <v>1.1987634336999999</v>
      </c>
      <c r="AN21" s="544">
        <f t="shared" si="24"/>
        <v>1.7699139519636768</v>
      </c>
      <c r="AO21" s="544">
        <f t="shared" si="25"/>
        <v>8.0727427847999991</v>
      </c>
      <c r="AP21" s="550">
        <f t="shared" si="26"/>
        <v>1.0648565759602588</v>
      </c>
      <c r="AQ21" s="10"/>
      <c r="AR21" s="968" t="s">
        <v>229</v>
      </c>
      <c r="AT21" s="3">
        <v>6.3179999999999996</v>
      </c>
      <c r="AU21" s="3">
        <v>2.4683584000000001</v>
      </c>
      <c r="AV21" s="3">
        <v>2.65</v>
      </c>
      <c r="AW21" s="3">
        <f t="shared" si="27"/>
        <v>2.719217722868013</v>
      </c>
      <c r="AX21" s="3">
        <f t="shared" si="35"/>
        <v>2.5410077401730153</v>
      </c>
      <c r="AY21" s="3">
        <f t="shared" si="28"/>
        <v>19.605030446056329</v>
      </c>
      <c r="AZ21" s="3">
        <f t="shared" si="29"/>
        <v>18.320171162026067</v>
      </c>
    </row>
    <row r="22" spans="1:52" ht="15" thickTop="1" x14ac:dyDescent="0.2">
      <c r="A22" s="963">
        <v>2018</v>
      </c>
      <c r="B22" s="1371">
        <v>18.011908999999999</v>
      </c>
      <c r="C22" s="1371">
        <v>29.232935000000001</v>
      </c>
      <c r="D22" s="570">
        <f t="shared" si="30"/>
        <v>22.739042504488459</v>
      </c>
      <c r="E22" s="1371">
        <v>16.156372000000001</v>
      </c>
      <c r="F22" s="570">
        <f t="shared" si="31"/>
        <v>22.505902487847884</v>
      </c>
      <c r="G22" s="1371">
        <v>10.938333999999999</v>
      </c>
      <c r="H22" s="1371">
        <v>14.392683999999999</v>
      </c>
      <c r="I22" s="1371">
        <v>33.287472000000001</v>
      </c>
      <c r="J22" s="1311">
        <f t="shared" si="36"/>
        <v>7.6774086226406553</v>
      </c>
      <c r="K22" s="549">
        <v>2018</v>
      </c>
      <c r="L22" s="544">
        <f t="shared" si="2"/>
        <v>2.4982517782999998</v>
      </c>
      <c r="M22" s="544">
        <f t="shared" si="3"/>
        <v>4.0546080845000008</v>
      </c>
      <c r="N22" s="544">
        <f t="shared" si="4"/>
        <v>3.1539051953725492</v>
      </c>
      <c r="O22" s="544">
        <f t="shared" si="5"/>
        <v>2.2408887964000002</v>
      </c>
      <c r="P22" s="544">
        <f t="shared" si="6"/>
        <v>3.1215686750645015</v>
      </c>
      <c r="Q22" s="544">
        <f t="shared" si="7"/>
        <v>1.5171469257999999</v>
      </c>
      <c r="R22" s="544">
        <f t="shared" si="8"/>
        <v>1.9962652707999997</v>
      </c>
      <c r="S22" s="544">
        <f t="shared" si="9"/>
        <v>9.2339447327999995</v>
      </c>
      <c r="T22" s="550">
        <f t="shared" si="10"/>
        <v>1.0648565759602588</v>
      </c>
      <c r="U22" s="1375">
        <v>2</v>
      </c>
      <c r="W22" s="963">
        <v>2018</v>
      </c>
      <c r="X22" s="1371">
        <f t="shared" si="11"/>
        <v>14.107229426573427</v>
      </c>
      <c r="Y22" s="1371">
        <f t="shared" si="12"/>
        <v>31.09321268181818</v>
      </c>
      <c r="Z22" s="1371">
        <f t="shared" si="13"/>
        <v>21.689076258439453</v>
      </c>
      <c r="AA22" s="1371">
        <f t="shared" si="32"/>
        <v>16.156372000000001</v>
      </c>
      <c r="AB22" s="1371">
        <f t="shared" si="14"/>
        <v>21.487338074433527</v>
      </c>
      <c r="AC22" s="1371">
        <f t="shared" si="33"/>
        <v>10.938333999999999</v>
      </c>
      <c r="AD22" s="1371">
        <f t="shared" si="15"/>
        <v>12.45644848430493</v>
      </c>
      <c r="AE22" s="1371">
        <f t="shared" si="34"/>
        <v>33.287472000000001</v>
      </c>
      <c r="AF22" s="651">
        <f t="shared" si="37"/>
        <v>7.6774086226406553</v>
      </c>
      <c r="AG22" s="549">
        <v>2018</v>
      </c>
      <c r="AH22" s="544">
        <f t="shared" si="18"/>
        <v>1.9566727214657342</v>
      </c>
      <c r="AI22" s="544">
        <f t="shared" si="19"/>
        <v>4.3126285989681818</v>
      </c>
      <c r="AJ22" s="544">
        <f t="shared" si="20"/>
        <v>3.0082748770455523</v>
      </c>
      <c r="AK22" s="544">
        <f t="shared" si="21"/>
        <v>2.2408887964000002</v>
      </c>
      <c r="AL22" s="544">
        <f t="shared" si="22"/>
        <v>2.9802937909239304</v>
      </c>
      <c r="AM22" s="544">
        <f t="shared" si="23"/>
        <v>1.5171469257999999</v>
      </c>
      <c r="AN22" s="544">
        <f t="shared" si="24"/>
        <v>1.7277094047730939</v>
      </c>
      <c r="AO22" s="544">
        <f t="shared" si="25"/>
        <v>9.2339447327999995</v>
      </c>
      <c r="AP22" s="550">
        <f t="shared" si="26"/>
        <v>1.0648565759602588</v>
      </c>
      <c r="AQ22" s="10"/>
      <c r="AT22" s="3">
        <v>6.4720000000000004</v>
      </c>
      <c r="AU22" s="3">
        <v>2.7948209099999999</v>
      </c>
      <c r="AV22" s="3">
        <v>3.1779999999999999</v>
      </c>
      <c r="AW22" s="3">
        <f t="shared" si="27"/>
        <v>3.1539051953725488</v>
      </c>
      <c r="AX22" s="3">
        <f t="shared" si="35"/>
        <v>3.1215686750645011</v>
      </c>
      <c r="AY22" s="3">
        <f t="shared" si="28"/>
        <v>22.739042504488459</v>
      </c>
      <c r="AZ22" s="3">
        <f t="shared" si="29"/>
        <v>22.505902487847884</v>
      </c>
    </row>
    <row r="23" spans="1:52" x14ac:dyDescent="0.2">
      <c r="A23" s="963">
        <v>2019</v>
      </c>
      <c r="B23" s="491">
        <v>16.634917999999999</v>
      </c>
      <c r="C23" s="491">
        <v>24.537946999999999</v>
      </c>
      <c r="D23" s="491">
        <v>22.170871999999999</v>
      </c>
      <c r="E23" s="491">
        <v>14.641048</v>
      </c>
      <c r="F23" s="491">
        <v>22.110787999999999</v>
      </c>
      <c r="G23" s="491">
        <v>9.5779259999999997</v>
      </c>
      <c r="H23" s="491">
        <v>13.698598</v>
      </c>
      <c r="I23" s="491">
        <v>33.252597999999999</v>
      </c>
      <c r="J23" s="1311">
        <f t="shared" si="36"/>
        <v>7.6774086226406553</v>
      </c>
      <c r="K23" s="549">
        <v>2019</v>
      </c>
      <c r="L23" s="544">
        <f t="shared" si="2"/>
        <v>2.3072631266000001</v>
      </c>
      <c r="M23" s="544">
        <f t="shared" si="3"/>
        <v>3.4034132489000002</v>
      </c>
      <c r="N23" s="544">
        <f t="shared" si="4"/>
        <v>3.0750999464</v>
      </c>
      <c r="O23" s="544">
        <f t="shared" si="5"/>
        <v>2.0307133575999998</v>
      </c>
      <c r="P23" s="544">
        <f t="shared" si="6"/>
        <v>3.0667662955999999</v>
      </c>
      <c r="Q23" s="544">
        <f t="shared" si="7"/>
        <v>1.3284583362</v>
      </c>
      <c r="R23" s="544">
        <f t="shared" si="8"/>
        <v>1.8999955426000001</v>
      </c>
      <c r="S23" s="544">
        <f t="shared" si="9"/>
        <v>9.2242706852000005</v>
      </c>
      <c r="T23" s="550">
        <f t="shared" si="10"/>
        <v>1.0648565759602588</v>
      </c>
      <c r="U23" s="1375">
        <v>2</v>
      </c>
      <c r="W23" s="963">
        <v>2019</v>
      </c>
      <c r="X23" s="491">
        <f t="shared" si="11"/>
        <v>13.028746965034966</v>
      </c>
      <c r="Y23" s="491">
        <f t="shared" si="12"/>
        <v>26.099452718181812</v>
      </c>
      <c r="Z23" s="491">
        <f t="shared" si="13"/>
        <v>21.147140801077349</v>
      </c>
      <c r="AA23" s="491">
        <f t="shared" si="32"/>
        <v>14.641048</v>
      </c>
      <c r="AB23" s="491">
        <f t="shared" si="14"/>
        <v>21.110105542519808</v>
      </c>
      <c r="AC23" s="491">
        <f t="shared" si="33"/>
        <v>9.5779259999999997</v>
      </c>
      <c r="AD23" s="491">
        <f t="shared" si="15"/>
        <v>11.85573728251121</v>
      </c>
      <c r="AE23" s="491">
        <f t="shared" si="34"/>
        <v>33.252597999999999</v>
      </c>
      <c r="AF23" s="651">
        <f t="shared" si="37"/>
        <v>7.6774086226406553</v>
      </c>
      <c r="AG23" s="549">
        <v>2019</v>
      </c>
      <c r="AH23" s="544">
        <f t="shared" si="18"/>
        <v>1.8070872040503498</v>
      </c>
      <c r="AI23" s="544">
        <f t="shared" si="19"/>
        <v>3.6199940920118174</v>
      </c>
      <c r="AJ23" s="544">
        <f t="shared" si="20"/>
        <v>2.9331084291094283</v>
      </c>
      <c r="AK23" s="544">
        <f t="shared" si="21"/>
        <v>2.0307133575999998</v>
      </c>
      <c r="AL23" s="544">
        <f t="shared" si="22"/>
        <v>2.9279716387474974</v>
      </c>
      <c r="AM23" s="544">
        <f t="shared" si="23"/>
        <v>1.3284583362</v>
      </c>
      <c r="AN23" s="544">
        <f t="shared" si="24"/>
        <v>1.6443907610843049</v>
      </c>
      <c r="AO23" s="544">
        <f t="shared" si="25"/>
        <v>9.2242706852000005</v>
      </c>
      <c r="AP23" s="550">
        <f t="shared" si="26"/>
        <v>1.0648565759602588</v>
      </c>
      <c r="AQ23" s="10"/>
      <c r="AT23" s="3">
        <v>6.5890000000000004</v>
      </c>
      <c r="AU23" s="3">
        <v>2.6971813500000001</v>
      </c>
      <c r="AV23" s="3">
        <v>3.056</v>
      </c>
      <c r="AW23" s="3">
        <f t="shared" si="27"/>
        <v>3.0987447049102927</v>
      </c>
      <c r="AX23" s="3">
        <f t="shared" si="35"/>
        <v>3.056</v>
      </c>
      <c r="AY23" s="3">
        <f t="shared" si="28"/>
        <v>22.341346106058349</v>
      </c>
      <c r="AZ23" s="3">
        <f t="shared" si="29"/>
        <v>22.033165104542178</v>
      </c>
    </row>
    <row r="24" spans="1:52" x14ac:dyDescent="0.2">
      <c r="A24" s="964">
        <v>2020</v>
      </c>
      <c r="B24" s="491">
        <v>15.560148999999999</v>
      </c>
      <c r="C24" s="491">
        <v>24.243863999999999</v>
      </c>
      <c r="D24" s="491">
        <v>21.954423999999999</v>
      </c>
      <c r="E24" s="491">
        <v>14.449450000000001</v>
      </c>
      <c r="F24" s="491">
        <v>21.343924999999999</v>
      </c>
      <c r="G24" s="491">
        <v>10.569046</v>
      </c>
      <c r="H24" s="491">
        <v>13.285862</v>
      </c>
      <c r="I24" s="491">
        <v>33.912785</v>
      </c>
      <c r="J24" s="1311">
        <f t="shared" si="36"/>
        <v>7.6774086226406553</v>
      </c>
      <c r="K24" s="551">
        <v>2020</v>
      </c>
      <c r="L24" s="545">
        <f t="shared" si="2"/>
        <v>2.1581926662999997</v>
      </c>
      <c r="M24" s="545">
        <f t="shared" si="3"/>
        <v>3.3626239367999999</v>
      </c>
      <c r="N24" s="545">
        <f t="shared" si="4"/>
        <v>3.0450786087999999</v>
      </c>
      <c r="O24" s="545">
        <f t="shared" si="5"/>
        <v>2.0041387150000003</v>
      </c>
      <c r="P24" s="545">
        <f t="shared" si="6"/>
        <v>2.9604023974999998</v>
      </c>
      <c r="Q24" s="545">
        <f t="shared" si="7"/>
        <v>1.4659266802000002</v>
      </c>
      <c r="R24" s="545">
        <f t="shared" si="8"/>
        <v>1.8427490594</v>
      </c>
      <c r="S24" s="545">
        <f t="shared" si="9"/>
        <v>9.407406559</v>
      </c>
      <c r="T24" s="552">
        <f t="shared" si="10"/>
        <v>1.0648565759602588</v>
      </c>
      <c r="U24" s="1375">
        <f t="shared" ref="U24:U37" si="38">U25</f>
        <v>2</v>
      </c>
      <c r="W24" s="964">
        <v>2020</v>
      </c>
      <c r="X24" s="491">
        <f t="shared" si="11"/>
        <v>12.186969846153847</v>
      </c>
      <c r="Y24" s="491">
        <f t="shared" si="12"/>
        <v>25.786655345454541</v>
      </c>
      <c r="Z24" s="491">
        <f t="shared" si="13"/>
        <v>20.940687201412366</v>
      </c>
      <c r="AA24" s="491">
        <f t="shared" si="32"/>
        <v>14.449450000000001</v>
      </c>
      <c r="AB24" s="491">
        <f t="shared" si="14"/>
        <v>20.377948965076552</v>
      </c>
      <c r="AC24" s="491">
        <f t="shared" si="33"/>
        <v>10.569046</v>
      </c>
      <c r="AD24" s="491">
        <f t="shared" si="15"/>
        <v>11.498526304932735</v>
      </c>
      <c r="AE24" s="491">
        <f t="shared" si="34"/>
        <v>33.912785</v>
      </c>
      <c r="AF24" s="651">
        <f t="shared" si="37"/>
        <v>7.6774086226406553</v>
      </c>
      <c r="AG24" s="551">
        <v>2020</v>
      </c>
      <c r="AH24" s="545">
        <f t="shared" si="18"/>
        <v>1.6903327176615386</v>
      </c>
      <c r="AI24" s="545">
        <f t="shared" si="19"/>
        <v>3.5766090964145447</v>
      </c>
      <c r="AJ24" s="545">
        <f t="shared" si="20"/>
        <v>2.9044733148358954</v>
      </c>
      <c r="AK24" s="545">
        <f t="shared" si="21"/>
        <v>2.0041387150000003</v>
      </c>
      <c r="AL24" s="545">
        <f t="shared" si="22"/>
        <v>2.8264215214561177</v>
      </c>
      <c r="AM24" s="545">
        <f t="shared" si="23"/>
        <v>1.4659266802000002</v>
      </c>
      <c r="AN24" s="545">
        <f t="shared" si="24"/>
        <v>1.5948455984941705</v>
      </c>
      <c r="AO24" s="545">
        <f t="shared" si="25"/>
        <v>9.407406559</v>
      </c>
      <c r="AP24" s="552">
        <f t="shared" si="26"/>
        <v>1.0648565759602588</v>
      </c>
      <c r="AQ24" s="10"/>
    </row>
    <row r="25" spans="1:52" x14ac:dyDescent="0.2">
      <c r="A25" s="963">
        <v>2021</v>
      </c>
      <c r="B25" s="491">
        <v>16.020731000000001</v>
      </c>
      <c r="C25" s="491">
        <v>29.909514999999999</v>
      </c>
      <c r="D25" s="491">
        <v>21.978480999999999</v>
      </c>
      <c r="E25" s="491">
        <v>14.469915</v>
      </c>
      <c r="F25" s="491">
        <v>21.456230000000001</v>
      </c>
      <c r="G25" s="491">
        <v>10.419720999999999</v>
      </c>
      <c r="H25" s="491">
        <v>12.658550999999999</v>
      </c>
      <c r="I25" s="491">
        <v>33.971561000000001</v>
      </c>
      <c r="J25" s="1311">
        <f t="shared" si="36"/>
        <v>7.6774086226406553</v>
      </c>
      <c r="K25" s="549">
        <v>2021</v>
      </c>
      <c r="L25" s="544">
        <f t="shared" si="2"/>
        <v>2.2220753897000001</v>
      </c>
      <c r="M25" s="544">
        <f t="shared" si="3"/>
        <v>4.1484497305000003</v>
      </c>
      <c r="N25" s="544">
        <f t="shared" si="4"/>
        <v>3.0484153147000002</v>
      </c>
      <c r="O25" s="544">
        <f t="shared" si="5"/>
        <v>2.0069772105000001</v>
      </c>
      <c r="P25" s="544">
        <f t="shared" si="6"/>
        <v>2.9759791010000001</v>
      </c>
      <c r="Q25" s="544">
        <f t="shared" si="7"/>
        <v>1.4452153026999999</v>
      </c>
      <c r="R25" s="544">
        <f t="shared" si="8"/>
        <v>1.7557410236999997</v>
      </c>
      <c r="S25" s="544">
        <f t="shared" si="9"/>
        <v>9.4237110214000008</v>
      </c>
      <c r="T25" s="550">
        <f t="shared" si="10"/>
        <v>1.0648565759602588</v>
      </c>
      <c r="U25" s="1375">
        <f t="shared" si="38"/>
        <v>2</v>
      </c>
      <c r="W25" s="963">
        <v>2021</v>
      </c>
      <c r="X25" s="491">
        <f t="shared" si="11"/>
        <v>12.547705398601401</v>
      </c>
      <c r="Y25" s="491">
        <f t="shared" si="12"/>
        <v>31.812847772727267</v>
      </c>
      <c r="Z25" s="491">
        <f t="shared" si="13"/>
        <v>20.963633379003014</v>
      </c>
      <c r="AA25" s="491">
        <f t="shared" si="32"/>
        <v>14.469915</v>
      </c>
      <c r="AB25" s="491">
        <f t="shared" si="14"/>
        <v>20.485171303916431</v>
      </c>
      <c r="AC25" s="491">
        <f t="shared" si="33"/>
        <v>10.419720999999999</v>
      </c>
      <c r="AD25" s="491">
        <f t="shared" si="15"/>
        <v>10.955606919282509</v>
      </c>
      <c r="AE25" s="491">
        <f t="shared" si="34"/>
        <v>33.971561000000001</v>
      </c>
      <c r="AF25" s="651">
        <f t="shared" si="37"/>
        <v>7.6774086226406553</v>
      </c>
      <c r="AG25" s="549">
        <v>2021</v>
      </c>
      <c r="AH25" s="544">
        <f t="shared" si="18"/>
        <v>1.7403667387860142</v>
      </c>
      <c r="AI25" s="544">
        <f t="shared" si="19"/>
        <v>4.4124419860772726</v>
      </c>
      <c r="AJ25" s="544">
        <f t="shared" si="20"/>
        <v>2.9076559496677179</v>
      </c>
      <c r="AK25" s="544">
        <f t="shared" si="21"/>
        <v>2.0069772105000001</v>
      </c>
      <c r="AL25" s="544">
        <f t="shared" si="22"/>
        <v>2.841293259853209</v>
      </c>
      <c r="AM25" s="544">
        <f t="shared" si="23"/>
        <v>1.4452153026999999</v>
      </c>
      <c r="AN25" s="544">
        <f t="shared" si="24"/>
        <v>1.519542679704484</v>
      </c>
      <c r="AO25" s="544">
        <f t="shared" si="25"/>
        <v>9.4237110214000008</v>
      </c>
      <c r="AP25" s="550">
        <f t="shared" si="26"/>
        <v>1.0648565759602588</v>
      </c>
      <c r="AQ25" s="10"/>
    </row>
    <row r="26" spans="1:52" x14ac:dyDescent="0.2">
      <c r="A26" s="963">
        <v>2022</v>
      </c>
      <c r="B26" s="491">
        <v>16.712645999999999</v>
      </c>
      <c r="C26" s="491">
        <v>28.426769</v>
      </c>
      <c r="D26" s="491">
        <v>21.98358</v>
      </c>
      <c r="E26" s="491">
        <v>14.677915</v>
      </c>
      <c r="F26" s="491">
        <v>21.792422999999999</v>
      </c>
      <c r="G26" s="491">
        <v>10.188439000000001</v>
      </c>
      <c r="H26" s="491">
        <v>12.415777</v>
      </c>
      <c r="I26" s="491">
        <v>34.360657000000003</v>
      </c>
      <c r="J26" s="1311">
        <f t="shared" si="36"/>
        <v>7.6774086226406553</v>
      </c>
      <c r="K26" s="549">
        <v>2022</v>
      </c>
      <c r="L26" s="544">
        <f t="shared" si="2"/>
        <v>2.3180440002</v>
      </c>
      <c r="M26" s="544">
        <f t="shared" si="3"/>
        <v>3.9427928603</v>
      </c>
      <c r="N26" s="544">
        <f t="shared" si="4"/>
        <v>3.049122546</v>
      </c>
      <c r="O26" s="544">
        <f t="shared" si="5"/>
        <v>2.0358268105000001</v>
      </c>
      <c r="P26" s="544">
        <f t="shared" si="6"/>
        <v>3.0226090701000001</v>
      </c>
      <c r="Q26" s="544">
        <f t="shared" si="7"/>
        <v>1.4131364893</v>
      </c>
      <c r="R26" s="544">
        <f t="shared" si="8"/>
        <v>1.7220682699000001</v>
      </c>
      <c r="S26" s="544">
        <f t="shared" si="9"/>
        <v>9.5316462517999998</v>
      </c>
      <c r="T26" s="550">
        <f t="shared" si="10"/>
        <v>1.0648565759602588</v>
      </c>
      <c r="U26" s="1375">
        <f t="shared" si="38"/>
        <v>2</v>
      </c>
      <c r="W26" s="963">
        <v>2022</v>
      </c>
      <c r="X26" s="491">
        <f t="shared" si="11"/>
        <v>13.089624839160841</v>
      </c>
      <c r="Y26" s="491">
        <f t="shared" si="12"/>
        <v>30.235745209090904</v>
      </c>
      <c r="Z26" s="491">
        <f t="shared" si="13"/>
        <v>20.968496934705502</v>
      </c>
      <c r="AA26" s="491">
        <f t="shared" si="32"/>
        <v>14.677915</v>
      </c>
      <c r="AB26" s="491">
        <f t="shared" si="14"/>
        <v>20.806148996464355</v>
      </c>
      <c r="AC26" s="491">
        <f t="shared" si="33"/>
        <v>10.188439000000001</v>
      </c>
      <c r="AD26" s="491">
        <f t="shared" si="15"/>
        <v>10.745493098654707</v>
      </c>
      <c r="AE26" s="491">
        <f t="shared" si="34"/>
        <v>34.360657000000003</v>
      </c>
      <c r="AF26" s="651">
        <f t="shared" si="37"/>
        <v>7.6774086226406553</v>
      </c>
      <c r="AG26" s="549">
        <v>2022</v>
      </c>
      <c r="AH26" s="544">
        <f t="shared" si="18"/>
        <v>1.8155309651916085</v>
      </c>
      <c r="AI26" s="544">
        <f t="shared" si="19"/>
        <v>4.1936978605009081</v>
      </c>
      <c r="AJ26" s="544">
        <f t="shared" si="20"/>
        <v>2.9083305248436533</v>
      </c>
      <c r="AK26" s="544">
        <f t="shared" si="21"/>
        <v>2.0358268105000001</v>
      </c>
      <c r="AL26" s="544">
        <f t="shared" si="22"/>
        <v>2.8858128658096058</v>
      </c>
      <c r="AM26" s="544">
        <f t="shared" si="23"/>
        <v>1.4131364893</v>
      </c>
      <c r="AN26" s="544">
        <f t="shared" si="24"/>
        <v>1.4903998927834079</v>
      </c>
      <c r="AO26" s="544">
        <f t="shared" si="25"/>
        <v>9.5316462517999998</v>
      </c>
      <c r="AP26" s="550">
        <f t="shared" si="26"/>
        <v>1.0648565759602588</v>
      </c>
      <c r="AQ26" s="10"/>
    </row>
    <row r="27" spans="1:52" x14ac:dyDescent="0.2">
      <c r="A27" s="963">
        <v>2023</v>
      </c>
      <c r="B27" s="491">
        <v>17.151492999999999</v>
      </c>
      <c r="C27" s="491">
        <v>28.618099000000001</v>
      </c>
      <c r="D27" s="491">
        <v>21.894874999999999</v>
      </c>
      <c r="E27" s="491">
        <v>14.784328</v>
      </c>
      <c r="F27" s="491">
        <v>21.917566000000001</v>
      </c>
      <c r="G27" s="491">
        <v>8.9142880000000009</v>
      </c>
      <c r="H27" s="491">
        <v>12.426674999999999</v>
      </c>
      <c r="I27" s="491">
        <v>34.89761</v>
      </c>
      <c r="J27" s="1311">
        <f t="shared" si="36"/>
        <v>7.6774086226406553</v>
      </c>
      <c r="K27" s="549">
        <v>2023</v>
      </c>
      <c r="L27" s="544">
        <f t="shared" si="2"/>
        <v>2.3789120790999996</v>
      </c>
      <c r="M27" s="544">
        <f t="shared" si="3"/>
        <v>3.9693303313000001</v>
      </c>
      <c r="N27" s="544">
        <f t="shared" si="4"/>
        <v>3.0368191624999996</v>
      </c>
      <c r="O27" s="544">
        <f t="shared" si="5"/>
        <v>2.0505862935999999</v>
      </c>
      <c r="P27" s="544">
        <f t="shared" si="6"/>
        <v>3.0399664042000003</v>
      </c>
      <c r="Q27" s="544">
        <f t="shared" si="7"/>
        <v>1.2364117456000001</v>
      </c>
      <c r="R27" s="544">
        <f t="shared" si="8"/>
        <v>1.7235798225000001</v>
      </c>
      <c r="S27" s="544">
        <f t="shared" si="9"/>
        <v>9.6805970139999999</v>
      </c>
      <c r="T27" s="550">
        <f t="shared" si="10"/>
        <v>1.0648565759602588</v>
      </c>
      <c r="U27" s="1375">
        <f t="shared" si="38"/>
        <v>2</v>
      </c>
      <c r="W27" s="963">
        <v>2023</v>
      </c>
      <c r="X27" s="491">
        <f t="shared" si="11"/>
        <v>13.433337174825176</v>
      </c>
      <c r="Y27" s="491">
        <f t="shared" si="12"/>
        <v>30.439250754545451</v>
      </c>
      <c r="Z27" s="491">
        <f t="shared" si="13"/>
        <v>20.883887852809238</v>
      </c>
      <c r="AA27" s="491">
        <f t="shared" si="32"/>
        <v>14.784328</v>
      </c>
      <c r="AB27" s="491">
        <f t="shared" si="14"/>
        <v>20.925628317504724</v>
      </c>
      <c r="AC27" s="491">
        <f t="shared" si="33"/>
        <v>8.9142880000000009</v>
      </c>
      <c r="AD27" s="491">
        <f t="shared" si="15"/>
        <v>10.754924999999998</v>
      </c>
      <c r="AE27" s="491">
        <f t="shared" si="34"/>
        <v>34.89761</v>
      </c>
      <c r="AF27" s="651">
        <f t="shared" si="37"/>
        <v>7.6774086226406553</v>
      </c>
      <c r="AG27" s="549">
        <v>2023</v>
      </c>
      <c r="AH27" s="544">
        <f t="shared" si="18"/>
        <v>1.863203866148252</v>
      </c>
      <c r="AI27" s="544">
        <f t="shared" si="19"/>
        <v>4.2219240796554542</v>
      </c>
      <c r="AJ27" s="544">
        <f t="shared" si="20"/>
        <v>2.8965952451846415</v>
      </c>
      <c r="AK27" s="544">
        <f t="shared" si="21"/>
        <v>2.0505862935999999</v>
      </c>
      <c r="AL27" s="544">
        <f t="shared" si="22"/>
        <v>2.9023846476379052</v>
      </c>
      <c r="AM27" s="544">
        <f t="shared" si="23"/>
        <v>1.2364117456000001</v>
      </c>
      <c r="AN27" s="544">
        <f t="shared" si="24"/>
        <v>1.4917080974999997</v>
      </c>
      <c r="AO27" s="544">
        <f t="shared" si="25"/>
        <v>9.6805970139999999</v>
      </c>
      <c r="AP27" s="550">
        <f t="shared" si="26"/>
        <v>1.0648565759602588</v>
      </c>
      <c r="AQ27" s="10"/>
    </row>
    <row r="28" spans="1:52" x14ac:dyDescent="0.2">
      <c r="A28" s="963">
        <v>2024</v>
      </c>
      <c r="B28" s="491">
        <v>17.636644</v>
      </c>
      <c r="C28" s="491">
        <v>28.520074999999999</v>
      </c>
      <c r="D28" s="491">
        <v>21.602947</v>
      </c>
      <c r="E28" s="491">
        <v>15.181978000000001</v>
      </c>
      <c r="F28" s="491">
        <v>22.312809000000001</v>
      </c>
      <c r="G28" s="491">
        <v>9.2094129999999996</v>
      </c>
      <c r="H28" s="491">
        <v>12.301192</v>
      </c>
      <c r="I28" s="491">
        <v>35.386074000000001</v>
      </c>
      <c r="J28" s="1311">
        <f t="shared" si="36"/>
        <v>7.6774086226406553</v>
      </c>
      <c r="K28" s="549">
        <v>2024</v>
      </c>
      <c r="L28" s="544">
        <f t="shared" si="2"/>
        <v>2.4462025227999997</v>
      </c>
      <c r="M28" s="544">
        <f t="shared" si="3"/>
        <v>3.9557344024999996</v>
      </c>
      <c r="N28" s="544">
        <f t="shared" si="4"/>
        <v>2.9963287488999999</v>
      </c>
      <c r="O28" s="544">
        <f t="shared" si="5"/>
        <v>2.1057403485999999</v>
      </c>
      <c r="P28" s="544">
        <f t="shared" si="6"/>
        <v>3.0947866083000006</v>
      </c>
      <c r="Q28" s="544">
        <f t="shared" si="7"/>
        <v>1.2773455831</v>
      </c>
      <c r="R28" s="544">
        <f t="shared" si="8"/>
        <v>1.7061753304</v>
      </c>
      <c r="S28" s="544">
        <f t="shared" si="9"/>
        <v>9.8160969276000003</v>
      </c>
      <c r="T28" s="550">
        <f t="shared" si="10"/>
        <v>1.0648565759602588</v>
      </c>
      <c r="U28" s="1375">
        <f t="shared" si="38"/>
        <v>2</v>
      </c>
      <c r="W28" s="963">
        <v>2024</v>
      </c>
      <c r="X28" s="491">
        <f t="shared" si="11"/>
        <v>13.813315580419584</v>
      </c>
      <c r="Y28" s="491">
        <f t="shared" si="12"/>
        <v>30.334988863636358</v>
      </c>
      <c r="Z28" s="491">
        <f t="shared" si="13"/>
        <v>20.605439512131571</v>
      </c>
      <c r="AA28" s="491">
        <f t="shared" si="32"/>
        <v>15.181978000000001</v>
      </c>
      <c r="AB28" s="491">
        <f t="shared" si="14"/>
        <v>21.302983545411671</v>
      </c>
      <c r="AC28" s="491">
        <f t="shared" si="33"/>
        <v>9.2094129999999996</v>
      </c>
      <c r="AD28" s="491">
        <f t="shared" si="15"/>
        <v>10.646323121076232</v>
      </c>
      <c r="AE28" s="491">
        <f t="shared" si="34"/>
        <v>35.386074000000001</v>
      </c>
      <c r="AF28" s="651">
        <f t="shared" si="37"/>
        <v>7.6774086226406553</v>
      </c>
      <c r="AG28" s="549">
        <v>2024</v>
      </c>
      <c r="AH28" s="544">
        <f t="shared" si="18"/>
        <v>1.9159068710041964</v>
      </c>
      <c r="AI28" s="544">
        <f t="shared" si="19"/>
        <v>4.2074629553863634</v>
      </c>
      <c r="AJ28" s="544">
        <f t="shared" si="20"/>
        <v>2.8579744603326489</v>
      </c>
      <c r="AK28" s="544">
        <f t="shared" si="21"/>
        <v>2.1057403485999999</v>
      </c>
      <c r="AL28" s="544">
        <f t="shared" si="22"/>
        <v>2.9547238177485986</v>
      </c>
      <c r="AM28" s="544">
        <f t="shared" si="23"/>
        <v>1.2773455831</v>
      </c>
      <c r="AN28" s="544">
        <f t="shared" si="24"/>
        <v>1.4766450168932734</v>
      </c>
      <c r="AO28" s="544">
        <f t="shared" si="25"/>
        <v>9.8160969276000003</v>
      </c>
      <c r="AP28" s="550">
        <f t="shared" si="26"/>
        <v>1.0648565759602588</v>
      </c>
      <c r="AQ28" s="10"/>
    </row>
    <row r="29" spans="1:52" s="48" customFormat="1" x14ac:dyDescent="0.2">
      <c r="A29" s="964">
        <v>2025</v>
      </c>
      <c r="B29" s="491">
        <v>18.329802999999998</v>
      </c>
      <c r="C29" s="491">
        <v>27.862691999999999</v>
      </c>
      <c r="D29" s="491">
        <v>21.847075</v>
      </c>
      <c r="E29" s="491">
        <v>15.254274000000001</v>
      </c>
      <c r="F29" s="491">
        <v>22.445829</v>
      </c>
      <c r="G29" s="491">
        <v>9.4572199999999995</v>
      </c>
      <c r="H29" s="491">
        <v>12.310214999999999</v>
      </c>
      <c r="I29" s="491">
        <v>36.138537999999997</v>
      </c>
      <c r="J29" s="1311">
        <f t="shared" si="36"/>
        <v>7.6774086226406553</v>
      </c>
      <c r="K29" s="551">
        <v>2025</v>
      </c>
      <c r="L29" s="545">
        <f t="shared" si="2"/>
        <v>2.5423436760999998</v>
      </c>
      <c r="M29" s="545">
        <f t="shared" si="3"/>
        <v>3.8645553803999997</v>
      </c>
      <c r="N29" s="545">
        <f t="shared" si="4"/>
        <v>3.0301893025000002</v>
      </c>
      <c r="O29" s="545">
        <f t="shared" si="5"/>
        <v>2.1157678037999998</v>
      </c>
      <c r="P29" s="545">
        <f t="shared" si="6"/>
        <v>3.1132364822999996</v>
      </c>
      <c r="Q29" s="545">
        <f t="shared" si="7"/>
        <v>1.3117164139999999</v>
      </c>
      <c r="R29" s="545">
        <f t="shared" si="8"/>
        <v>1.7074268204999998</v>
      </c>
      <c r="S29" s="545">
        <f t="shared" si="9"/>
        <v>10.024830441199999</v>
      </c>
      <c r="T29" s="552">
        <f t="shared" si="10"/>
        <v>1.0648565759602588</v>
      </c>
      <c r="U29" s="1375">
        <f t="shared" si="38"/>
        <v>2</v>
      </c>
      <c r="V29"/>
      <c r="W29" s="964">
        <v>2025</v>
      </c>
      <c r="X29" s="491">
        <f t="shared" si="11"/>
        <v>14.356209342657344</v>
      </c>
      <c r="Y29" s="491">
        <f t="shared" si="12"/>
        <v>29.635772399999993</v>
      </c>
      <c r="Z29" s="491">
        <f t="shared" si="13"/>
        <v>20.838294998802798</v>
      </c>
      <c r="AA29" s="491">
        <f t="shared" si="32"/>
        <v>15.254274000000001</v>
      </c>
      <c r="AB29" s="491">
        <f t="shared" si="14"/>
        <v>21.4299833718885</v>
      </c>
      <c r="AC29" s="491">
        <f t="shared" si="33"/>
        <v>9.4572199999999995</v>
      </c>
      <c r="AD29" s="491">
        <f t="shared" si="15"/>
        <v>10.65413226457399</v>
      </c>
      <c r="AE29" s="491">
        <f t="shared" si="34"/>
        <v>36.138537999999997</v>
      </c>
      <c r="AF29" s="651">
        <f t="shared" si="37"/>
        <v>7.6774086226406553</v>
      </c>
      <c r="AG29" s="551">
        <v>2025</v>
      </c>
      <c r="AH29" s="545">
        <f t="shared" si="18"/>
        <v>1.9912062358265736</v>
      </c>
      <c r="AI29" s="545">
        <f t="shared" si="19"/>
        <v>4.110481631879999</v>
      </c>
      <c r="AJ29" s="545">
        <f t="shared" si="20"/>
        <v>2.8902715163339479</v>
      </c>
      <c r="AK29" s="545">
        <f t="shared" si="21"/>
        <v>2.1157678037999998</v>
      </c>
      <c r="AL29" s="545">
        <f t="shared" si="22"/>
        <v>2.9723386936809351</v>
      </c>
      <c r="AM29" s="545">
        <f t="shared" si="23"/>
        <v>1.3117164139999999</v>
      </c>
      <c r="AN29" s="545">
        <f t="shared" si="24"/>
        <v>1.4777281450964124</v>
      </c>
      <c r="AO29" s="545">
        <f t="shared" si="25"/>
        <v>10.024830441199999</v>
      </c>
      <c r="AP29" s="552">
        <f t="shared" si="26"/>
        <v>1.0648565759602588</v>
      </c>
      <c r="AQ29" s="10"/>
    </row>
    <row r="30" spans="1:52" x14ac:dyDescent="0.2">
      <c r="A30" s="963">
        <v>2026</v>
      </c>
      <c r="B30" s="491">
        <v>18.998629000000001</v>
      </c>
      <c r="C30" s="491">
        <v>27.936610999999999</v>
      </c>
      <c r="D30" s="491">
        <v>22.031654</v>
      </c>
      <c r="E30" s="491">
        <v>15.71048</v>
      </c>
      <c r="F30" s="491">
        <v>22.857292000000001</v>
      </c>
      <c r="G30" s="491">
        <v>10.104760000000001</v>
      </c>
      <c r="H30" s="491">
        <v>12.265231</v>
      </c>
      <c r="I30" s="491">
        <v>36.758361999999998</v>
      </c>
      <c r="J30" s="1311">
        <f t="shared" si="36"/>
        <v>7.6774086226406553</v>
      </c>
      <c r="K30" s="549">
        <v>2026</v>
      </c>
      <c r="L30" s="544">
        <f t="shared" si="2"/>
        <v>2.6351098423000003</v>
      </c>
      <c r="M30" s="544">
        <f t="shared" si="3"/>
        <v>3.8748079457000002</v>
      </c>
      <c r="N30" s="544">
        <f t="shared" si="4"/>
        <v>3.0557904098000002</v>
      </c>
      <c r="O30" s="544">
        <f t="shared" si="5"/>
        <v>2.1790435759999998</v>
      </c>
      <c r="P30" s="544">
        <f t="shared" si="6"/>
        <v>3.1703064004000003</v>
      </c>
      <c r="Q30" s="544">
        <f t="shared" si="7"/>
        <v>1.4015302120000002</v>
      </c>
      <c r="R30" s="544">
        <f t="shared" si="8"/>
        <v>1.7011875397</v>
      </c>
      <c r="S30" s="544">
        <f t="shared" si="9"/>
        <v>10.196769618799999</v>
      </c>
      <c r="T30" s="550">
        <f t="shared" si="10"/>
        <v>1.0648565759602588</v>
      </c>
      <c r="U30" s="1375">
        <f t="shared" si="38"/>
        <v>2</v>
      </c>
      <c r="W30" s="963">
        <v>2026</v>
      </c>
      <c r="X30" s="491">
        <f t="shared" si="11"/>
        <v>14.880045090909094</v>
      </c>
      <c r="Y30" s="491">
        <f t="shared" si="12"/>
        <v>29.71439533636363</v>
      </c>
      <c r="Z30" s="491">
        <f t="shared" si="13"/>
        <v>21.014351136870889</v>
      </c>
      <c r="AA30" s="491">
        <f t="shared" si="32"/>
        <v>15.71048</v>
      </c>
      <c r="AB30" s="491">
        <f t="shared" si="14"/>
        <v>21.822824520600246</v>
      </c>
      <c r="AC30" s="491">
        <f t="shared" si="33"/>
        <v>10.104760000000001</v>
      </c>
      <c r="AD30" s="491">
        <f t="shared" si="15"/>
        <v>10.615199923766815</v>
      </c>
      <c r="AE30" s="491">
        <f t="shared" si="34"/>
        <v>36.758361999999998</v>
      </c>
      <c r="AF30" s="651">
        <f t="shared" si="37"/>
        <v>7.6774086226406553</v>
      </c>
      <c r="AG30" s="549">
        <v>2026</v>
      </c>
      <c r="AH30" s="544">
        <f t="shared" si="18"/>
        <v>2.0638622541090914</v>
      </c>
      <c r="AI30" s="544">
        <f t="shared" si="19"/>
        <v>4.1213866331536355</v>
      </c>
      <c r="AJ30" s="544">
        <f t="shared" si="20"/>
        <v>2.9146905026839924</v>
      </c>
      <c r="AK30" s="544">
        <f t="shared" si="21"/>
        <v>2.1790435759999998</v>
      </c>
      <c r="AL30" s="544">
        <f t="shared" si="22"/>
        <v>3.0268257610072542</v>
      </c>
      <c r="AM30" s="544">
        <f t="shared" si="23"/>
        <v>1.4015302120000002</v>
      </c>
      <c r="AN30" s="544">
        <f t="shared" si="24"/>
        <v>1.472328229426457</v>
      </c>
      <c r="AO30" s="544">
        <f t="shared" si="25"/>
        <v>10.196769618799999</v>
      </c>
      <c r="AP30" s="550">
        <f t="shared" si="26"/>
        <v>1.0648565759602588</v>
      </c>
      <c r="AQ30" s="10"/>
    </row>
    <row r="31" spans="1:52" x14ac:dyDescent="0.2">
      <c r="A31" s="963">
        <v>2027</v>
      </c>
      <c r="B31" s="491">
        <v>19.332518</v>
      </c>
      <c r="C31" s="491">
        <v>28.162009999999999</v>
      </c>
      <c r="D31" s="491">
        <v>22.300404</v>
      </c>
      <c r="E31" s="491">
        <v>15.739540999999999</v>
      </c>
      <c r="F31" s="491">
        <v>22.914766</v>
      </c>
      <c r="G31" s="491">
        <v>10.913876999999999</v>
      </c>
      <c r="H31" s="491">
        <v>12.143967999999999</v>
      </c>
      <c r="I31" s="491">
        <v>37.028300999999999</v>
      </c>
      <c r="J31" s="1311">
        <f t="shared" si="36"/>
        <v>7.6774086226406553</v>
      </c>
      <c r="K31" s="549">
        <v>2027</v>
      </c>
      <c r="L31" s="544">
        <f t="shared" si="2"/>
        <v>2.6814202466000001</v>
      </c>
      <c r="M31" s="544">
        <f t="shared" si="3"/>
        <v>3.906070787</v>
      </c>
      <c r="N31" s="544">
        <f t="shared" si="4"/>
        <v>3.0930660348000001</v>
      </c>
      <c r="O31" s="544">
        <f t="shared" si="5"/>
        <v>2.1830743366999998</v>
      </c>
      <c r="P31" s="544">
        <f t="shared" si="6"/>
        <v>3.1782780441999998</v>
      </c>
      <c r="Q31" s="544">
        <f t="shared" si="7"/>
        <v>1.5137547399</v>
      </c>
      <c r="R31" s="544">
        <f t="shared" si="8"/>
        <v>1.6843683616</v>
      </c>
      <c r="S31" s="544">
        <f t="shared" si="9"/>
        <v>10.2716506974</v>
      </c>
      <c r="T31" s="550">
        <f t="shared" si="10"/>
        <v>1.0648565759602588</v>
      </c>
      <c r="U31" s="1375">
        <f t="shared" si="38"/>
        <v>2</v>
      </c>
      <c r="W31" s="963">
        <v>2027</v>
      </c>
      <c r="X31" s="491">
        <f t="shared" si="11"/>
        <v>15.141552559440562</v>
      </c>
      <c r="Y31" s="491">
        <f t="shared" si="12"/>
        <v>29.954137909090903</v>
      </c>
      <c r="Z31" s="491">
        <f t="shared" si="13"/>
        <v>21.270691712482421</v>
      </c>
      <c r="AA31" s="491">
        <f t="shared" si="32"/>
        <v>15.739540999999999</v>
      </c>
      <c r="AB31" s="491">
        <f t="shared" si="14"/>
        <v>21.877697382026568</v>
      </c>
      <c r="AC31" s="491">
        <f t="shared" si="33"/>
        <v>10.913876999999999</v>
      </c>
      <c r="AD31" s="491">
        <f t="shared" si="15"/>
        <v>10.510250331838563</v>
      </c>
      <c r="AE31" s="491">
        <f t="shared" si="34"/>
        <v>37.028300999999999</v>
      </c>
      <c r="AF31" s="651">
        <f t="shared" si="37"/>
        <v>7.6774086226406553</v>
      </c>
      <c r="AG31" s="549">
        <v>2027</v>
      </c>
      <c r="AH31" s="544">
        <f t="shared" si="18"/>
        <v>2.100133339994406</v>
      </c>
      <c r="AI31" s="544">
        <f t="shared" si="19"/>
        <v>4.1546389279909084</v>
      </c>
      <c r="AJ31" s="544">
        <f t="shared" si="20"/>
        <v>2.950244940521312</v>
      </c>
      <c r="AK31" s="544">
        <f t="shared" si="21"/>
        <v>2.1830743366999998</v>
      </c>
      <c r="AL31" s="544">
        <f t="shared" si="22"/>
        <v>3.0344366268870848</v>
      </c>
      <c r="AM31" s="544">
        <f t="shared" si="23"/>
        <v>1.5137547399</v>
      </c>
      <c r="AN31" s="544">
        <f t="shared" si="24"/>
        <v>1.4577717210260088</v>
      </c>
      <c r="AO31" s="544">
        <f t="shared" si="25"/>
        <v>10.2716506974</v>
      </c>
      <c r="AP31" s="550">
        <f t="shared" si="26"/>
        <v>1.0648565759602588</v>
      </c>
      <c r="AQ31" s="10"/>
    </row>
    <row r="32" spans="1:52" x14ac:dyDescent="0.2">
      <c r="A32" s="963">
        <v>2028</v>
      </c>
      <c r="B32" s="491">
        <v>19.533010000000001</v>
      </c>
      <c r="C32" s="491">
        <v>28.425083000000001</v>
      </c>
      <c r="D32" s="491">
        <v>22.412120999999999</v>
      </c>
      <c r="E32" s="491">
        <v>16.214652999999998</v>
      </c>
      <c r="F32" s="491">
        <v>23.266224000000001</v>
      </c>
      <c r="G32" s="491">
        <v>11.290391</v>
      </c>
      <c r="H32" s="491">
        <v>11.942882000000001</v>
      </c>
      <c r="I32" s="491">
        <v>36.980328</v>
      </c>
      <c r="J32" s="1311">
        <f t="shared" si="36"/>
        <v>7.6774086226406553</v>
      </c>
      <c r="K32" s="549">
        <v>2028</v>
      </c>
      <c r="L32" s="544">
        <f t="shared" si="2"/>
        <v>2.7092284870000003</v>
      </c>
      <c r="M32" s="544">
        <f t="shared" si="3"/>
        <v>3.9425590120999998</v>
      </c>
      <c r="N32" s="544">
        <f t="shared" si="4"/>
        <v>3.1085611826999999</v>
      </c>
      <c r="O32" s="544">
        <f t="shared" si="5"/>
        <v>2.2489723710999998</v>
      </c>
      <c r="P32" s="544">
        <f t="shared" si="6"/>
        <v>3.2270252688000003</v>
      </c>
      <c r="Q32" s="544">
        <f t="shared" si="7"/>
        <v>1.5659772316999998</v>
      </c>
      <c r="R32" s="544">
        <f t="shared" si="8"/>
        <v>1.6564777334</v>
      </c>
      <c r="S32" s="544">
        <f t="shared" si="9"/>
        <v>10.258342987199999</v>
      </c>
      <c r="T32" s="550">
        <f t="shared" si="10"/>
        <v>1.0648565759602588</v>
      </c>
      <c r="U32" s="1375">
        <f t="shared" si="38"/>
        <v>2</v>
      </c>
      <c r="W32" s="963">
        <v>2028</v>
      </c>
      <c r="X32" s="491">
        <f t="shared" si="11"/>
        <v>15.298581258741262</v>
      </c>
      <c r="Y32" s="491">
        <f t="shared" si="12"/>
        <v>30.233951918181816</v>
      </c>
      <c r="Z32" s="491">
        <f t="shared" si="13"/>
        <v>21.377250224428813</v>
      </c>
      <c r="AA32" s="491">
        <f t="shared" si="32"/>
        <v>16.214652999999998</v>
      </c>
      <c r="AB32" s="491">
        <f t="shared" si="14"/>
        <v>22.213249216441646</v>
      </c>
      <c r="AC32" s="491">
        <f t="shared" si="33"/>
        <v>11.290391</v>
      </c>
      <c r="AD32" s="491">
        <f t="shared" si="15"/>
        <v>10.336216260089687</v>
      </c>
      <c r="AE32" s="491">
        <f t="shared" si="34"/>
        <v>36.980328</v>
      </c>
      <c r="AF32" s="651">
        <f t="shared" si="37"/>
        <v>7.6774086226406553</v>
      </c>
      <c r="AG32" s="549">
        <v>2028</v>
      </c>
      <c r="AH32" s="544">
        <f t="shared" si="18"/>
        <v>2.1219132205874129</v>
      </c>
      <c r="AI32" s="544">
        <f t="shared" si="19"/>
        <v>4.1934491310518176</v>
      </c>
      <c r="AJ32" s="544">
        <f t="shared" si="20"/>
        <v>2.9650246061282761</v>
      </c>
      <c r="AK32" s="544">
        <f t="shared" si="21"/>
        <v>2.2489723710999998</v>
      </c>
      <c r="AL32" s="544">
        <f t="shared" si="22"/>
        <v>3.080977666320456</v>
      </c>
      <c r="AM32" s="544">
        <f t="shared" si="23"/>
        <v>1.5659772316999998</v>
      </c>
      <c r="AN32" s="544">
        <f t="shared" si="24"/>
        <v>1.4336331952744397</v>
      </c>
      <c r="AO32" s="544">
        <f t="shared" si="25"/>
        <v>10.258342987199999</v>
      </c>
      <c r="AP32" s="550">
        <f t="shared" si="26"/>
        <v>1.0648565759602588</v>
      </c>
      <c r="AQ32" s="10"/>
    </row>
    <row r="33" spans="1:43" x14ac:dyDescent="0.2">
      <c r="A33" s="963">
        <v>2029</v>
      </c>
      <c r="B33" s="491">
        <v>19.624012</v>
      </c>
      <c r="C33" s="491">
        <v>28.713608000000001</v>
      </c>
      <c r="D33" s="491">
        <v>22.707564999999999</v>
      </c>
      <c r="E33" s="491">
        <v>16.425370999999998</v>
      </c>
      <c r="F33" s="491">
        <v>23.483311</v>
      </c>
      <c r="G33" s="491">
        <v>11.574986000000001</v>
      </c>
      <c r="H33" s="491">
        <v>11.674177</v>
      </c>
      <c r="I33" s="491">
        <v>36.851902000000003</v>
      </c>
      <c r="J33" s="1311">
        <f t="shared" si="36"/>
        <v>7.6774086226406553</v>
      </c>
      <c r="K33" s="549">
        <v>2029</v>
      </c>
      <c r="L33" s="544">
        <f t="shared" si="2"/>
        <v>2.7218504644000001</v>
      </c>
      <c r="M33" s="544">
        <f t="shared" si="3"/>
        <v>3.9825774296000001</v>
      </c>
      <c r="N33" s="544">
        <f t="shared" si="4"/>
        <v>3.1495392654999996</v>
      </c>
      <c r="O33" s="544">
        <f t="shared" si="5"/>
        <v>2.2781989576999995</v>
      </c>
      <c r="P33" s="544">
        <f t="shared" si="6"/>
        <v>3.2571352357000003</v>
      </c>
      <c r="Q33" s="544">
        <f t="shared" si="7"/>
        <v>1.6054505582</v>
      </c>
      <c r="R33" s="544">
        <f t="shared" si="8"/>
        <v>1.6192083499000001</v>
      </c>
      <c r="S33" s="544">
        <f t="shared" si="9"/>
        <v>10.222717614800001</v>
      </c>
      <c r="T33" s="550">
        <f t="shared" si="10"/>
        <v>1.0648565759602588</v>
      </c>
      <c r="U33" s="1375">
        <f t="shared" si="38"/>
        <v>2</v>
      </c>
      <c r="W33" s="963">
        <v>2029</v>
      </c>
      <c r="X33" s="491">
        <f t="shared" si="11"/>
        <v>15.369855552447556</v>
      </c>
      <c r="Y33" s="491">
        <f t="shared" si="12"/>
        <v>30.540837599999996</v>
      </c>
      <c r="Z33" s="491">
        <f t="shared" si="13"/>
        <v>21.659052215204525</v>
      </c>
      <c r="AA33" s="491">
        <f t="shared" si="32"/>
        <v>16.425370999999998</v>
      </c>
      <c r="AB33" s="491">
        <f t="shared" si="14"/>
        <v>22.42051136747439</v>
      </c>
      <c r="AC33" s="491">
        <f t="shared" si="33"/>
        <v>11.574986000000001</v>
      </c>
      <c r="AD33" s="491">
        <f t="shared" si="15"/>
        <v>10.103659914798206</v>
      </c>
      <c r="AE33" s="491">
        <f t="shared" si="34"/>
        <v>36.851902000000003</v>
      </c>
      <c r="AF33" s="651">
        <f t="shared" si="37"/>
        <v>7.6774086226406553</v>
      </c>
      <c r="AG33" s="549">
        <v>2029</v>
      </c>
      <c r="AH33" s="544">
        <f t="shared" si="18"/>
        <v>2.1317989651244758</v>
      </c>
      <c r="AI33" s="544">
        <f t="shared" si="19"/>
        <v>4.2360141751200002</v>
      </c>
      <c r="AJ33" s="544">
        <f t="shared" si="20"/>
        <v>3.0041105422488674</v>
      </c>
      <c r="AK33" s="544">
        <f t="shared" si="21"/>
        <v>2.2781989576999995</v>
      </c>
      <c r="AL33" s="544">
        <f t="shared" si="22"/>
        <v>3.1097249266686982</v>
      </c>
      <c r="AM33" s="544">
        <f t="shared" si="23"/>
        <v>1.6054505582</v>
      </c>
      <c r="AN33" s="544">
        <f t="shared" si="24"/>
        <v>1.4013776301825112</v>
      </c>
      <c r="AO33" s="544">
        <f t="shared" si="25"/>
        <v>10.222717614800001</v>
      </c>
      <c r="AP33" s="550">
        <f t="shared" si="26"/>
        <v>1.0648565759602588</v>
      </c>
      <c r="AQ33" s="10"/>
    </row>
    <row r="34" spans="1:43" x14ac:dyDescent="0.2">
      <c r="A34" s="964">
        <v>2030</v>
      </c>
      <c r="B34" s="491">
        <v>20.097501999999999</v>
      </c>
      <c r="C34" s="491">
        <v>30.057896</v>
      </c>
      <c r="D34" s="491">
        <v>23.410488000000001</v>
      </c>
      <c r="E34" s="491">
        <v>16.664819999999999</v>
      </c>
      <c r="F34" s="491">
        <v>23.973053</v>
      </c>
      <c r="G34" s="491">
        <v>11.016311</v>
      </c>
      <c r="H34" s="491">
        <v>12.097020000000001</v>
      </c>
      <c r="I34" s="491">
        <v>36.703060000000001</v>
      </c>
      <c r="J34" s="1311">
        <f t="shared" si="36"/>
        <v>7.6774086226406553</v>
      </c>
      <c r="K34" s="551">
        <v>2030</v>
      </c>
      <c r="L34" s="545">
        <f t="shared" si="2"/>
        <v>2.7875235273999999</v>
      </c>
      <c r="M34" s="545">
        <f t="shared" si="3"/>
        <v>4.1690301751999996</v>
      </c>
      <c r="N34" s="545">
        <f t="shared" si="4"/>
        <v>3.2470346856000001</v>
      </c>
      <c r="O34" s="545">
        <f t="shared" si="5"/>
        <v>2.3114105340000002</v>
      </c>
      <c r="P34" s="545">
        <f t="shared" si="6"/>
        <v>3.3250624511</v>
      </c>
      <c r="Q34" s="545">
        <f t="shared" si="7"/>
        <v>1.5279623356999998</v>
      </c>
      <c r="R34" s="545">
        <f t="shared" si="8"/>
        <v>1.677856674</v>
      </c>
      <c r="S34" s="545">
        <f t="shared" si="9"/>
        <v>10.181428844000001</v>
      </c>
      <c r="T34" s="552">
        <f t="shared" si="10"/>
        <v>1.0648565759602588</v>
      </c>
      <c r="U34" s="1375">
        <f t="shared" si="38"/>
        <v>2</v>
      </c>
      <c r="W34" s="964">
        <v>2030</v>
      </c>
      <c r="X34" s="491">
        <f t="shared" si="11"/>
        <v>15.740700867132869</v>
      </c>
      <c r="Y34" s="491">
        <f t="shared" si="12"/>
        <v>31.970671199999995</v>
      </c>
      <c r="Z34" s="491">
        <f t="shared" si="13"/>
        <v>22.329518025178789</v>
      </c>
      <c r="AA34" s="491">
        <f t="shared" si="32"/>
        <v>16.664819999999999</v>
      </c>
      <c r="AB34" s="491">
        <f t="shared" si="14"/>
        <v>22.888088792060287</v>
      </c>
      <c r="AC34" s="491">
        <f t="shared" si="33"/>
        <v>11.016311</v>
      </c>
      <c r="AD34" s="491">
        <f t="shared" si="15"/>
        <v>10.469618206278026</v>
      </c>
      <c r="AE34" s="491">
        <f t="shared" si="34"/>
        <v>36.703060000000001</v>
      </c>
      <c r="AF34" s="651">
        <f t="shared" si="37"/>
        <v>7.6774086226406553</v>
      </c>
      <c r="AG34" s="551">
        <v>2030</v>
      </c>
      <c r="AH34" s="545">
        <f t="shared" si="18"/>
        <v>2.1832352102713291</v>
      </c>
      <c r="AI34" s="545">
        <f t="shared" si="19"/>
        <v>4.4343320954399994</v>
      </c>
      <c r="AJ34" s="545">
        <f t="shared" si="20"/>
        <v>3.097104150092298</v>
      </c>
      <c r="AK34" s="545">
        <f t="shared" si="21"/>
        <v>2.3114105340000002</v>
      </c>
      <c r="AL34" s="545">
        <f t="shared" si="22"/>
        <v>3.1745779154587619</v>
      </c>
      <c r="AM34" s="545">
        <f t="shared" si="23"/>
        <v>1.5279623356999998</v>
      </c>
      <c r="AN34" s="545">
        <f t="shared" si="24"/>
        <v>1.4521360452107621</v>
      </c>
      <c r="AO34" s="545">
        <f t="shared" si="25"/>
        <v>10.181428844000001</v>
      </c>
      <c r="AP34" s="552">
        <f t="shared" si="26"/>
        <v>1.0648565759602588</v>
      </c>
      <c r="AQ34" s="10"/>
    </row>
    <row r="35" spans="1:43" x14ac:dyDescent="0.2">
      <c r="A35" s="963">
        <v>2031</v>
      </c>
      <c r="B35" s="491">
        <v>20.105340999999999</v>
      </c>
      <c r="C35" s="491">
        <v>30.388204999999999</v>
      </c>
      <c r="D35" s="491">
        <v>23.573322000000001</v>
      </c>
      <c r="E35" s="491">
        <v>17.012841999999999</v>
      </c>
      <c r="F35" s="491">
        <v>24.241781</v>
      </c>
      <c r="G35" s="491">
        <v>11.238101</v>
      </c>
      <c r="H35" s="491">
        <v>11.824804</v>
      </c>
      <c r="I35" s="491">
        <v>36.648471999999998</v>
      </c>
      <c r="J35" s="1311">
        <f t="shared" si="36"/>
        <v>7.6774086226406553</v>
      </c>
      <c r="K35" s="549">
        <v>2031</v>
      </c>
      <c r="L35" s="544">
        <f t="shared" si="2"/>
        <v>2.7886107967</v>
      </c>
      <c r="M35" s="544">
        <f t="shared" si="3"/>
        <v>4.2148440334999995</v>
      </c>
      <c r="N35" s="544">
        <f t="shared" si="4"/>
        <v>3.2696197614</v>
      </c>
      <c r="O35" s="544">
        <f t="shared" si="5"/>
        <v>2.3596811853999999</v>
      </c>
      <c r="P35" s="544">
        <f t="shared" si="6"/>
        <v>3.3623350247000001</v>
      </c>
      <c r="Q35" s="544">
        <f t="shared" si="7"/>
        <v>1.5587246087</v>
      </c>
      <c r="R35" s="544">
        <f t="shared" si="8"/>
        <v>1.6401003148</v>
      </c>
      <c r="S35" s="544">
        <f t="shared" si="9"/>
        <v>10.1662861328</v>
      </c>
      <c r="T35" s="550">
        <f t="shared" si="10"/>
        <v>1.0648565759602588</v>
      </c>
      <c r="U35" s="1375">
        <f t="shared" si="38"/>
        <v>2</v>
      </c>
      <c r="W35" s="963">
        <v>2031</v>
      </c>
      <c r="X35" s="491">
        <f t="shared" si="11"/>
        <v>15.746840503496506</v>
      </c>
      <c r="Y35" s="491">
        <f t="shared" si="12"/>
        <v>32.321999863636357</v>
      </c>
      <c r="Z35" s="491">
        <f t="shared" si="13"/>
        <v>22.484833229975543</v>
      </c>
      <c r="AA35" s="491">
        <f t="shared" si="32"/>
        <v>17.012841999999999</v>
      </c>
      <c r="AB35" s="491">
        <f t="shared" si="14"/>
        <v>23.144654792432153</v>
      </c>
      <c r="AC35" s="491">
        <f t="shared" si="33"/>
        <v>11.238101</v>
      </c>
      <c r="AD35" s="491">
        <f t="shared" si="15"/>
        <v>10.234023192825111</v>
      </c>
      <c r="AE35" s="491">
        <f t="shared" si="34"/>
        <v>36.648471999999998</v>
      </c>
      <c r="AF35" s="651">
        <f t="shared" si="37"/>
        <v>7.6774086226406553</v>
      </c>
      <c r="AG35" s="549">
        <v>2031</v>
      </c>
      <c r="AH35" s="544">
        <f t="shared" si="18"/>
        <v>2.1840867778349655</v>
      </c>
      <c r="AI35" s="544">
        <f t="shared" si="19"/>
        <v>4.4830613810863627</v>
      </c>
      <c r="AJ35" s="544">
        <f t="shared" si="20"/>
        <v>3.1186463689976081</v>
      </c>
      <c r="AK35" s="544">
        <f t="shared" si="21"/>
        <v>2.3596811853999999</v>
      </c>
      <c r="AL35" s="544">
        <f t="shared" si="22"/>
        <v>3.2101636197103396</v>
      </c>
      <c r="AM35" s="544">
        <f t="shared" si="23"/>
        <v>1.5587246087</v>
      </c>
      <c r="AN35" s="544">
        <f t="shared" si="24"/>
        <v>1.4194590168448429</v>
      </c>
      <c r="AO35" s="544">
        <f t="shared" si="25"/>
        <v>10.1662861328</v>
      </c>
      <c r="AP35" s="550">
        <f t="shared" si="26"/>
        <v>1.0648565759602588</v>
      </c>
      <c r="AQ35" s="10"/>
    </row>
    <row r="36" spans="1:43" x14ac:dyDescent="0.2">
      <c r="A36" s="963">
        <v>2032</v>
      </c>
      <c r="B36" s="491">
        <v>20.179995000000002</v>
      </c>
      <c r="C36" s="491">
        <v>30.548780000000001</v>
      </c>
      <c r="D36" s="491">
        <v>23.781666000000001</v>
      </c>
      <c r="E36" s="491">
        <v>17.187419999999999</v>
      </c>
      <c r="F36" s="491">
        <v>24.417619999999999</v>
      </c>
      <c r="G36" s="491">
        <v>11.303734</v>
      </c>
      <c r="H36" s="491">
        <v>11.655065</v>
      </c>
      <c r="I36" s="491">
        <v>36.629832999999998</v>
      </c>
      <c r="J36" s="1311">
        <f t="shared" si="36"/>
        <v>7.6774086226406553</v>
      </c>
      <c r="K36" s="549">
        <v>2032</v>
      </c>
      <c r="L36" s="544">
        <f t="shared" si="2"/>
        <v>2.7989653065000004</v>
      </c>
      <c r="M36" s="544">
        <f t="shared" si="3"/>
        <v>4.2371157860000004</v>
      </c>
      <c r="N36" s="544">
        <f t="shared" si="4"/>
        <v>3.2985170742000003</v>
      </c>
      <c r="O36" s="544">
        <f t="shared" si="5"/>
        <v>2.3838951540000002</v>
      </c>
      <c r="P36" s="544">
        <f t="shared" si="6"/>
        <v>3.3867238939999997</v>
      </c>
      <c r="Q36" s="544">
        <f t="shared" si="7"/>
        <v>1.5678279058</v>
      </c>
      <c r="R36" s="544">
        <f t="shared" si="8"/>
        <v>1.6165575155</v>
      </c>
      <c r="S36" s="544">
        <f t="shared" si="9"/>
        <v>10.1611156742</v>
      </c>
      <c r="T36" s="550">
        <f t="shared" si="10"/>
        <v>1.0648565759602588</v>
      </c>
      <c r="U36" s="1375">
        <f t="shared" si="38"/>
        <v>2</v>
      </c>
      <c r="W36" s="963">
        <v>2032</v>
      </c>
      <c r="X36" s="491">
        <f t="shared" si="11"/>
        <v>15.805310769230774</v>
      </c>
      <c r="Y36" s="491">
        <f t="shared" si="12"/>
        <v>32.492793272727269</v>
      </c>
      <c r="Z36" s="491">
        <f t="shared" si="13"/>
        <v>22.683557028618182</v>
      </c>
      <c r="AA36" s="491">
        <f t="shared" si="32"/>
        <v>17.187419999999999</v>
      </c>
      <c r="AB36" s="491">
        <f t="shared" si="14"/>
        <v>23.31253573129743</v>
      </c>
      <c r="AC36" s="491">
        <f t="shared" si="33"/>
        <v>11.303734</v>
      </c>
      <c r="AD36" s="491">
        <f t="shared" si="15"/>
        <v>10.087119035874439</v>
      </c>
      <c r="AE36" s="491">
        <f t="shared" si="34"/>
        <v>36.629832999999998</v>
      </c>
      <c r="AF36" s="651">
        <f t="shared" si="37"/>
        <v>7.6774086226406553</v>
      </c>
      <c r="AG36" s="549">
        <v>2032</v>
      </c>
      <c r="AH36" s="544">
        <f t="shared" si="18"/>
        <v>2.1921966036923086</v>
      </c>
      <c r="AI36" s="544">
        <f t="shared" si="19"/>
        <v>4.5067504269272725</v>
      </c>
      <c r="AJ36" s="544">
        <f t="shared" si="20"/>
        <v>3.1462093598693417</v>
      </c>
      <c r="AK36" s="544">
        <f t="shared" si="21"/>
        <v>2.3838951540000002</v>
      </c>
      <c r="AL36" s="544">
        <f t="shared" si="22"/>
        <v>3.2334487059309533</v>
      </c>
      <c r="AM36" s="544">
        <f t="shared" si="23"/>
        <v>1.5678279058</v>
      </c>
      <c r="AN36" s="544">
        <f t="shared" si="24"/>
        <v>1.3990834102757848</v>
      </c>
      <c r="AO36" s="544">
        <f t="shared" si="25"/>
        <v>10.1611156742</v>
      </c>
      <c r="AP36" s="550">
        <f t="shared" si="26"/>
        <v>1.0648565759602588</v>
      </c>
      <c r="AQ36" s="10"/>
    </row>
    <row r="37" spans="1:43" x14ac:dyDescent="0.2">
      <c r="A37" s="963">
        <v>2033</v>
      </c>
      <c r="B37" s="491">
        <v>20.495128999999999</v>
      </c>
      <c r="C37" s="491">
        <v>31.208534</v>
      </c>
      <c r="D37" s="491">
        <v>24.204405000000001</v>
      </c>
      <c r="E37" s="491">
        <v>17.583839000000001</v>
      </c>
      <c r="F37" s="491">
        <v>24.810473999999999</v>
      </c>
      <c r="G37" s="491">
        <v>11.559741000000001</v>
      </c>
      <c r="H37" s="491">
        <v>11.651948000000001</v>
      </c>
      <c r="I37" s="491">
        <v>36.830044000000001</v>
      </c>
      <c r="J37" s="1311">
        <f t="shared" si="36"/>
        <v>7.6774086226406553</v>
      </c>
      <c r="K37" s="549">
        <v>2033</v>
      </c>
      <c r="L37" s="544">
        <f t="shared" si="2"/>
        <v>2.8426743922999997</v>
      </c>
      <c r="M37" s="544">
        <f t="shared" si="3"/>
        <v>4.3286236657999995</v>
      </c>
      <c r="N37" s="544">
        <f t="shared" si="4"/>
        <v>3.3571509735000005</v>
      </c>
      <c r="O37" s="544">
        <f t="shared" si="5"/>
        <v>2.4388784693000001</v>
      </c>
      <c r="P37" s="544">
        <f t="shared" si="6"/>
        <v>3.4412127438</v>
      </c>
      <c r="Q37" s="544">
        <f t="shared" si="7"/>
        <v>1.6033360767</v>
      </c>
      <c r="R37" s="544">
        <f t="shared" si="8"/>
        <v>1.6161251876</v>
      </c>
      <c r="S37" s="544">
        <f t="shared" si="9"/>
        <v>10.216654205600001</v>
      </c>
      <c r="T37" s="550">
        <f t="shared" si="10"/>
        <v>1.0648565759602588</v>
      </c>
      <c r="U37" s="1375">
        <f t="shared" si="38"/>
        <v>2</v>
      </c>
      <c r="W37" s="963">
        <v>2033</v>
      </c>
      <c r="X37" s="491">
        <f t="shared" si="11"/>
        <v>16.05212900699301</v>
      </c>
      <c r="Y37" s="491">
        <f t="shared" si="12"/>
        <v>33.194531618181813</v>
      </c>
      <c r="Z37" s="491">
        <f t="shared" si="13"/>
        <v>23.086776223384476</v>
      </c>
      <c r="AA37" s="491">
        <f t="shared" si="32"/>
        <v>17.583839000000001</v>
      </c>
      <c r="AB37" s="491">
        <f t="shared" si="14"/>
        <v>23.687610079746754</v>
      </c>
      <c r="AC37" s="491">
        <f t="shared" si="33"/>
        <v>11.559741000000001</v>
      </c>
      <c r="AD37" s="491">
        <f t="shared" si="15"/>
        <v>10.084421363228699</v>
      </c>
      <c r="AE37" s="491">
        <f t="shared" si="34"/>
        <v>36.830044000000001</v>
      </c>
      <c r="AF37" s="651">
        <f t="shared" si="37"/>
        <v>7.6774086226406553</v>
      </c>
      <c r="AG37" s="549">
        <v>2033</v>
      </c>
      <c r="AH37" s="544">
        <f t="shared" si="18"/>
        <v>2.2264302932699302</v>
      </c>
      <c r="AI37" s="544">
        <f t="shared" si="19"/>
        <v>4.6040815354418179</v>
      </c>
      <c r="AJ37" s="544">
        <f t="shared" si="20"/>
        <v>3.2021358621834271</v>
      </c>
      <c r="AK37" s="544">
        <f t="shared" si="21"/>
        <v>2.4388784693000001</v>
      </c>
      <c r="AL37" s="544">
        <f t="shared" si="22"/>
        <v>3.2854715180608745</v>
      </c>
      <c r="AM37" s="544">
        <f t="shared" si="23"/>
        <v>1.6033360767</v>
      </c>
      <c r="AN37" s="544">
        <f t="shared" si="24"/>
        <v>1.3987092430798207</v>
      </c>
      <c r="AO37" s="544">
        <f t="shared" si="25"/>
        <v>10.216654205600001</v>
      </c>
      <c r="AP37" s="550">
        <f t="shared" si="26"/>
        <v>1.0648565759602588</v>
      </c>
      <c r="AQ37" s="10"/>
    </row>
    <row r="38" spans="1:43" x14ac:dyDescent="0.2">
      <c r="A38" s="963">
        <v>2034</v>
      </c>
      <c r="B38" s="491">
        <v>20.705454</v>
      </c>
      <c r="C38" s="491">
        <v>31.695506999999999</v>
      </c>
      <c r="D38" s="491">
        <v>24.592258000000001</v>
      </c>
      <c r="E38" s="491">
        <v>17.868292</v>
      </c>
      <c r="F38" s="491">
        <v>25.010679</v>
      </c>
      <c r="G38" s="491">
        <v>11.693218</v>
      </c>
      <c r="H38" s="491">
        <v>11.562685999999999</v>
      </c>
      <c r="I38" s="491">
        <v>36.911639999999998</v>
      </c>
      <c r="J38" s="1311">
        <f t="shared" si="36"/>
        <v>7.6774086226406553</v>
      </c>
      <c r="K38" s="549">
        <v>2034</v>
      </c>
      <c r="L38" s="544">
        <f t="shared" si="2"/>
        <v>2.8718464697999999</v>
      </c>
      <c r="M38" s="544">
        <f t="shared" si="3"/>
        <v>4.3961668208999995</v>
      </c>
      <c r="N38" s="544">
        <f t="shared" si="4"/>
        <v>3.4109461846000002</v>
      </c>
      <c r="O38" s="544">
        <f t="shared" si="5"/>
        <v>2.4783321003999998</v>
      </c>
      <c r="P38" s="544">
        <f t="shared" si="6"/>
        <v>3.4689811772999999</v>
      </c>
      <c r="Q38" s="544">
        <f t="shared" si="7"/>
        <v>1.6218493366</v>
      </c>
      <c r="R38" s="544">
        <f t="shared" si="8"/>
        <v>1.6037445481999999</v>
      </c>
      <c r="S38" s="544">
        <f t="shared" si="9"/>
        <v>10.239288935999999</v>
      </c>
      <c r="T38" s="550">
        <f t="shared" si="10"/>
        <v>1.0648565759602588</v>
      </c>
      <c r="U38" s="1375">
        <f>U39</f>
        <v>2</v>
      </c>
      <c r="W38" s="963">
        <v>2034</v>
      </c>
      <c r="X38" s="491">
        <f t="shared" si="11"/>
        <v>16.216859076923079</v>
      </c>
      <c r="Y38" s="491">
        <f t="shared" si="12"/>
        <v>33.712493809090901</v>
      </c>
      <c r="Z38" s="491">
        <f t="shared" si="13"/>
        <v>23.456720265329253</v>
      </c>
      <c r="AA38" s="491">
        <f t="shared" si="32"/>
        <v>17.868292</v>
      </c>
      <c r="AB38" s="491">
        <f t="shared" si="14"/>
        <v>23.878754270543578</v>
      </c>
      <c r="AC38" s="491">
        <f t="shared" si="33"/>
        <v>11.693218</v>
      </c>
      <c r="AD38" s="491">
        <f t="shared" si="15"/>
        <v>10.007167704035874</v>
      </c>
      <c r="AE38" s="491">
        <f t="shared" si="34"/>
        <v>36.911639999999998</v>
      </c>
      <c r="AF38" s="651">
        <f t="shared" si="37"/>
        <v>7.6774086226406553</v>
      </c>
      <c r="AG38" s="549">
        <v>2034</v>
      </c>
      <c r="AH38" s="544">
        <f t="shared" si="18"/>
        <v>2.2492783539692311</v>
      </c>
      <c r="AI38" s="544">
        <f t="shared" si="19"/>
        <v>4.6759228913209085</v>
      </c>
      <c r="AJ38" s="544">
        <f t="shared" si="20"/>
        <v>3.2534471008011674</v>
      </c>
      <c r="AK38" s="544">
        <f t="shared" si="21"/>
        <v>2.4783321003999998</v>
      </c>
      <c r="AL38" s="544">
        <f t="shared" si="22"/>
        <v>3.3119832173243942</v>
      </c>
      <c r="AM38" s="544">
        <f t="shared" si="23"/>
        <v>1.6218493366</v>
      </c>
      <c r="AN38" s="544">
        <f t="shared" si="24"/>
        <v>1.3879941605497756</v>
      </c>
      <c r="AO38" s="544">
        <f t="shared" si="25"/>
        <v>10.239288935999999</v>
      </c>
      <c r="AP38" s="550">
        <f t="shared" si="26"/>
        <v>1.0648565759602588</v>
      </c>
      <c r="AQ38" s="10"/>
    </row>
    <row r="39" spans="1:43" x14ac:dyDescent="0.2">
      <c r="A39" s="964">
        <v>2035</v>
      </c>
      <c r="B39" s="491">
        <v>20.923535999999999</v>
      </c>
      <c r="C39" s="491">
        <v>32.776066</v>
      </c>
      <c r="D39" s="491">
        <v>24.848427000000001</v>
      </c>
      <c r="E39" s="491">
        <v>18.138349999999999</v>
      </c>
      <c r="F39" s="491">
        <v>25.234774000000002</v>
      </c>
      <c r="G39" s="491">
        <v>12.392016999999999</v>
      </c>
      <c r="H39" s="491">
        <v>11.455206</v>
      </c>
      <c r="I39" s="491">
        <v>36.571807999999997</v>
      </c>
      <c r="J39" s="1311">
        <f t="shared" si="36"/>
        <v>7.6774086226406553</v>
      </c>
      <c r="K39" s="551">
        <v>2035</v>
      </c>
      <c r="L39" s="545">
        <f t="shared" si="2"/>
        <v>2.9020944431999998</v>
      </c>
      <c r="M39" s="545">
        <f t="shared" si="3"/>
        <v>4.5460403541999996</v>
      </c>
      <c r="N39" s="545">
        <f t="shared" si="4"/>
        <v>3.4464768249000004</v>
      </c>
      <c r="O39" s="545">
        <f t="shared" si="5"/>
        <v>2.5157891449999998</v>
      </c>
      <c r="P39" s="545">
        <f t="shared" si="6"/>
        <v>3.5000631538000002</v>
      </c>
      <c r="Q39" s="545">
        <f t="shared" si="7"/>
        <v>1.7187727578999998</v>
      </c>
      <c r="R39" s="545">
        <f t="shared" si="8"/>
        <v>1.5888370722</v>
      </c>
      <c r="S39" s="545">
        <f t="shared" si="9"/>
        <v>10.145019539199998</v>
      </c>
      <c r="T39" s="552">
        <f t="shared" si="10"/>
        <v>1.0648565759602588</v>
      </c>
      <c r="U39" s="1376">
        <f>'S-curves'!AN24</f>
        <v>2</v>
      </c>
      <c r="W39" s="964">
        <v>2035</v>
      </c>
      <c r="X39" s="491">
        <f t="shared" si="11"/>
        <v>16.387664559440562</v>
      </c>
      <c r="Y39" s="491">
        <f t="shared" si="12"/>
        <v>34.861815654545453</v>
      </c>
      <c r="Z39" s="491">
        <f t="shared" si="13"/>
        <v>23.70106076361327</v>
      </c>
      <c r="AA39" s="491">
        <f t="shared" si="32"/>
        <v>18.138349999999999</v>
      </c>
      <c r="AB39" s="491">
        <f t="shared" si="14"/>
        <v>24.092707255916647</v>
      </c>
      <c r="AC39" s="491">
        <f t="shared" si="33"/>
        <v>12.392016999999999</v>
      </c>
      <c r="AD39" s="491">
        <f t="shared" si="15"/>
        <v>9.914146896860986</v>
      </c>
      <c r="AE39" s="491">
        <f t="shared" si="34"/>
        <v>36.571807999999997</v>
      </c>
      <c r="AF39" s="651">
        <f t="shared" si="37"/>
        <v>7.6774086226406553</v>
      </c>
      <c r="AG39" s="551">
        <v>2035</v>
      </c>
      <c r="AH39" s="545">
        <f t="shared" si="18"/>
        <v>2.272969074394406</v>
      </c>
      <c r="AI39" s="545">
        <f t="shared" si="19"/>
        <v>4.8353338312854541</v>
      </c>
      <c r="AJ39" s="545">
        <f t="shared" si="20"/>
        <v>3.2873371279131609</v>
      </c>
      <c r="AK39" s="545">
        <f t="shared" si="21"/>
        <v>2.5157891449999998</v>
      </c>
      <c r="AL39" s="545">
        <f t="shared" si="22"/>
        <v>3.3416584963956391</v>
      </c>
      <c r="AM39" s="545">
        <f t="shared" si="23"/>
        <v>1.7187727578999998</v>
      </c>
      <c r="AN39" s="545">
        <f t="shared" si="24"/>
        <v>1.3750921745946187</v>
      </c>
      <c r="AO39" s="545">
        <f t="shared" si="25"/>
        <v>10.145019539199998</v>
      </c>
      <c r="AP39" s="552">
        <f t="shared" si="26"/>
        <v>1.0648565759602588</v>
      </c>
      <c r="AQ39" s="10"/>
    </row>
    <row r="40" spans="1:43" x14ac:dyDescent="0.2">
      <c r="A40" s="963">
        <v>2036</v>
      </c>
      <c r="B40" s="491">
        <v>21.173369999999998</v>
      </c>
      <c r="C40" s="491">
        <v>32.661560000000001</v>
      </c>
      <c r="D40" s="491">
        <v>25.145551999999999</v>
      </c>
      <c r="E40" s="491">
        <v>18.383088999999998</v>
      </c>
      <c r="F40" s="491">
        <v>25.49099</v>
      </c>
      <c r="G40" s="491">
        <v>12.827140999999999</v>
      </c>
      <c r="H40" s="491">
        <v>11.366446</v>
      </c>
      <c r="I40" s="491">
        <v>36.300902999999998</v>
      </c>
      <c r="J40" s="1311">
        <f t="shared" si="36"/>
        <v>7.6774086226406553</v>
      </c>
      <c r="K40" s="549">
        <v>2036</v>
      </c>
      <c r="L40" s="544">
        <f t="shared" si="2"/>
        <v>2.9367464189999999</v>
      </c>
      <c r="M40" s="544">
        <f t="shared" si="3"/>
        <v>4.5301583720000007</v>
      </c>
      <c r="N40" s="544">
        <f t="shared" si="4"/>
        <v>3.4876880623999997</v>
      </c>
      <c r="O40" s="544">
        <f t="shared" si="5"/>
        <v>2.5497344442999994</v>
      </c>
      <c r="P40" s="544">
        <f t="shared" si="6"/>
        <v>3.5356003130000002</v>
      </c>
      <c r="Q40" s="544">
        <f t="shared" si="7"/>
        <v>1.7791244567</v>
      </c>
      <c r="R40" s="544">
        <f t="shared" si="8"/>
        <v>1.5765260602</v>
      </c>
      <c r="S40" s="544">
        <f t="shared" si="9"/>
        <v>10.069103147044721</v>
      </c>
      <c r="T40" s="550">
        <f t="shared" si="10"/>
        <v>1.0648565759602588</v>
      </c>
      <c r="U40" s="1376">
        <f>'S-curves'!AN25</f>
        <v>1.9998475958244206</v>
      </c>
      <c r="W40" s="963">
        <v>2036</v>
      </c>
      <c r="X40" s="491">
        <f t="shared" si="11"/>
        <v>16.583338741258743</v>
      </c>
      <c r="Y40" s="491">
        <f t="shared" si="12"/>
        <v>34.740022909090904</v>
      </c>
      <c r="Z40" s="491">
        <f t="shared" si="13"/>
        <v>23.984466134882386</v>
      </c>
      <c r="AA40" s="491">
        <f t="shared" si="32"/>
        <v>18.383088999999998</v>
      </c>
      <c r="AB40" s="491">
        <f t="shared" si="14"/>
        <v>24.337327520091865</v>
      </c>
      <c r="AC40" s="491">
        <f t="shared" si="33"/>
        <v>12.827140999999999</v>
      </c>
      <c r="AD40" s="491">
        <f t="shared" si="15"/>
        <v>9.8373277040358733</v>
      </c>
      <c r="AE40" s="491">
        <f t="shared" si="34"/>
        <v>36.300902999999998</v>
      </c>
      <c r="AF40" s="651">
        <f t="shared" si="37"/>
        <v>7.6774086226406553</v>
      </c>
      <c r="AG40" s="549">
        <v>2036</v>
      </c>
      <c r="AH40" s="544">
        <f t="shared" si="18"/>
        <v>2.3001090834125875</v>
      </c>
      <c r="AI40" s="544">
        <f t="shared" si="19"/>
        <v>4.8184411774909091</v>
      </c>
      <c r="AJ40" s="544">
        <f t="shared" si="20"/>
        <v>3.3266454529081866</v>
      </c>
      <c r="AK40" s="544">
        <f t="shared" si="21"/>
        <v>2.5497344442999994</v>
      </c>
      <c r="AL40" s="544">
        <f t="shared" si="22"/>
        <v>3.3755873270367416</v>
      </c>
      <c r="AM40" s="544">
        <f t="shared" si="23"/>
        <v>1.7791244567</v>
      </c>
      <c r="AN40" s="544">
        <f t="shared" si="24"/>
        <v>1.3644373525497757</v>
      </c>
      <c r="AO40" s="544">
        <f t="shared" si="25"/>
        <v>10.069103147044721</v>
      </c>
      <c r="AP40" s="550">
        <f t="shared" si="26"/>
        <v>1.0648565759602588</v>
      </c>
      <c r="AQ40" s="10"/>
    </row>
    <row r="41" spans="1:43" x14ac:dyDescent="0.2">
      <c r="A41" s="963">
        <v>2037</v>
      </c>
      <c r="B41" s="491">
        <v>21.440998</v>
      </c>
      <c r="C41" s="491">
        <v>32.834831000000001</v>
      </c>
      <c r="D41" s="491">
        <v>25.222816000000002</v>
      </c>
      <c r="E41" s="491">
        <v>18.624289999999998</v>
      </c>
      <c r="F41" s="491">
        <v>25.664202</v>
      </c>
      <c r="G41" s="491">
        <v>12.921616999999999</v>
      </c>
      <c r="H41" s="491">
        <v>11.344866</v>
      </c>
      <c r="I41" s="491">
        <v>36.140179000000003</v>
      </c>
      <c r="J41" s="1311">
        <f t="shared" si="36"/>
        <v>7.6774086226406553</v>
      </c>
      <c r="K41" s="549">
        <v>2037</v>
      </c>
      <c r="L41" s="544">
        <f t="shared" si="2"/>
        <v>2.9738664226</v>
      </c>
      <c r="M41" s="544">
        <f t="shared" si="3"/>
        <v>4.5541910596999999</v>
      </c>
      <c r="N41" s="544">
        <f t="shared" si="4"/>
        <v>3.4984045792000003</v>
      </c>
      <c r="O41" s="544">
        <f t="shared" si="5"/>
        <v>2.5831890229999996</v>
      </c>
      <c r="P41" s="544">
        <f t="shared" si="6"/>
        <v>3.5596248174</v>
      </c>
      <c r="Q41" s="544">
        <f t="shared" si="7"/>
        <v>1.7922282778999998</v>
      </c>
      <c r="R41" s="544">
        <f t="shared" si="8"/>
        <v>1.5735329142000001</v>
      </c>
      <c r="S41" s="544">
        <f t="shared" si="9"/>
        <v>10.013076452965333</v>
      </c>
      <c r="T41" s="550">
        <f t="shared" si="10"/>
        <v>1.0648565759602588</v>
      </c>
      <c r="U41" s="1376">
        <f>'S-curves'!AN26</f>
        <v>1.997564318453297</v>
      </c>
      <c r="W41" s="963">
        <v>2037</v>
      </c>
      <c r="X41" s="491">
        <f t="shared" si="11"/>
        <v>16.792949482517486</v>
      </c>
      <c r="Y41" s="491">
        <f t="shared" si="12"/>
        <v>34.924320245454545</v>
      </c>
      <c r="Z41" s="491">
        <f t="shared" si="13"/>
        <v>24.058162500404432</v>
      </c>
      <c r="AA41" s="491">
        <f t="shared" si="32"/>
        <v>18.624289999999998</v>
      </c>
      <c r="AB41" s="491">
        <f t="shared" si="14"/>
        <v>24.502700350821865</v>
      </c>
      <c r="AC41" s="491">
        <f t="shared" si="33"/>
        <v>12.921616999999999</v>
      </c>
      <c r="AD41" s="491">
        <f t="shared" si="15"/>
        <v>9.8186508430493262</v>
      </c>
      <c r="AE41" s="491">
        <f t="shared" si="34"/>
        <v>36.140179000000003</v>
      </c>
      <c r="AF41" s="651">
        <f t="shared" si="37"/>
        <v>7.6774086226406553</v>
      </c>
      <c r="AG41" s="549">
        <v>2037</v>
      </c>
      <c r="AH41" s="544">
        <f t="shared" si="18"/>
        <v>2.329182093225175</v>
      </c>
      <c r="AI41" s="544">
        <f t="shared" si="19"/>
        <v>4.8440032180445458</v>
      </c>
      <c r="AJ41" s="544">
        <f t="shared" si="20"/>
        <v>3.3368671388060949</v>
      </c>
      <c r="AK41" s="544">
        <f t="shared" si="21"/>
        <v>2.5831890229999996</v>
      </c>
      <c r="AL41" s="544">
        <f t="shared" si="22"/>
        <v>3.3985245386589931</v>
      </c>
      <c r="AM41" s="544">
        <f t="shared" si="23"/>
        <v>1.7922282778999998</v>
      </c>
      <c r="AN41" s="544">
        <f t="shared" si="24"/>
        <v>1.3618468719309416</v>
      </c>
      <c r="AO41" s="544">
        <f t="shared" si="25"/>
        <v>10.013076452965333</v>
      </c>
      <c r="AP41" s="550">
        <f t="shared" si="26"/>
        <v>1.0648565759602588</v>
      </c>
      <c r="AQ41" s="10"/>
    </row>
    <row r="42" spans="1:43" x14ac:dyDescent="0.2">
      <c r="A42" s="963">
        <v>2038</v>
      </c>
      <c r="B42" s="491">
        <v>21.689045</v>
      </c>
      <c r="C42" s="491">
        <v>33.766201000000002</v>
      </c>
      <c r="D42" s="491">
        <v>25.499110999999999</v>
      </c>
      <c r="E42" s="491">
        <v>18.83005</v>
      </c>
      <c r="F42" s="491">
        <v>25.881091999999999</v>
      </c>
      <c r="G42" s="491">
        <v>13.491559000000001</v>
      </c>
      <c r="H42" s="491">
        <v>11.310649</v>
      </c>
      <c r="I42" s="491">
        <v>36.026969999999999</v>
      </c>
      <c r="J42" s="1311">
        <f t="shared" si="36"/>
        <v>7.6774086226406553</v>
      </c>
      <c r="K42" s="549">
        <v>2038</v>
      </c>
      <c r="L42" s="544">
        <f t="shared" si="2"/>
        <v>3.0082705415</v>
      </c>
      <c r="M42" s="544">
        <f t="shared" si="3"/>
        <v>4.6833720787000006</v>
      </c>
      <c r="N42" s="544">
        <f t="shared" si="4"/>
        <v>3.5367266957000001</v>
      </c>
      <c r="O42" s="544">
        <f t="shared" si="5"/>
        <v>2.6117279350000002</v>
      </c>
      <c r="P42" s="544">
        <f t="shared" si="6"/>
        <v>3.5897074603999997</v>
      </c>
      <c r="Q42" s="544">
        <f t="shared" si="7"/>
        <v>1.8712792332999999</v>
      </c>
      <c r="R42" s="544">
        <f t="shared" si="8"/>
        <v>1.5687870162999999</v>
      </c>
      <c r="S42" s="544">
        <f t="shared" si="9"/>
        <v>9.932570095649</v>
      </c>
      <c r="T42" s="550">
        <f t="shared" si="10"/>
        <v>1.0648565759602588</v>
      </c>
      <c r="U42" s="1376">
        <f>'S-curves'!AN27</f>
        <v>1.9877302162356105</v>
      </c>
      <c r="W42" s="963">
        <v>2038</v>
      </c>
      <c r="X42" s="491">
        <f t="shared" si="11"/>
        <v>16.987224055944058</v>
      </c>
      <c r="Y42" s="491">
        <f t="shared" si="12"/>
        <v>35.91495924545454</v>
      </c>
      <c r="Z42" s="491">
        <f t="shared" si="13"/>
        <v>24.321699688641036</v>
      </c>
      <c r="AA42" s="491">
        <f t="shared" si="32"/>
        <v>18.83005</v>
      </c>
      <c r="AB42" s="491">
        <f t="shared" si="14"/>
        <v>24.709774417613023</v>
      </c>
      <c r="AC42" s="491">
        <f t="shared" si="33"/>
        <v>13.491559000000001</v>
      </c>
      <c r="AD42" s="491">
        <f t="shared" si="15"/>
        <v>9.7890370269058291</v>
      </c>
      <c r="AE42" s="491">
        <f t="shared" si="34"/>
        <v>36.026969999999999</v>
      </c>
      <c r="AF42" s="651">
        <f t="shared" si="37"/>
        <v>7.6774086226406553</v>
      </c>
      <c r="AG42" s="549">
        <v>2038</v>
      </c>
      <c r="AH42" s="544">
        <f t="shared" si="18"/>
        <v>2.3561279765594407</v>
      </c>
      <c r="AI42" s="544">
        <f t="shared" si="19"/>
        <v>4.9814048473445451</v>
      </c>
      <c r="AJ42" s="544">
        <f t="shared" si="20"/>
        <v>3.3734197468145117</v>
      </c>
      <c r="AK42" s="544">
        <f t="shared" si="21"/>
        <v>2.6117279350000002</v>
      </c>
      <c r="AL42" s="544">
        <f t="shared" si="22"/>
        <v>3.427245711722926</v>
      </c>
      <c r="AM42" s="544">
        <f t="shared" si="23"/>
        <v>1.8712792332999999</v>
      </c>
      <c r="AN42" s="544">
        <f t="shared" si="24"/>
        <v>1.3577394356318384</v>
      </c>
      <c r="AO42" s="544">
        <f t="shared" si="25"/>
        <v>9.932570095649</v>
      </c>
      <c r="AP42" s="550">
        <f t="shared" si="26"/>
        <v>1.0648565759602588</v>
      </c>
      <c r="AQ42" s="10"/>
    </row>
    <row r="43" spans="1:43" x14ac:dyDescent="0.2">
      <c r="A43" s="963">
        <v>2039</v>
      </c>
      <c r="B43" s="491">
        <v>21.912479000000001</v>
      </c>
      <c r="C43" s="491">
        <v>34.771796999999999</v>
      </c>
      <c r="D43" s="491">
        <v>25.840990000000001</v>
      </c>
      <c r="E43" s="491">
        <v>19.106794000000001</v>
      </c>
      <c r="F43" s="491">
        <v>26.103442999999999</v>
      </c>
      <c r="G43" s="491">
        <v>13.652015</v>
      </c>
      <c r="H43" s="491">
        <v>11.269885</v>
      </c>
      <c r="I43" s="491">
        <v>35.831085000000002</v>
      </c>
      <c r="J43" s="1311">
        <f t="shared" si="36"/>
        <v>7.6774086226406553</v>
      </c>
      <c r="K43" s="549">
        <v>2039</v>
      </c>
      <c r="L43" s="544">
        <f t="shared" si="2"/>
        <v>3.0392608373000001</v>
      </c>
      <c r="M43" s="544">
        <f t="shared" si="3"/>
        <v>4.8228482439000002</v>
      </c>
      <c r="N43" s="544">
        <f t="shared" si="4"/>
        <v>3.5841453130000001</v>
      </c>
      <c r="O43" s="544">
        <f t="shared" si="5"/>
        <v>2.6501123278000001</v>
      </c>
      <c r="P43" s="544">
        <f t="shared" si="6"/>
        <v>3.6205475440999995</v>
      </c>
      <c r="Q43" s="544">
        <f t="shared" si="7"/>
        <v>1.8935344805000001</v>
      </c>
      <c r="R43" s="544">
        <f t="shared" si="8"/>
        <v>1.5631330495</v>
      </c>
      <c r="S43" s="544">
        <f t="shared" si="9"/>
        <v>9.7493645962684727</v>
      </c>
      <c r="T43" s="550">
        <f t="shared" si="10"/>
        <v>1.0648565759602588</v>
      </c>
      <c r="U43" s="1376">
        <f>'S-curves'!AN28</f>
        <v>1.9617329724046002</v>
      </c>
      <c r="W43" s="963">
        <v>2039</v>
      </c>
      <c r="X43" s="491">
        <f t="shared" si="11"/>
        <v>17.162221314685318</v>
      </c>
      <c r="Y43" s="491">
        <f t="shared" si="12"/>
        <v>36.984547718181815</v>
      </c>
      <c r="Z43" s="491">
        <f t="shared" si="13"/>
        <v>24.647792561755434</v>
      </c>
      <c r="AA43" s="491">
        <f t="shared" si="32"/>
        <v>19.106794000000001</v>
      </c>
      <c r="AB43" s="491">
        <f t="shared" si="14"/>
        <v>24.922062332339753</v>
      </c>
      <c r="AC43" s="491">
        <f t="shared" si="33"/>
        <v>13.652015</v>
      </c>
      <c r="AD43" s="491">
        <f t="shared" si="15"/>
        <v>9.7537569730941698</v>
      </c>
      <c r="AE43" s="491">
        <f t="shared" si="34"/>
        <v>35.831085000000002</v>
      </c>
      <c r="AF43" s="651">
        <f t="shared" si="37"/>
        <v>7.6774086226406553</v>
      </c>
      <c r="AG43" s="549">
        <v>2039</v>
      </c>
      <c r="AH43" s="544">
        <f t="shared" si="18"/>
        <v>2.3804000963468539</v>
      </c>
      <c r="AI43" s="544">
        <f t="shared" si="19"/>
        <v>5.1297567685118182</v>
      </c>
      <c r="AJ43" s="544">
        <f t="shared" si="20"/>
        <v>3.4186488283154786</v>
      </c>
      <c r="AK43" s="544">
        <f t="shared" si="21"/>
        <v>2.6501123278000001</v>
      </c>
      <c r="AL43" s="544">
        <f t="shared" si="22"/>
        <v>3.4566900454955234</v>
      </c>
      <c r="AM43" s="544">
        <f t="shared" si="23"/>
        <v>1.8935344805000001</v>
      </c>
      <c r="AN43" s="544">
        <f t="shared" si="24"/>
        <v>1.3528460921681613</v>
      </c>
      <c r="AO43" s="544">
        <f t="shared" si="25"/>
        <v>9.7493645962684727</v>
      </c>
      <c r="AP43" s="550">
        <f t="shared" si="26"/>
        <v>1.0648565759602588</v>
      </c>
      <c r="AQ43" s="10"/>
    </row>
    <row r="44" spans="1:43" x14ac:dyDescent="0.2">
      <c r="A44" s="964">
        <v>2040</v>
      </c>
      <c r="B44" s="491">
        <v>22.101877000000002</v>
      </c>
      <c r="C44" s="491">
        <v>35.608722999999998</v>
      </c>
      <c r="D44" s="491">
        <v>25.933036999999999</v>
      </c>
      <c r="E44" s="491">
        <v>19.197942999999999</v>
      </c>
      <c r="F44" s="491">
        <v>26.104603000000001</v>
      </c>
      <c r="G44" s="491">
        <v>13.829222</v>
      </c>
      <c r="H44" s="491">
        <v>11.222148000000001</v>
      </c>
      <c r="I44" s="491">
        <v>35.613166999999997</v>
      </c>
      <c r="J44" s="1311">
        <f t="shared" si="36"/>
        <v>7.6774086226406553</v>
      </c>
      <c r="K44" s="551">
        <v>2040</v>
      </c>
      <c r="L44" s="545">
        <f t="shared" si="2"/>
        <v>3.0655303399</v>
      </c>
      <c r="M44" s="545">
        <f t="shared" si="3"/>
        <v>4.9389298800999999</v>
      </c>
      <c r="N44" s="545">
        <f t="shared" si="4"/>
        <v>3.5969122319000002</v>
      </c>
      <c r="O44" s="545">
        <f t="shared" si="5"/>
        <v>2.6627546940999998</v>
      </c>
      <c r="P44" s="545">
        <f t="shared" si="6"/>
        <v>3.6207084361000001</v>
      </c>
      <c r="Q44" s="545">
        <f t="shared" si="7"/>
        <v>1.9181130914</v>
      </c>
      <c r="R44" s="545">
        <f t="shared" si="8"/>
        <v>1.5565119276000001</v>
      </c>
      <c r="S44" s="545">
        <f t="shared" si="9"/>
        <v>9.4302687920638633</v>
      </c>
      <c r="T44" s="552">
        <f t="shared" si="10"/>
        <v>1.0648565759602588</v>
      </c>
      <c r="U44" s="1376">
        <f>'S-curves'!AN29</f>
        <v>1.9091366474068348</v>
      </c>
      <c r="W44" s="964">
        <v>2040</v>
      </c>
      <c r="X44" s="491">
        <f t="shared" si="11"/>
        <v>17.310561006993012</v>
      </c>
      <c r="Y44" s="491">
        <f t="shared" si="12"/>
        <v>37.874732645454536</v>
      </c>
      <c r="Z44" s="491">
        <f t="shared" si="13"/>
        <v>24.735589328130555</v>
      </c>
      <c r="AA44" s="491">
        <f t="shared" si="32"/>
        <v>19.197942999999999</v>
      </c>
      <c r="AB44" s="491">
        <f t="shared" si="14"/>
        <v>24.923169833457731</v>
      </c>
      <c r="AC44" s="491">
        <f t="shared" si="33"/>
        <v>13.829222</v>
      </c>
      <c r="AD44" s="491">
        <f t="shared" si="15"/>
        <v>9.7124419910313904</v>
      </c>
      <c r="AE44" s="491">
        <f t="shared" si="34"/>
        <v>35.613166999999997</v>
      </c>
      <c r="AF44" s="651">
        <f t="shared" si="37"/>
        <v>7.6774086226406553</v>
      </c>
      <c r="AG44" s="551">
        <v>2040</v>
      </c>
      <c r="AH44" s="545">
        <f t="shared" si="18"/>
        <v>2.400974811669931</v>
      </c>
      <c r="AI44" s="545">
        <f t="shared" si="19"/>
        <v>5.2532254179245434</v>
      </c>
      <c r="AJ44" s="545">
        <f t="shared" si="20"/>
        <v>3.4308262398117075</v>
      </c>
      <c r="AK44" s="545">
        <f t="shared" si="21"/>
        <v>2.6627546940999998</v>
      </c>
      <c r="AL44" s="545">
        <f t="shared" si="22"/>
        <v>3.4568436559005873</v>
      </c>
      <c r="AM44" s="545">
        <f t="shared" si="23"/>
        <v>1.9181130914</v>
      </c>
      <c r="AN44" s="545">
        <f t="shared" si="24"/>
        <v>1.347115704156054</v>
      </c>
      <c r="AO44" s="545">
        <f t="shared" si="25"/>
        <v>9.4302687920638633</v>
      </c>
      <c r="AP44" s="552">
        <f t="shared" si="26"/>
        <v>1.0648565759602588</v>
      </c>
      <c r="AQ44" s="10"/>
    </row>
    <row r="45" spans="1:43" x14ac:dyDescent="0.2">
      <c r="A45" s="963">
        <v>2041</v>
      </c>
      <c r="B45" s="491">
        <v>22.279131</v>
      </c>
      <c r="C45" s="491">
        <v>35.916091999999999</v>
      </c>
      <c r="D45" s="491">
        <v>26.118065000000001</v>
      </c>
      <c r="E45" s="491">
        <v>19.450199000000001</v>
      </c>
      <c r="F45" s="491">
        <v>26.271511</v>
      </c>
      <c r="G45" s="491">
        <v>13.942467000000001</v>
      </c>
      <c r="H45" s="491">
        <v>11.174136000000001</v>
      </c>
      <c r="I45" s="491">
        <v>35.422935000000003</v>
      </c>
      <c r="J45" s="1311">
        <f t="shared" si="36"/>
        <v>7.6774086226406553</v>
      </c>
      <c r="K45" s="549">
        <v>2041</v>
      </c>
      <c r="L45" s="544">
        <f t="shared" si="2"/>
        <v>3.0901154696999997</v>
      </c>
      <c r="M45" s="544">
        <f t="shared" si="3"/>
        <v>4.9815619604000005</v>
      </c>
      <c r="N45" s="544">
        <f t="shared" si="4"/>
        <v>3.6225756155000002</v>
      </c>
      <c r="O45" s="544">
        <f t="shared" si="5"/>
        <v>2.6977426013000003</v>
      </c>
      <c r="P45" s="544">
        <f t="shared" si="6"/>
        <v>3.6438585756999999</v>
      </c>
      <c r="Q45" s="544">
        <f t="shared" si="7"/>
        <v>1.9338201729000002</v>
      </c>
      <c r="R45" s="544">
        <f t="shared" si="8"/>
        <v>1.5498526632</v>
      </c>
      <c r="S45" s="544">
        <f t="shared" si="9"/>
        <v>8.9456616685473076</v>
      </c>
      <c r="T45" s="550">
        <f t="shared" si="10"/>
        <v>1.0648565759602588</v>
      </c>
      <c r="U45" s="1376">
        <f>'S-curves'!AN30</f>
        <v>1.8207548082982679</v>
      </c>
      <c r="W45" s="963">
        <v>2041</v>
      </c>
      <c r="X45" s="491">
        <f t="shared" si="11"/>
        <v>17.449389314685316</v>
      </c>
      <c r="Y45" s="491">
        <f t="shared" si="12"/>
        <v>38.201661490909082</v>
      </c>
      <c r="Z45" s="491">
        <f t="shared" si="13"/>
        <v>24.912073733802185</v>
      </c>
      <c r="AA45" s="491">
        <f t="shared" si="32"/>
        <v>19.450199000000001</v>
      </c>
      <c r="AB45" s="491">
        <f t="shared" si="14"/>
        <v>25.08252396845694</v>
      </c>
      <c r="AC45" s="491">
        <f t="shared" si="33"/>
        <v>13.942467000000001</v>
      </c>
      <c r="AD45" s="491">
        <f t="shared" si="15"/>
        <v>9.6708890044843052</v>
      </c>
      <c r="AE45" s="491">
        <f t="shared" si="34"/>
        <v>35.422935000000003</v>
      </c>
      <c r="AF45" s="651">
        <f t="shared" si="37"/>
        <v>7.6774086226406553</v>
      </c>
      <c r="AG45" s="549">
        <v>2041</v>
      </c>
      <c r="AH45" s="544">
        <f t="shared" si="18"/>
        <v>2.4202302979468535</v>
      </c>
      <c r="AI45" s="544">
        <f t="shared" si="19"/>
        <v>5.2985704487890901</v>
      </c>
      <c r="AJ45" s="544">
        <f t="shared" si="20"/>
        <v>3.4553046268783629</v>
      </c>
      <c r="AK45" s="544">
        <f t="shared" si="21"/>
        <v>2.6977426013000003</v>
      </c>
      <c r="AL45" s="544">
        <f t="shared" si="22"/>
        <v>3.4789460744249774</v>
      </c>
      <c r="AM45" s="544">
        <f t="shared" si="23"/>
        <v>1.9338201729000002</v>
      </c>
      <c r="AN45" s="544">
        <f t="shared" si="24"/>
        <v>1.3413523049219731</v>
      </c>
      <c r="AO45" s="544">
        <f t="shared" si="25"/>
        <v>8.9456616685473076</v>
      </c>
      <c r="AP45" s="550">
        <f t="shared" si="26"/>
        <v>1.0648565759602588</v>
      </c>
      <c r="AQ45" s="10"/>
    </row>
    <row r="46" spans="1:43" x14ac:dyDescent="0.2">
      <c r="A46" s="963">
        <v>2042</v>
      </c>
      <c r="B46" s="491">
        <v>22.573450000000001</v>
      </c>
      <c r="C46" s="491">
        <v>37.479790000000001</v>
      </c>
      <c r="D46" s="491">
        <v>26.521101000000002</v>
      </c>
      <c r="E46" s="491">
        <v>19.834574</v>
      </c>
      <c r="F46" s="491">
        <v>26.655840000000001</v>
      </c>
      <c r="G46" s="491">
        <v>13.968139000000001</v>
      </c>
      <c r="H46" s="491">
        <v>11.160277000000001</v>
      </c>
      <c r="I46" s="491">
        <v>35.253875999999998</v>
      </c>
      <c r="J46" s="1311">
        <f t="shared" si="36"/>
        <v>7.6774086226406553</v>
      </c>
      <c r="K46" s="549">
        <v>2042</v>
      </c>
      <c r="L46" s="544">
        <f t="shared" si="2"/>
        <v>3.1309375150000003</v>
      </c>
      <c r="M46" s="544">
        <f t="shared" si="3"/>
        <v>5.1984468730000009</v>
      </c>
      <c r="N46" s="544">
        <f t="shared" si="4"/>
        <v>3.6784767087000003</v>
      </c>
      <c r="O46" s="544">
        <f t="shared" si="5"/>
        <v>2.7510554138000001</v>
      </c>
      <c r="P46" s="544">
        <f t="shared" si="6"/>
        <v>3.6971650080000003</v>
      </c>
      <c r="Q46" s="544">
        <f t="shared" si="7"/>
        <v>1.9373808793000002</v>
      </c>
      <c r="R46" s="544">
        <f t="shared" si="8"/>
        <v>1.5479304199000001</v>
      </c>
      <c r="S46" s="544">
        <f t="shared" si="9"/>
        <v>8.2809104833630194</v>
      </c>
      <c r="T46" s="550">
        <f t="shared" si="10"/>
        <v>1.0648565759602588</v>
      </c>
      <c r="U46" s="1376">
        <f>'S-curves'!AN31</f>
        <v>1.6935372605193146</v>
      </c>
      <c r="W46" s="963">
        <v>2042</v>
      </c>
      <c r="X46" s="491">
        <f t="shared" si="11"/>
        <v>17.679904895104897</v>
      </c>
      <c r="Y46" s="491">
        <f t="shared" si="12"/>
        <v>39.864867545454544</v>
      </c>
      <c r="Z46" s="491">
        <f t="shared" si="13"/>
        <v>25.296499706759093</v>
      </c>
      <c r="AA46" s="491">
        <f t="shared" si="32"/>
        <v>19.834574</v>
      </c>
      <c r="AB46" s="491">
        <f t="shared" si="14"/>
        <v>25.449459138431482</v>
      </c>
      <c r="AC46" s="491">
        <f t="shared" si="33"/>
        <v>13.968139000000001</v>
      </c>
      <c r="AD46" s="491">
        <f t="shared" si="15"/>
        <v>9.6588944439461883</v>
      </c>
      <c r="AE46" s="491">
        <f t="shared" si="34"/>
        <v>35.253875999999998</v>
      </c>
      <c r="AF46" s="651">
        <f t="shared" si="37"/>
        <v>7.6774086226406553</v>
      </c>
      <c r="AG46" s="549">
        <v>2042</v>
      </c>
      <c r="AH46" s="544">
        <f t="shared" si="18"/>
        <v>2.452202808951049</v>
      </c>
      <c r="AI46" s="544">
        <f t="shared" si="19"/>
        <v>5.5292571285545451</v>
      </c>
      <c r="AJ46" s="544">
        <f t="shared" si="20"/>
        <v>3.5086245093274862</v>
      </c>
      <c r="AK46" s="544">
        <f t="shared" si="21"/>
        <v>2.7510554138000001</v>
      </c>
      <c r="AL46" s="544">
        <f t="shared" si="22"/>
        <v>3.5298399825004463</v>
      </c>
      <c r="AM46" s="544">
        <f t="shared" si="23"/>
        <v>1.9373808793000002</v>
      </c>
      <c r="AN46" s="544">
        <f t="shared" si="24"/>
        <v>1.3396886593753363</v>
      </c>
      <c r="AO46" s="544">
        <f t="shared" si="25"/>
        <v>8.2809104833630194</v>
      </c>
      <c r="AP46" s="550">
        <f t="shared" si="26"/>
        <v>1.0648565759602588</v>
      </c>
      <c r="AQ46" s="10"/>
    </row>
    <row r="47" spans="1:43" x14ac:dyDescent="0.2">
      <c r="A47" s="963">
        <v>2043</v>
      </c>
      <c r="B47" s="491">
        <v>22.785976000000002</v>
      </c>
      <c r="C47" s="491">
        <v>37.935295000000004</v>
      </c>
      <c r="D47" s="491">
        <v>26.736353000000001</v>
      </c>
      <c r="E47" s="491">
        <v>20.040814999999998</v>
      </c>
      <c r="F47" s="491">
        <v>26.817506999999999</v>
      </c>
      <c r="G47" s="491">
        <v>14.613647</v>
      </c>
      <c r="H47" s="491">
        <v>11.142837999999999</v>
      </c>
      <c r="I47" s="491">
        <v>34.979267</v>
      </c>
      <c r="J47" s="1311">
        <f t="shared" si="36"/>
        <v>7.6774086226406553</v>
      </c>
      <c r="K47" s="549">
        <v>2043</v>
      </c>
      <c r="L47" s="544">
        <f t="shared" si="2"/>
        <v>3.1604148712000004</v>
      </c>
      <c r="M47" s="544">
        <f t="shared" si="3"/>
        <v>5.2616254165000003</v>
      </c>
      <c r="N47" s="544">
        <f t="shared" si="4"/>
        <v>3.7083321611</v>
      </c>
      <c r="O47" s="544">
        <f t="shared" si="5"/>
        <v>2.7796610404999997</v>
      </c>
      <c r="P47" s="544">
        <f t="shared" si="6"/>
        <v>3.7195882209</v>
      </c>
      <c r="Q47" s="544">
        <f t="shared" si="7"/>
        <v>2.0269128389</v>
      </c>
      <c r="R47" s="544">
        <f t="shared" si="8"/>
        <v>1.5455116305999999</v>
      </c>
      <c r="S47" s="544">
        <f t="shared" si="9"/>
        <v>7.4503429550494946</v>
      </c>
      <c r="T47" s="550">
        <f t="shared" si="10"/>
        <v>1.0648565759602588</v>
      </c>
      <c r="U47" s="1376">
        <f>'S-curves'!AN32</f>
        <v>1.5356388796484046</v>
      </c>
      <c r="W47" s="963">
        <v>2043</v>
      </c>
      <c r="X47" s="491">
        <f t="shared" si="11"/>
        <v>17.846358825174828</v>
      </c>
      <c r="Y47" s="491">
        <f t="shared" si="12"/>
        <v>40.349359227272728</v>
      </c>
      <c r="Z47" s="491">
        <f t="shared" si="13"/>
        <v>25.501812531248515</v>
      </c>
      <c r="AA47" s="491">
        <f t="shared" si="32"/>
        <v>20.040814999999998</v>
      </c>
      <c r="AB47" s="491">
        <f t="shared" si="14"/>
        <v>25.603809468810596</v>
      </c>
      <c r="AC47" s="491">
        <f t="shared" si="33"/>
        <v>14.613647</v>
      </c>
      <c r="AD47" s="491">
        <f t="shared" si="15"/>
        <v>9.6438014977578472</v>
      </c>
      <c r="AE47" s="491">
        <f t="shared" si="34"/>
        <v>34.979267</v>
      </c>
      <c r="AF47" s="651">
        <f t="shared" si="37"/>
        <v>7.6774086226406553</v>
      </c>
      <c r="AG47" s="549">
        <v>2043</v>
      </c>
      <c r="AH47" s="544">
        <f t="shared" si="18"/>
        <v>2.4752899690517487</v>
      </c>
      <c r="AI47" s="544">
        <f t="shared" si="19"/>
        <v>5.5964561248227271</v>
      </c>
      <c r="AJ47" s="544">
        <f t="shared" si="20"/>
        <v>3.5371013980841686</v>
      </c>
      <c r="AK47" s="544">
        <f t="shared" si="21"/>
        <v>2.7796610404999997</v>
      </c>
      <c r="AL47" s="544">
        <f t="shared" si="22"/>
        <v>3.5512483733240297</v>
      </c>
      <c r="AM47" s="544">
        <f t="shared" si="23"/>
        <v>2.0269128389</v>
      </c>
      <c r="AN47" s="544">
        <f t="shared" si="24"/>
        <v>1.3375952677390133</v>
      </c>
      <c r="AO47" s="544">
        <f t="shared" si="25"/>
        <v>7.4503429550494946</v>
      </c>
      <c r="AP47" s="550">
        <f t="shared" si="26"/>
        <v>1.0648565759602588</v>
      </c>
      <c r="AQ47" s="10"/>
    </row>
    <row r="48" spans="1:43" x14ac:dyDescent="0.2">
      <c r="A48" s="963">
        <v>2044</v>
      </c>
      <c r="B48" s="491">
        <v>22.996428999999999</v>
      </c>
      <c r="C48" s="491">
        <v>38.346237000000002</v>
      </c>
      <c r="D48" s="491">
        <v>26.945976000000002</v>
      </c>
      <c r="E48" s="491">
        <v>20.276285000000001</v>
      </c>
      <c r="F48" s="491">
        <v>27.027259999999998</v>
      </c>
      <c r="G48" s="491">
        <v>14.869235</v>
      </c>
      <c r="H48" s="491">
        <v>11.134161000000001</v>
      </c>
      <c r="I48" s="491">
        <v>34.808914000000001</v>
      </c>
      <c r="J48" s="1311">
        <f t="shared" si="36"/>
        <v>7.6774086226406553</v>
      </c>
      <c r="K48" s="549">
        <v>2044</v>
      </c>
      <c r="L48" s="544">
        <f t="shared" si="2"/>
        <v>3.1896047023</v>
      </c>
      <c r="M48" s="544">
        <f t="shared" si="3"/>
        <v>5.3186230719000003</v>
      </c>
      <c r="N48" s="544">
        <f t="shared" si="4"/>
        <v>3.7374068712000006</v>
      </c>
      <c r="O48" s="544">
        <f t="shared" si="5"/>
        <v>2.8123207295000006</v>
      </c>
      <c r="P48" s="544">
        <f t="shared" si="6"/>
        <v>3.7486809619999999</v>
      </c>
      <c r="Q48" s="544">
        <f t="shared" si="7"/>
        <v>2.0623628945000001</v>
      </c>
      <c r="R48" s="544">
        <f t="shared" si="8"/>
        <v>1.5443081307000002</v>
      </c>
      <c r="S48" s="544">
        <f t="shared" si="9"/>
        <v>6.6041169790355356</v>
      </c>
      <c r="T48" s="550">
        <f t="shared" si="10"/>
        <v>1.0648565759602588</v>
      </c>
      <c r="U48" s="1376">
        <f>'S-curves'!AN33</f>
        <v>1.3678794411714423</v>
      </c>
      <c r="W48" s="963">
        <v>2044</v>
      </c>
      <c r="X48" s="491">
        <f t="shared" si="11"/>
        <v>18.011189146853148</v>
      </c>
      <c r="Y48" s="491">
        <f t="shared" si="12"/>
        <v>40.786452081818176</v>
      </c>
      <c r="Z48" s="491">
        <f t="shared" si="13"/>
        <v>25.701756272574713</v>
      </c>
      <c r="AA48" s="491">
        <f t="shared" si="32"/>
        <v>20.276285000000001</v>
      </c>
      <c r="AB48" s="491">
        <f t="shared" si="14"/>
        <v>25.804069539499174</v>
      </c>
      <c r="AC48" s="491">
        <f t="shared" si="33"/>
        <v>14.869235</v>
      </c>
      <c r="AD48" s="491">
        <f t="shared" si="15"/>
        <v>9.6362918071748886</v>
      </c>
      <c r="AE48" s="491">
        <f t="shared" si="34"/>
        <v>34.808914000000001</v>
      </c>
      <c r="AF48" s="651">
        <f t="shared" si="37"/>
        <v>7.6774086226406553</v>
      </c>
      <c r="AG48" s="549">
        <v>2044</v>
      </c>
      <c r="AH48" s="544">
        <f t="shared" si="18"/>
        <v>2.4981519346685315</v>
      </c>
      <c r="AI48" s="544">
        <f t="shared" si="19"/>
        <v>5.6570809037481808</v>
      </c>
      <c r="AJ48" s="544">
        <f t="shared" si="20"/>
        <v>3.5648335950061125</v>
      </c>
      <c r="AK48" s="544">
        <f t="shared" si="21"/>
        <v>2.8123207295000006</v>
      </c>
      <c r="AL48" s="544">
        <f t="shared" si="22"/>
        <v>3.5790244451285353</v>
      </c>
      <c r="AM48" s="544">
        <f t="shared" si="23"/>
        <v>2.0623628945000001</v>
      </c>
      <c r="AN48" s="544">
        <f t="shared" si="24"/>
        <v>1.3365536736551569</v>
      </c>
      <c r="AO48" s="544">
        <f t="shared" si="25"/>
        <v>6.6041169790355356</v>
      </c>
      <c r="AP48" s="550">
        <f t="shared" si="26"/>
        <v>1.0648565759602588</v>
      </c>
      <c r="AQ48" s="10"/>
    </row>
    <row r="49" spans="1:43" x14ac:dyDescent="0.2">
      <c r="A49" s="964">
        <v>2045</v>
      </c>
      <c r="B49" s="491">
        <v>23.208030999999998</v>
      </c>
      <c r="C49" s="491">
        <v>38.771312999999999</v>
      </c>
      <c r="D49" s="491">
        <v>27.292883</v>
      </c>
      <c r="E49" s="491">
        <v>20.70055</v>
      </c>
      <c r="F49" s="491">
        <v>27.398430000000001</v>
      </c>
      <c r="G49" s="491">
        <v>14.895740999999999</v>
      </c>
      <c r="H49" s="491">
        <v>11.127587</v>
      </c>
      <c r="I49" s="491">
        <v>34.676597999999998</v>
      </c>
      <c r="J49" s="1311">
        <f t="shared" si="36"/>
        <v>7.6774086226406553</v>
      </c>
      <c r="K49" s="551">
        <v>2045</v>
      </c>
      <c r="L49" s="545">
        <f t="shared" si="2"/>
        <v>3.2189538996999998</v>
      </c>
      <c r="M49" s="545">
        <f t="shared" si="3"/>
        <v>5.3775811130999998</v>
      </c>
      <c r="N49" s="545">
        <f t="shared" si="4"/>
        <v>3.7855228720999996</v>
      </c>
      <c r="O49" s="545">
        <f t="shared" si="5"/>
        <v>2.8711662850000002</v>
      </c>
      <c r="P49" s="545">
        <f t="shared" si="6"/>
        <v>3.8001622410000002</v>
      </c>
      <c r="Q49" s="545">
        <f t="shared" si="7"/>
        <v>2.0660392766999998</v>
      </c>
      <c r="R49" s="545">
        <f t="shared" si="8"/>
        <v>1.5433963169</v>
      </c>
      <c r="S49" s="545">
        <f t="shared" si="9"/>
        <v>5.8572057614843391</v>
      </c>
      <c r="T49" s="552">
        <f t="shared" si="10"/>
        <v>1.0648565759602588</v>
      </c>
      <c r="U49" s="1376">
        <f>'S-curves'!AN34</f>
        <v>1.2178043921390924</v>
      </c>
      <c r="W49" s="964">
        <v>2045</v>
      </c>
      <c r="X49" s="491">
        <f t="shared" si="11"/>
        <v>18.176919384615385</v>
      </c>
      <c r="Y49" s="491">
        <f t="shared" si="12"/>
        <v>41.238578372727268</v>
      </c>
      <c r="Z49" s="491">
        <f t="shared" si="13"/>
        <v>26.032644979788362</v>
      </c>
      <c r="AA49" s="491">
        <f t="shared" si="32"/>
        <v>20.70055</v>
      </c>
      <c r="AB49" s="491">
        <f t="shared" si="14"/>
        <v>26.158441254981096</v>
      </c>
      <c r="AC49" s="491">
        <f t="shared" si="33"/>
        <v>14.895740999999999</v>
      </c>
      <c r="AD49" s="491">
        <f t="shared" si="15"/>
        <v>9.630602201793721</v>
      </c>
      <c r="AE49" s="491">
        <f t="shared" si="34"/>
        <v>34.676597999999998</v>
      </c>
      <c r="AF49" s="651">
        <f t="shared" si="37"/>
        <v>7.6774086226406553</v>
      </c>
      <c r="AG49" s="551">
        <v>2045</v>
      </c>
      <c r="AH49" s="545">
        <f t="shared" si="18"/>
        <v>2.5211387186461538</v>
      </c>
      <c r="AI49" s="545">
        <f t="shared" si="19"/>
        <v>5.7197908202972716</v>
      </c>
      <c r="AJ49" s="545">
        <f t="shared" si="20"/>
        <v>3.6107278586966456</v>
      </c>
      <c r="AK49" s="545">
        <f t="shared" si="21"/>
        <v>2.8711662850000002</v>
      </c>
      <c r="AL49" s="545">
        <f t="shared" si="22"/>
        <v>3.6281758020658783</v>
      </c>
      <c r="AM49" s="545">
        <f t="shared" si="23"/>
        <v>2.0660392766999998</v>
      </c>
      <c r="AN49" s="545">
        <f t="shared" si="24"/>
        <v>1.3357645253887891</v>
      </c>
      <c r="AO49" s="545">
        <f t="shared" si="25"/>
        <v>5.8572057614843391</v>
      </c>
      <c r="AP49" s="552">
        <f t="shared" si="26"/>
        <v>1.0648565759602588</v>
      </c>
      <c r="AQ49" s="10"/>
    </row>
    <row r="50" spans="1:43" x14ac:dyDescent="0.2">
      <c r="A50" s="963">
        <v>2046</v>
      </c>
      <c r="B50" s="491">
        <v>23.411003000000001</v>
      </c>
      <c r="C50" s="491">
        <v>39.264046</v>
      </c>
      <c r="D50" s="491">
        <v>27.377738999999998</v>
      </c>
      <c r="E50" s="491">
        <v>20.752966000000001</v>
      </c>
      <c r="F50" s="491">
        <v>27.414787</v>
      </c>
      <c r="G50" s="491">
        <v>15.526524999999999</v>
      </c>
      <c r="H50" s="491">
        <v>11.152502999999999</v>
      </c>
      <c r="I50" s="491">
        <v>34.547210999999997</v>
      </c>
      <c r="J50" s="1311">
        <f t="shared" si="36"/>
        <v>7.6774086226406553</v>
      </c>
      <c r="K50" s="549">
        <v>2046</v>
      </c>
      <c r="L50" s="544">
        <f t="shared" si="2"/>
        <v>3.2471061161000003</v>
      </c>
      <c r="M50" s="544">
        <f t="shared" si="3"/>
        <v>5.4459231802000003</v>
      </c>
      <c r="N50" s="544">
        <f t="shared" si="4"/>
        <v>3.7972923992999998</v>
      </c>
      <c r="O50" s="544">
        <f t="shared" si="5"/>
        <v>2.8784363842</v>
      </c>
      <c r="P50" s="544">
        <f t="shared" si="6"/>
        <v>3.8024309569000003</v>
      </c>
      <c r="Q50" s="544">
        <f t="shared" si="7"/>
        <v>2.1535290174999999</v>
      </c>
      <c r="R50" s="544">
        <f t="shared" si="8"/>
        <v>1.5468521661000001</v>
      </c>
      <c r="S50" s="544">
        <f t="shared" si="9"/>
        <v>5.3061595847833702</v>
      </c>
      <c r="T50" s="550">
        <f t="shared" si="10"/>
        <v>1.0648565759602588</v>
      </c>
      <c r="U50" s="1376">
        <f>'S-curves'!AN35</f>
        <v>1.1073651555863839</v>
      </c>
      <c r="W50" s="963">
        <v>2046</v>
      </c>
      <c r="X50" s="491">
        <f t="shared" si="11"/>
        <v>18.335890461538465</v>
      </c>
      <c r="Y50" s="491">
        <f t="shared" si="12"/>
        <v>41.762667109090906</v>
      </c>
      <c r="Z50" s="491">
        <f t="shared" si="13"/>
        <v>26.113582787729168</v>
      </c>
      <c r="AA50" s="491">
        <f t="shared" si="32"/>
        <v>20.752966000000001</v>
      </c>
      <c r="AB50" s="491">
        <f t="shared" si="14"/>
        <v>26.174057975486896</v>
      </c>
      <c r="AC50" s="491">
        <f t="shared" si="33"/>
        <v>15.526524999999999</v>
      </c>
      <c r="AD50" s="491">
        <f t="shared" si="15"/>
        <v>9.6521662735425995</v>
      </c>
      <c r="AE50" s="491">
        <f t="shared" si="34"/>
        <v>34.547210999999997</v>
      </c>
      <c r="AF50" s="651">
        <f t="shared" si="37"/>
        <v>7.6774086226406553</v>
      </c>
      <c r="AG50" s="549">
        <v>2046</v>
      </c>
      <c r="AH50" s="544">
        <f t="shared" si="18"/>
        <v>2.5431880070153854</v>
      </c>
      <c r="AI50" s="544">
        <f t="shared" si="19"/>
        <v>5.7924819280309094</v>
      </c>
      <c r="AJ50" s="544">
        <f t="shared" si="20"/>
        <v>3.6219539326580357</v>
      </c>
      <c r="AK50" s="544">
        <f t="shared" si="21"/>
        <v>2.8784363842</v>
      </c>
      <c r="AL50" s="544">
        <f t="shared" si="22"/>
        <v>3.6303418412000323</v>
      </c>
      <c r="AM50" s="544">
        <f t="shared" si="23"/>
        <v>2.1535290174999999</v>
      </c>
      <c r="AN50" s="544">
        <f t="shared" si="24"/>
        <v>1.3387554621403586</v>
      </c>
      <c r="AO50" s="544">
        <f t="shared" si="25"/>
        <v>5.3061595847833702</v>
      </c>
      <c r="AP50" s="550">
        <f t="shared" si="26"/>
        <v>1.0648565759602588</v>
      </c>
      <c r="AQ50" s="10"/>
    </row>
    <row r="51" spans="1:43" x14ac:dyDescent="0.2">
      <c r="A51" s="963">
        <v>2047</v>
      </c>
      <c r="B51" s="491">
        <v>23.683239</v>
      </c>
      <c r="C51" s="491">
        <v>42.460051999999997</v>
      </c>
      <c r="D51" s="491">
        <v>27.854393000000002</v>
      </c>
      <c r="E51" s="491">
        <v>21.175343999999999</v>
      </c>
      <c r="F51" s="491">
        <v>27.670738</v>
      </c>
      <c r="G51" s="491">
        <v>15.824721</v>
      </c>
      <c r="H51" s="491">
        <v>11.190495</v>
      </c>
      <c r="I51" s="491">
        <v>34.415016000000001</v>
      </c>
      <c r="J51" s="1311">
        <f t="shared" si="36"/>
        <v>7.6774086226406553</v>
      </c>
      <c r="K51" s="549">
        <v>2047</v>
      </c>
      <c r="L51" s="544">
        <f t="shared" si="2"/>
        <v>3.2848652493000001</v>
      </c>
      <c r="M51" s="544">
        <f t="shared" si="3"/>
        <v>5.8892092123999999</v>
      </c>
      <c r="N51" s="544">
        <f t="shared" si="4"/>
        <v>3.8634043091000003</v>
      </c>
      <c r="O51" s="544">
        <f t="shared" si="5"/>
        <v>2.9370202127999998</v>
      </c>
      <c r="P51" s="544">
        <f t="shared" si="6"/>
        <v>3.8379313605999998</v>
      </c>
      <c r="Q51" s="544">
        <f t="shared" si="7"/>
        <v>2.1948888027</v>
      </c>
      <c r="R51" s="544">
        <f t="shared" si="8"/>
        <v>1.5521216565</v>
      </c>
      <c r="S51" s="544">
        <f t="shared" si="9"/>
        <v>4.9757761880547049</v>
      </c>
      <c r="T51" s="550">
        <f t="shared" si="10"/>
        <v>1.0648565759602588</v>
      </c>
      <c r="U51" s="1376">
        <f>'S-curves'!AN36</f>
        <v>1.0424047952694926</v>
      </c>
      <c r="W51" s="963">
        <v>2047</v>
      </c>
      <c r="X51" s="491">
        <f t="shared" si="11"/>
        <v>18.549110265734267</v>
      </c>
      <c r="Y51" s="491">
        <f t="shared" si="12"/>
        <v>45.162055309090903</v>
      </c>
      <c r="Z51" s="491">
        <f t="shared" si="13"/>
        <v>26.568227478808382</v>
      </c>
      <c r="AA51" s="491">
        <f t="shared" si="32"/>
        <v>21.175343999999999</v>
      </c>
      <c r="AB51" s="491">
        <f t="shared" si="14"/>
        <v>26.418425232941196</v>
      </c>
      <c r="AC51" s="491">
        <f t="shared" si="33"/>
        <v>15.824721</v>
      </c>
      <c r="AD51" s="491">
        <f t="shared" si="15"/>
        <v>9.685047242152466</v>
      </c>
      <c r="AE51" s="491">
        <f t="shared" si="34"/>
        <v>34.415016000000001</v>
      </c>
      <c r="AF51" s="651">
        <f t="shared" si="37"/>
        <v>7.6774086226406553</v>
      </c>
      <c r="AG51" s="549">
        <v>2047</v>
      </c>
      <c r="AH51" s="544">
        <f t="shared" si="18"/>
        <v>2.5727615938573427</v>
      </c>
      <c r="AI51" s="544">
        <f t="shared" si="19"/>
        <v>6.263977071370908</v>
      </c>
      <c r="AJ51" s="544">
        <f t="shared" si="20"/>
        <v>3.6850131513107223</v>
      </c>
      <c r="AK51" s="544">
        <f t="shared" si="21"/>
        <v>2.9370202127999998</v>
      </c>
      <c r="AL51" s="544">
        <f t="shared" si="22"/>
        <v>3.6642355798089441</v>
      </c>
      <c r="AM51" s="544">
        <f t="shared" si="23"/>
        <v>2.1948888027</v>
      </c>
      <c r="AN51" s="544">
        <f t="shared" si="24"/>
        <v>1.3433160524865471</v>
      </c>
      <c r="AO51" s="544">
        <f t="shared" si="25"/>
        <v>4.9757761880547049</v>
      </c>
      <c r="AP51" s="550">
        <f t="shared" si="26"/>
        <v>1.0648565759602588</v>
      </c>
      <c r="AQ51" s="10"/>
    </row>
    <row r="52" spans="1:43" x14ac:dyDescent="0.2">
      <c r="A52" s="963">
        <v>2048</v>
      </c>
      <c r="B52" s="491">
        <v>23.960798</v>
      </c>
      <c r="C52" s="491">
        <v>43.544437000000002</v>
      </c>
      <c r="D52" s="491">
        <v>28.176065000000001</v>
      </c>
      <c r="E52" s="491">
        <v>21.518598999999998</v>
      </c>
      <c r="F52" s="491">
        <v>27.905581999999999</v>
      </c>
      <c r="G52" s="491">
        <v>16.030633999999999</v>
      </c>
      <c r="H52" s="491">
        <v>11.209865000000001</v>
      </c>
      <c r="I52" s="491">
        <v>34.257465000000003</v>
      </c>
      <c r="J52" s="1311">
        <f t="shared" si="36"/>
        <v>7.6774086226406553</v>
      </c>
      <c r="K52" s="549">
        <v>2048</v>
      </c>
      <c r="L52" s="544">
        <f t="shared" si="2"/>
        <v>3.3233626826</v>
      </c>
      <c r="M52" s="544">
        <f t="shared" si="3"/>
        <v>6.0396134119000005</v>
      </c>
      <c r="N52" s="544">
        <f t="shared" si="4"/>
        <v>3.9080202155000006</v>
      </c>
      <c r="O52" s="544">
        <f t="shared" si="5"/>
        <v>2.9846296812999999</v>
      </c>
      <c r="P52" s="544">
        <f t="shared" si="6"/>
        <v>3.8705042234000002</v>
      </c>
      <c r="Q52" s="544">
        <f t="shared" si="7"/>
        <v>2.2234489358</v>
      </c>
      <c r="R52" s="544">
        <f t="shared" si="8"/>
        <v>1.5548082754999999</v>
      </c>
      <c r="S52" s="544">
        <f t="shared" si="9"/>
        <v>4.8126445337971857</v>
      </c>
      <c r="T52" s="550">
        <f t="shared" si="10"/>
        <v>1.0648565759602588</v>
      </c>
      <c r="U52" s="1376">
        <f>'S-curves'!AN37</f>
        <v>1.0128662537190456</v>
      </c>
      <c r="W52" s="963">
        <v>2048</v>
      </c>
      <c r="X52" s="491">
        <f t="shared" si="11"/>
        <v>18.766499132867136</v>
      </c>
      <c r="Y52" s="491">
        <f t="shared" si="12"/>
        <v>46.315446627272721</v>
      </c>
      <c r="Z52" s="491">
        <f t="shared" si="13"/>
        <v>26.875046402112986</v>
      </c>
      <c r="AA52" s="491">
        <f t="shared" si="32"/>
        <v>21.518598999999998</v>
      </c>
      <c r="AB52" s="491">
        <f t="shared" si="14"/>
        <v>26.642640743760058</v>
      </c>
      <c r="AC52" s="491">
        <f t="shared" si="33"/>
        <v>16.030633999999999</v>
      </c>
      <c r="AD52" s="491">
        <f t="shared" si="15"/>
        <v>9.7018114125560544</v>
      </c>
      <c r="AE52" s="491">
        <f t="shared" si="34"/>
        <v>34.257465000000003</v>
      </c>
      <c r="AF52" s="651">
        <f t="shared" si="37"/>
        <v>7.6774086226406553</v>
      </c>
      <c r="AG52" s="549">
        <v>2048</v>
      </c>
      <c r="AH52" s="544">
        <f t="shared" si="18"/>
        <v>2.6029134297286718</v>
      </c>
      <c r="AI52" s="544">
        <f t="shared" si="19"/>
        <v>6.4239524472027263</v>
      </c>
      <c r="AJ52" s="544">
        <f t="shared" si="20"/>
        <v>3.7275689359730708</v>
      </c>
      <c r="AK52" s="544">
        <f t="shared" si="21"/>
        <v>2.9846296812999999</v>
      </c>
      <c r="AL52" s="544">
        <f t="shared" si="22"/>
        <v>3.6953342711595201</v>
      </c>
      <c r="AM52" s="544">
        <f t="shared" si="23"/>
        <v>2.2234489358</v>
      </c>
      <c r="AN52" s="544">
        <f t="shared" si="24"/>
        <v>1.3456412429215248</v>
      </c>
      <c r="AO52" s="544">
        <f t="shared" si="25"/>
        <v>4.8126445337971857</v>
      </c>
      <c r="AP52" s="550">
        <f t="shared" si="26"/>
        <v>1.0648565759602588</v>
      </c>
      <c r="AQ52" s="10"/>
    </row>
    <row r="53" spans="1:43" x14ac:dyDescent="0.2">
      <c r="A53" s="963">
        <v>2049</v>
      </c>
      <c r="B53" s="491">
        <v>24.167490000000001</v>
      </c>
      <c r="C53" s="491">
        <v>43.591911000000003</v>
      </c>
      <c r="D53" s="491">
        <v>28.421361999999998</v>
      </c>
      <c r="E53" s="491">
        <v>21.766680000000001</v>
      </c>
      <c r="F53" s="491">
        <v>28.076466</v>
      </c>
      <c r="G53" s="491">
        <v>16.223696</v>
      </c>
      <c r="H53" s="491">
        <v>11.231529999999999</v>
      </c>
      <c r="I53" s="491">
        <v>34.011459000000002</v>
      </c>
      <c r="J53" s="1311">
        <f t="shared" si="36"/>
        <v>7.6774086226406553</v>
      </c>
      <c r="K53" s="549">
        <v>2049</v>
      </c>
      <c r="L53" s="544">
        <f t="shared" si="2"/>
        <v>3.352030863</v>
      </c>
      <c r="M53" s="544">
        <f t="shared" si="3"/>
        <v>6.0461980557000006</v>
      </c>
      <c r="N53" s="544">
        <f t="shared" si="4"/>
        <v>3.9420429093999996</v>
      </c>
      <c r="O53" s="544">
        <f t="shared" si="5"/>
        <v>3.0190385160000002</v>
      </c>
      <c r="P53" s="544">
        <f t="shared" si="6"/>
        <v>3.8942058342000001</v>
      </c>
      <c r="Q53" s="544">
        <f t="shared" si="7"/>
        <v>2.2502266351999998</v>
      </c>
      <c r="R53" s="544">
        <f t="shared" si="8"/>
        <v>1.5578132109999998</v>
      </c>
      <c r="S53" s="544">
        <f t="shared" si="9"/>
        <v>4.7309044396005095</v>
      </c>
      <c r="T53" s="550">
        <f t="shared" si="10"/>
        <v>1.0648565759602588</v>
      </c>
      <c r="U53" s="1376">
        <f>'S-curves'!AN38</f>
        <v>1.0028649482287073</v>
      </c>
      <c r="W53" s="963">
        <v>2049</v>
      </c>
      <c r="X53" s="491">
        <f t="shared" si="11"/>
        <v>18.928383776223779</v>
      </c>
      <c r="Y53" s="491">
        <f t="shared" si="12"/>
        <v>46.3659417</v>
      </c>
      <c r="Z53" s="491">
        <f t="shared" si="13"/>
        <v>27.109016910674029</v>
      </c>
      <c r="AA53" s="491">
        <f t="shared" si="32"/>
        <v>21.766680000000001</v>
      </c>
      <c r="AB53" s="491">
        <f t="shared" si="14"/>
        <v>26.805790934315361</v>
      </c>
      <c r="AC53" s="491">
        <f t="shared" si="33"/>
        <v>16.223696</v>
      </c>
      <c r="AD53" s="491">
        <f t="shared" si="15"/>
        <v>9.7205618385650219</v>
      </c>
      <c r="AE53" s="491">
        <f t="shared" si="34"/>
        <v>34.011459000000002</v>
      </c>
      <c r="AF53" s="651">
        <f t="shared" si="37"/>
        <v>7.6774086226406553</v>
      </c>
      <c r="AG53" s="549">
        <v>2049</v>
      </c>
      <c r="AH53" s="544">
        <f t="shared" si="18"/>
        <v>2.6253668297622381</v>
      </c>
      <c r="AI53" s="544">
        <f t="shared" si="19"/>
        <v>6.4309561137899998</v>
      </c>
      <c r="AJ53" s="544">
        <f t="shared" si="20"/>
        <v>3.7600206455104876</v>
      </c>
      <c r="AK53" s="544">
        <f t="shared" si="21"/>
        <v>3.0190385160000002</v>
      </c>
      <c r="AL53" s="544">
        <f t="shared" si="22"/>
        <v>3.7179632025895408</v>
      </c>
      <c r="AM53" s="544">
        <f t="shared" si="23"/>
        <v>2.2502266351999998</v>
      </c>
      <c r="AN53" s="544">
        <f t="shared" si="24"/>
        <v>1.3482419270089685</v>
      </c>
      <c r="AO53" s="544">
        <f t="shared" si="25"/>
        <v>4.7309044396005095</v>
      </c>
      <c r="AP53" s="550">
        <f t="shared" si="26"/>
        <v>1.0648565759602588</v>
      </c>
      <c r="AQ53" s="10"/>
    </row>
    <row r="54" spans="1:43" ht="15" thickBot="1" x14ac:dyDescent="0.25">
      <c r="A54" s="965">
        <v>2050</v>
      </c>
      <c r="B54" s="564">
        <v>24.36318</v>
      </c>
      <c r="C54" s="564">
        <v>43.892014000000003</v>
      </c>
      <c r="D54" s="564">
        <v>28.630436</v>
      </c>
      <c r="E54" s="564">
        <v>21.858753</v>
      </c>
      <c r="F54" s="564">
        <v>28.233941999999999</v>
      </c>
      <c r="G54" s="564">
        <v>15.660544</v>
      </c>
      <c r="H54" s="564">
        <v>11.277456000000001</v>
      </c>
      <c r="I54" s="564">
        <v>33.779319999999998</v>
      </c>
      <c r="J54" s="1312">
        <f t="shared" si="36"/>
        <v>7.6774086226406553</v>
      </c>
      <c r="K54" s="553">
        <v>2050</v>
      </c>
      <c r="L54" s="554">
        <f t="shared" si="2"/>
        <v>3.3791730659999999</v>
      </c>
      <c r="M54" s="554">
        <f t="shared" si="3"/>
        <v>6.0878223418000008</v>
      </c>
      <c r="N54" s="554">
        <f t="shared" si="4"/>
        <v>3.9710414731999997</v>
      </c>
      <c r="O54" s="554">
        <f t="shared" si="5"/>
        <v>3.0318090410999998</v>
      </c>
      <c r="P54" s="554">
        <f t="shared" si="6"/>
        <v>3.9160477553999997</v>
      </c>
      <c r="Q54" s="554">
        <f t="shared" si="7"/>
        <v>2.1721174528000002</v>
      </c>
      <c r="R54" s="554">
        <f t="shared" si="8"/>
        <v>1.5641831472000001</v>
      </c>
      <c r="S54" s="554">
        <f t="shared" si="9"/>
        <v>4.6872794878531119</v>
      </c>
      <c r="T54" s="555">
        <f t="shared" si="10"/>
        <v>1.0648565759602588</v>
      </c>
      <c r="U54" s="1376">
        <f>'S-curves'!AN39</f>
        <v>1.000445617595592</v>
      </c>
      <c r="W54" s="965">
        <v>2050</v>
      </c>
      <c r="X54" s="564">
        <f t="shared" si="11"/>
        <v>19.081651468531472</v>
      </c>
      <c r="Y54" s="564">
        <f t="shared" si="12"/>
        <v>46.685142163636364</v>
      </c>
      <c r="Z54" s="564">
        <f t="shared" si="13"/>
        <v>27.30843700185693</v>
      </c>
      <c r="AA54" s="564">
        <f t="shared" si="32"/>
        <v>21.858753</v>
      </c>
      <c r="AB54" s="564">
        <f t="shared" si="14"/>
        <v>26.956139939534616</v>
      </c>
      <c r="AC54" s="564">
        <f t="shared" si="33"/>
        <v>15.660544</v>
      </c>
      <c r="AD54" s="564">
        <f t="shared" si="15"/>
        <v>9.7603094529147985</v>
      </c>
      <c r="AE54" s="564">
        <f t="shared" si="34"/>
        <v>33.779319999999998</v>
      </c>
      <c r="AF54" s="652">
        <f t="shared" si="37"/>
        <v>7.6774086226406553</v>
      </c>
      <c r="AG54" s="553">
        <v>2050</v>
      </c>
      <c r="AH54" s="554">
        <f t="shared" si="18"/>
        <v>2.6466250586853155</v>
      </c>
      <c r="AI54" s="554">
        <f t="shared" si="19"/>
        <v>6.4752292180963638</v>
      </c>
      <c r="AJ54" s="554">
        <f t="shared" si="20"/>
        <v>3.7876802121575563</v>
      </c>
      <c r="AK54" s="554">
        <f t="shared" si="21"/>
        <v>3.0318090410999998</v>
      </c>
      <c r="AL54" s="554">
        <f t="shared" si="22"/>
        <v>3.7388166096134512</v>
      </c>
      <c r="AM54" s="554">
        <f t="shared" si="23"/>
        <v>2.1721174528000002</v>
      </c>
      <c r="AN54" s="554">
        <f t="shared" si="24"/>
        <v>1.3537549211192825</v>
      </c>
      <c r="AO54" s="554">
        <f t="shared" si="25"/>
        <v>4.6872794878531119</v>
      </c>
      <c r="AP54" s="555">
        <f t="shared" si="26"/>
        <v>1.0648565759602588</v>
      </c>
      <c r="AQ54" s="10"/>
    </row>
    <row r="55" spans="1:43" ht="12.75" hidden="1" customHeight="1" x14ac:dyDescent="0.2">
      <c r="A55" s="3">
        <v>2051</v>
      </c>
      <c r="B55" s="62" t="e">
        <f>+(B$44/#REF!)^0.2*#REF!</f>
        <v>#REF!</v>
      </c>
      <c r="C55" s="63" t="e">
        <f>+(#REF!/#REF!)^0.2*#REF!</f>
        <v>#REF!</v>
      </c>
      <c r="D55" s="64" t="e">
        <f>+(#REF!/#REF!)^0.2*#REF!</f>
        <v>#REF!</v>
      </c>
      <c r="E55" s="64" t="e">
        <f>+(#REF!/#REF!)^0.2*#REF!</f>
        <v>#REF!</v>
      </c>
      <c r="F55" s="64" t="e">
        <f>+(#REF!/#REF!)^0.2*#REF!</f>
        <v>#REF!</v>
      </c>
      <c r="G55" s="64" t="e">
        <f>+(#REF!/#REF!)^0.2*#REF!</f>
        <v>#REF!</v>
      </c>
      <c r="H55" s="64"/>
      <c r="I55" s="64"/>
      <c r="J55" s="64"/>
      <c r="K55" s="63"/>
      <c r="L55" s="65" t="e">
        <f t="shared" ref="L55:L58" si="39">+B55/8</f>
        <v>#REF!</v>
      </c>
      <c r="M55" s="66" t="e">
        <f t="shared" ref="M55:M58" si="40">+C55/8</f>
        <v>#REF!</v>
      </c>
      <c r="N55" s="57" t="e">
        <f t="shared" ref="N55:N58" si="41">+D55/8</f>
        <v>#REF!</v>
      </c>
      <c r="O55" s="57" t="e">
        <f t="shared" ref="O55:O58" si="42">+E55/8</f>
        <v>#REF!</v>
      </c>
      <c r="P55" s="57" t="e">
        <f t="shared" ref="P55:P58" si="43">+F55/8</f>
        <v>#REF!</v>
      </c>
      <c r="Q55" s="57"/>
      <c r="R55" s="57"/>
      <c r="S55" s="57" t="e">
        <f>+G55/8</f>
        <v>#REF!</v>
      </c>
      <c r="T55" s="57"/>
      <c r="W55" s="3">
        <v>2051</v>
      </c>
      <c r="X55" s="62" t="e">
        <f t="shared" si="11"/>
        <v>#REF!</v>
      </c>
      <c r="Y55" s="63" t="e">
        <f t="shared" si="12"/>
        <v>#REF!</v>
      </c>
      <c r="Z55" s="64" t="e">
        <f t="shared" si="13"/>
        <v>#REF!</v>
      </c>
      <c r="AA55" s="64" t="e">
        <f>+(#REF!/#REF!)^0.2*#REF!</f>
        <v>#REF!</v>
      </c>
      <c r="AB55" s="64" t="e">
        <f t="shared" si="14"/>
        <v>#REF!</v>
      </c>
      <c r="AC55" s="64" t="e">
        <f>+(#REF!/#REF!)^0.2*#REF!</f>
        <v>#REF!</v>
      </c>
      <c r="AD55" s="64"/>
      <c r="AE55" s="64"/>
      <c r="AF55" s="64"/>
      <c r="AG55" s="63"/>
      <c r="AH55" s="65" t="e">
        <f t="shared" ref="AH55:AL58" si="44">+X55/8</f>
        <v>#REF!</v>
      </c>
      <c r="AI55" s="66" t="e">
        <f t="shared" si="44"/>
        <v>#REF!</v>
      </c>
      <c r="AJ55" s="57" t="e">
        <f t="shared" si="44"/>
        <v>#REF!</v>
      </c>
      <c r="AK55" s="57" t="e">
        <f t="shared" si="44"/>
        <v>#REF!</v>
      </c>
      <c r="AL55" s="57" t="e">
        <f t="shared" si="44"/>
        <v>#REF!</v>
      </c>
      <c r="AM55" s="57"/>
      <c r="AN55" s="57"/>
      <c r="AO55" s="57">
        <f t="shared" ref="AO55:AO58" si="45">U55*AE55*HVDiesel/10^6</f>
        <v>0</v>
      </c>
      <c r="AP55" s="57"/>
    </row>
    <row r="56" spans="1:43" ht="12.75" hidden="1" customHeight="1" x14ac:dyDescent="0.2">
      <c r="A56" s="67">
        <v>2052</v>
      </c>
      <c r="B56" s="61" t="e">
        <f>+(B$44/#REF!)^0.2*B55</f>
        <v>#REF!</v>
      </c>
      <c r="C56" s="63" t="e">
        <f>+(#REF!/#REF!)^0.2*C55</f>
        <v>#REF!</v>
      </c>
      <c r="D56" s="64" t="e">
        <f>+(#REF!/#REF!)^0.2*D55</f>
        <v>#REF!</v>
      </c>
      <c r="E56" s="64" t="e">
        <f>+(#REF!/#REF!)^0.2*E55</f>
        <v>#REF!</v>
      </c>
      <c r="F56" s="64" t="e">
        <f>+(#REF!/#REF!)^0.2*F55</f>
        <v>#REF!</v>
      </c>
      <c r="G56" s="64" t="e">
        <f>+(#REF!/#REF!)^0.2*G55</f>
        <v>#REF!</v>
      </c>
      <c r="H56" s="64"/>
      <c r="I56" s="64"/>
      <c r="J56" s="64"/>
      <c r="K56" s="63"/>
      <c r="L56" s="65" t="e">
        <f t="shared" si="39"/>
        <v>#REF!</v>
      </c>
      <c r="M56" s="60" t="e">
        <f t="shared" si="40"/>
        <v>#REF!</v>
      </c>
      <c r="N56" s="57" t="e">
        <f t="shared" si="41"/>
        <v>#REF!</v>
      </c>
      <c r="O56" s="57" t="e">
        <f t="shared" si="42"/>
        <v>#REF!</v>
      </c>
      <c r="P56" s="57" t="e">
        <f t="shared" si="43"/>
        <v>#REF!</v>
      </c>
      <c r="Q56" s="57"/>
      <c r="R56" s="57"/>
      <c r="S56" s="57" t="e">
        <f>+G56/8</f>
        <v>#REF!</v>
      </c>
      <c r="T56" s="57"/>
      <c r="W56" s="67">
        <v>2052</v>
      </c>
      <c r="X56" s="61" t="e">
        <f t="shared" si="11"/>
        <v>#REF!</v>
      </c>
      <c r="Y56" s="63" t="e">
        <f t="shared" si="12"/>
        <v>#REF!</v>
      </c>
      <c r="Z56" s="64" t="e">
        <f t="shared" si="13"/>
        <v>#REF!</v>
      </c>
      <c r="AA56" s="64" t="e">
        <f>+(#REF!/#REF!)^0.2*AA55</f>
        <v>#REF!</v>
      </c>
      <c r="AB56" s="64" t="e">
        <f t="shared" si="14"/>
        <v>#REF!</v>
      </c>
      <c r="AC56" s="64" t="e">
        <f>+(#REF!/#REF!)^0.2*AC55</f>
        <v>#REF!</v>
      </c>
      <c r="AD56" s="64"/>
      <c r="AE56" s="64"/>
      <c r="AF56" s="64"/>
      <c r="AG56" s="63"/>
      <c r="AH56" s="65" t="e">
        <f t="shared" si="44"/>
        <v>#REF!</v>
      </c>
      <c r="AI56" s="60" t="e">
        <f t="shared" si="44"/>
        <v>#REF!</v>
      </c>
      <c r="AJ56" s="57" t="e">
        <f t="shared" si="44"/>
        <v>#REF!</v>
      </c>
      <c r="AK56" s="57" t="e">
        <f t="shared" si="44"/>
        <v>#REF!</v>
      </c>
      <c r="AL56" s="57" t="e">
        <f t="shared" si="44"/>
        <v>#REF!</v>
      </c>
      <c r="AM56" s="57"/>
      <c r="AN56" s="57"/>
      <c r="AO56" s="57">
        <f t="shared" si="45"/>
        <v>0</v>
      </c>
      <c r="AP56" s="57"/>
    </row>
    <row r="57" spans="1:43" ht="12.75" hidden="1" customHeight="1" x14ac:dyDescent="0.2">
      <c r="A57" s="3">
        <v>2053</v>
      </c>
      <c r="B57" s="61" t="e">
        <f>+(B$44/#REF!)^0.2*B56</f>
        <v>#REF!</v>
      </c>
      <c r="C57" s="63" t="e">
        <f>+(#REF!/#REF!)^0.2*C56</f>
        <v>#REF!</v>
      </c>
      <c r="D57" s="64" t="e">
        <f>+(#REF!/#REF!)^0.2*D56</f>
        <v>#REF!</v>
      </c>
      <c r="E57" s="64" t="e">
        <f>+(#REF!/#REF!)^0.2*E56</f>
        <v>#REF!</v>
      </c>
      <c r="F57" s="64" t="e">
        <f>+(#REF!/#REF!)^0.2*F56</f>
        <v>#REF!</v>
      </c>
      <c r="G57" s="64" t="e">
        <f>+(#REF!/#REF!)^0.2*G56</f>
        <v>#REF!</v>
      </c>
      <c r="H57" s="64"/>
      <c r="I57" s="64"/>
      <c r="J57" s="64"/>
      <c r="K57" s="63"/>
      <c r="L57" s="65" t="e">
        <f t="shared" si="39"/>
        <v>#REF!</v>
      </c>
      <c r="M57" s="60" t="e">
        <f t="shared" si="40"/>
        <v>#REF!</v>
      </c>
      <c r="N57" s="57" t="e">
        <f t="shared" si="41"/>
        <v>#REF!</v>
      </c>
      <c r="O57" s="57" t="e">
        <f t="shared" si="42"/>
        <v>#REF!</v>
      </c>
      <c r="P57" s="57" t="e">
        <f t="shared" si="43"/>
        <v>#REF!</v>
      </c>
      <c r="Q57" s="57"/>
      <c r="R57" s="57"/>
      <c r="S57" s="57" t="e">
        <f>+G57/8</f>
        <v>#REF!</v>
      </c>
      <c r="T57" s="57"/>
      <c r="W57" s="3">
        <v>2053</v>
      </c>
      <c r="X57" s="61" t="e">
        <f t="shared" si="11"/>
        <v>#REF!</v>
      </c>
      <c r="Y57" s="63" t="e">
        <f t="shared" si="12"/>
        <v>#REF!</v>
      </c>
      <c r="Z57" s="64" t="e">
        <f t="shared" si="13"/>
        <v>#REF!</v>
      </c>
      <c r="AA57" s="64" t="e">
        <f>+(#REF!/#REF!)^0.2*AA56</f>
        <v>#REF!</v>
      </c>
      <c r="AB57" s="64" t="e">
        <f t="shared" si="14"/>
        <v>#REF!</v>
      </c>
      <c r="AC57" s="64" t="e">
        <f>+(#REF!/#REF!)^0.2*AC56</f>
        <v>#REF!</v>
      </c>
      <c r="AD57" s="64"/>
      <c r="AE57" s="64"/>
      <c r="AF57" s="64"/>
      <c r="AG57" s="63"/>
      <c r="AH57" s="65" t="e">
        <f t="shared" si="44"/>
        <v>#REF!</v>
      </c>
      <c r="AI57" s="60" t="e">
        <f t="shared" si="44"/>
        <v>#REF!</v>
      </c>
      <c r="AJ57" s="57" t="e">
        <f t="shared" si="44"/>
        <v>#REF!</v>
      </c>
      <c r="AK57" s="57" t="e">
        <f t="shared" si="44"/>
        <v>#REF!</v>
      </c>
      <c r="AL57" s="57" t="e">
        <f t="shared" si="44"/>
        <v>#REF!</v>
      </c>
      <c r="AM57" s="57"/>
      <c r="AN57" s="57"/>
      <c r="AO57" s="57">
        <f t="shared" si="45"/>
        <v>0</v>
      </c>
      <c r="AP57" s="57"/>
    </row>
    <row r="58" spans="1:43" ht="12.75" hidden="1" customHeight="1" x14ac:dyDescent="0.2">
      <c r="A58" s="67">
        <v>2054</v>
      </c>
      <c r="B58" s="61" t="e">
        <f>+(B$44/#REF!)^0.2*B57</f>
        <v>#REF!</v>
      </c>
      <c r="C58" s="63" t="e">
        <f>+(#REF!/#REF!)^0.2*C57</f>
        <v>#REF!</v>
      </c>
      <c r="D58" s="64" t="e">
        <f>+(#REF!/#REF!)^0.2*D57</f>
        <v>#REF!</v>
      </c>
      <c r="E58" s="64" t="e">
        <f>+(#REF!/#REF!)^0.2*E57</f>
        <v>#REF!</v>
      </c>
      <c r="F58" s="64" t="e">
        <f>+(#REF!/#REF!)^0.2*F57</f>
        <v>#REF!</v>
      </c>
      <c r="G58" s="64" t="e">
        <f>+(#REF!/#REF!)^0.2*G57</f>
        <v>#REF!</v>
      </c>
      <c r="H58" s="64"/>
      <c r="I58" s="64"/>
      <c r="J58" s="64"/>
      <c r="K58" s="63"/>
      <c r="L58" s="65" t="e">
        <f t="shared" si="39"/>
        <v>#REF!</v>
      </c>
      <c r="M58" s="60" t="e">
        <f t="shared" si="40"/>
        <v>#REF!</v>
      </c>
      <c r="N58" s="57" t="e">
        <f t="shared" si="41"/>
        <v>#REF!</v>
      </c>
      <c r="O58" s="57" t="e">
        <f t="shared" si="42"/>
        <v>#REF!</v>
      </c>
      <c r="P58" s="57" t="e">
        <f t="shared" si="43"/>
        <v>#REF!</v>
      </c>
      <c r="Q58" s="57"/>
      <c r="R58" s="57"/>
      <c r="S58" s="57" t="e">
        <f>+G58/8</f>
        <v>#REF!</v>
      </c>
      <c r="T58" s="57"/>
      <c r="W58" s="67">
        <v>2054</v>
      </c>
      <c r="X58" s="61" t="e">
        <f t="shared" si="11"/>
        <v>#REF!</v>
      </c>
      <c r="Y58" s="63" t="e">
        <f t="shared" si="12"/>
        <v>#REF!</v>
      </c>
      <c r="Z58" s="64" t="e">
        <f t="shared" si="13"/>
        <v>#REF!</v>
      </c>
      <c r="AA58" s="64" t="e">
        <f>+(#REF!/#REF!)^0.2*AA57</f>
        <v>#REF!</v>
      </c>
      <c r="AB58" s="64" t="e">
        <f t="shared" si="14"/>
        <v>#REF!</v>
      </c>
      <c r="AC58" s="64" t="e">
        <f>+(#REF!/#REF!)^0.2*AC57</f>
        <v>#REF!</v>
      </c>
      <c r="AD58" s="64"/>
      <c r="AE58" s="64"/>
      <c r="AF58" s="64"/>
      <c r="AG58" s="63"/>
      <c r="AH58" s="65" t="e">
        <f t="shared" si="44"/>
        <v>#REF!</v>
      </c>
      <c r="AI58" s="60" t="e">
        <f t="shared" si="44"/>
        <v>#REF!</v>
      </c>
      <c r="AJ58" s="57" t="e">
        <f t="shared" si="44"/>
        <v>#REF!</v>
      </c>
      <c r="AK58" s="57" t="e">
        <f t="shared" si="44"/>
        <v>#REF!</v>
      </c>
      <c r="AL58" s="57" t="e">
        <f t="shared" si="44"/>
        <v>#REF!</v>
      </c>
      <c r="AM58" s="57"/>
      <c r="AN58" s="57"/>
      <c r="AO58" s="57">
        <f t="shared" si="45"/>
        <v>0</v>
      </c>
      <c r="AP58" s="57"/>
    </row>
    <row r="59" spans="1:43" x14ac:dyDescent="0.2">
      <c r="C59" s="57"/>
      <c r="F59" s="64"/>
      <c r="G59" s="68"/>
      <c r="H59" s="68"/>
      <c r="I59" s="68"/>
      <c r="J59" s="68"/>
      <c r="K59" s="490"/>
      <c r="L59" s="10"/>
      <c r="M59" s="10"/>
      <c r="N59" s="10"/>
      <c r="O59" s="10"/>
      <c r="P59" s="10"/>
      <c r="Q59" s="10"/>
      <c r="R59" s="10"/>
      <c r="S59" s="10"/>
      <c r="T59" s="10"/>
      <c r="Y59" s="57"/>
      <c r="AA59" s="7"/>
      <c r="AB59" s="64"/>
      <c r="AC59" s="68"/>
      <c r="AD59" s="68"/>
      <c r="AE59" s="68"/>
      <c r="AF59" s="68"/>
      <c r="AG59" s="490"/>
      <c r="AH59" s="10"/>
      <c r="AI59" s="10"/>
      <c r="AJ59" s="10"/>
      <c r="AK59" s="10"/>
      <c r="AL59" s="10"/>
      <c r="AM59" s="10"/>
      <c r="AN59" s="10"/>
      <c r="AO59" s="10"/>
      <c r="AP59" s="10"/>
    </row>
    <row r="60" spans="1:43" x14ac:dyDescent="0.2">
      <c r="A60" s="56" t="s">
        <v>437</v>
      </c>
      <c r="F60" s="64"/>
      <c r="J60" s="56" t="s">
        <v>368</v>
      </c>
      <c r="W60" s="56"/>
      <c r="AA60" s="7"/>
      <c r="AB60" s="64"/>
      <c r="AC60" s="7"/>
      <c r="AD60" s="7"/>
      <c r="AE60" s="7"/>
      <c r="AF60" s="56" t="s">
        <v>368</v>
      </c>
      <c r="AG60" s="53"/>
    </row>
    <row r="61" spans="1:43" ht="15" thickBot="1" x14ac:dyDescent="0.25">
      <c r="A61" s="571" t="s">
        <v>438</v>
      </c>
      <c r="F61" s="64"/>
      <c r="K61" s="7" t="s">
        <v>356</v>
      </c>
      <c r="W61" s="571"/>
      <c r="AA61" s="7"/>
      <c r="AB61" s="64"/>
      <c r="AC61" s="7"/>
      <c r="AD61" s="7"/>
      <c r="AF61" s="53"/>
      <c r="AG61" s="7" t="s">
        <v>356</v>
      </c>
    </row>
    <row r="62" spans="1:43" x14ac:dyDescent="0.2">
      <c r="A62" s="69" t="s">
        <v>7</v>
      </c>
      <c r="J62" s="961">
        <v>2007</v>
      </c>
      <c r="K62" s="651">
        <v>1</v>
      </c>
      <c r="W62" s="69"/>
      <c r="AA62" s="7"/>
      <c r="AB62" s="7"/>
      <c r="AC62" s="7"/>
      <c r="AD62" s="7"/>
      <c r="AF62" s="1285">
        <v>2007</v>
      </c>
      <c r="AG62" s="651">
        <v>1</v>
      </c>
    </row>
    <row r="63" spans="1:43" x14ac:dyDescent="0.2">
      <c r="A63" s="3" t="s">
        <v>8</v>
      </c>
      <c r="J63" s="487">
        <v>2008</v>
      </c>
      <c r="K63" s="651">
        <v>1</v>
      </c>
      <c r="AA63" s="7"/>
      <c r="AB63" s="7"/>
      <c r="AC63" s="7"/>
      <c r="AD63" s="7"/>
      <c r="AF63" s="489">
        <v>2008</v>
      </c>
      <c r="AG63" s="651">
        <v>1</v>
      </c>
    </row>
    <row r="64" spans="1:43" x14ac:dyDescent="0.2">
      <c r="J64" s="487">
        <v>2009</v>
      </c>
      <c r="K64" s="651">
        <v>1</v>
      </c>
      <c r="AF64" s="489">
        <v>2009</v>
      </c>
      <c r="AG64" s="651">
        <v>1</v>
      </c>
    </row>
    <row r="65" spans="2:33" x14ac:dyDescent="0.2">
      <c r="J65" s="488">
        <v>2010</v>
      </c>
      <c r="K65" s="651">
        <v>1</v>
      </c>
      <c r="AF65" s="489">
        <v>2010</v>
      </c>
      <c r="AG65" s="651">
        <v>1</v>
      </c>
    </row>
    <row r="66" spans="2:33" x14ac:dyDescent="0.2">
      <c r="J66" s="489">
        <v>2011</v>
      </c>
      <c r="K66" s="651">
        <v>1</v>
      </c>
      <c r="AF66" s="489">
        <v>2011</v>
      </c>
      <c r="AG66" s="651">
        <v>1</v>
      </c>
    </row>
    <row r="67" spans="2:33" x14ac:dyDescent="0.2">
      <c r="J67" s="963">
        <v>2012</v>
      </c>
      <c r="K67" s="651">
        <v>1</v>
      </c>
      <c r="AF67" s="963">
        <v>2012</v>
      </c>
      <c r="AG67" s="651">
        <v>1</v>
      </c>
    </row>
    <row r="68" spans="2:33" x14ac:dyDescent="0.2">
      <c r="J68" s="963">
        <v>2013</v>
      </c>
      <c r="K68" s="651">
        <v>1</v>
      </c>
      <c r="AF68" s="963">
        <v>2013</v>
      </c>
      <c r="AG68" s="651">
        <v>1</v>
      </c>
    </row>
    <row r="69" spans="2:33" x14ac:dyDescent="0.2">
      <c r="J69" s="963">
        <v>2014</v>
      </c>
      <c r="K69" s="651">
        <v>1</v>
      </c>
      <c r="AF69" s="963">
        <v>2014</v>
      </c>
      <c r="AG69" s="651">
        <v>1</v>
      </c>
    </row>
    <row r="70" spans="2:33" x14ac:dyDescent="0.2">
      <c r="J70" s="964">
        <v>2015</v>
      </c>
      <c r="K70" s="651">
        <v>1</v>
      </c>
      <c r="AF70" s="963">
        <v>2015</v>
      </c>
      <c r="AG70" s="651">
        <v>1</v>
      </c>
    </row>
    <row r="71" spans="2:33" x14ac:dyDescent="0.2">
      <c r="B71" s="70"/>
      <c r="D71" s="70"/>
      <c r="J71" s="963">
        <v>2016</v>
      </c>
      <c r="K71" s="651">
        <v>1</v>
      </c>
      <c r="AF71" s="963">
        <v>2016</v>
      </c>
      <c r="AG71" s="651">
        <v>1</v>
      </c>
    </row>
    <row r="72" spans="2:33" x14ac:dyDescent="0.2">
      <c r="B72" s="70"/>
      <c r="D72" s="70"/>
      <c r="J72" s="963">
        <v>2017</v>
      </c>
      <c r="K72" s="651">
        <v>1</v>
      </c>
      <c r="AF72" s="963">
        <v>2017</v>
      </c>
      <c r="AG72" s="651">
        <v>1</v>
      </c>
    </row>
    <row r="73" spans="2:33" x14ac:dyDescent="0.2">
      <c r="B73" s="70"/>
      <c r="D73" s="70"/>
      <c r="J73" s="963">
        <v>2018</v>
      </c>
      <c r="K73" s="651">
        <v>1</v>
      </c>
      <c r="AF73" s="963">
        <v>2018</v>
      </c>
      <c r="AG73" s="651">
        <v>1</v>
      </c>
    </row>
    <row r="74" spans="2:33" x14ac:dyDescent="0.2">
      <c r="B74" s="70"/>
      <c r="D74" s="70"/>
      <c r="J74" s="963">
        <v>2019</v>
      </c>
      <c r="K74" s="651">
        <v>1</v>
      </c>
      <c r="AF74" s="963">
        <v>2019</v>
      </c>
      <c r="AG74" s="651">
        <v>1</v>
      </c>
    </row>
    <row r="75" spans="2:33" x14ac:dyDescent="0.2">
      <c r="B75" s="70"/>
      <c r="D75" s="70"/>
      <c r="J75" s="964">
        <v>2020</v>
      </c>
      <c r="K75" s="651">
        <v>1</v>
      </c>
      <c r="AF75" s="963">
        <v>2020</v>
      </c>
      <c r="AG75" s="651">
        <v>1</v>
      </c>
    </row>
    <row r="76" spans="2:33" x14ac:dyDescent="0.2">
      <c r="B76" s="70"/>
      <c r="D76" s="70"/>
      <c r="J76" s="963">
        <v>2021</v>
      </c>
      <c r="K76" s="651">
        <v>1</v>
      </c>
      <c r="AF76" s="963">
        <v>2021</v>
      </c>
      <c r="AG76" s="651">
        <v>1</v>
      </c>
    </row>
    <row r="77" spans="2:33" x14ac:dyDescent="0.2">
      <c r="B77" s="70"/>
      <c r="D77" s="70"/>
      <c r="J77" s="963">
        <v>2022</v>
      </c>
      <c r="K77" s="651">
        <v>1</v>
      </c>
      <c r="AF77" s="963">
        <v>2022</v>
      </c>
      <c r="AG77" s="651">
        <v>1</v>
      </c>
    </row>
    <row r="78" spans="2:33" x14ac:dyDescent="0.2">
      <c r="B78" s="70"/>
      <c r="D78" s="70"/>
      <c r="J78" s="963">
        <v>2023</v>
      </c>
      <c r="K78" s="651">
        <v>1</v>
      </c>
      <c r="AF78" s="963">
        <v>2023</v>
      </c>
      <c r="AG78" s="651">
        <v>1</v>
      </c>
    </row>
    <row r="79" spans="2:33" x14ac:dyDescent="0.2">
      <c r="B79" s="70"/>
      <c r="D79" s="70"/>
      <c r="J79" s="963">
        <v>2024</v>
      </c>
      <c r="K79" s="651">
        <v>1</v>
      </c>
      <c r="AF79" s="963">
        <v>2024</v>
      </c>
      <c r="AG79" s="651">
        <v>1</v>
      </c>
    </row>
    <row r="80" spans="2:33" x14ac:dyDescent="0.2">
      <c r="B80" s="70"/>
      <c r="D80" s="70"/>
      <c r="J80" s="964">
        <v>2025</v>
      </c>
      <c r="K80" s="651">
        <v>1</v>
      </c>
      <c r="AF80" s="963">
        <v>2025</v>
      </c>
      <c r="AG80" s="651">
        <v>1</v>
      </c>
    </row>
    <row r="81" spans="2:33" x14ac:dyDescent="0.2">
      <c r="B81" s="70"/>
      <c r="D81" s="70"/>
      <c r="J81" s="963">
        <v>2026</v>
      </c>
      <c r="K81" s="651">
        <v>1</v>
      </c>
      <c r="AF81" s="963">
        <v>2026</v>
      </c>
      <c r="AG81" s="651">
        <v>1</v>
      </c>
    </row>
    <row r="82" spans="2:33" x14ac:dyDescent="0.2">
      <c r="B82" s="70"/>
      <c r="D82" s="70"/>
      <c r="J82" s="963">
        <v>2027</v>
      </c>
      <c r="K82" s="651">
        <v>1</v>
      </c>
      <c r="AF82" s="963">
        <v>2027</v>
      </c>
      <c r="AG82" s="651">
        <v>1</v>
      </c>
    </row>
    <row r="83" spans="2:33" x14ac:dyDescent="0.2">
      <c r="B83" s="70"/>
      <c r="D83" s="70"/>
      <c r="J83" s="963">
        <v>2028</v>
      </c>
      <c r="K83" s="651">
        <v>1</v>
      </c>
      <c r="AF83" s="963">
        <v>2028</v>
      </c>
      <c r="AG83" s="651">
        <v>1</v>
      </c>
    </row>
    <row r="84" spans="2:33" x14ac:dyDescent="0.2">
      <c r="B84" s="70"/>
      <c r="D84" s="70"/>
      <c r="J84" s="963">
        <v>2029</v>
      </c>
      <c r="K84" s="651">
        <v>1</v>
      </c>
      <c r="AF84" s="963">
        <v>2029</v>
      </c>
      <c r="AG84" s="651">
        <v>1</v>
      </c>
    </row>
    <row r="85" spans="2:33" x14ac:dyDescent="0.2">
      <c r="B85" s="70"/>
      <c r="D85" s="70"/>
      <c r="J85" s="964">
        <v>2030</v>
      </c>
      <c r="K85" s="651">
        <v>1</v>
      </c>
      <c r="AF85" s="963">
        <v>2030</v>
      </c>
      <c r="AG85" s="651">
        <v>1</v>
      </c>
    </row>
    <row r="86" spans="2:33" x14ac:dyDescent="0.2">
      <c r="B86" s="70"/>
      <c r="D86" s="70"/>
      <c r="J86" s="963">
        <v>2031</v>
      </c>
      <c r="K86" s="651">
        <v>1</v>
      </c>
      <c r="AF86" s="963">
        <v>2031</v>
      </c>
      <c r="AG86" s="651">
        <v>1</v>
      </c>
    </row>
    <row r="87" spans="2:33" x14ac:dyDescent="0.2">
      <c r="B87" s="70"/>
      <c r="D87" s="70"/>
      <c r="J87" s="963">
        <v>2032</v>
      </c>
      <c r="K87" s="651">
        <v>1</v>
      </c>
      <c r="AF87" s="963">
        <v>2032</v>
      </c>
      <c r="AG87" s="651">
        <v>1</v>
      </c>
    </row>
    <row r="88" spans="2:33" x14ac:dyDescent="0.2">
      <c r="B88" s="70"/>
      <c r="D88" s="70"/>
      <c r="J88" s="963">
        <v>2033</v>
      </c>
      <c r="K88" s="651">
        <v>1</v>
      </c>
      <c r="AF88" s="963">
        <v>2033</v>
      </c>
      <c r="AG88" s="651">
        <v>1</v>
      </c>
    </row>
    <row r="89" spans="2:33" x14ac:dyDescent="0.2">
      <c r="B89" s="70"/>
      <c r="D89" s="70"/>
      <c r="J89" s="963">
        <v>2034</v>
      </c>
      <c r="K89" s="651">
        <v>1</v>
      </c>
      <c r="AF89" s="963">
        <v>2034</v>
      </c>
      <c r="AG89" s="651">
        <v>1</v>
      </c>
    </row>
    <row r="90" spans="2:33" x14ac:dyDescent="0.2">
      <c r="B90" s="70"/>
      <c r="D90" s="70"/>
      <c r="J90" s="964">
        <v>2035</v>
      </c>
      <c r="K90" s="651">
        <v>1</v>
      </c>
      <c r="AF90" s="963">
        <v>2035</v>
      </c>
      <c r="AG90" s="651">
        <v>1</v>
      </c>
    </row>
    <row r="91" spans="2:33" x14ac:dyDescent="0.2">
      <c r="B91" s="70"/>
      <c r="D91" s="70"/>
      <c r="J91" s="963">
        <v>2036</v>
      </c>
      <c r="K91" s="651">
        <v>1</v>
      </c>
      <c r="AF91" s="963">
        <v>2036</v>
      </c>
      <c r="AG91" s="651">
        <v>1</v>
      </c>
    </row>
    <row r="92" spans="2:33" x14ac:dyDescent="0.2">
      <c r="B92" s="70"/>
      <c r="D92" s="70"/>
      <c r="J92" s="963">
        <v>2037</v>
      </c>
      <c r="K92" s="651">
        <v>1</v>
      </c>
      <c r="AF92" s="963">
        <v>2037</v>
      </c>
      <c r="AG92" s="651">
        <v>1</v>
      </c>
    </row>
    <row r="93" spans="2:33" x14ac:dyDescent="0.2">
      <c r="B93" s="70"/>
      <c r="D93" s="70"/>
      <c r="J93" s="963">
        <v>2038</v>
      </c>
      <c r="K93" s="651">
        <v>1</v>
      </c>
      <c r="AF93" s="963">
        <v>2038</v>
      </c>
      <c r="AG93" s="651">
        <v>1</v>
      </c>
    </row>
    <row r="94" spans="2:33" x14ac:dyDescent="0.2">
      <c r="B94" s="70"/>
      <c r="D94" s="70"/>
      <c r="J94" s="963">
        <v>2039</v>
      </c>
      <c r="K94" s="651">
        <v>1</v>
      </c>
      <c r="AF94" s="963">
        <v>2039</v>
      </c>
      <c r="AG94" s="651">
        <v>1</v>
      </c>
    </row>
    <row r="95" spans="2:33" x14ac:dyDescent="0.2">
      <c r="J95" s="964">
        <v>2040</v>
      </c>
      <c r="K95" s="651">
        <v>1</v>
      </c>
      <c r="AF95" s="963">
        <v>2040</v>
      </c>
      <c r="AG95" s="651">
        <v>1</v>
      </c>
    </row>
    <row r="96" spans="2:33" x14ac:dyDescent="0.2">
      <c r="J96" s="963">
        <v>2041</v>
      </c>
      <c r="K96" s="651">
        <v>1</v>
      </c>
      <c r="AF96" s="963">
        <v>2041</v>
      </c>
      <c r="AG96" s="651">
        <v>1</v>
      </c>
    </row>
    <row r="97" spans="10:33" x14ac:dyDescent="0.2">
      <c r="J97" s="963">
        <v>2042</v>
      </c>
      <c r="K97" s="651">
        <v>1</v>
      </c>
      <c r="AF97" s="963">
        <v>2042</v>
      </c>
      <c r="AG97" s="651">
        <v>1</v>
      </c>
    </row>
    <row r="98" spans="10:33" x14ac:dyDescent="0.2">
      <c r="J98" s="963">
        <v>2043</v>
      </c>
      <c r="K98" s="651">
        <v>1</v>
      </c>
      <c r="AF98" s="963">
        <v>2043</v>
      </c>
      <c r="AG98" s="651">
        <v>1</v>
      </c>
    </row>
    <row r="99" spans="10:33" x14ac:dyDescent="0.2">
      <c r="J99" s="963">
        <v>2044</v>
      </c>
      <c r="K99" s="651">
        <v>1</v>
      </c>
      <c r="AF99" s="963">
        <v>2044</v>
      </c>
      <c r="AG99" s="651">
        <v>1</v>
      </c>
    </row>
    <row r="100" spans="10:33" x14ac:dyDescent="0.2">
      <c r="J100" s="964">
        <v>2045</v>
      </c>
      <c r="K100" s="651">
        <v>1</v>
      </c>
      <c r="AF100" s="963">
        <v>2045</v>
      </c>
      <c r="AG100" s="651">
        <v>1</v>
      </c>
    </row>
    <row r="101" spans="10:33" x14ac:dyDescent="0.2">
      <c r="J101" s="963">
        <v>2046</v>
      </c>
      <c r="K101" s="651">
        <v>1</v>
      </c>
      <c r="AF101" s="963">
        <v>2046</v>
      </c>
      <c r="AG101" s="651">
        <v>1</v>
      </c>
    </row>
    <row r="102" spans="10:33" x14ac:dyDescent="0.2">
      <c r="J102" s="963">
        <v>2047</v>
      </c>
      <c r="K102" s="651">
        <v>1</v>
      </c>
      <c r="AF102" s="963">
        <v>2047</v>
      </c>
      <c r="AG102" s="651">
        <v>1</v>
      </c>
    </row>
    <row r="103" spans="10:33" x14ac:dyDescent="0.2">
      <c r="J103" s="963">
        <v>2048</v>
      </c>
      <c r="K103" s="651">
        <v>1</v>
      </c>
      <c r="AF103" s="963">
        <v>2048</v>
      </c>
      <c r="AG103" s="651">
        <v>1</v>
      </c>
    </row>
    <row r="104" spans="10:33" x14ac:dyDescent="0.2">
      <c r="J104" s="963">
        <v>2049</v>
      </c>
      <c r="K104" s="651">
        <v>1</v>
      </c>
      <c r="AF104" s="963">
        <v>2049</v>
      </c>
      <c r="AG104" s="651">
        <v>1</v>
      </c>
    </row>
    <row r="105" spans="10:33" ht="15" thickBot="1" x14ac:dyDescent="0.25">
      <c r="J105" s="965">
        <v>2050</v>
      </c>
      <c r="K105" s="651">
        <v>1</v>
      </c>
      <c r="AF105" s="1286">
        <v>2050</v>
      </c>
      <c r="AG105" s="651">
        <v>1</v>
      </c>
    </row>
  </sheetData>
  <mergeCells count="10">
    <mergeCell ref="W7:AP7"/>
    <mergeCell ref="A7:T7"/>
    <mergeCell ref="B8:I8"/>
    <mergeCell ref="L8:S8"/>
    <mergeCell ref="B9:I9"/>
    <mergeCell ref="L9:S9"/>
    <mergeCell ref="AH8:AO8"/>
    <mergeCell ref="AH9:AO9"/>
    <mergeCell ref="X8:AE8"/>
    <mergeCell ref="X9:AE9"/>
  </mergeCells>
  <phoneticPr fontId="0" type="noConversion"/>
  <dataValidations count="1">
    <dataValidation type="list" allowBlank="1" showInputMessage="1" showErrorMessage="1" sqref="U7" xr:uid="{20EE70C3-07EF-453D-99A9-C6D4CD5FE538}">
      <formula1>TorF</formula1>
    </dataValidation>
  </dataValidations>
  <hyperlinks>
    <hyperlink ref="A61" r:id="rId1" xr:uid="{DDBB43DA-2558-4CC0-A416-C338076B5133}"/>
  </hyperlinks>
  <pageMargins left="0.75" right="0.75" top="1" bottom="1" header="0.5" footer="0.5"/>
  <pageSetup scale="22" orientation="portrait" horizontalDpi="4294967293" verticalDpi="300" r:id="rId2"/>
  <headerFooter alignWithMargins="0">
    <oddFooter>&amp;L_________________________
Laboratory Analytic Team - TAE&amp;R_________________________
&amp;F, &amp;A</oddFooter>
  </headerFooter>
  <drawing r:id="rId3"/>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CalcCls1">
    <tabColor indexed="48"/>
  </sheetPr>
  <dimension ref="A1:BL330"/>
  <sheetViews>
    <sheetView showZeros="0" topLeftCell="A14" zoomScale="80" zoomScaleNormal="80" workbookViewId="0">
      <pane xSplit="1" topLeftCell="K1" activePane="topRight" state="frozen"/>
      <selection pane="topRight" activeCell="N45" sqref="N45"/>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6640625" style="227" customWidth="1"/>
    <col min="11" max="11" width="10.1640625" style="227" customWidth="1"/>
    <col min="12" max="13" width="12.33203125"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ustomWidth="1"/>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10" style="227" customWidth="1"/>
    <col min="29" max="29" width="11.1640625" style="227" customWidth="1"/>
    <col min="30" max="30" width="10.5" style="227" customWidth="1"/>
    <col min="31" max="31" width="10" style="227" customWidth="1"/>
    <col min="32" max="32" width="11.83203125" style="227" customWidth="1"/>
    <col min="33" max="34" width="8.5" style="227" customWidth="1"/>
    <col min="35" max="36" width="8.5" style="323" customWidth="1"/>
    <col min="37" max="37" width="9.5" style="323" customWidth="1"/>
    <col min="38" max="39" width="8.5" style="323" customWidth="1"/>
    <col min="40" max="40" width="9.5" style="227" customWidth="1"/>
    <col min="41" max="41" width="10.5" style="227" customWidth="1"/>
    <col min="42" max="42" width="9.33203125" style="227" customWidth="1"/>
    <col min="43" max="43" width="9.5" style="227" customWidth="1"/>
    <col min="44" max="44" width="8.5" style="227"/>
    <col min="45" max="45" width="11.1640625" style="227" customWidth="1"/>
    <col min="46" max="46" width="9" style="227" customWidth="1"/>
    <col min="47" max="47" width="8.5" style="227"/>
    <col min="48" max="48" width="9" style="227" customWidth="1"/>
    <col min="49" max="50" width="8.5" style="227"/>
    <col min="51" max="52" width="8.5" style="227" customWidth="1"/>
    <col min="53" max="53" width="9.33203125" style="227" customWidth="1"/>
    <col min="54" max="61" width="8.5" style="227" customWidth="1"/>
    <col min="62" max="62" width="13" style="227" customWidth="1"/>
    <col min="63" max="16384" width="8.5" style="227"/>
  </cols>
  <sheetData>
    <row r="1" spans="2:64" ht="16" x14ac:dyDescent="0.2">
      <c r="B1" s="54" t="s">
        <v>239</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66" t="s">
        <v>53</v>
      </c>
      <c r="C3" s="1567"/>
      <c r="D3" s="236">
        <f>'Run Model'!C6</f>
        <v>7.4999999999999997E-2</v>
      </c>
      <c r="F3"/>
      <c r="G3"/>
      <c r="H3"/>
      <c r="L3" s="227" t="s">
        <v>374</v>
      </c>
      <c r="N3" s="227" t="s">
        <v>127</v>
      </c>
      <c r="P3" s="1549" t="s">
        <v>204</v>
      </c>
      <c r="Q3" s="1550"/>
      <c r="R3" s="1550"/>
      <c r="S3" s="1550"/>
      <c r="T3" s="1550"/>
      <c r="U3" s="1551"/>
      <c r="Y3" s="216"/>
      <c r="AI3" s="227"/>
      <c r="AJ3" s="227"/>
      <c r="AK3" s="227"/>
      <c r="AL3" s="227"/>
      <c r="AM3" s="227"/>
    </row>
    <row r="4" spans="2:64" x14ac:dyDescent="0.2">
      <c r="B4" s="1566" t="s">
        <v>104</v>
      </c>
      <c r="C4" s="1567"/>
      <c r="D4" s="225" t="str">
        <f>'Run Model'!C7</f>
        <v>Moderate</v>
      </c>
      <c r="F4"/>
      <c r="G4"/>
      <c r="H4"/>
      <c r="N4" s="227" t="s">
        <v>126</v>
      </c>
      <c r="P4" s="1563">
        <v>44033.658958333333</v>
      </c>
      <c r="Q4" s="1550"/>
      <c r="R4" s="1550"/>
      <c r="S4" s="1550"/>
      <c r="T4" s="1550"/>
      <c r="U4" s="1551"/>
      <c r="V4" s="227" t="s">
        <v>186</v>
      </c>
      <c r="AI4" s="227"/>
      <c r="AJ4" s="227"/>
      <c r="AK4" s="227"/>
      <c r="AL4" s="227"/>
      <c r="AM4" s="227"/>
    </row>
    <row r="5" spans="2:64" x14ac:dyDescent="0.2">
      <c r="B5" s="1566" t="s">
        <v>118</v>
      </c>
      <c r="C5" s="1567"/>
      <c r="D5" s="225" t="s">
        <v>15</v>
      </c>
      <c r="F5"/>
      <c r="G5"/>
      <c r="H5"/>
      <c r="P5" s="1563">
        <v>44033.65896990741</v>
      </c>
      <c r="Q5" s="1550"/>
      <c r="R5" s="1550"/>
      <c r="S5" s="1550"/>
      <c r="T5" s="1550"/>
      <c r="U5" s="1551"/>
      <c r="V5" s="227" t="s">
        <v>15</v>
      </c>
      <c r="AI5" s="227"/>
      <c r="AJ5" s="227"/>
      <c r="AK5" s="227"/>
      <c r="AL5" s="227"/>
      <c r="AM5" s="227"/>
    </row>
    <row r="6" spans="2:64" x14ac:dyDescent="0.2">
      <c r="B6" s="1566" t="s">
        <v>68</v>
      </c>
      <c r="C6" s="1567"/>
      <c r="D6" s="238">
        <v>224042.00197938742</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243"/>
      <c r="AK8" s="244"/>
      <c r="AL8" s="244"/>
      <c r="AM8" s="244"/>
      <c r="BI8" s="245"/>
      <c r="BJ8" s="245"/>
      <c r="BK8" s="245"/>
      <c r="BL8" s="245"/>
    </row>
    <row r="9" spans="2:64" s="240" customFormat="1" ht="26.25" customHeight="1" thickBot="1" x14ac:dyDescent="0.25">
      <c r="B9" s="246"/>
      <c r="C9" s="247"/>
      <c r="D9" s="248"/>
      <c r="E9" s="248"/>
      <c r="F9" s="246"/>
      <c r="G9" s="729"/>
      <c r="H9" s="271"/>
      <c r="I9" s="271"/>
      <c r="J9" s="1537" t="s">
        <v>76</v>
      </c>
      <c r="K9" s="1538"/>
      <c r="L9" s="1558" t="s">
        <v>83</v>
      </c>
      <c r="M9" s="1559"/>
      <c r="N9" s="1564" t="s">
        <v>109</v>
      </c>
      <c r="O9" s="1564"/>
      <c r="P9" s="1564"/>
      <c r="Q9" s="1565"/>
      <c r="R9" s="591"/>
      <c r="S9" s="241"/>
      <c r="T9" s="242"/>
      <c r="AD9" s="784"/>
      <c r="AG9" s="243"/>
      <c r="AH9" s="541"/>
      <c r="AI9" s="541"/>
      <c r="AJ9" s="244"/>
      <c r="BF9" s="245"/>
      <c r="BG9" s="245"/>
      <c r="BH9" s="245"/>
      <c r="BI9" s="245"/>
      <c r="BJ9" s="245"/>
      <c r="BK9" s="245"/>
    </row>
    <row r="10" spans="2:64" s="240" customFormat="1" ht="39" customHeight="1" thickBot="1" x14ac:dyDescent="0.25">
      <c r="B10" s="273"/>
      <c r="C10" s="591" t="s">
        <v>75</v>
      </c>
      <c r="D10" s="591"/>
      <c r="E10" s="591"/>
      <c r="F10" s="730" t="s">
        <v>211</v>
      </c>
      <c r="G10" s="731" t="s">
        <v>210</v>
      </c>
      <c r="H10" s="835" t="s">
        <v>264</v>
      </c>
      <c r="I10" s="740" t="s">
        <v>81</v>
      </c>
      <c r="J10" s="1113" t="s">
        <v>283</v>
      </c>
      <c r="K10" s="1114" t="s">
        <v>284</v>
      </c>
      <c r="L10" s="574" t="s">
        <v>113</v>
      </c>
      <c r="M10" s="575" t="s">
        <v>84</v>
      </c>
      <c r="N10" s="572" t="s">
        <v>95</v>
      </c>
      <c r="O10" s="573" t="s">
        <v>112</v>
      </c>
      <c r="P10" s="573" t="s">
        <v>120</v>
      </c>
      <c r="Q10" s="575" t="s">
        <v>108</v>
      </c>
      <c r="R10" s="242"/>
      <c r="AD10" s="784"/>
      <c r="AE10" s="243"/>
      <c r="AF10" s="244"/>
      <c r="BD10" s="828"/>
      <c r="BE10" s="245"/>
      <c r="BF10" s="245"/>
      <c r="BG10" s="245"/>
      <c r="BH10" s="245"/>
      <c r="BI10" s="245"/>
    </row>
    <row r="11" spans="2:64" s="240" customFormat="1" x14ac:dyDescent="0.2">
      <c r="B11" s="588" t="s">
        <v>69</v>
      </c>
      <c r="C11" s="583" t="str">
        <f t="shared" ref="C11:C16" si="0">INDEX(TECH_OPT_PARAMS_Cls1,MATCH($B11,TECH_OPT_ROWS_Cls1,0),MATCH(C$10,TECH_OPT_COLS_Cls1,0))</f>
        <v>Conventional Diesel ICE</v>
      </c>
      <c r="D11" s="583"/>
      <c r="E11" s="583"/>
      <c r="F11" s="724" t="str">
        <f t="shared" ref="F11:O16" si="1">INDEX(TECH_OPT_PARAMS_Cls1,MATCH($B11,TECH_OPT_ROWS_Cls1,0),MATCH(F$10,TECH_OPT_COLS_Cls1,0))</f>
        <v>Diesel</v>
      </c>
      <c r="G11" s="728" t="str">
        <f t="shared" si="1"/>
        <v>N/A</v>
      </c>
      <c r="H11" s="900" t="b">
        <f>INDEX(TECH_OPT_PARAMS_Cls1,MATCH($B11,TECH_OPT_ROWS_Cls1,0),MATCH(H$10,TECH_OPT_COLS_Cls1,0))</f>
        <v>0</v>
      </c>
      <c r="I11" s="741">
        <f t="shared" si="1"/>
        <v>0</v>
      </c>
      <c r="J11" s="988">
        <f t="shared" si="1"/>
        <v>0</v>
      </c>
      <c r="K11" s="989">
        <f t="shared" si="1"/>
        <v>0</v>
      </c>
      <c r="L11" s="988">
        <f t="shared" si="1"/>
        <v>0</v>
      </c>
      <c r="M11" s="989">
        <f t="shared" si="1"/>
        <v>0</v>
      </c>
      <c r="N11" s="992">
        <f t="shared" si="1"/>
        <v>0</v>
      </c>
      <c r="O11" s="577">
        <f t="shared" si="1"/>
        <v>350</v>
      </c>
      <c r="P11" s="578">
        <f>$D$6*('Inputs 7&amp;8 SU'!$N8/('Inputs 7&amp;8 SU'!$O8*1000))/12</f>
        <v>0</v>
      </c>
      <c r="Q11" s="579">
        <f>$D$6*('Inputs 7&amp;8 Day'!$N8/('Inputs 7&amp;8 Day'!$O8*1000))/12</f>
        <v>0</v>
      </c>
      <c r="R11" s="242"/>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4" t="str">
        <f t="shared" si="1"/>
        <v>Diesel</v>
      </c>
      <c r="G12" s="725" t="str">
        <f t="shared" si="1"/>
        <v>N/A</v>
      </c>
      <c r="H12" s="898" t="b">
        <f t="shared" si="1"/>
        <v>0</v>
      </c>
      <c r="I12" s="742">
        <f t="shared" si="1"/>
        <v>2021</v>
      </c>
      <c r="J12" s="990">
        <f t="shared" si="1"/>
        <v>0</v>
      </c>
      <c r="K12" s="991">
        <f t="shared" si="1"/>
        <v>0</v>
      </c>
      <c r="L12" s="990">
        <f t="shared" si="1"/>
        <v>0.5</v>
      </c>
      <c r="M12" s="991">
        <f t="shared" si="1"/>
        <v>1</v>
      </c>
      <c r="N12" s="738">
        <f t="shared" si="1"/>
        <v>0</v>
      </c>
      <c r="O12" s="237">
        <f t="shared" si="1"/>
        <v>350</v>
      </c>
      <c r="P12" s="258">
        <f>$D$6*('Inputs 7&amp;8 SU'!$N9/('Inputs 7&amp;8 SU'!$O9*1000))/12</f>
        <v>0</v>
      </c>
      <c r="Q12" s="259">
        <f>$D$6*('Inputs 7&amp;8 Day'!$N9/('Inputs 7&amp;8 Day'!$O9*1000))/12</f>
        <v>0</v>
      </c>
      <c r="R12" s="260"/>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HEV</v>
      </c>
      <c r="D13" s="585"/>
      <c r="E13" s="585"/>
      <c r="F13" s="724" t="str">
        <f t="shared" si="1"/>
        <v>Diesel</v>
      </c>
      <c r="G13" s="725" t="str">
        <f t="shared" si="1"/>
        <v>N/A</v>
      </c>
      <c r="H13" s="898" t="b">
        <f t="shared" si="1"/>
        <v>0</v>
      </c>
      <c r="I13" s="742">
        <f t="shared" si="1"/>
        <v>2021</v>
      </c>
      <c r="J13" s="1260">
        <f t="shared" si="1"/>
        <v>0</v>
      </c>
      <c r="K13" s="991">
        <f t="shared" si="1"/>
        <v>0</v>
      </c>
      <c r="L13" s="990">
        <f t="shared" si="1"/>
        <v>0.5</v>
      </c>
      <c r="M13" s="991">
        <f t="shared" si="1"/>
        <v>1</v>
      </c>
      <c r="N13" s="738">
        <f t="shared" si="1"/>
        <v>0</v>
      </c>
      <c r="O13" s="237">
        <f t="shared" si="1"/>
        <v>350</v>
      </c>
      <c r="P13" s="258">
        <f>$D$6*('Inputs 7&amp;8 SU'!$N10/('Inputs 7&amp;8 SU'!$O10*1000))/12</f>
        <v>0</v>
      </c>
      <c r="Q13" s="259">
        <f>$D$6*('Inputs 7&amp;8 Day'!$N10/('Inputs 7&amp;8 Day'!$O10*1000))/12</f>
        <v>0</v>
      </c>
      <c r="R13" s="260"/>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BEV</v>
      </c>
      <c r="D14" s="585"/>
      <c r="E14" s="585"/>
      <c r="F14" s="724" t="str">
        <f t="shared" si="1"/>
        <v>Electricity</v>
      </c>
      <c r="G14" s="725" t="str">
        <f t="shared" si="1"/>
        <v>N/A</v>
      </c>
      <c r="H14" s="898" t="b">
        <f t="shared" si="1"/>
        <v>1</v>
      </c>
      <c r="I14" s="742">
        <f t="shared" si="1"/>
        <v>2021</v>
      </c>
      <c r="J14" s="1260">
        <f t="shared" si="1"/>
        <v>0</v>
      </c>
      <c r="K14" s="991">
        <f t="shared" si="1"/>
        <v>0</v>
      </c>
      <c r="L14" s="990">
        <f t="shared" si="1"/>
        <v>0.5</v>
      </c>
      <c r="M14" s="991">
        <f t="shared" si="1"/>
        <v>1</v>
      </c>
      <c r="N14" s="738">
        <f t="shared" si="1"/>
        <v>0</v>
      </c>
      <c r="O14" s="237">
        <f t="shared" si="1"/>
        <v>350</v>
      </c>
      <c r="P14" s="708">
        <f>$D$6*('Inputs 7&amp;8 SU'!$N11/('Inputs 7&amp;8 SU'!$O11*1000))/12</f>
        <v>0</v>
      </c>
      <c r="Q14" s="709">
        <f>$D$6*('Inputs 7&amp;8 Day'!$N11/('Inputs 7&amp;8 Day'!$O11*1000))/12</f>
        <v>0</v>
      </c>
      <c r="R14" s="260"/>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FCEV</v>
      </c>
      <c r="D15" s="587"/>
      <c r="E15" s="587"/>
      <c r="F15" s="726" t="str">
        <f t="shared" si="1"/>
        <v>Hydrogen</v>
      </c>
      <c r="G15" s="727" t="str">
        <f t="shared" si="1"/>
        <v>N/A</v>
      </c>
      <c r="H15" s="898" t="b">
        <f t="shared" si="1"/>
        <v>0</v>
      </c>
      <c r="I15" s="742">
        <f t="shared" si="1"/>
        <v>2021</v>
      </c>
      <c r="J15" s="1260">
        <f t="shared" si="1"/>
        <v>0</v>
      </c>
      <c r="K15" s="991">
        <f t="shared" si="1"/>
        <v>0.5</v>
      </c>
      <c r="L15" s="990">
        <f t="shared" si="1"/>
        <v>0.5</v>
      </c>
      <c r="M15" s="991">
        <f t="shared" si="1"/>
        <v>1</v>
      </c>
      <c r="N15" s="738">
        <f t="shared" si="1"/>
        <v>0</v>
      </c>
      <c r="O15" s="237">
        <f t="shared" si="1"/>
        <v>350</v>
      </c>
      <c r="P15" s="708">
        <f>$D$6*('Inputs 7&amp;8 SU'!$N12/('Inputs 7&amp;8 SU'!$O12*1000))/12</f>
        <v>0</v>
      </c>
      <c r="Q15" s="709">
        <f>$D$6*('Inputs 7&amp;8 Day'!$N12/('Inputs 7&amp;8 Day'!$O12*1000))/12</f>
        <v>0</v>
      </c>
      <c r="R15" s="260"/>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f t="shared" si="0"/>
        <v>0</v>
      </c>
      <c r="D16" s="581"/>
      <c r="E16" s="581"/>
      <c r="F16" s="263" t="str">
        <f t="shared" si="1"/>
        <v>Diesel</v>
      </c>
      <c r="G16" s="262" t="str">
        <f t="shared" si="1"/>
        <v>N/A</v>
      </c>
      <c r="H16" s="899" t="b">
        <f t="shared" si="1"/>
        <v>0</v>
      </c>
      <c r="I16" s="743">
        <f t="shared" si="1"/>
        <v>2020</v>
      </c>
      <c r="J16" s="263">
        <f t="shared" si="1"/>
        <v>0</v>
      </c>
      <c r="K16" s="262">
        <f t="shared" si="1"/>
        <v>0</v>
      </c>
      <c r="L16" s="263">
        <f t="shared" si="1"/>
        <v>0.5</v>
      </c>
      <c r="M16" s="262">
        <f t="shared" si="1"/>
        <v>1</v>
      </c>
      <c r="N16" s="739">
        <f t="shared" si="1"/>
        <v>0</v>
      </c>
      <c r="O16" s="264">
        <f t="shared" si="1"/>
        <v>350</v>
      </c>
      <c r="P16" s="710">
        <f>$D$6*('Inputs 7&amp;8 SU'!$N13/('Inputs 7&amp;8 SU'!$O13*1000))/12</f>
        <v>0</v>
      </c>
      <c r="Q16" s="711">
        <f>$D$6*('Inputs 7&amp;8 Day'!$N13/('Inputs 7&amp;8 Day'!$O13*1000))/12</f>
        <v>0</v>
      </c>
      <c r="R16" s="260"/>
      <c r="Y16" s="240">
        <f>INDEX(CDRANGE_CLS1,MATCH($A38,$A$24:$A$67,0),MATCH(AB$20,$B$20:$G$20,0))</f>
        <v>0</v>
      </c>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s="240" t="b">
        <f>Y16&lt;$D$6/OPDAYS_Cls1</f>
        <v>1</v>
      </c>
      <c r="AD17"/>
      <c r="AE17"/>
      <c r="AF17"/>
      <c r="AG17"/>
      <c r="AH17"/>
      <c r="AI17"/>
      <c r="AJ17"/>
      <c r="AK17"/>
      <c r="AL17"/>
      <c r="AM17"/>
      <c r="AN17" s="792" t="s">
        <v>78</v>
      </c>
      <c r="AO17" s="796">
        <f>'S-curves'!Z4</f>
        <v>2</v>
      </c>
      <c r="AP17" s="793" t="s">
        <v>101</v>
      </c>
      <c r="AQ17" s="796">
        <f>'S-curves'!Z6</f>
        <v>1</v>
      </c>
      <c r="AR17" s="788"/>
      <c r="AS17" s="786" t="s">
        <v>233</v>
      </c>
      <c r="AT17" s="799"/>
      <c r="AU17" s="799"/>
      <c r="AV17" s="798"/>
      <c r="AW17" s="788"/>
      <c r="AX17"/>
      <c r="AY17"/>
      <c r="AZ17"/>
      <c r="BA17"/>
      <c r="BB17"/>
      <c r="BC17"/>
      <c r="BD17"/>
      <c r="BE17"/>
      <c r="BF17"/>
      <c r="BG17"/>
      <c r="BH17"/>
    </row>
    <row r="18" spans="1:60" ht="15" thickBot="1" x14ac:dyDescent="0.25">
      <c r="B18" s="229"/>
      <c r="D18" s="269"/>
      <c r="T18" s="270"/>
      <c r="AD18"/>
      <c r="AE18"/>
      <c r="AF18"/>
      <c r="AG18"/>
      <c r="AH18"/>
      <c r="AI18"/>
      <c r="AJ18"/>
      <c r="AK18"/>
      <c r="AL18"/>
      <c r="AM18"/>
      <c r="AN18" s="794" t="s">
        <v>79</v>
      </c>
      <c r="AO18" s="797">
        <f>'S-curves'!Z5</f>
        <v>0.6</v>
      </c>
      <c r="AP18" s="795"/>
      <c r="AQ18" s="795"/>
      <c r="AR18" s="791"/>
      <c r="AS18" s="801" t="s">
        <v>105</v>
      </c>
      <c r="AT18" s="802"/>
      <c r="AU18" s="803">
        <f>MATCH('Run Model'!C7,AdoptCols,0)</f>
        <v>4</v>
      </c>
      <c r="AV18" s="802" t="str">
        <f>INDEX(AdoptCols,'7&amp;8 Sleep'!AU18)</f>
        <v>Moderate</v>
      </c>
      <c r="AW18" s="791"/>
      <c r="AX18"/>
      <c r="AY18"/>
      <c r="AZ18"/>
      <c r="BA18"/>
      <c r="BB18"/>
      <c r="BC18"/>
      <c r="BD18"/>
      <c r="BE18"/>
      <c r="BF18"/>
      <c r="BG18"/>
      <c r="BH18"/>
    </row>
    <row r="19" spans="1:60" s="29" customFormat="1" ht="16" thickBot="1" x14ac:dyDescent="0.25">
      <c r="A19" s="804"/>
      <c r="B19" s="1560" t="s">
        <v>234</v>
      </c>
      <c r="C19" s="1561"/>
      <c r="D19" s="1561"/>
      <c r="E19" s="1561"/>
      <c r="F19" s="1561"/>
      <c r="G19" s="1562"/>
      <c r="H19" s="1560" t="s">
        <v>220</v>
      </c>
      <c r="I19" s="1561"/>
      <c r="J19" s="1561"/>
      <c r="K19" s="1561"/>
      <c r="L19" s="1561"/>
      <c r="M19" s="1562"/>
      <c r="N19" s="1560" t="s">
        <v>71</v>
      </c>
      <c r="O19" s="1561"/>
      <c r="P19" s="1561"/>
      <c r="Q19" s="1561"/>
      <c r="R19" s="1561"/>
      <c r="S19" s="1562"/>
      <c r="T19" s="1560" t="s">
        <v>107</v>
      </c>
      <c r="U19" s="1561"/>
      <c r="V19" s="1561"/>
      <c r="W19" s="1561"/>
      <c r="X19" s="1562"/>
      <c r="Y19" s="1560" t="s">
        <v>72</v>
      </c>
      <c r="Z19" s="1561"/>
      <c r="AA19" s="1561"/>
      <c r="AB19" s="1561"/>
      <c r="AC19" s="1562"/>
      <c r="AD19" s="1560" t="s">
        <v>92</v>
      </c>
      <c r="AE19" s="1561"/>
      <c r="AF19" s="1561"/>
      <c r="AG19" s="1561"/>
      <c r="AH19" s="1562"/>
      <c r="AI19" s="1560" t="s">
        <v>76</v>
      </c>
      <c r="AJ19" s="1561"/>
      <c r="AK19" s="1561"/>
      <c r="AL19" s="1561"/>
      <c r="AM19" s="1562"/>
      <c r="AN19" s="1560" t="s">
        <v>100</v>
      </c>
      <c r="AO19" s="1561"/>
      <c r="AP19" s="1561"/>
      <c r="AQ19" s="1561"/>
      <c r="AR19" s="1562"/>
      <c r="AS19" s="1560" t="s">
        <v>73</v>
      </c>
      <c r="AT19" s="1561"/>
      <c r="AU19" s="1561"/>
      <c r="AV19" s="1561"/>
      <c r="AW19" s="1562"/>
      <c r="AX19" s="1560" t="s">
        <v>102</v>
      </c>
      <c r="AY19" s="1561"/>
      <c r="AZ19" s="1561"/>
      <c r="BA19" s="1561"/>
      <c r="BB19" s="1562"/>
      <c r="BC19" s="1560" t="s">
        <v>82</v>
      </c>
      <c r="BD19" s="1561"/>
      <c r="BE19" s="1561"/>
      <c r="BF19" s="1561"/>
      <c r="BG19" s="1561"/>
      <c r="BH19" s="1562"/>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136" t="s">
        <v>65</v>
      </c>
      <c r="AJ20" s="1137" t="s">
        <v>66</v>
      </c>
      <c r="AK20" s="1137" t="s">
        <v>67</v>
      </c>
      <c r="AL20" s="1138" t="s">
        <v>205</v>
      </c>
      <c r="AM20" s="1139"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6"/>
      <c r="B21" s="1072"/>
      <c r="C21" s="1073"/>
      <c r="D21" s="1073"/>
      <c r="E21" s="1073"/>
      <c r="F21" s="1073"/>
      <c r="G21" s="1074"/>
      <c r="H21" s="1078" t="str">
        <f>IF(INDEX($G$11:$G$16,MATCH(H20,$B$11:$B$16,0))="N/A","Single-fuel","Dual-Fuel")</f>
        <v>Single-fuel</v>
      </c>
      <c r="I21" s="1079" t="str">
        <f t="shared" ref="I21:M21" si="2">IF(INDEX($G$11:$G$16,MATCH(I20,$B$11:$B$16,0))="N/A","Single-fuel","Dual-Fuel")</f>
        <v>Single-fuel</v>
      </c>
      <c r="J21" s="1079" t="str">
        <f t="shared" si="2"/>
        <v>Single-fuel</v>
      </c>
      <c r="K21" s="1079" t="str">
        <f t="shared" si="2"/>
        <v>Single-fuel</v>
      </c>
      <c r="L21" s="1079" t="str">
        <f t="shared" si="2"/>
        <v>Single-fuel</v>
      </c>
      <c r="M21" s="1080" t="str">
        <f t="shared" si="2"/>
        <v>Single-fuel</v>
      </c>
      <c r="N21" s="993" t="str">
        <f>INDEX($F$11:$F$16,MATCH(N20,$B$11:$B$16,0))</f>
        <v>Diesel</v>
      </c>
      <c r="O21" s="994" t="str">
        <f>INDEX($F$11:$F$16,MATCH(O20,$B$11:$B$16,0))</f>
        <v>Diesel</v>
      </c>
      <c r="P21" s="994" t="str">
        <f t="shared" ref="P21" si="3">INDEX($F$11:$F$16,MATCH(P20,$B$11:$B$16,0))</f>
        <v>Diesel</v>
      </c>
      <c r="Q21" s="994" t="str">
        <f t="shared" ref="Q21" si="4">INDEX($F$11:$F$16,MATCH(Q20,$B$11:$B$16,0))</f>
        <v>Electricity</v>
      </c>
      <c r="R21" s="994" t="str">
        <f t="shared" ref="R21" si="5">INDEX($F$11:$F$16,MATCH(R20,$B$11:$B$16,0))</f>
        <v>Hydrogen</v>
      </c>
      <c r="S21" s="995" t="str">
        <f t="shared" ref="S21" si="6">INDEX($F$11:$F$16,MATCH(S20,$B$11:$B$16,0))</f>
        <v>Diesel</v>
      </c>
      <c r="T21" s="1571" t="s">
        <v>117</v>
      </c>
      <c r="U21" s="1572"/>
      <c r="V21" s="1572"/>
      <c r="W21" s="1572"/>
      <c r="X21" s="1573"/>
      <c r="Y21" s="993" t="str">
        <f>INDEX($F$11:$F$16,MATCH(Y20,$B$11:$B$16,0))</f>
        <v>Diesel</v>
      </c>
      <c r="Z21" s="994" t="str">
        <f t="shared" ref="Z21:AC21" si="7">INDEX($F$11:$F$16,MATCH(Z20,$B$11:$B$16,0))</f>
        <v>Diesel</v>
      </c>
      <c r="AA21" s="994" t="str">
        <f t="shared" si="7"/>
        <v>Electricity</v>
      </c>
      <c r="AB21" s="994" t="str">
        <f t="shared" si="7"/>
        <v>Hydrogen</v>
      </c>
      <c r="AC21" s="995" t="str">
        <f t="shared" si="7"/>
        <v>Diesel</v>
      </c>
      <c r="AD21" s="1016">
        <f>INDEX($L$11:$L$16,MATCH(AD20,$B$11:$B$16,0))</f>
        <v>0.5</v>
      </c>
      <c r="AE21" s="1017">
        <f>INDEX($L$11:$L$16,MATCH(AE20,$B$11:$B$16,0))</f>
        <v>0.5</v>
      </c>
      <c r="AF21" s="1017">
        <f>INDEX($L$11:$L$16,MATCH(AF20,$B$11:$B$16,0))</f>
        <v>0.5</v>
      </c>
      <c r="AG21" s="1017">
        <f>INDEX($L$11:$L$16,MATCH(AG20,$B$11:$B$16,0))</f>
        <v>0.5</v>
      </c>
      <c r="AH21" s="1018">
        <f>INDEX($L$11:$L$16,MATCH(AH20,$B$11:$B$16,0))</f>
        <v>0.5</v>
      </c>
      <c r="AI21" s="993">
        <f>INDEX($J$11:$J$16,MATCH(AI20,$B$11:$B$16,0))</f>
        <v>0</v>
      </c>
      <c r="AJ21" s="994">
        <f t="shared" ref="AJ21:AM21" si="8">INDEX($J$11:$J$16,MATCH(AJ20,$B$11:$B$16,0))</f>
        <v>0</v>
      </c>
      <c r="AK21" s="994">
        <f t="shared" si="8"/>
        <v>0</v>
      </c>
      <c r="AL21" s="994">
        <f t="shared" si="8"/>
        <v>0</v>
      </c>
      <c r="AM21" s="995">
        <f t="shared" si="8"/>
        <v>0</v>
      </c>
      <c r="AN21" s="993" t="str">
        <f>INDEX($F$11:$F$16,MATCH(AN20,$B$11:$B$16,0))</f>
        <v>Diesel</v>
      </c>
      <c r="AO21" s="994" t="str">
        <f t="shared" ref="AO21" si="9">INDEX($F$11:$F$16,MATCH(AO20,$B$11:$B$16,0))</f>
        <v>Diesel</v>
      </c>
      <c r="AP21" s="994" t="str">
        <f t="shared" ref="AP21" si="10">INDEX($F$11:$F$16,MATCH(AP20,$B$11:$B$16,0))</f>
        <v>Electricity</v>
      </c>
      <c r="AQ21" s="994" t="str">
        <f t="shared" ref="AQ21" si="11">INDEX($F$11:$F$16,MATCH(AQ20,$B$11:$B$16,0))</f>
        <v>Hydrogen</v>
      </c>
      <c r="AR21" s="995" t="str">
        <f t="shared" ref="AR21" si="12">INDEX($F$11:$F$16,MATCH(AR20,$B$11:$B$16,0))</f>
        <v>Diesel</v>
      </c>
      <c r="AS21" s="993" t="str">
        <f>INDEX($F$11:$F$16,MATCH(AS20,$B$11:$B$16,0))</f>
        <v>Diesel</v>
      </c>
      <c r="AT21" s="994" t="str">
        <f t="shared" ref="AT21:AV21" si="13">INDEX($F$11:$F$16,MATCH(AT20,$B$11:$B$16,0))</f>
        <v>Diesel</v>
      </c>
      <c r="AU21" s="994" t="str">
        <f t="shared" ref="AU21" si="14">INDEX($F$11:$F$16,MATCH(AU20,$B$11:$B$16,0))</f>
        <v>Electricity</v>
      </c>
      <c r="AV21" s="994" t="str">
        <f t="shared" si="13"/>
        <v>Hydrogen</v>
      </c>
      <c r="AW21" s="995" t="str">
        <f t="shared" ref="AW21" si="15">INDEX($F$11:$F$16,MATCH(AW20,$B$11:$B$16,0))</f>
        <v>Diesel</v>
      </c>
      <c r="AX21" s="993" t="str">
        <f>INDEX($F$11:$F$16,MATCH(AX20,$B$11:$B$16,0))</f>
        <v>Diesel</v>
      </c>
      <c r="AY21" s="994" t="str">
        <f t="shared" ref="AY21" si="16">INDEX($F$11:$F$16,MATCH(AY20,$B$11:$B$16,0))</f>
        <v>Diesel</v>
      </c>
      <c r="AZ21" s="994" t="str">
        <f t="shared" ref="AZ21" si="17">INDEX($F$11:$F$16,MATCH(AZ20,$B$11:$B$16,0))</f>
        <v>Electricity</v>
      </c>
      <c r="BA21" s="994" t="str">
        <f t="shared" ref="BA21" si="18">INDEX($F$11:$F$16,MATCH(BA20,$B$11:$B$16,0))</f>
        <v>Hydrogen</v>
      </c>
      <c r="BB21" s="995" t="str">
        <f t="shared" ref="BB21" si="19">INDEX($F$11:$F$16,MATCH(BB20,$B$11:$B$16,0))</f>
        <v>Diesel</v>
      </c>
      <c r="BC21" s="1026" t="str">
        <f>INDEX($F$11:$F$16,MATCH(BC20,$B$11:$B$16,0))</f>
        <v>Diesel</v>
      </c>
      <c r="BD21" s="994" t="str">
        <f>INDEX($F$11:$F$16,MATCH(BD20,$B$11:$B$16,0))</f>
        <v>Diesel</v>
      </c>
      <c r="BE21" s="994" t="str">
        <f t="shared" ref="BE21" si="20">INDEX($F$11:$F$16,MATCH(BE20,$B$11:$B$16,0))</f>
        <v>Diesel</v>
      </c>
      <c r="BF21" s="994" t="str">
        <f t="shared" ref="BF21" si="21">INDEX($F$11:$F$16,MATCH(BF20,$B$11:$B$16,0))</f>
        <v>Electricity</v>
      </c>
      <c r="BG21" s="994" t="str">
        <f t="shared" ref="BG21" si="22">INDEX($F$11:$F$16,MATCH(BG20,$B$11:$B$16,0))</f>
        <v>Hydrogen</v>
      </c>
      <c r="BH21" s="995" t="str">
        <f t="shared" ref="BH21" si="23">INDEX($F$11:$F$16,MATCH(BH20,$B$11:$B$16,0))</f>
        <v>Diesel</v>
      </c>
    </row>
    <row r="22" spans="1:60" x14ac:dyDescent="0.2">
      <c r="A22" s="766"/>
      <c r="B22" s="1072"/>
      <c r="C22" s="1073"/>
      <c r="D22" s="1073"/>
      <c r="E22" s="1073"/>
      <c r="F22" s="1073"/>
      <c r="G22" s="1074"/>
      <c r="H22" s="1078"/>
      <c r="I22" s="1079"/>
      <c r="J22" s="1079"/>
      <c r="K22" s="1079"/>
      <c r="L22" s="1079"/>
      <c r="M22" s="1080"/>
      <c r="N22" s="996"/>
      <c r="O22" s="997"/>
      <c r="P22" s="997"/>
      <c r="Q22" s="997"/>
      <c r="R22" s="997"/>
      <c r="S22" s="998"/>
      <c r="T22" s="1002">
        <f>INDEX($Q$11:$Q$16,MATCH(T20,$B$11:$B$16,0))</f>
        <v>0</v>
      </c>
      <c r="U22" s="1003">
        <f>INDEX($Q$11:$Q$16,MATCH(U20,$B$11:$B$16,0))</f>
        <v>0</v>
      </c>
      <c r="V22" s="1003">
        <f>INDEX($Q$11:$Q$16,MATCH(V20,$B$11:$B$16,0))</f>
        <v>0</v>
      </c>
      <c r="W22" s="1003">
        <f>INDEX($Q$11:$Q$16,MATCH(W20,$B$11:$B$16,0))</f>
        <v>0</v>
      </c>
      <c r="X22" s="1004">
        <f>INDEX($Q$11:$Q$16,MATCH(X20,$B$11:$B$16,0))</f>
        <v>0</v>
      </c>
      <c r="Y22" s="1010" t="b">
        <f>INDEX($H$11:$H$16,MATCH(Y20,$B$11:$B$16,0))</f>
        <v>0</v>
      </c>
      <c r="Z22" s="1011" t="b">
        <f t="shared" ref="Z22:AC22" si="24">INDEX($H$11:$H$16,MATCH(Z20,$B$11:$B$16,0))</f>
        <v>0</v>
      </c>
      <c r="AA22" s="1011" t="b">
        <f t="shared" si="24"/>
        <v>1</v>
      </c>
      <c r="AB22" s="1011" t="b">
        <f t="shared" si="24"/>
        <v>0</v>
      </c>
      <c r="AC22" s="1012" t="b">
        <f t="shared" si="24"/>
        <v>0</v>
      </c>
      <c r="AD22" s="993">
        <f>INDEX($M$11:$M$16,MATCH(AD20,$B$11:$B$16,0))</f>
        <v>1</v>
      </c>
      <c r="AE22" s="1019">
        <f>INDEX($M$11:$M$16,MATCH(AE20,$B$11:$B$16,0))</f>
        <v>1</v>
      </c>
      <c r="AF22" s="1019">
        <f>INDEX($M$11:$M$16,MATCH(AF20,$B$11:$B$16,0))</f>
        <v>1</v>
      </c>
      <c r="AG22" s="1019">
        <f>INDEX($M$11:$M$16,MATCH(AG20,$B$11:$B$16,0))</f>
        <v>1</v>
      </c>
      <c r="AH22" s="1020">
        <f>INDEX($M$11:$M$16,MATCH(AH20,$B$11:$B$16,0))</f>
        <v>1</v>
      </c>
      <c r="AI22" s="993">
        <f>INDEX($K$11:$K$16,MATCH(AI20,$B$11:$B$16,0))</f>
        <v>0</v>
      </c>
      <c r="AJ22" s="994">
        <f t="shared" ref="AJ22:AM22" si="25">INDEX($K$11:$K$16,MATCH(AJ20,$B$11:$B$16,0))</f>
        <v>0</v>
      </c>
      <c r="AK22" s="994">
        <f t="shared" si="25"/>
        <v>0</v>
      </c>
      <c r="AL22" s="994">
        <f t="shared" si="25"/>
        <v>0.5</v>
      </c>
      <c r="AM22" s="995">
        <f t="shared" si="25"/>
        <v>0</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5"/>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13"/>
      <c r="Z23" s="1014"/>
      <c r="AA23" s="1014"/>
      <c r="AB23" s="1014"/>
      <c r="AC23" s="1015"/>
      <c r="AD23" s="1021"/>
      <c r="AE23" s="1022"/>
      <c r="AF23" s="1022"/>
      <c r="AG23" s="1022"/>
      <c r="AH23" s="1023"/>
      <c r="AI23" s="1021">
        <f>INDEX($I$11:$I$16,MATCH(AI20,$B$11:$B$16,0))</f>
        <v>2021</v>
      </c>
      <c r="AJ23" s="1024">
        <f>INDEX($I$11:$I$16,MATCH(AJ20,$B$11:$B$16,0))</f>
        <v>2021</v>
      </c>
      <c r="AK23" s="1024">
        <f>INDEX($I$11:$I$16,MATCH(AK20,$B$11:$B$16,0))</f>
        <v>2021</v>
      </c>
      <c r="AL23" s="1024">
        <f>INDEX($I$11:$I$16,MATCH(AL20,$B$11:$B$16,0))</f>
        <v>2021</v>
      </c>
      <c r="AM23" s="1025">
        <f>INDEX($I$11:$I$16,MATCH(AM20,$B$11:$B$16,0))</f>
        <v>2020</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8">
        <f t="shared" ref="B24:G33" si="26">ROUND(INDEX(COST_Cls1,$A24-($A$24-1),MATCH(B$20,TECHOPTS_Cls1,0)),2)</f>
        <v>156000</v>
      </c>
      <c r="C24" s="808">
        <f t="shared" si="26"/>
        <v>1000000</v>
      </c>
      <c r="D24" s="808">
        <f t="shared" si="26"/>
        <v>1000000</v>
      </c>
      <c r="E24" s="808">
        <f t="shared" si="26"/>
        <v>1000000</v>
      </c>
      <c r="F24" s="808">
        <f t="shared" si="26"/>
        <v>1000000</v>
      </c>
      <c r="G24" s="809">
        <f t="shared" si="26"/>
        <v>1000000</v>
      </c>
      <c r="H24" s="780">
        <f t="shared" ref="H24:M33" si="27">IF(H$21="Single-fuel",1,1-MIN(INDEX(CDRANGE_CLS1,$A24-($A$24-1),MATCH(H$20,TECHOPTS_Cls1,0))*OPDAYS_Cls1/$D$6,1))</f>
        <v>1</v>
      </c>
      <c r="I24" s="781">
        <f t="shared" si="27"/>
        <v>1</v>
      </c>
      <c r="J24" s="781">
        <f t="shared" si="27"/>
        <v>1</v>
      </c>
      <c r="K24" s="781">
        <f t="shared" si="27"/>
        <v>1</v>
      </c>
      <c r="L24" s="781">
        <f t="shared" si="27"/>
        <v>1</v>
      </c>
      <c r="M24" s="782">
        <f t="shared" si="27"/>
        <v>1</v>
      </c>
      <c r="N24" s="276">
        <f t="shared" ref="N24:N67" si="28">VLOOKUP($A24,IF($D$5="Central",FuelPriceCent,FuelPriceNCent),MATCH(N$21,FuelPriceCols,0),0)*(H24*$D$6)/(12*INDEX(FUEL1MPG_Cls1,$A24-($A$24-1),MATCH(N$20,TECHOPTS_Cls1,0)))+IFERROR(VLOOKUP($A24,IF($D$5="Central",FuelPriceCent,FuelPriceNCent),MATCH(INDEX($G$11:$G$16,MATCH(N$20,$B$11:$B$16,0)),FuelPriceCols,0),0),0)*((1-H24)*$D$6)/(12*INDEX(FUEL2MPG_Cls1,$A24-($A$24-1),MATCH(N$20,TECHOPTS_Cls1,0)))</f>
        <v>7369.5675687494659</v>
      </c>
      <c r="O24" s="276">
        <f t="shared" ref="O24:O67" si="29">VLOOKUP($A24,IF($D$5="Central",FuelPriceCent,FuelPriceNCent),MATCH(O$21,FuelPriceCols,0),0)*(I24*$D$6)/(12*INDEX(FUEL1MPG_Cls1,$A24-($A$24-1),MATCH(O$20,TECHOPTS_Cls1,0)))+IFERROR(VLOOKUP($A24,IF($D$5="Central",FuelPriceCent,FuelPriceNCent),MATCH(INDEX($G$11:$G$16,MATCH(O$20,$B$11:$B$16,0)),FuelPriceCols,0),0),0)*((1-I24)*$D$6)/(12*INDEX(FUEL2MPG_Cls1,$A24-($A$24-1),MATCH(O$20,TECHOPTS_Cls1,0)))</f>
        <v>43685.866886693555</v>
      </c>
      <c r="P24" s="276">
        <f t="shared" ref="P24:P67" si="30">VLOOKUP($A24,IF($D$5="Central",FuelPriceCent,FuelPriceNCent),MATCH(P$21,FuelPriceCols,0),0)*(J24*$D$6)/(12*INDEX(FUEL1MPG_Cls1,$A24-($A$24-1),MATCH(P$20,TECHOPTS_Cls1,0)))+IFERROR(VLOOKUP($A24,IF($D$5="Central",FuelPriceCent,FuelPriceNCent),MATCH(INDEX($G$11:$G$16,MATCH(P$20,$B$11:$B$16,0)),FuelPriceCols,0),0),0)*((1-J24)*$D$6)/(12*INDEX(FUEL2MPG_Cls1,$A24-($A$24-1),MATCH(P$20,TECHOPTS_Cls1,0)))</f>
        <v>43685.866886693555</v>
      </c>
      <c r="Q24" s="276">
        <f t="shared" ref="Q24:Q67" si="31">VLOOKUP($A24,IF($D$5="Central",FuelPriceCent,FuelPriceNCent),MATCH(Q$21,FuelPriceCols,0),0)*(K24*$D$6)/(12*INDEX(FUEL1MPG_Cls1,$A24-($A$24-1),MATCH(Q$20,TECHOPTS_Cls1,0)))+IFERROR(VLOOKUP($A24,IF($D$5="Central",FuelPriceCent,FuelPriceNCent),MATCH(INDEX($G$11:$G$16,MATCH(Q$20,$B$11:$B$16,0)),FuelPriceCols,0),0),0)*((1-K24)*$D$6)/(12*INDEX(FUEL2MPG_Cls1,$A24-($A$24-1),MATCH(Q$20,TECHOPTS_Cls1,0)))</f>
        <v>165753.08916885772</v>
      </c>
      <c r="R24" s="276">
        <f t="shared" ref="R24:R67" si="32">VLOOKUP($A24,IF($D$5="Central",FuelPriceCent,FuelPriceNCent),MATCH(R$21,FuelPriceCols,0),0)*(L24*$D$6)/(12*INDEX(FUEL1MPG_Cls1,$A24-($A$24-1),MATCH(R$20,TECHOPTS_Cls1,0)))+IFERROR(VLOOKUP($A24,IF($D$5="Central",FuelPriceCent,FuelPriceNCent),MATCH(INDEX($G$11:$G$16,MATCH(R$20,$B$11:$B$16,0)),FuelPriceCols,0),0),0)*((1-L24)*$D$6)/(12*INDEX(FUEL2MPG_Cls1,$A24-($A$24-1),MATCH(R$20,TECHOPTS_Cls1,0)))</f>
        <v>19296.215644896321</v>
      </c>
      <c r="S24" s="276">
        <f t="shared" ref="S24:S67" si="33">VLOOKUP($A24,IF($D$5="Central",FuelPriceCent,FuelPriceNCent),MATCH(S$21,FuelPriceCols,0),0)*(M24*$D$6)/(12*INDEX(FUEL1MPG_Cls1,$A24-($A$24-1),MATCH(S$20,TECHOPTS_Cls1,0)))+IFERROR(VLOOKUP($A24,IF($D$5="Central",FuelPriceCent,FuelPriceNCent),MATCH(INDEX($G$11:$G$16,MATCH(S$20,$B$11:$B$16,0)),FuelPriceCols,0),0),0)*((1-M24)*$D$6)/(12*INDEX(FUEL2MPG_Cls1,$A24-($A$24-1),MATCH(S$20,TECHOPTS_Cls1,0)))</f>
        <v>43685.866886693555</v>
      </c>
      <c r="T24" s="275">
        <f>$N24-O24+T$22</f>
        <v>-36316.299317944089</v>
      </c>
      <c r="U24" s="276">
        <f t="shared" ref="U24:X24" si="34">$N24-P24+U$22</f>
        <v>-36316.299317944089</v>
      </c>
      <c r="V24" s="276">
        <f t="shared" si="34"/>
        <v>-158383.52160010824</v>
      </c>
      <c r="W24" s="276">
        <f t="shared" si="34"/>
        <v>-11926.648076146856</v>
      </c>
      <c r="X24" s="278">
        <f t="shared" si="34"/>
        <v>-36316.299317944089</v>
      </c>
      <c r="Y24" s="279">
        <f ca="1">IF(AND(Y$22=TRUE,INDEX(CDRANGE_CLS1,MATCH($A24,$A$24:$A$67,0),MATCH(Y$20,$B$20:$G$20,0))&lt;$D$6/OPDAYS_Cls1),86,payback(C24,T24,disc_rate/12,85))</f>
        <v>86</v>
      </c>
      <c r="Z24" s="280">
        <f ca="1">IF(AND(Z$22=TRUE,INDEX(CDRANGE_CLS1,MATCH($A24,$A$24:$A$67,0),MATCH(Z$20,$B$20:$G$20,0))&lt;$D$6/OPDAYS_Cls1),86,payback(D24,U24,disc_rate/12,85))</f>
        <v>86</v>
      </c>
      <c r="AA24" s="280">
        <f>IF(AND(AA$22=TRUE,INDEX(CDRANGE_CLS1,MATCH($A24,$A$24:$A$67,0),MATCH(AA$20,$B$20:$G$20,0))&lt;$D$6/OPDAYS_Cls1),86,payback(E24,V24,disc_rate/12,85))</f>
        <v>86</v>
      </c>
      <c r="AB24" s="280">
        <f ca="1">IF(AND(AB$22=TRUE,INDEX(CDRANGE_CLS1,MATCH($A24,$A$24:$A$67,0),MATCH(AB$20,$B$20:$G$20,0))&lt;$D$6/OPDAYS_Cls1),86,payback(F24,W24,disc_rate/12,85))</f>
        <v>86</v>
      </c>
      <c r="AC24" s="281">
        <f ca="1">IF(AND(AC$22=TRUE,INDEX(CDRANGE_CLS1,MATCH($A24,$A$24:$A$67,0),MATCH(AC$20,$B$20:$G$20,0))&lt;$D$6/OPDAYS_Cls1),86,payback(G24,X24,disc_rate/12,85))</f>
        <v>86</v>
      </c>
      <c r="AD24" s="282">
        <f t="shared" ref="AD24:AD67" si="35">IF(AND(C24&lt;=AD$21,ABS($N24-O24)&lt;=AD$22),AI24*VLOOKUP(C24/AD$21,FirstCostInd,2,TRUE)*VLOOKUP(($N24-O24)/AD$22,FuelCostInd,2,1),0)</f>
        <v>0</v>
      </c>
      <c r="AE24" s="283">
        <f t="shared" ref="AE24:AE67" si="36">IF(AND(D24&lt;=AE$21,ABS($N24-P24)&lt;=AE$22),AJ24*VLOOKUP(D24/AE$21,FirstCostInd,2,TRUE)*VLOOKUP(($N24-P24)/AE$22,FuelCostInd,2,1),0)</f>
        <v>0</v>
      </c>
      <c r="AF24" s="283">
        <f t="shared" ref="AF24:AF67" si="37">IF(AND(E24&lt;=AF$21,ABS($N24-Q24)&lt;=AF$22),AK24*VLOOKUP(E24/AF$21,FirstCostInd,2,TRUE)*VLOOKUP(($N24-Q24)/AF$22,FuelCostInd,2,1),0)</f>
        <v>0</v>
      </c>
      <c r="AG24" s="283">
        <f t="shared" ref="AG24:AG67" si="38">IF(AND(F24&lt;=AG$21,ABS($N24-R24)&lt;=AG$22),AL24*VLOOKUP(F24/AG$21,FirstCostInd,2,TRUE)*VLOOKUP(($N24-R24)/AG$22,FuelCostInd,2,1),0)</f>
        <v>0</v>
      </c>
      <c r="AH24" s="644">
        <f t="shared" ref="AH24:AH67" si="39">IF(AND(G24&lt;=AH$21,ABS($N24-S24)&lt;=AH$22),AM24*VLOOKUP(G24/AH$21,FirstCostInd,2,TRUE)*VLOOKUP(($N24-S24)/AH$22,FuelCostInd,2,1),0)</f>
        <v>0</v>
      </c>
      <c r="AI24" s="1140">
        <f t="shared" ref="AI24:AI67" si="40">IF($A24&lt;AI$23,0,AI$21+VLOOKUP($A24-AI$23,SCdata,2,1)*(AI$22-AI$21))*IF($D$5="Non-Central",INDEX(fuel_avail,$A24-$A$24+1,MATCH(O$21,Fuels,0)),1)</f>
        <v>0</v>
      </c>
      <c r="AJ24" s="1141">
        <f t="shared" ref="AJ24:AJ67" si="41">IF($A24&lt;AJ$23,0,AJ$21+VLOOKUP($A24-AJ$23,SCdata,2,1)*(AJ$22-AJ$21))*IF($D$5="Non-Central",INDEX(fuel_avail,$A24-$A$24+1,MATCH(P$21,Fuels,0)),1)</f>
        <v>0</v>
      </c>
      <c r="AK24" s="1141">
        <f t="shared" ref="AK24:AK67" si="42">IF($A24&lt;AK$23,0,AK$21+VLOOKUP($A24-AK$23,SCdata,2,1)*(AK$22-AK$21))*IF($D$5="Non-Central",INDEX(fuel_avail,$A24-$A$24+1,MATCH(Q$21,Fuels,0)),1)</f>
        <v>0</v>
      </c>
      <c r="AL24" s="1141">
        <f t="shared" ref="AL24:AL67" si="43">IF($A24&lt;AL$23,0,AL$21+VLOOKUP($A24-AL$23,SCdata,2,1)*(AL$22-AL$21))*IF($D$5="Non-Central",INDEX(fuel_avail,$A24-$A$24+1,MATCH(R$21,Fuels,0)),1)</f>
        <v>0</v>
      </c>
      <c r="AM24" s="1142">
        <f t="shared" ref="AM24:AM67" si="44">IF($A24&lt;AM$23,0,AM$21+VLOOKUP($A24-AM$23,SCdata,2,1)*(AM$22-AM$21))*IF($D$5="Non-Central",INDEX(fuel_avail,$A24-$A$24+1,MATCH(S$21,Fuels,0)),1)</f>
        <v>0</v>
      </c>
      <c r="AN24" s="285">
        <f>IF(C24&lt;0,1,$AQ$17*(1-WEIBULL(C24/$B24,$AO$17,$AO$18,1)))</f>
        <v>0</v>
      </c>
      <c r="AO24" s="286">
        <f t="shared" ref="AO24:AR24" si="45">IF(D24&lt;0,1,$AQ$17*(1-WEIBULL(D24/$B24,$AO$17,$AO$18,1)))</f>
        <v>0</v>
      </c>
      <c r="AP24" s="286">
        <f t="shared" si="45"/>
        <v>0</v>
      </c>
      <c r="AQ24" s="286">
        <f t="shared" si="45"/>
        <v>0</v>
      </c>
      <c r="AR24" s="287">
        <f t="shared" si="45"/>
        <v>0</v>
      </c>
      <c r="AS24" s="282">
        <f t="shared" ref="AS24:AS67" ca="1" si="46">IF(AD24&gt;0,AD24,MIN(1,IF(Y24&gt;85,0,(AI24/0.5)*VLOOKUP(Y24,AdoptDec,$AU$18,0))))</f>
        <v>0</v>
      </c>
      <c r="AT24" s="283">
        <f t="shared" ref="AT24:AT67" ca="1" si="47">IF(AE24&gt;0,AE24,MIN(1,IF(Z24&gt;85,0,(AJ24/0.5)*VLOOKUP(Z24,AdoptDec,$AU$18,0))))</f>
        <v>0</v>
      </c>
      <c r="AU24" s="805">
        <f t="shared" ref="AU24:AU67" si="48">IF(AF24&gt;0,AF24,MIN(1,IF(AA24&gt;85,0,(AK24/0.5)*VLOOKUP(AA24,AdoptDec,$AU$18,0))))</f>
        <v>0</v>
      </c>
      <c r="AV24" s="805">
        <f t="shared" ref="AV24:AV67" ca="1" si="49">IF(AG24&gt;0,AG24,MIN(1,IF(AB24&gt;85,0,(AL24/0.5)*VLOOKUP(AB24,AdoptDec,$AU$18,0))))</f>
        <v>0</v>
      </c>
      <c r="AW24" s="806">
        <f t="shared" ref="AW24:AW67" ca="1" si="50">IF(AH24&gt;0,AH24,MIN(1,IF(AC24&gt;85,0,(AM24/0.5)*VLOOKUP(AC24,AdoptDec,$AU$18,0))))</f>
        <v>0</v>
      </c>
      <c r="AX24" s="755">
        <f t="shared" ref="AX24:AX67" ca="1" si="51">MIN(AS24*AN24,1)</f>
        <v>0</v>
      </c>
      <c r="AY24" s="283">
        <f t="shared" ref="AY24:AY67" ca="1" si="52">MIN(AT24*AO24,1)</f>
        <v>0</v>
      </c>
      <c r="AZ24" s="283">
        <f t="shared" ref="AZ24:AZ67" si="53">MIN(AU24*AP24,1)</f>
        <v>0</v>
      </c>
      <c r="BA24" s="283">
        <f t="shared" ref="BA24" ca="1" si="54">MIN(AV24*AQ24,1)</f>
        <v>0</v>
      </c>
      <c r="BB24" s="644">
        <f t="shared" ref="BB24" ca="1" si="55">MIN(AW24*AR24,1)</f>
        <v>0</v>
      </c>
      <c r="BC24" s="282">
        <f ca="1">1-SUM(BD24:BH24)</f>
        <v>1</v>
      </c>
      <c r="BD24" s="283">
        <f t="shared" ref="BD24:BD67" ca="1" si="56">IF(SUM($AX24:$BB24)=0,0,MAX($AX24:$BB24)*(AI24*AX24/SUMPRODUCT($AI24:$AM24,$AX24:$BB24)))</f>
        <v>0</v>
      </c>
      <c r="BE24" s="283">
        <f t="shared" ref="BE24:BE67" ca="1" si="57">IF(SUM($AX24:$BB24)=0,0,MAX($AX24:$BB24)*(AJ24*AY24/SUMPRODUCT($AI24:$AM24,$AX24:$BB24)))</f>
        <v>0</v>
      </c>
      <c r="BF24" s="283">
        <f t="shared" ref="BF24:BF67" ca="1" si="58">IF(SUM($AX24:$BB24)=0,0,MAX($AX24:$BB24)*(AK24*AZ24/SUMPRODUCT($AI24:$AM24,$AX24:$BB24)))</f>
        <v>0</v>
      </c>
      <c r="BG24" s="283">
        <f t="shared" ref="BG24:BG67" ca="1" si="59">IF(SUM($AX24:$BB24)=0,0,MAX($AX24:$BB24)*(AL24*BA24/SUMPRODUCT($AI24:$AM24,$AX24:$BB24)))</f>
        <v>0</v>
      </c>
      <c r="BH24" s="284">
        <f t="shared" ref="BH24:BH67" ca="1" si="60">IF(SUM($AX24:$BB24)=0,0,MAX($AX24:$BB24)*(AM24*BB24/SUMPRODUCT($AI24:$AM24,$AX24:$BB24)))</f>
        <v>0</v>
      </c>
    </row>
    <row r="25" spans="1:60" x14ac:dyDescent="0.2">
      <c r="A25" s="288">
        <v>2008</v>
      </c>
      <c r="B25" s="810">
        <f t="shared" si="26"/>
        <v>156000</v>
      </c>
      <c r="C25" s="811">
        <f t="shared" si="26"/>
        <v>1000000</v>
      </c>
      <c r="D25" s="811">
        <f t="shared" si="26"/>
        <v>1000000</v>
      </c>
      <c r="E25" s="811">
        <f t="shared" si="26"/>
        <v>1000000</v>
      </c>
      <c r="F25" s="811">
        <f t="shared" si="26"/>
        <v>1000000</v>
      </c>
      <c r="G25" s="812">
        <f t="shared" si="26"/>
        <v>1000000</v>
      </c>
      <c r="H25" s="780">
        <f t="shared" si="27"/>
        <v>1</v>
      </c>
      <c r="I25" s="781">
        <f t="shared" si="27"/>
        <v>1</v>
      </c>
      <c r="J25" s="781">
        <f t="shared" si="27"/>
        <v>1</v>
      </c>
      <c r="K25" s="781">
        <f t="shared" si="27"/>
        <v>1</v>
      </c>
      <c r="L25" s="781">
        <f t="shared" si="27"/>
        <v>1</v>
      </c>
      <c r="M25" s="782">
        <f t="shared" si="27"/>
        <v>1</v>
      </c>
      <c r="N25" s="275">
        <f t="shared" si="28"/>
        <v>10087.203638183901</v>
      </c>
      <c r="O25" s="276">
        <f t="shared" si="29"/>
        <v>59795.670680233598</v>
      </c>
      <c r="P25" s="276">
        <f t="shared" si="30"/>
        <v>59795.670680233598</v>
      </c>
      <c r="Q25" s="276">
        <f t="shared" si="31"/>
        <v>215280.1693898236</v>
      </c>
      <c r="R25" s="276">
        <f t="shared" si="32"/>
        <v>19296.215644896321</v>
      </c>
      <c r="S25" s="278">
        <f t="shared" si="33"/>
        <v>59795.670680233598</v>
      </c>
      <c r="T25" s="289">
        <f t="shared" ref="T25:T67" si="61">$N25-O25+T$22</f>
        <v>-49708.467042049699</v>
      </c>
      <c r="U25" s="290">
        <f t="shared" ref="U25:U67" si="62">$N25-P25+U$22</f>
        <v>-49708.467042049699</v>
      </c>
      <c r="V25" s="290">
        <f t="shared" ref="V25:V67" si="63">$N25-Q25+V$22</f>
        <v>-205192.96575163968</v>
      </c>
      <c r="W25" s="290">
        <f t="shared" ref="W25:W67" si="64">$N25-R25+W$22</f>
        <v>-9209.0120067124208</v>
      </c>
      <c r="X25" s="292">
        <f t="shared" ref="X25:X67" si="65">$N25-S25+X$22</f>
        <v>-49708.467042049699</v>
      </c>
      <c r="Y25" s="293">
        <f ca="1">IF(AND(Y$22=TRUE,INDEX(CDRANGE_CLS1,MATCH($A25,$A$24:$A$67,0),MATCH(Y$20,$B$20:$G$20,0))&lt;$D$6/OPDAYS_Cls1),86,payback(C25,T25,disc_rate/12,85))</f>
        <v>86</v>
      </c>
      <c r="Z25" s="294">
        <f ca="1">IF(AND(Z$22=TRUE,INDEX(CDRANGE_CLS1,MATCH($A25,$A$24:$A$67,0),MATCH(Z$20,$B$20:$G$20,0))&lt;$D$6/OPDAYS_Cls1),86,payback(D25,U25,disc_rate/12,85))</f>
        <v>86</v>
      </c>
      <c r="AA25" s="294">
        <f>IF(AND(AA$22=TRUE,INDEX(CDRANGE_CLS1,MATCH($A25,$A$24:$A$67,0),MATCH(AA$20,$B$20:$G$20,0))&lt;$D$6/OPDAYS_Cls1),86,payback(E25,V25,disc_rate/12,85))</f>
        <v>86</v>
      </c>
      <c r="AB25" s="294">
        <f ca="1">IF(AND(AB$22=TRUE,INDEX(CDRANGE_CLS1,MATCH($A25,$A$24:$A$67,0),MATCH(AB$20,$B$20:$G$20,0))&lt;$D$6/OPDAYS_Cls1),86,payback(F25,W25,disc_rate/12,85))</f>
        <v>86</v>
      </c>
      <c r="AC25" s="295">
        <f ca="1">IF(AND(AC$22=TRUE,INDEX(CDRANGE_CLS1,MATCH($A25,$A$24:$A$67,0),MATCH(AC$20,$B$20:$G$20,0))&lt;$D$6/OPDAYS_Cls1),86,payback(G25,X25,disc_rate/12,85))</f>
        <v>86</v>
      </c>
      <c r="AD25" s="296">
        <f t="shared" si="35"/>
        <v>0</v>
      </c>
      <c r="AE25" s="297">
        <f t="shared" si="36"/>
        <v>0</v>
      </c>
      <c r="AF25" s="297">
        <f t="shared" si="37"/>
        <v>0</v>
      </c>
      <c r="AG25" s="297">
        <f t="shared" si="38"/>
        <v>0</v>
      </c>
      <c r="AH25" s="597">
        <f t="shared" si="39"/>
        <v>0</v>
      </c>
      <c r="AI25" s="1143">
        <f t="shared" si="40"/>
        <v>0</v>
      </c>
      <c r="AJ25" s="1144">
        <f t="shared" si="41"/>
        <v>0</v>
      </c>
      <c r="AK25" s="1144">
        <f t="shared" si="42"/>
        <v>0</v>
      </c>
      <c r="AL25" s="1144">
        <f t="shared" si="43"/>
        <v>0</v>
      </c>
      <c r="AM25" s="1145">
        <f t="shared" si="44"/>
        <v>0</v>
      </c>
      <c r="AN25" s="299">
        <f t="shared" ref="AN25:AN67" si="66">IF(C25&lt;0,1,$AQ$17*(1-WEIBULL(C25/$B25,$AO$17,$AO$18,1)))</f>
        <v>0</v>
      </c>
      <c r="AO25" s="300">
        <f t="shared" ref="AO25:AO67" si="67">IF(D25&lt;0,1,$AQ$17*(1-WEIBULL(D25/$B25,$AO$17,$AO$18,1)))</f>
        <v>0</v>
      </c>
      <c r="AP25" s="300">
        <f t="shared" ref="AP25:AP67" si="68">IF(E25&lt;0,1,$AQ$17*(1-WEIBULL(E25/$B25,$AO$17,$AO$18,1)))</f>
        <v>0</v>
      </c>
      <c r="AQ25" s="300">
        <f t="shared" ref="AQ25:AQ67" si="69">IF(F25&lt;0,1,$AQ$17*(1-WEIBULL(F25/$B25,$AO$17,$AO$18,1)))</f>
        <v>0</v>
      </c>
      <c r="AR25" s="301">
        <f t="shared" ref="AR25:AR67" si="70">IF(G25&lt;0,1,$AQ$17*(1-WEIBULL(G25/$B25,$AO$17,$AO$18,1)))</f>
        <v>0</v>
      </c>
      <c r="AS25" s="296">
        <f t="shared" ca="1" si="46"/>
        <v>0</v>
      </c>
      <c r="AT25" s="297">
        <f t="shared" ca="1" si="47"/>
        <v>0</v>
      </c>
      <c r="AU25" s="297">
        <f t="shared" si="48"/>
        <v>0</v>
      </c>
      <c r="AV25" s="297">
        <f t="shared" ca="1" si="49"/>
        <v>0</v>
      </c>
      <c r="AW25" s="298">
        <f t="shared" ca="1" si="50"/>
        <v>0</v>
      </c>
      <c r="AX25" s="756">
        <f t="shared" ca="1" si="51"/>
        <v>0</v>
      </c>
      <c r="AY25" s="297">
        <f t="shared" ca="1" si="52"/>
        <v>0</v>
      </c>
      <c r="AZ25" s="297">
        <f t="shared" si="53"/>
        <v>0</v>
      </c>
      <c r="BA25" s="297">
        <f t="shared" ref="BA25:BA67" ca="1" si="71">MIN(AV25*AQ25,1)</f>
        <v>0</v>
      </c>
      <c r="BB25" s="597">
        <f t="shared" ref="BB25:BB67" ca="1" si="72">MIN(AW25*AR25,1)</f>
        <v>0</v>
      </c>
      <c r="BC25" s="296">
        <f t="shared" ref="BC25:BC67" ca="1" si="73">1-SUM(BD25:BH25)</f>
        <v>1</v>
      </c>
      <c r="BD25" s="297">
        <f t="shared" ca="1" si="56"/>
        <v>0</v>
      </c>
      <c r="BE25" s="297">
        <f t="shared" ca="1" si="57"/>
        <v>0</v>
      </c>
      <c r="BF25" s="297">
        <f t="shared" ca="1" si="58"/>
        <v>0</v>
      </c>
      <c r="BG25" s="297">
        <f t="shared" ca="1" si="59"/>
        <v>0</v>
      </c>
      <c r="BH25" s="298">
        <f t="shared" ca="1" si="60"/>
        <v>0</v>
      </c>
    </row>
    <row r="26" spans="1:60" x14ac:dyDescent="0.2">
      <c r="A26" s="288">
        <v>2009</v>
      </c>
      <c r="B26" s="810">
        <f t="shared" si="26"/>
        <v>156000</v>
      </c>
      <c r="C26" s="811">
        <f t="shared" si="26"/>
        <v>1000000</v>
      </c>
      <c r="D26" s="811">
        <f t="shared" si="26"/>
        <v>1000000</v>
      </c>
      <c r="E26" s="811">
        <f t="shared" si="26"/>
        <v>1000000</v>
      </c>
      <c r="F26" s="811">
        <f t="shared" si="26"/>
        <v>1000000</v>
      </c>
      <c r="G26" s="812">
        <f t="shared" si="26"/>
        <v>1000000</v>
      </c>
      <c r="H26" s="780">
        <f t="shared" si="27"/>
        <v>1</v>
      </c>
      <c r="I26" s="781">
        <f t="shared" si="27"/>
        <v>1</v>
      </c>
      <c r="J26" s="781">
        <f t="shared" si="27"/>
        <v>1</v>
      </c>
      <c r="K26" s="781">
        <f t="shared" si="27"/>
        <v>1</v>
      </c>
      <c r="L26" s="781">
        <f t="shared" si="27"/>
        <v>1</v>
      </c>
      <c r="M26" s="782">
        <f t="shared" si="27"/>
        <v>1</v>
      </c>
      <c r="N26" s="275">
        <f t="shared" si="28"/>
        <v>6519.9682002425943</v>
      </c>
      <c r="O26" s="276">
        <f t="shared" si="29"/>
        <v>38649.549005981295</v>
      </c>
      <c r="P26" s="276">
        <f t="shared" si="30"/>
        <v>38649.549005981295</v>
      </c>
      <c r="Q26" s="276">
        <f t="shared" si="31"/>
        <v>322608.6014847412</v>
      </c>
      <c r="R26" s="276">
        <f t="shared" si="32"/>
        <v>19296.215644896321</v>
      </c>
      <c r="S26" s="278">
        <f t="shared" si="33"/>
        <v>38649.549005981295</v>
      </c>
      <c r="T26" s="289">
        <f t="shared" si="61"/>
        <v>-32129.5808057387</v>
      </c>
      <c r="U26" s="290">
        <f t="shared" si="62"/>
        <v>-32129.5808057387</v>
      </c>
      <c r="V26" s="290">
        <f t="shared" si="63"/>
        <v>-316088.63328449859</v>
      </c>
      <c r="W26" s="290">
        <f t="shared" si="64"/>
        <v>-12776.247444653727</v>
      </c>
      <c r="X26" s="292">
        <f t="shared" si="65"/>
        <v>-32129.5808057387</v>
      </c>
      <c r="Y26" s="293">
        <f ca="1">IF(AND(Y$22=TRUE,INDEX(CDRANGE_CLS1,MATCH($A26,$A$24:$A$67,0),MATCH(Y$20,$B$20:$G$20,0))&lt;$D$6/OPDAYS_Cls1),86,payback(C26,T26,disc_rate/12,85))</f>
        <v>86</v>
      </c>
      <c r="Z26" s="294">
        <f ca="1">IF(AND(Z$22=TRUE,INDEX(CDRANGE_CLS1,MATCH($A26,$A$24:$A$67,0),MATCH(Z$20,$B$20:$G$20,0))&lt;$D$6/OPDAYS_Cls1),86,payback(D26,U26,disc_rate/12,85))</f>
        <v>86</v>
      </c>
      <c r="AA26" s="294">
        <f>IF(AND(AA$22=TRUE,INDEX(CDRANGE_CLS1,MATCH($A26,$A$24:$A$67,0),MATCH(AA$20,$B$20:$G$20,0))&lt;$D$6/OPDAYS_Cls1),86,payback(E26,V26,disc_rate/12,85))</f>
        <v>86</v>
      </c>
      <c r="AB26" s="294">
        <f ca="1">IF(AND(AB$22=TRUE,INDEX(CDRANGE_CLS1,MATCH($A26,$A$24:$A$67,0),MATCH(AB$20,$B$20:$G$20,0))&lt;$D$6/OPDAYS_Cls1),86,payback(F26,W26,disc_rate/12,85))</f>
        <v>86</v>
      </c>
      <c r="AC26" s="295">
        <f ca="1">IF(AND(AC$22=TRUE,INDEX(CDRANGE_CLS1,MATCH($A26,$A$24:$A$67,0),MATCH(AC$20,$B$20:$G$20,0))&lt;$D$6/OPDAYS_Cls1),86,payback(G26,X26,disc_rate/12,85))</f>
        <v>86</v>
      </c>
      <c r="AD26" s="296">
        <f t="shared" si="35"/>
        <v>0</v>
      </c>
      <c r="AE26" s="297">
        <f t="shared" si="36"/>
        <v>0</v>
      </c>
      <c r="AF26" s="297">
        <f t="shared" si="37"/>
        <v>0</v>
      </c>
      <c r="AG26" s="297">
        <f t="shared" si="38"/>
        <v>0</v>
      </c>
      <c r="AH26" s="597">
        <f t="shared" si="39"/>
        <v>0</v>
      </c>
      <c r="AI26" s="1143">
        <f t="shared" si="40"/>
        <v>0</v>
      </c>
      <c r="AJ26" s="1144">
        <f t="shared" si="41"/>
        <v>0</v>
      </c>
      <c r="AK26" s="1144">
        <f t="shared" si="42"/>
        <v>0</v>
      </c>
      <c r="AL26" s="1144">
        <f t="shared" si="43"/>
        <v>0</v>
      </c>
      <c r="AM26" s="1145">
        <f t="shared" si="44"/>
        <v>0</v>
      </c>
      <c r="AN26" s="299">
        <f t="shared" si="66"/>
        <v>0</v>
      </c>
      <c r="AO26" s="300">
        <f t="shared" si="67"/>
        <v>0</v>
      </c>
      <c r="AP26" s="300">
        <f t="shared" si="68"/>
        <v>0</v>
      </c>
      <c r="AQ26" s="300">
        <f t="shared" si="69"/>
        <v>0</v>
      </c>
      <c r="AR26" s="301">
        <f t="shared" si="70"/>
        <v>0</v>
      </c>
      <c r="AS26" s="296">
        <f t="shared" ca="1" si="46"/>
        <v>0</v>
      </c>
      <c r="AT26" s="297">
        <f t="shared" ca="1" si="47"/>
        <v>0</v>
      </c>
      <c r="AU26" s="297">
        <f t="shared" si="48"/>
        <v>0</v>
      </c>
      <c r="AV26" s="297">
        <f t="shared" ca="1" si="49"/>
        <v>0</v>
      </c>
      <c r="AW26" s="298">
        <f t="shared" ca="1" si="50"/>
        <v>0</v>
      </c>
      <c r="AX26" s="756">
        <f t="shared" ca="1" si="51"/>
        <v>0</v>
      </c>
      <c r="AY26" s="297">
        <f t="shared" ca="1" si="52"/>
        <v>0</v>
      </c>
      <c r="AZ26" s="297">
        <f t="shared" si="53"/>
        <v>0</v>
      </c>
      <c r="BA26" s="297">
        <f t="shared" ca="1" si="71"/>
        <v>0</v>
      </c>
      <c r="BB26" s="597">
        <f t="shared" ca="1" si="72"/>
        <v>0</v>
      </c>
      <c r="BC26" s="296">
        <f t="shared" ca="1" si="73"/>
        <v>1</v>
      </c>
      <c r="BD26" s="297">
        <f t="shared" ca="1" si="56"/>
        <v>0</v>
      </c>
      <c r="BE26" s="297">
        <f t="shared" ca="1" si="57"/>
        <v>0</v>
      </c>
      <c r="BF26" s="297">
        <f t="shared" ca="1" si="58"/>
        <v>0</v>
      </c>
      <c r="BG26" s="297">
        <f t="shared" ca="1" si="59"/>
        <v>0</v>
      </c>
      <c r="BH26" s="298">
        <f t="shared" ca="1" si="60"/>
        <v>0</v>
      </c>
    </row>
    <row r="27" spans="1:60" ht="15" thickBot="1" x14ac:dyDescent="0.25">
      <c r="A27" s="618">
        <v>2010</v>
      </c>
      <c r="B27" s="813">
        <f t="shared" si="26"/>
        <v>156000</v>
      </c>
      <c r="C27" s="814">
        <f t="shared" si="26"/>
        <v>1000000</v>
      </c>
      <c r="D27" s="814">
        <f t="shared" si="26"/>
        <v>1000000</v>
      </c>
      <c r="E27" s="814">
        <f t="shared" si="26"/>
        <v>1000000</v>
      </c>
      <c r="F27" s="814">
        <f t="shared" si="26"/>
        <v>1000000</v>
      </c>
      <c r="G27" s="815">
        <f t="shared" si="26"/>
        <v>1000000</v>
      </c>
      <c r="H27" s="780">
        <f t="shared" si="27"/>
        <v>1</v>
      </c>
      <c r="I27" s="781">
        <f t="shared" si="27"/>
        <v>1</v>
      </c>
      <c r="J27" s="781">
        <f t="shared" si="27"/>
        <v>1</v>
      </c>
      <c r="K27" s="781">
        <f t="shared" si="27"/>
        <v>1</v>
      </c>
      <c r="L27" s="781">
        <f t="shared" si="27"/>
        <v>1</v>
      </c>
      <c r="M27" s="782">
        <f t="shared" si="27"/>
        <v>1</v>
      </c>
      <c r="N27" s="774">
        <f t="shared" si="28"/>
        <v>8428.4770999193952</v>
      </c>
      <c r="O27" s="775">
        <f t="shared" si="29"/>
        <v>47646.016403140064</v>
      </c>
      <c r="P27" s="775">
        <f t="shared" si="30"/>
        <v>47646.016403140064</v>
      </c>
      <c r="Q27" s="775">
        <f t="shared" si="31"/>
        <v>232008.73318143192</v>
      </c>
      <c r="R27" s="775">
        <f t="shared" si="32"/>
        <v>19296.215644896321</v>
      </c>
      <c r="S27" s="776">
        <f t="shared" si="33"/>
        <v>47646.016403140064</v>
      </c>
      <c r="T27" s="303">
        <f t="shared" si="61"/>
        <v>-39217.53930322067</v>
      </c>
      <c r="U27" s="304">
        <f t="shared" si="62"/>
        <v>-39217.53930322067</v>
      </c>
      <c r="V27" s="304">
        <f t="shared" si="63"/>
        <v>-223580.25608151252</v>
      </c>
      <c r="W27" s="304">
        <f t="shared" si="64"/>
        <v>-10867.738544976926</v>
      </c>
      <c r="X27" s="306">
        <f t="shared" si="65"/>
        <v>-39217.53930322067</v>
      </c>
      <c r="Y27" s="307">
        <f ca="1">IF(AND(Y$22=TRUE,INDEX(CDRANGE_CLS1,MATCH($A27,$A$24:$A$67,0),MATCH(Y$20,$B$20:$G$20,0))&lt;$D$6/OPDAYS_Cls1),86,payback(C27,T27,disc_rate/12,85))</f>
        <v>86</v>
      </c>
      <c r="Z27" s="308">
        <f ca="1">IF(AND(Z$22=TRUE,INDEX(CDRANGE_CLS1,MATCH($A27,$A$24:$A$67,0),MATCH(Z$20,$B$20:$G$20,0))&lt;$D$6/OPDAYS_Cls1),86,payback(D27,U27,disc_rate/12,85))</f>
        <v>86</v>
      </c>
      <c r="AA27" s="308">
        <f>IF(AND(AA$22=TRUE,INDEX(CDRANGE_CLS1,MATCH($A27,$A$24:$A$67,0),MATCH(AA$20,$B$20:$G$20,0))&lt;$D$6/OPDAYS_Cls1),86,payback(E27,V27,disc_rate/12,85))</f>
        <v>86</v>
      </c>
      <c r="AB27" s="308">
        <f ca="1">IF(AND(AB$22=TRUE,INDEX(CDRANGE_CLS1,MATCH($A27,$A$24:$A$67,0),MATCH(AB$20,$B$20:$G$20,0))&lt;$D$6/OPDAYS_Cls1),86,payback(F27,W27,disc_rate/12,85))</f>
        <v>86</v>
      </c>
      <c r="AC27" s="309">
        <f ca="1">IF(AND(AC$22=TRUE,INDEX(CDRANGE_CLS1,MATCH($A27,$A$24:$A$67,0),MATCH(AC$20,$B$20:$G$20,0))&lt;$D$6/OPDAYS_Cls1),86,payback(G27,X27,disc_rate/12,85))</f>
        <v>86</v>
      </c>
      <c r="AD27" s="310">
        <f t="shared" si="35"/>
        <v>0</v>
      </c>
      <c r="AE27" s="311">
        <f t="shared" si="36"/>
        <v>0</v>
      </c>
      <c r="AF27" s="311">
        <f t="shared" si="37"/>
        <v>0</v>
      </c>
      <c r="AG27" s="311">
        <f t="shared" si="38"/>
        <v>0</v>
      </c>
      <c r="AH27" s="758">
        <f t="shared" si="39"/>
        <v>0</v>
      </c>
      <c r="AI27" s="1146">
        <f t="shared" si="40"/>
        <v>0</v>
      </c>
      <c r="AJ27" s="1147">
        <f t="shared" si="41"/>
        <v>0</v>
      </c>
      <c r="AK27" s="1147">
        <f t="shared" si="42"/>
        <v>0</v>
      </c>
      <c r="AL27" s="1147">
        <f t="shared" si="43"/>
        <v>0</v>
      </c>
      <c r="AM27" s="1148">
        <f t="shared" si="44"/>
        <v>0</v>
      </c>
      <c r="AN27" s="313">
        <f t="shared" si="66"/>
        <v>0</v>
      </c>
      <c r="AO27" s="314">
        <f t="shared" si="67"/>
        <v>0</v>
      </c>
      <c r="AP27" s="314">
        <f t="shared" si="68"/>
        <v>0</v>
      </c>
      <c r="AQ27" s="314">
        <f t="shared" si="69"/>
        <v>0</v>
      </c>
      <c r="AR27" s="315">
        <f t="shared" si="70"/>
        <v>0</v>
      </c>
      <c r="AS27" s="310">
        <f t="shared" ca="1" si="46"/>
        <v>0</v>
      </c>
      <c r="AT27" s="311">
        <f t="shared" ca="1" si="47"/>
        <v>0</v>
      </c>
      <c r="AU27" s="311">
        <f t="shared" si="48"/>
        <v>0</v>
      </c>
      <c r="AV27" s="311">
        <f t="shared" ca="1" si="49"/>
        <v>0</v>
      </c>
      <c r="AW27" s="312">
        <f t="shared" ca="1" si="50"/>
        <v>0</v>
      </c>
      <c r="AX27" s="757">
        <f t="shared" ca="1" si="51"/>
        <v>0</v>
      </c>
      <c r="AY27" s="625">
        <f t="shared" ca="1" si="52"/>
        <v>0</v>
      </c>
      <c r="AZ27" s="625">
        <f t="shared" si="53"/>
        <v>0</v>
      </c>
      <c r="BA27" s="625">
        <f t="shared" ca="1" si="71"/>
        <v>0</v>
      </c>
      <c r="BB27" s="645">
        <f t="shared" ca="1" si="72"/>
        <v>0</v>
      </c>
      <c r="BC27" s="310">
        <f t="shared" ca="1" si="73"/>
        <v>1</v>
      </c>
      <c r="BD27" s="311">
        <f t="shared" ca="1" si="56"/>
        <v>0</v>
      </c>
      <c r="BE27" s="311">
        <f t="shared" ca="1" si="57"/>
        <v>0</v>
      </c>
      <c r="BF27" s="311">
        <f t="shared" ca="1" si="58"/>
        <v>0</v>
      </c>
      <c r="BG27" s="311">
        <f t="shared" ca="1" si="59"/>
        <v>0</v>
      </c>
      <c r="BH27" s="312">
        <f t="shared" ca="1" si="60"/>
        <v>0</v>
      </c>
    </row>
    <row r="28" spans="1:60" x14ac:dyDescent="0.2">
      <c r="A28" s="318">
        <v>2011</v>
      </c>
      <c r="B28" s="816">
        <f t="shared" si="26"/>
        <v>156000</v>
      </c>
      <c r="C28" s="817">
        <f t="shared" si="26"/>
        <v>1000000</v>
      </c>
      <c r="D28" s="817">
        <f t="shared" si="26"/>
        <v>1000000</v>
      </c>
      <c r="E28" s="817">
        <f t="shared" si="26"/>
        <v>1000000</v>
      </c>
      <c r="F28" s="817">
        <f t="shared" si="26"/>
        <v>1000000</v>
      </c>
      <c r="G28" s="818">
        <f t="shared" si="26"/>
        <v>1000000</v>
      </c>
      <c r="H28" s="780">
        <f t="shared" si="27"/>
        <v>1</v>
      </c>
      <c r="I28" s="781">
        <f t="shared" si="27"/>
        <v>1</v>
      </c>
      <c r="J28" s="781">
        <f t="shared" si="27"/>
        <v>1</v>
      </c>
      <c r="K28" s="781">
        <f t="shared" si="27"/>
        <v>1</v>
      </c>
      <c r="L28" s="781">
        <f t="shared" si="27"/>
        <v>1</v>
      </c>
      <c r="M28" s="782">
        <f t="shared" si="27"/>
        <v>1</v>
      </c>
      <c r="N28" s="631">
        <f t="shared" si="28"/>
        <v>10932.093343098884</v>
      </c>
      <c r="O28" s="632">
        <f t="shared" si="29"/>
        <v>63075.865131559083</v>
      </c>
      <c r="P28" s="632">
        <f t="shared" si="30"/>
        <v>63075.865131559083</v>
      </c>
      <c r="Q28" s="632">
        <f t="shared" si="31"/>
        <v>183282.49267603748</v>
      </c>
      <c r="R28" s="632">
        <f t="shared" si="32"/>
        <v>19296.215644896321</v>
      </c>
      <c r="S28" s="744">
        <f t="shared" si="33"/>
        <v>63075.865131559083</v>
      </c>
      <c r="T28" s="735">
        <f t="shared" si="61"/>
        <v>-52143.771788460203</v>
      </c>
      <c r="U28" s="632">
        <f t="shared" si="62"/>
        <v>-52143.771788460203</v>
      </c>
      <c r="V28" s="632">
        <f t="shared" si="63"/>
        <v>-172350.3993329386</v>
      </c>
      <c r="W28" s="632">
        <f t="shared" si="64"/>
        <v>-8364.1223017974371</v>
      </c>
      <c r="X28" s="633">
        <f t="shared" si="65"/>
        <v>-52143.771788460203</v>
      </c>
      <c r="Y28" s="634">
        <f ca="1">IF(AND(Y$22=TRUE,INDEX(CDRANGE_CLS1,MATCH($A28,$A$24:$A$67,0),MATCH(Y$20,$B$20:$G$20,0))&lt;$D$6/OPDAYS_Cls1),86,payback(C28,T28,disc_rate/12,85))</f>
        <v>86</v>
      </c>
      <c r="Z28" s="635">
        <f ca="1">IF(AND(Z$22=TRUE,INDEX(CDRANGE_CLS1,MATCH($A28,$A$24:$A$67,0),MATCH(Z$20,$B$20:$G$20,0))&lt;$D$6/OPDAYS_Cls1),86,payback(D28,U28,disc_rate/12,85))</f>
        <v>86</v>
      </c>
      <c r="AA28" s="635">
        <f>IF(AND(AA$22=TRUE,INDEX(CDRANGE_CLS1,MATCH($A28,$A$24:$A$67,0),MATCH(AA$20,$B$20:$G$20,0))&lt;$D$6/OPDAYS_Cls1),86,payback(E28,V28,disc_rate/12,85))</f>
        <v>86</v>
      </c>
      <c r="AB28" s="635">
        <f ca="1">IF(AND(AB$22=TRUE,INDEX(CDRANGE_CLS1,MATCH($A28,$A$24:$A$67,0),MATCH(AB$20,$B$20:$G$20,0))&lt;$D$6/OPDAYS_Cls1),86,payback(F28,W28,disc_rate/12,85))</f>
        <v>86</v>
      </c>
      <c r="AC28" s="636">
        <f ca="1">IF(AND(AC$22=TRUE,INDEX(CDRANGE_CLS1,MATCH($A28,$A$24:$A$67,0),MATCH(AC$20,$B$20:$G$20,0))&lt;$D$6/OPDAYS_Cls1),86,payback(G28,X28,disc_rate/12,85))</f>
        <v>86</v>
      </c>
      <c r="AD28" s="637">
        <f t="shared" si="35"/>
        <v>0</v>
      </c>
      <c r="AE28" s="638">
        <f t="shared" si="36"/>
        <v>0</v>
      </c>
      <c r="AF28" s="638">
        <f t="shared" si="37"/>
        <v>0</v>
      </c>
      <c r="AG28" s="638">
        <f t="shared" si="38"/>
        <v>0</v>
      </c>
      <c r="AH28" s="639">
        <f t="shared" si="39"/>
        <v>0</v>
      </c>
      <c r="AI28" s="1149">
        <f t="shared" si="40"/>
        <v>0</v>
      </c>
      <c r="AJ28" s="1150">
        <f t="shared" si="41"/>
        <v>0</v>
      </c>
      <c r="AK28" s="1150">
        <f t="shared" si="42"/>
        <v>0</v>
      </c>
      <c r="AL28" s="1150">
        <f t="shared" si="43"/>
        <v>0</v>
      </c>
      <c r="AM28" s="1151">
        <f t="shared" si="44"/>
        <v>0</v>
      </c>
      <c r="AN28" s="643">
        <f t="shared" si="66"/>
        <v>0</v>
      </c>
      <c r="AO28" s="641">
        <f t="shared" si="67"/>
        <v>0</v>
      </c>
      <c r="AP28" s="641">
        <f t="shared" si="68"/>
        <v>0</v>
      </c>
      <c r="AQ28" s="641">
        <f t="shared" si="69"/>
        <v>0</v>
      </c>
      <c r="AR28" s="642">
        <f t="shared" si="70"/>
        <v>0</v>
      </c>
      <c r="AS28" s="637">
        <f t="shared" ca="1" si="46"/>
        <v>0</v>
      </c>
      <c r="AT28" s="638">
        <f t="shared" ca="1" si="47"/>
        <v>0</v>
      </c>
      <c r="AU28" s="638">
        <f t="shared" si="48"/>
        <v>0</v>
      </c>
      <c r="AV28" s="638">
        <f t="shared" ca="1" si="49"/>
        <v>0</v>
      </c>
      <c r="AW28" s="639">
        <f t="shared" ca="1" si="50"/>
        <v>0</v>
      </c>
      <c r="AX28" s="637">
        <f t="shared" ca="1" si="51"/>
        <v>0</v>
      </c>
      <c r="AY28" s="638">
        <f t="shared" ca="1" si="52"/>
        <v>0</v>
      </c>
      <c r="AZ28" s="638">
        <f t="shared" si="53"/>
        <v>0</v>
      </c>
      <c r="BA28" s="638">
        <f t="shared" ca="1" si="71"/>
        <v>0</v>
      </c>
      <c r="BB28" s="639">
        <f t="shared" ca="1" si="72"/>
        <v>0</v>
      </c>
      <c r="BC28" s="637">
        <f t="shared" ca="1" si="73"/>
        <v>1</v>
      </c>
      <c r="BD28" s="638">
        <f t="shared" ca="1" si="56"/>
        <v>0</v>
      </c>
      <c r="BE28" s="638">
        <f t="shared" ca="1" si="57"/>
        <v>0</v>
      </c>
      <c r="BF28" s="638">
        <f t="shared" ca="1" si="58"/>
        <v>0</v>
      </c>
      <c r="BG28" s="638">
        <f t="shared" ca="1" si="59"/>
        <v>0</v>
      </c>
      <c r="BH28" s="639">
        <f t="shared" ca="1" si="60"/>
        <v>0</v>
      </c>
    </row>
    <row r="29" spans="1:60" x14ac:dyDescent="0.2">
      <c r="A29" s="317">
        <v>2012</v>
      </c>
      <c r="B29" s="819">
        <f t="shared" si="26"/>
        <v>156000</v>
      </c>
      <c r="C29" s="820">
        <f t="shared" si="26"/>
        <v>1000000</v>
      </c>
      <c r="D29" s="820">
        <f t="shared" si="26"/>
        <v>1000000</v>
      </c>
      <c r="E29" s="820">
        <f t="shared" si="26"/>
        <v>1000000</v>
      </c>
      <c r="F29" s="820">
        <f t="shared" si="26"/>
        <v>1000000</v>
      </c>
      <c r="G29" s="821">
        <f t="shared" si="26"/>
        <v>1000000</v>
      </c>
      <c r="H29" s="780">
        <f t="shared" si="27"/>
        <v>1</v>
      </c>
      <c r="I29" s="781">
        <f t="shared" si="27"/>
        <v>1</v>
      </c>
      <c r="J29" s="781">
        <f t="shared" si="27"/>
        <v>1</v>
      </c>
      <c r="K29" s="781">
        <f t="shared" si="27"/>
        <v>1</v>
      </c>
      <c r="L29" s="781">
        <f t="shared" si="27"/>
        <v>1</v>
      </c>
      <c r="M29" s="782">
        <f t="shared" si="27"/>
        <v>1</v>
      </c>
      <c r="N29" s="275">
        <f t="shared" si="28"/>
        <v>11439.442673908667</v>
      </c>
      <c r="O29" s="276">
        <f t="shared" si="29"/>
        <v>66527.610335728168</v>
      </c>
      <c r="P29" s="276">
        <f t="shared" si="30"/>
        <v>66527.610335728168</v>
      </c>
      <c r="Q29" s="276">
        <f t="shared" si="31"/>
        <v>156662.1556367279</v>
      </c>
      <c r="R29" s="276">
        <f t="shared" si="32"/>
        <v>19296.215644896321</v>
      </c>
      <c r="S29" s="278">
        <f t="shared" si="33"/>
        <v>66527.610335728168</v>
      </c>
      <c r="T29" s="733">
        <f t="shared" si="61"/>
        <v>-55088.167661819505</v>
      </c>
      <c r="U29" s="290">
        <f t="shared" si="62"/>
        <v>-55088.167661819505</v>
      </c>
      <c r="V29" s="290">
        <f t="shared" si="63"/>
        <v>-145222.71296281923</v>
      </c>
      <c r="W29" s="290">
        <f t="shared" si="64"/>
        <v>-7856.7729709876548</v>
      </c>
      <c r="X29" s="291">
        <f t="shared" si="65"/>
        <v>-55088.167661819505</v>
      </c>
      <c r="Y29" s="293">
        <f ca="1">IF(AND(Y$22=TRUE,INDEX(CDRANGE_CLS1,MATCH($A29,$A$24:$A$67,0),MATCH(Y$20,$B$20:$G$20,0))&lt;$D$6/OPDAYS_Cls1),86,payback(C29,T29,disc_rate/12,85))</f>
        <v>86</v>
      </c>
      <c r="Z29" s="294">
        <f ca="1">IF(AND(Z$22=TRUE,INDEX(CDRANGE_CLS1,MATCH($A29,$A$24:$A$67,0),MATCH(Z$20,$B$20:$G$20,0))&lt;$D$6/OPDAYS_Cls1),86,payback(D29,U29,disc_rate/12,85))</f>
        <v>86</v>
      </c>
      <c r="AA29" s="294">
        <f>IF(AND(AA$22=TRUE,INDEX(CDRANGE_CLS1,MATCH($A29,$A$24:$A$67,0),MATCH(AA$20,$B$20:$G$20,0))&lt;$D$6/OPDAYS_Cls1),86,payback(E29,V29,disc_rate/12,85))</f>
        <v>86</v>
      </c>
      <c r="AB29" s="294">
        <f ca="1">IF(AND(AB$22=TRUE,INDEX(CDRANGE_CLS1,MATCH($A29,$A$24:$A$67,0),MATCH(AB$20,$B$20:$G$20,0))&lt;$D$6/OPDAYS_Cls1),86,payback(F29,W29,disc_rate/12,85))</f>
        <v>86</v>
      </c>
      <c r="AC29" s="592">
        <f ca="1">IF(AND(AC$22=TRUE,INDEX(CDRANGE_CLS1,MATCH($A29,$A$24:$A$67,0),MATCH(AC$20,$B$20:$G$20,0))&lt;$D$6/OPDAYS_Cls1),86,payback(G29,X29,disc_rate/12,85))</f>
        <v>86</v>
      </c>
      <c r="AD29" s="296">
        <f t="shared" si="35"/>
        <v>0</v>
      </c>
      <c r="AE29" s="297">
        <f t="shared" si="36"/>
        <v>0</v>
      </c>
      <c r="AF29" s="297">
        <f t="shared" si="37"/>
        <v>0</v>
      </c>
      <c r="AG29" s="297">
        <f t="shared" si="38"/>
        <v>0</v>
      </c>
      <c r="AH29" s="298">
        <f t="shared" si="39"/>
        <v>0</v>
      </c>
      <c r="AI29" s="1143">
        <f t="shared" si="40"/>
        <v>0</v>
      </c>
      <c r="AJ29" s="1144">
        <f t="shared" si="41"/>
        <v>0</v>
      </c>
      <c r="AK29" s="1144">
        <f t="shared" si="42"/>
        <v>0</v>
      </c>
      <c r="AL29" s="1144">
        <f t="shared" si="43"/>
        <v>0</v>
      </c>
      <c r="AM29" s="1152">
        <f t="shared" si="44"/>
        <v>0</v>
      </c>
      <c r="AN29" s="299">
        <f t="shared" si="66"/>
        <v>0</v>
      </c>
      <c r="AO29" s="300">
        <f t="shared" si="67"/>
        <v>0</v>
      </c>
      <c r="AP29" s="300">
        <f t="shared" si="68"/>
        <v>0</v>
      </c>
      <c r="AQ29" s="300">
        <f t="shared" si="69"/>
        <v>0</v>
      </c>
      <c r="AR29" s="598">
        <f t="shared" si="70"/>
        <v>0</v>
      </c>
      <c r="AS29" s="296">
        <f t="shared" ca="1" si="46"/>
        <v>0</v>
      </c>
      <c r="AT29" s="297">
        <f t="shared" ca="1" si="47"/>
        <v>0</v>
      </c>
      <c r="AU29" s="297">
        <f t="shared" si="48"/>
        <v>0</v>
      </c>
      <c r="AV29" s="297">
        <f t="shared" ca="1" si="49"/>
        <v>0</v>
      </c>
      <c r="AW29" s="298">
        <f t="shared" ca="1" si="50"/>
        <v>0</v>
      </c>
      <c r="AX29" s="296">
        <f t="shared" ca="1" si="51"/>
        <v>0</v>
      </c>
      <c r="AY29" s="297">
        <f t="shared" ca="1" si="52"/>
        <v>0</v>
      </c>
      <c r="AZ29" s="297">
        <f t="shared" si="53"/>
        <v>0</v>
      </c>
      <c r="BA29" s="297">
        <f t="shared" ca="1" si="71"/>
        <v>0</v>
      </c>
      <c r="BB29" s="298">
        <f t="shared" ca="1" si="72"/>
        <v>0</v>
      </c>
      <c r="BC29" s="296">
        <f t="shared" ca="1" si="73"/>
        <v>1</v>
      </c>
      <c r="BD29" s="297">
        <f t="shared" ca="1" si="56"/>
        <v>0</v>
      </c>
      <c r="BE29" s="297">
        <f t="shared" ca="1" si="57"/>
        <v>0</v>
      </c>
      <c r="BF29" s="297">
        <f t="shared" ca="1" si="58"/>
        <v>0</v>
      </c>
      <c r="BG29" s="297">
        <f t="shared" ca="1" si="59"/>
        <v>0</v>
      </c>
      <c r="BH29" s="298">
        <f t="shared" ca="1" si="60"/>
        <v>0</v>
      </c>
    </row>
    <row r="30" spans="1:60" x14ac:dyDescent="0.2">
      <c r="A30" s="317">
        <v>2013</v>
      </c>
      <c r="B30" s="819">
        <f t="shared" si="26"/>
        <v>156000</v>
      </c>
      <c r="C30" s="820">
        <f t="shared" si="26"/>
        <v>1000000</v>
      </c>
      <c r="D30" s="820">
        <f t="shared" si="26"/>
        <v>1000000</v>
      </c>
      <c r="E30" s="820">
        <f t="shared" si="26"/>
        <v>1000000</v>
      </c>
      <c r="F30" s="820">
        <f t="shared" si="26"/>
        <v>1000000</v>
      </c>
      <c r="G30" s="821">
        <f t="shared" si="26"/>
        <v>1000000</v>
      </c>
      <c r="H30" s="780">
        <f t="shared" si="27"/>
        <v>1</v>
      </c>
      <c r="I30" s="781">
        <f t="shared" si="27"/>
        <v>1</v>
      </c>
      <c r="J30" s="781">
        <f t="shared" si="27"/>
        <v>1</v>
      </c>
      <c r="K30" s="781">
        <f t="shared" si="27"/>
        <v>1</v>
      </c>
      <c r="L30" s="781">
        <f t="shared" si="27"/>
        <v>1</v>
      </c>
      <c r="M30" s="782">
        <f t="shared" si="27"/>
        <v>1</v>
      </c>
      <c r="N30" s="275">
        <f t="shared" si="28"/>
        <v>11262.323737910812</v>
      </c>
      <c r="O30" s="276">
        <f t="shared" si="29"/>
        <v>66723.214973263486</v>
      </c>
      <c r="P30" s="276">
        <f t="shared" si="30"/>
        <v>66723.214973263486</v>
      </c>
      <c r="Q30" s="276">
        <f t="shared" si="31"/>
        <v>160583.97020281761</v>
      </c>
      <c r="R30" s="276">
        <f t="shared" si="32"/>
        <v>19296.215644896321</v>
      </c>
      <c r="S30" s="278">
        <f t="shared" si="33"/>
        <v>66723.214973263486</v>
      </c>
      <c r="T30" s="733">
        <f t="shared" si="61"/>
        <v>-55460.891235352676</v>
      </c>
      <c r="U30" s="290">
        <f t="shared" si="62"/>
        <v>-55460.891235352676</v>
      </c>
      <c r="V30" s="290">
        <f t="shared" si="63"/>
        <v>-149321.64646490681</v>
      </c>
      <c r="W30" s="290">
        <f t="shared" si="64"/>
        <v>-8033.8919069855092</v>
      </c>
      <c r="X30" s="291">
        <f t="shared" si="65"/>
        <v>-55460.891235352676</v>
      </c>
      <c r="Y30" s="293">
        <f ca="1">IF(AND(Y$22=TRUE,INDEX(CDRANGE_CLS1,MATCH($A30,$A$24:$A$67,0),MATCH(Y$20,$B$20:$G$20,0))&lt;$D$6/OPDAYS_Cls1),86,payback(C30,T30,disc_rate/12,85))</f>
        <v>86</v>
      </c>
      <c r="Z30" s="294">
        <f ca="1">IF(AND(Z$22=TRUE,INDEX(CDRANGE_CLS1,MATCH($A30,$A$24:$A$67,0),MATCH(Z$20,$B$20:$G$20,0))&lt;$D$6/OPDAYS_Cls1),86,payback(D30,U30,disc_rate/12,85))</f>
        <v>86</v>
      </c>
      <c r="AA30" s="294">
        <f>IF(AND(AA$22=TRUE,INDEX(CDRANGE_CLS1,MATCH($A30,$A$24:$A$67,0),MATCH(AA$20,$B$20:$G$20,0))&lt;$D$6/OPDAYS_Cls1),86,payback(E30,V30,disc_rate/12,85))</f>
        <v>86</v>
      </c>
      <c r="AB30" s="294">
        <f ca="1">IF(AND(AB$22=TRUE,INDEX(CDRANGE_CLS1,MATCH($A30,$A$24:$A$67,0),MATCH(AB$20,$B$20:$G$20,0))&lt;$D$6/OPDAYS_Cls1),86,payback(F30,W30,disc_rate/12,85))</f>
        <v>86</v>
      </c>
      <c r="AC30" s="592">
        <f ca="1">IF(AND(AC$22=TRUE,INDEX(CDRANGE_CLS1,MATCH($A30,$A$24:$A$67,0),MATCH(AC$20,$B$20:$G$20,0))&lt;$D$6/OPDAYS_Cls1),86,payback(G30,X30,disc_rate/12,85))</f>
        <v>86</v>
      </c>
      <c r="AD30" s="296">
        <f t="shared" si="35"/>
        <v>0</v>
      </c>
      <c r="AE30" s="297">
        <f t="shared" si="36"/>
        <v>0</v>
      </c>
      <c r="AF30" s="297">
        <f t="shared" si="37"/>
        <v>0</v>
      </c>
      <c r="AG30" s="297">
        <f t="shared" si="38"/>
        <v>0</v>
      </c>
      <c r="AH30" s="298">
        <f t="shared" si="39"/>
        <v>0</v>
      </c>
      <c r="AI30" s="1143">
        <f t="shared" si="40"/>
        <v>0</v>
      </c>
      <c r="AJ30" s="1144">
        <f t="shared" si="41"/>
        <v>0</v>
      </c>
      <c r="AK30" s="1144">
        <f t="shared" si="42"/>
        <v>0</v>
      </c>
      <c r="AL30" s="1144">
        <f t="shared" si="43"/>
        <v>0</v>
      </c>
      <c r="AM30" s="1152">
        <f t="shared" si="44"/>
        <v>0</v>
      </c>
      <c r="AN30" s="299">
        <f t="shared" si="66"/>
        <v>0</v>
      </c>
      <c r="AO30" s="300">
        <f t="shared" si="67"/>
        <v>0</v>
      </c>
      <c r="AP30" s="300">
        <f t="shared" si="68"/>
        <v>0</v>
      </c>
      <c r="AQ30" s="300">
        <f t="shared" si="69"/>
        <v>0</v>
      </c>
      <c r="AR30" s="598">
        <f t="shared" si="70"/>
        <v>0</v>
      </c>
      <c r="AS30" s="296">
        <f t="shared" ca="1" si="46"/>
        <v>0</v>
      </c>
      <c r="AT30" s="297">
        <f t="shared" ca="1" si="47"/>
        <v>0</v>
      </c>
      <c r="AU30" s="297">
        <f t="shared" si="48"/>
        <v>0</v>
      </c>
      <c r="AV30" s="297">
        <f t="shared" ca="1" si="49"/>
        <v>0</v>
      </c>
      <c r="AW30" s="298">
        <f t="shared" ca="1" si="50"/>
        <v>0</v>
      </c>
      <c r="AX30" s="296">
        <f t="shared" ca="1" si="51"/>
        <v>0</v>
      </c>
      <c r="AY30" s="297">
        <f t="shared" ca="1" si="52"/>
        <v>0</v>
      </c>
      <c r="AZ30" s="297">
        <f t="shared" si="53"/>
        <v>0</v>
      </c>
      <c r="BA30" s="297">
        <f t="shared" ca="1" si="71"/>
        <v>0</v>
      </c>
      <c r="BB30" s="298">
        <f t="shared" ca="1" si="72"/>
        <v>0</v>
      </c>
      <c r="BC30" s="296">
        <f t="shared" ca="1" si="73"/>
        <v>1</v>
      </c>
      <c r="BD30" s="297">
        <f t="shared" ca="1" si="56"/>
        <v>0</v>
      </c>
      <c r="BE30" s="297">
        <f t="shared" ca="1" si="57"/>
        <v>0</v>
      </c>
      <c r="BF30" s="297">
        <f t="shared" ca="1" si="58"/>
        <v>0</v>
      </c>
      <c r="BG30" s="297">
        <f t="shared" ca="1" si="59"/>
        <v>0</v>
      </c>
      <c r="BH30" s="298">
        <f t="shared" ca="1" si="60"/>
        <v>0</v>
      </c>
    </row>
    <row r="31" spans="1:60" x14ac:dyDescent="0.2">
      <c r="A31" s="317">
        <v>2014</v>
      </c>
      <c r="B31" s="819">
        <f t="shared" si="26"/>
        <v>156000</v>
      </c>
      <c r="C31" s="820">
        <f t="shared" si="26"/>
        <v>1000000</v>
      </c>
      <c r="D31" s="820">
        <f t="shared" si="26"/>
        <v>1000000</v>
      </c>
      <c r="E31" s="820">
        <f t="shared" si="26"/>
        <v>1000000</v>
      </c>
      <c r="F31" s="820">
        <f t="shared" si="26"/>
        <v>1000000</v>
      </c>
      <c r="G31" s="821">
        <f t="shared" si="26"/>
        <v>1000000</v>
      </c>
      <c r="H31" s="780">
        <f t="shared" si="27"/>
        <v>1</v>
      </c>
      <c r="I31" s="781">
        <f t="shared" si="27"/>
        <v>1</v>
      </c>
      <c r="J31" s="781">
        <f t="shared" si="27"/>
        <v>1</v>
      </c>
      <c r="K31" s="781">
        <f t="shared" si="27"/>
        <v>1</v>
      </c>
      <c r="L31" s="781">
        <f t="shared" si="27"/>
        <v>1</v>
      </c>
      <c r="M31" s="782">
        <f t="shared" si="27"/>
        <v>1</v>
      </c>
      <c r="N31" s="275">
        <f t="shared" si="28"/>
        <v>10914.556994563642</v>
      </c>
      <c r="O31" s="276">
        <f t="shared" si="29"/>
        <v>66124.310363758137</v>
      </c>
      <c r="P31" s="276">
        <f t="shared" si="30"/>
        <v>66124.310363758137</v>
      </c>
      <c r="Q31" s="276">
        <f t="shared" si="31"/>
        <v>166669.44362627002</v>
      </c>
      <c r="R31" s="276">
        <f t="shared" si="32"/>
        <v>19296.215644896321</v>
      </c>
      <c r="S31" s="278">
        <f t="shared" si="33"/>
        <v>66124.310363758137</v>
      </c>
      <c r="T31" s="733">
        <f t="shared" si="61"/>
        <v>-55209.753369194499</v>
      </c>
      <c r="U31" s="290">
        <f t="shared" si="62"/>
        <v>-55209.753369194499</v>
      </c>
      <c r="V31" s="290">
        <f t="shared" si="63"/>
        <v>-155754.88663170638</v>
      </c>
      <c r="W31" s="290">
        <f t="shared" si="64"/>
        <v>-8381.6586503326798</v>
      </c>
      <c r="X31" s="291">
        <f t="shared" si="65"/>
        <v>-55209.753369194499</v>
      </c>
      <c r="Y31" s="293">
        <f ca="1">IF(AND(Y$22=TRUE,INDEX(CDRANGE_CLS1,MATCH($A31,$A$24:$A$67,0),MATCH(Y$20,$B$20:$G$20,0))&lt;$D$6/OPDAYS_Cls1),86,payback(C31,T31,disc_rate/12,85))</f>
        <v>86</v>
      </c>
      <c r="Z31" s="294">
        <f ca="1">IF(AND(Z$22=TRUE,INDEX(CDRANGE_CLS1,MATCH($A31,$A$24:$A$67,0),MATCH(Z$20,$B$20:$G$20,0))&lt;$D$6/OPDAYS_Cls1),86,payback(D31,U31,disc_rate/12,85))</f>
        <v>86</v>
      </c>
      <c r="AA31" s="294">
        <f>IF(AND(AA$22=TRUE,INDEX(CDRANGE_CLS1,MATCH($A31,$A$24:$A$67,0),MATCH(AA$20,$B$20:$G$20,0))&lt;$D$6/OPDAYS_Cls1),86,payback(E31,V31,disc_rate/12,85))</f>
        <v>86</v>
      </c>
      <c r="AB31" s="294">
        <f ca="1">IF(AND(AB$22=TRUE,INDEX(CDRANGE_CLS1,MATCH($A31,$A$24:$A$67,0),MATCH(AB$20,$B$20:$G$20,0))&lt;$D$6/OPDAYS_Cls1),86,payback(F31,W31,disc_rate/12,85))</f>
        <v>86</v>
      </c>
      <c r="AC31" s="592">
        <f ca="1">IF(AND(AC$22=TRUE,INDEX(CDRANGE_CLS1,MATCH($A31,$A$24:$A$67,0),MATCH(AC$20,$B$20:$G$20,0))&lt;$D$6/OPDAYS_Cls1),86,payback(G31,X31,disc_rate/12,85))</f>
        <v>86</v>
      </c>
      <c r="AD31" s="296">
        <f t="shared" si="35"/>
        <v>0</v>
      </c>
      <c r="AE31" s="297">
        <f t="shared" si="36"/>
        <v>0</v>
      </c>
      <c r="AF31" s="297">
        <f t="shared" si="37"/>
        <v>0</v>
      </c>
      <c r="AG31" s="297">
        <f t="shared" si="38"/>
        <v>0</v>
      </c>
      <c r="AH31" s="298">
        <f t="shared" si="39"/>
        <v>0</v>
      </c>
      <c r="AI31" s="1143">
        <f t="shared" si="40"/>
        <v>0</v>
      </c>
      <c r="AJ31" s="1144">
        <f t="shared" si="41"/>
        <v>0</v>
      </c>
      <c r="AK31" s="1144">
        <f t="shared" si="42"/>
        <v>0</v>
      </c>
      <c r="AL31" s="1144">
        <f t="shared" si="43"/>
        <v>0</v>
      </c>
      <c r="AM31" s="1152">
        <f t="shared" si="44"/>
        <v>0</v>
      </c>
      <c r="AN31" s="299">
        <f t="shared" si="66"/>
        <v>0</v>
      </c>
      <c r="AO31" s="300">
        <f t="shared" si="67"/>
        <v>0</v>
      </c>
      <c r="AP31" s="300">
        <f t="shared" si="68"/>
        <v>0</v>
      </c>
      <c r="AQ31" s="300">
        <f t="shared" si="69"/>
        <v>0</v>
      </c>
      <c r="AR31" s="598">
        <f t="shared" si="70"/>
        <v>0</v>
      </c>
      <c r="AS31" s="296">
        <f t="shared" ca="1" si="46"/>
        <v>0</v>
      </c>
      <c r="AT31" s="297">
        <f t="shared" ca="1" si="47"/>
        <v>0</v>
      </c>
      <c r="AU31" s="297">
        <f t="shared" si="48"/>
        <v>0</v>
      </c>
      <c r="AV31" s="297">
        <f t="shared" ca="1" si="49"/>
        <v>0</v>
      </c>
      <c r="AW31" s="298">
        <f t="shared" ca="1" si="50"/>
        <v>0</v>
      </c>
      <c r="AX31" s="296">
        <f t="shared" ca="1" si="51"/>
        <v>0</v>
      </c>
      <c r="AY31" s="297">
        <f t="shared" ca="1" si="52"/>
        <v>0</v>
      </c>
      <c r="AZ31" s="297">
        <f t="shared" si="53"/>
        <v>0</v>
      </c>
      <c r="BA31" s="297">
        <f t="shared" ca="1" si="71"/>
        <v>0</v>
      </c>
      <c r="BB31" s="298">
        <f t="shared" ca="1" si="72"/>
        <v>0</v>
      </c>
      <c r="BC31" s="296">
        <f t="shared" ca="1" si="73"/>
        <v>1</v>
      </c>
      <c r="BD31" s="297">
        <f t="shared" ca="1" si="56"/>
        <v>0</v>
      </c>
      <c r="BE31" s="297">
        <f t="shared" ca="1" si="57"/>
        <v>0</v>
      </c>
      <c r="BF31" s="297">
        <f t="shared" ca="1" si="58"/>
        <v>0</v>
      </c>
      <c r="BG31" s="297">
        <f t="shared" ca="1" si="59"/>
        <v>0</v>
      </c>
      <c r="BH31" s="298">
        <f t="shared" ca="1" si="60"/>
        <v>0</v>
      </c>
    </row>
    <row r="32" spans="1:60" ht="15" thickBot="1" x14ac:dyDescent="0.25">
      <c r="A32" s="302">
        <v>2015</v>
      </c>
      <c r="B32" s="822">
        <f t="shared" si="26"/>
        <v>156000</v>
      </c>
      <c r="C32" s="823">
        <f t="shared" si="26"/>
        <v>1000000</v>
      </c>
      <c r="D32" s="823">
        <f t="shared" si="26"/>
        <v>1000000</v>
      </c>
      <c r="E32" s="823">
        <f t="shared" si="26"/>
        <v>1000000</v>
      </c>
      <c r="F32" s="823">
        <f t="shared" si="26"/>
        <v>1000000</v>
      </c>
      <c r="G32" s="824">
        <f t="shared" si="26"/>
        <v>1000000</v>
      </c>
      <c r="H32" s="780">
        <f t="shared" si="27"/>
        <v>1</v>
      </c>
      <c r="I32" s="781">
        <f t="shared" si="27"/>
        <v>1</v>
      </c>
      <c r="J32" s="781">
        <f t="shared" si="27"/>
        <v>1</v>
      </c>
      <c r="K32" s="781">
        <f t="shared" si="27"/>
        <v>1</v>
      </c>
      <c r="L32" s="781">
        <f t="shared" si="27"/>
        <v>1</v>
      </c>
      <c r="M32" s="782">
        <f t="shared" si="27"/>
        <v>1</v>
      </c>
      <c r="N32" s="777">
        <f t="shared" si="28"/>
        <v>7594.0852006445393</v>
      </c>
      <c r="O32" s="778">
        <f t="shared" si="29"/>
        <v>46858.358645460277</v>
      </c>
      <c r="P32" s="778">
        <f t="shared" si="30"/>
        <v>46858.358645460277</v>
      </c>
      <c r="Q32" s="778">
        <f t="shared" si="31"/>
        <v>152708.41189275766</v>
      </c>
      <c r="R32" s="778">
        <f t="shared" si="32"/>
        <v>19881.049924921001</v>
      </c>
      <c r="S32" s="779">
        <f t="shared" si="33"/>
        <v>46858.358645460277</v>
      </c>
      <c r="T32" s="736">
        <f t="shared" si="61"/>
        <v>-39264.273444815735</v>
      </c>
      <c r="U32" s="304">
        <f t="shared" si="62"/>
        <v>-39264.273444815735</v>
      </c>
      <c r="V32" s="304">
        <f t="shared" si="63"/>
        <v>-145114.32669211313</v>
      </c>
      <c r="W32" s="304">
        <f t="shared" si="64"/>
        <v>-12286.964724276462</v>
      </c>
      <c r="X32" s="305">
        <f t="shared" si="65"/>
        <v>-39264.273444815735</v>
      </c>
      <c r="Y32" s="307">
        <f ca="1">IF(AND(Y$22=TRUE,INDEX(CDRANGE_CLS1,MATCH($A32,$A$24:$A$67,0),MATCH(Y$20,$B$20:$G$20,0))&lt;$D$6/OPDAYS_Cls1),86,payback(C32,T32,disc_rate/12,85))</f>
        <v>86</v>
      </c>
      <c r="Z32" s="308">
        <f ca="1">IF(AND(Z$22=TRUE,INDEX(CDRANGE_CLS1,MATCH($A32,$A$24:$A$67,0),MATCH(Z$20,$B$20:$G$20,0))&lt;$D$6/OPDAYS_Cls1),86,payback(D32,U32,disc_rate/12,85))</f>
        <v>86</v>
      </c>
      <c r="AA32" s="308">
        <f>IF(AND(AA$22=TRUE,INDEX(CDRANGE_CLS1,MATCH($A32,$A$24:$A$67,0),MATCH(AA$20,$B$20:$G$20,0))&lt;$D$6/OPDAYS_Cls1),86,payback(E32,V32,disc_rate/12,85))</f>
        <v>86</v>
      </c>
      <c r="AB32" s="308">
        <f ca="1">IF(AND(AB$22=TRUE,INDEX(CDRANGE_CLS1,MATCH($A32,$A$24:$A$67,0),MATCH(AB$20,$B$20:$G$20,0))&lt;$D$6/OPDAYS_Cls1),86,payback(F32,W32,disc_rate/12,85))</f>
        <v>86</v>
      </c>
      <c r="AC32" s="593">
        <f ca="1">IF(AND(AC$22=TRUE,INDEX(CDRANGE_CLS1,MATCH($A32,$A$24:$A$67,0),MATCH(AC$20,$B$20:$G$20,0))&lt;$D$6/OPDAYS_Cls1),86,payback(G32,X32,disc_rate/12,85))</f>
        <v>86</v>
      </c>
      <c r="AD32" s="310">
        <f t="shared" si="35"/>
        <v>0</v>
      </c>
      <c r="AE32" s="311">
        <f t="shared" si="36"/>
        <v>0</v>
      </c>
      <c r="AF32" s="311">
        <f t="shared" si="37"/>
        <v>0</v>
      </c>
      <c r="AG32" s="311">
        <f t="shared" si="38"/>
        <v>0</v>
      </c>
      <c r="AH32" s="312">
        <f t="shared" si="39"/>
        <v>0</v>
      </c>
      <c r="AI32" s="1146">
        <f t="shared" si="40"/>
        <v>0</v>
      </c>
      <c r="AJ32" s="1147">
        <f t="shared" si="41"/>
        <v>0</v>
      </c>
      <c r="AK32" s="1147">
        <f t="shared" si="42"/>
        <v>0</v>
      </c>
      <c r="AL32" s="1147">
        <f t="shared" si="43"/>
        <v>0</v>
      </c>
      <c r="AM32" s="1153">
        <f t="shared" si="44"/>
        <v>0</v>
      </c>
      <c r="AN32" s="313">
        <f t="shared" si="66"/>
        <v>0</v>
      </c>
      <c r="AO32" s="314">
        <f t="shared" si="67"/>
        <v>0</v>
      </c>
      <c r="AP32" s="314">
        <f t="shared" si="68"/>
        <v>0</v>
      </c>
      <c r="AQ32" s="314">
        <f t="shared" si="69"/>
        <v>0</v>
      </c>
      <c r="AR32" s="599">
        <f t="shared" si="70"/>
        <v>0</v>
      </c>
      <c r="AS32" s="310">
        <f t="shared" ca="1" si="46"/>
        <v>0</v>
      </c>
      <c r="AT32" s="311">
        <f t="shared" ca="1" si="47"/>
        <v>0</v>
      </c>
      <c r="AU32" s="311">
        <f t="shared" si="48"/>
        <v>0</v>
      </c>
      <c r="AV32" s="311">
        <f t="shared" ca="1" si="49"/>
        <v>0</v>
      </c>
      <c r="AW32" s="312">
        <f t="shared" ca="1" si="50"/>
        <v>0</v>
      </c>
      <c r="AX32" s="310">
        <f t="shared" ca="1" si="51"/>
        <v>0</v>
      </c>
      <c r="AY32" s="311">
        <f t="shared" ca="1" si="52"/>
        <v>0</v>
      </c>
      <c r="AZ32" s="311">
        <f t="shared" si="53"/>
        <v>0</v>
      </c>
      <c r="BA32" s="311">
        <f t="shared" ca="1" si="71"/>
        <v>0</v>
      </c>
      <c r="BB32" s="312">
        <f t="shared" ca="1" si="72"/>
        <v>0</v>
      </c>
      <c r="BC32" s="310">
        <f t="shared" ca="1" si="73"/>
        <v>1</v>
      </c>
      <c r="BD32" s="311">
        <f t="shared" ca="1" si="56"/>
        <v>0</v>
      </c>
      <c r="BE32" s="311">
        <f t="shared" ca="1" si="57"/>
        <v>0</v>
      </c>
      <c r="BF32" s="311">
        <f t="shared" ca="1" si="58"/>
        <v>0</v>
      </c>
      <c r="BG32" s="311">
        <f t="shared" ca="1" si="59"/>
        <v>0</v>
      </c>
      <c r="BH32" s="312">
        <f t="shared" ca="1" si="60"/>
        <v>0</v>
      </c>
    </row>
    <row r="33" spans="1:62" x14ac:dyDescent="0.2">
      <c r="A33" s="316">
        <v>2016</v>
      </c>
      <c r="B33" s="825">
        <f t="shared" si="26"/>
        <v>156000</v>
      </c>
      <c r="C33" s="826">
        <f t="shared" si="26"/>
        <v>1000000</v>
      </c>
      <c r="D33" s="826">
        <f t="shared" si="26"/>
        <v>1000000</v>
      </c>
      <c r="E33" s="826">
        <f t="shared" si="26"/>
        <v>1000000</v>
      </c>
      <c r="F33" s="826">
        <f t="shared" si="26"/>
        <v>1000000</v>
      </c>
      <c r="G33" s="827">
        <f t="shared" si="26"/>
        <v>1000000</v>
      </c>
      <c r="H33" s="780">
        <f t="shared" si="27"/>
        <v>1</v>
      </c>
      <c r="I33" s="781">
        <f t="shared" si="27"/>
        <v>1</v>
      </c>
      <c r="J33" s="781">
        <f t="shared" si="27"/>
        <v>1</v>
      </c>
      <c r="K33" s="781">
        <f t="shared" si="27"/>
        <v>1</v>
      </c>
      <c r="L33" s="781">
        <f t="shared" si="27"/>
        <v>1</v>
      </c>
      <c r="M33" s="782">
        <f t="shared" si="27"/>
        <v>1</v>
      </c>
      <c r="N33" s="275">
        <f t="shared" si="28"/>
        <v>6411.1423877861926</v>
      </c>
      <c r="O33" s="276">
        <f t="shared" si="29"/>
        <v>40385.092465463989</v>
      </c>
      <c r="P33" s="276">
        <f t="shared" si="30"/>
        <v>40385.092465463989</v>
      </c>
      <c r="Q33" s="276">
        <f t="shared" si="31"/>
        <v>149600.56089248261</v>
      </c>
      <c r="R33" s="276">
        <f t="shared" si="32"/>
        <v>19881.049924921001</v>
      </c>
      <c r="S33" s="278">
        <f t="shared" si="33"/>
        <v>40385.092465463989</v>
      </c>
      <c r="T33" s="732">
        <f t="shared" si="61"/>
        <v>-33973.9500776778</v>
      </c>
      <c r="U33" s="276">
        <f t="shared" si="62"/>
        <v>-33973.9500776778</v>
      </c>
      <c r="V33" s="276">
        <f t="shared" si="63"/>
        <v>-143189.41850469643</v>
      </c>
      <c r="W33" s="276">
        <f t="shared" si="64"/>
        <v>-13469.907537134808</v>
      </c>
      <c r="X33" s="277">
        <f t="shared" si="65"/>
        <v>-33973.9500776778</v>
      </c>
      <c r="Y33" s="279">
        <f ca="1">IF(AND(Y$22=TRUE,INDEX(CDRANGE_CLS1,MATCH($A33,$A$24:$A$67,0),MATCH(Y$20,$B$20:$G$20,0))&lt;$D$6/OPDAYS_Cls1),86,payback(C33,T33,disc_rate/12,85))</f>
        <v>86</v>
      </c>
      <c r="Z33" s="280">
        <f ca="1">IF(AND(Z$22=TRUE,INDEX(CDRANGE_CLS1,MATCH($A33,$A$24:$A$67,0),MATCH(Z$20,$B$20:$G$20,0))&lt;$D$6/OPDAYS_Cls1),86,payback(D33,U33,disc_rate/12,85))</f>
        <v>86</v>
      </c>
      <c r="AA33" s="280">
        <f>IF(AND(AA$22=TRUE,INDEX(CDRANGE_CLS1,MATCH($A33,$A$24:$A$67,0),MATCH(AA$20,$B$20:$G$20,0))&lt;$D$6/OPDAYS_Cls1),86,payback(E33,V33,disc_rate/12,85))</f>
        <v>86</v>
      </c>
      <c r="AB33" s="280">
        <f ca="1">IF(AND(AB$22=TRUE,INDEX(CDRANGE_CLS1,MATCH($A33,$A$24:$A$67,0),MATCH(AB$20,$B$20:$G$20,0))&lt;$D$6/OPDAYS_Cls1),86,payback(F33,W33,disc_rate/12,85))</f>
        <v>86</v>
      </c>
      <c r="AC33" s="610">
        <f ca="1">IF(AND(AC$22=TRUE,INDEX(CDRANGE_CLS1,MATCH($A33,$A$24:$A$67,0),MATCH(AC$20,$B$20:$G$20,0))&lt;$D$6/OPDAYS_Cls1),86,payback(G33,X33,disc_rate/12,85))</f>
        <v>86</v>
      </c>
      <c r="AD33" s="282">
        <f t="shared" si="35"/>
        <v>0</v>
      </c>
      <c r="AE33" s="283">
        <f t="shared" si="36"/>
        <v>0</v>
      </c>
      <c r="AF33" s="283">
        <f t="shared" si="37"/>
        <v>0</v>
      </c>
      <c r="AG33" s="283">
        <f t="shared" si="38"/>
        <v>0</v>
      </c>
      <c r="AH33" s="284">
        <f t="shared" si="39"/>
        <v>0</v>
      </c>
      <c r="AI33" s="1140">
        <f t="shared" si="40"/>
        <v>0</v>
      </c>
      <c r="AJ33" s="1141">
        <f t="shared" si="41"/>
        <v>0</v>
      </c>
      <c r="AK33" s="1141">
        <f t="shared" si="42"/>
        <v>0</v>
      </c>
      <c r="AL33" s="1141">
        <f t="shared" si="43"/>
        <v>0</v>
      </c>
      <c r="AM33" s="1154">
        <f t="shared" si="44"/>
        <v>0</v>
      </c>
      <c r="AN33" s="285">
        <f t="shared" si="66"/>
        <v>0</v>
      </c>
      <c r="AO33" s="286">
        <f t="shared" si="67"/>
        <v>0</v>
      </c>
      <c r="AP33" s="286">
        <f t="shared" si="68"/>
        <v>0</v>
      </c>
      <c r="AQ33" s="286">
        <f t="shared" si="69"/>
        <v>0</v>
      </c>
      <c r="AR33" s="611">
        <f t="shared" si="70"/>
        <v>0</v>
      </c>
      <c r="AS33" s="282">
        <f t="shared" ca="1" si="46"/>
        <v>0</v>
      </c>
      <c r="AT33" s="283">
        <f t="shared" ca="1" si="47"/>
        <v>0</v>
      </c>
      <c r="AU33" s="283">
        <f t="shared" si="48"/>
        <v>0</v>
      </c>
      <c r="AV33" s="283">
        <f t="shared" ca="1" si="49"/>
        <v>0</v>
      </c>
      <c r="AW33" s="284">
        <f t="shared" ca="1" si="50"/>
        <v>0</v>
      </c>
      <c r="AX33" s="282">
        <f t="shared" ca="1" si="51"/>
        <v>0</v>
      </c>
      <c r="AY33" s="283">
        <f t="shared" ca="1" si="52"/>
        <v>0</v>
      </c>
      <c r="AZ33" s="283">
        <f t="shared" si="53"/>
        <v>0</v>
      </c>
      <c r="BA33" s="283">
        <f t="shared" ca="1" si="71"/>
        <v>0</v>
      </c>
      <c r="BB33" s="284">
        <f t="shared" ca="1" si="72"/>
        <v>0</v>
      </c>
      <c r="BC33" s="282">
        <f t="shared" ca="1" si="73"/>
        <v>1</v>
      </c>
      <c r="BD33" s="283">
        <f t="shared" ca="1" si="56"/>
        <v>0</v>
      </c>
      <c r="BE33" s="283">
        <f t="shared" ca="1" si="57"/>
        <v>0</v>
      </c>
      <c r="BF33" s="283">
        <f t="shared" ca="1" si="58"/>
        <v>0</v>
      </c>
      <c r="BG33" s="283">
        <f t="shared" ca="1" si="59"/>
        <v>0</v>
      </c>
      <c r="BH33" s="284">
        <f t="shared" ca="1" si="60"/>
        <v>0</v>
      </c>
    </row>
    <row r="34" spans="1:62" x14ac:dyDescent="0.2">
      <c r="A34" s="317">
        <v>2017</v>
      </c>
      <c r="B34" s="819">
        <f t="shared" ref="B34:G43" si="74">ROUND(INDEX(COST_Cls1,$A34-($A$24-1),MATCH(B$20,TECHOPTS_Cls1,0)),2)</f>
        <v>156000</v>
      </c>
      <c r="C34" s="820">
        <f t="shared" si="74"/>
        <v>1000000</v>
      </c>
      <c r="D34" s="820">
        <f t="shared" si="74"/>
        <v>1000000</v>
      </c>
      <c r="E34" s="820">
        <f t="shared" si="74"/>
        <v>1000000</v>
      </c>
      <c r="F34" s="820">
        <f t="shared" si="74"/>
        <v>1000000</v>
      </c>
      <c r="G34" s="821">
        <f t="shared" si="74"/>
        <v>1000000</v>
      </c>
      <c r="H34" s="780">
        <f t="shared" ref="H34:M43" si="75">IF(H$21="Single-fuel",1,1-MIN(INDEX(CDRANGE_CLS1,$A34-($A$24-1),MATCH(H$20,TECHOPTS_Cls1,0))*OPDAYS_Cls1/$D$6,1))</f>
        <v>1</v>
      </c>
      <c r="I34" s="781">
        <f t="shared" si="75"/>
        <v>1</v>
      </c>
      <c r="J34" s="781">
        <f t="shared" si="75"/>
        <v>1</v>
      </c>
      <c r="K34" s="781">
        <f t="shared" si="75"/>
        <v>1</v>
      </c>
      <c r="L34" s="781">
        <f t="shared" si="75"/>
        <v>1</v>
      </c>
      <c r="M34" s="782">
        <f t="shared" si="75"/>
        <v>1</v>
      </c>
      <c r="N34" s="275">
        <f t="shared" si="28"/>
        <v>7378.2150170951218</v>
      </c>
      <c r="O34" s="276">
        <f t="shared" si="29"/>
        <v>47441.038429456799</v>
      </c>
      <c r="P34" s="276">
        <f t="shared" si="30"/>
        <v>47441.038429456799</v>
      </c>
      <c r="Q34" s="276">
        <f t="shared" si="31"/>
        <v>150719.45458093725</v>
      </c>
      <c r="R34" s="276">
        <f t="shared" si="32"/>
        <v>19881.049924921001</v>
      </c>
      <c r="S34" s="278">
        <f t="shared" si="33"/>
        <v>47441.038429456799</v>
      </c>
      <c r="T34" s="733">
        <f t="shared" si="61"/>
        <v>-40062.823412361678</v>
      </c>
      <c r="U34" s="290">
        <f t="shared" si="62"/>
        <v>-40062.823412361678</v>
      </c>
      <c r="V34" s="290">
        <f t="shared" si="63"/>
        <v>-143341.23956384213</v>
      </c>
      <c r="W34" s="290">
        <f t="shared" si="64"/>
        <v>-12502.83490782588</v>
      </c>
      <c r="X34" s="291">
        <f t="shared" si="65"/>
        <v>-40062.823412361678</v>
      </c>
      <c r="Y34" s="293">
        <f ca="1">IF(AND(Y$22=TRUE,INDEX(CDRANGE_CLS1,MATCH($A34,$A$24:$A$67,0),MATCH(Y$20,$B$20:$G$20,0))&lt;$D$6/OPDAYS_Cls1),86,payback(C34,T34,disc_rate/12,85))</f>
        <v>86</v>
      </c>
      <c r="Z34" s="294">
        <f ca="1">IF(AND(Z$22=TRUE,INDEX(CDRANGE_CLS1,MATCH($A34,$A$24:$A$67,0),MATCH(Z$20,$B$20:$G$20,0))&lt;$D$6/OPDAYS_Cls1),86,payback(D34,U34,disc_rate/12,85))</f>
        <v>86</v>
      </c>
      <c r="AA34" s="294">
        <f>IF(AND(AA$22=TRUE,INDEX(CDRANGE_CLS1,MATCH($A34,$A$24:$A$67,0),MATCH(AA$20,$B$20:$G$20,0))&lt;$D$6/OPDAYS_Cls1),86,payback(E34,V34,disc_rate/12,85))</f>
        <v>86</v>
      </c>
      <c r="AB34" s="294">
        <f ca="1">IF(AND(AB$22=TRUE,INDEX(CDRANGE_CLS1,MATCH($A34,$A$24:$A$67,0),MATCH(AB$20,$B$20:$G$20,0))&lt;$D$6/OPDAYS_Cls1),86,payback(F34,W34,disc_rate/12,85))</f>
        <v>86</v>
      </c>
      <c r="AC34" s="592">
        <f ca="1">IF(AND(AC$22=TRUE,INDEX(CDRANGE_CLS1,MATCH($A34,$A$24:$A$67,0),MATCH(AC$20,$B$20:$G$20,0))&lt;$D$6/OPDAYS_Cls1),86,payback(G34,X34,disc_rate/12,85))</f>
        <v>86</v>
      </c>
      <c r="AD34" s="296">
        <f t="shared" si="35"/>
        <v>0</v>
      </c>
      <c r="AE34" s="297">
        <f t="shared" si="36"/>
        <v>0</v>
      </c>
      <c r="AF34" s="297">
        <f t="shared" si="37"/>
        <v>0</v>
      </c>
      <c r="AG34" s="297">
        <f t="shared" si="38"/>
        <v>0</v>
      </c>
      <c r="AH34" s="298">
        <f t="shared" si="39"/>
        <v>0</v>
      </c>
      <c r="AI34" s="1143">
        <f t="shared" si="40"/>
        <v>0</v>
      </c>
      <c r="AJ34" s="1144">
        <f t="shared" si="41"/>
        <v>0</v>
      </c>
      <c r="AK34" s="1144">
        <f t="shared" si="42"/>
        <v>0</v>
      </c>
      <c r="AL34" s="1144">
        <f t="shared" si="43"/>
        <v>0</v>
      </c>
      <c r="AM34" s="1152">
        <f t="shared" si="44"/>
        <v>0</v>
      </c>
      <c r="AN34" s="299">
        <f t="shared" si="66"/>
        <v>0</v>
      </c>
      <c r="AO34" s="300">
        <f t="shared" si="67"/>
        <v>0</v>
      </c>
      <c r="AP34" s="300">
        <f t="shared" si="68"/>
        <v>0</v>
      </c>
      <c r="AQ34" s="300">
        <f t="shared" si="69"/>
        <v>0</v>
      </c>
      <c r="AR34" s="598">
        <f t="shared" si="70"/>
        <v>0</v>
      </c>
      <c r="AS34" s="296">
        <f t="shared" ca="1" si="46"/>
        <v>0</v>
      </c>
      <c r="AT34" s="297">
        <f t="shared" ca="1" si="47"/>
        <v>0</v>
      </c>
      <c r="AU34" s="297">
        <f t="shared" si="48"/>
        <v>0</v>
      </c>
      <c r="AV34" s="297">
        <f t="shared" ca="1" si="49"/>
        <v>0</v>
      </c>
      <c r="AW34" s="298">
        <f t="shared" ca="1" si="50"/>
        <v>0</v>
      </c>
      <c r="AX34" s="296">
        <f t="shared" ca="1" si="51"/>
        <v>0</v>
      </c>
      <c r="AY34" s="297">
        <f t="shared" ca="1" si="52"/>
        <v>0</v>
      </c>
      <c r="AZ34" s="297">
        <f t="shared" si="53"/>
        <v>0</v>
      </c>
      <c r="BA34" s="297">
        <f t="shared" ca="1" si="71"/>
        <v>0</v>
      </c>
      <c r="BB34" s="298">
        <f t="shared" ca="1" si="72"/>
        <v>0</v>
      </c>
      <c r="BC34" s="296">
        <f t="shared" ca="1" si="73"/>
        <v>1</v>
      </c>
      <c r="BD34" s="297">
        <f t="shared" ca="1" si="56"/>
        <v>0</v>
      </c>
      <c r="BE34" s="297">
        <f t="shared" ca="1" si="57"/>
        <v>0</v>
      </c>
      <c r="BF34" s="297">
        <f t="shared" ca="1" si="58"/>
        <v>0</v>
      </c>
      <c r="BG34" s="297">
        <f t="shared" ca="1" si="59"/>
        <v>0</v>
      </c>
      <c r="BH34" s="298">
        <f t="shared" ca="1" si="60"/>
        <v>0</v>
      </c>
    </row>
    <row r="35" spans="1:62" x14ac:dyDescent="0.2">
      <c r="A35" s="317">
        <v>2018</v>
      </c>
      <c r="B35" s="819">
        <f t="shared" si="74"/>
        <v>157900</v>
      </c>
      <c r="C35" s="820">
        <f t="shared" si="74"/>
        <v>1000000</v>
      </c>
      <c r="D35" s="820">
        <f t="shared" si="74"/>
        <v>1000000</v>
      </c>
      <c r="E35" s="820">
        <f t="shared" si="74"/>
        <v>1000000</v>
      </c>
      <c r="F35" s="820">
        <f t="shared" si="74"/>
        <v>1000000</v>
      </c>
      <c r="G35" s="821">
        <f t="shared" si="74"/>
        <v>1000000</v>
      </c>
      <c r="H35" s="780">
        <f t="shared" si="75"/>
        <v>1</v>
      </c>
      <c r="I35" s="781">
        <f t="shared" si="75"/>
        <v>1</v>
      </c>
      <c r="J35" s="781">
        <f t="shared" si="75"/>
        <v>1</v>
      </c>
      <c r="K35" s="781">
        <f t="shared" si="75"/>
        <v>1</v>
      </c>
      <c r="L35" s="781">
        <f t="shared" si="75"/>
        <v>1</v>
      </c>
      <c r="M35" s="782">
        <f t="shared" si="75"/>
        <v>1</v>
      </c>
      <c r="N35" s="275">
        <f t="shared" si="28"/>
        <v>9116.5703144910931</v>
      </c>
      <c r="O35" s="276">
        <f t="shared" si="29"/>
        <v>58280.207939799562</v>
      </c>
      <c r="P35" s="276">
        <f t="shared" si="30"/>
        <v>58280.207939799562</v>
      </c>
      <c r="Q35" s="276">
        <f t="shared" si="31"/>
        <v>172399.28867529429</v>
      </c>
      <c r="R35" s="276">
        <f t="shared" si="32"/>
        <v>19881.049924921001</v>
      </c>
      <c r="S35" s="278">
        <f t="shared" si="33"/>
        <v>58280.207939799562</v>
      </c>
      <c r="T35" s="733">
        <f t="shared" si="61"/>
        <v>-49163.637625308467</v>
      </c>
      <c r="U35" s="290">
        <f t="shared" si="62"/>
        <v>-49163.637625308467</v>
      </c>
      <c r="V35" s="290">
        <f t="shared" si="63"/>
        <v>-163282.71836080321</v>
      </c>
      <c r="W35" s="290">
        <f t="shared" si="64"/>
        <v>-10764.479610429908</v>
      </c>
      <c r="X35" s="291">
        <f t="shared" si="65"/>
        <v>-49163.637625308467</v>
      </c>
      <c r="Y35" s="293">
        <f ca="1">IF(AND(Y$22=TRUE,INDEX(CDRANGE_CLS1,MATCH($A35,$A$24:$A$67,0),MATCH(Y$20,$B$20:$G$20,0))&lt;$D$6/OPDAYS_Cls1),86,payback(C35,T35,disc_rate/12,85))</f>
        <v>86</v>
      </c>
      <c r="Z35" s="294">
        <f ca="1">IF(AND(Z$22=TRUE,INDEX(CDRANGE_CLS1,MATCH($A35,$A$24:$A$67,0),MATCH(Z$20,$B$20:$G$20,0))&lt;$D$6/OPDAYS_Cls1),86,payback(D35,U35,disc_rate/12,85))</f>
        <v>86</v>
      </c>
      <c r="AA35" s="294">
        <f>IF(AND(AA$22=TRUE,INDEX(CDRANGE_CLS1,MATCH($A35,$A$24:$A$67,0),MATCH(AA$20,$B$20:$G$20,0))&lt;$D$6/OPDAYS_Cls1),86,payback(E35,V35,disc_rate/12,85))</f>
        <v>86</v>
      </c>
      <c r="AB35" s="294">
        <f ca="1">IF(AND(AB$22=TRUE,INDEX(CDRANGE_CLS1,MATCH($A35,$A$24:$A$67,0),MATCH(AB$20,$B$20:$G$20,0))&lt;$D$6/OPDAYS_Cls1),86,payback(F35,W35,disc_rate/12,85))</f>
        <v>86</v>
      </c>
      <c r="AC35" s="592">
        <f ca="1">IF(AND(AC$22=TRUE,INDEX(CDRANGE_CLS1,MATCH($A35,$A$24:$A$67,0),MATCH(AC$20,$B$20:$G$20,0))&lt;$D$6/OPDAYS_Cls1),86,payback(G35,X35,disc_rate/12,85))</f>
        <v>86</v>
      </c>
      <c r="AD35" s="296">
        <f t="shared" si="35"/>
        <v>0</v>
      </c>
      <c r="AE35" s="297">
        <f t="shared" si="36"/>
        <v>0</v>
      </c>
      <c r="AF35" s="297">
        <f t="shared" si="37"/>
        <v>0</v>
      </c>
      <c r="AG35" s="297">
        <f t="shared" si="38"/>
        <v>0</v>
      </c>
      <c r="AH35" s="298">
        <f t="shared" si="39"/>
        <v>0</v>
      </c>
      <c r="AI35" s="1143">
        <f t="shared" si="40"/>
        <v>0</v>
      </c>
      <c r="AJ35" s="1144">
        <f t="shared" si="41"/>
        <v>0</v>
      </c>
      <c r="AK35" s="1144">
        <f t="shared" si="42"/>
        <v>0</v>
      </c>
      <c r="AL35" s="1144">
        <f t="shared" si="43"/>
        <v>0</v>
      </c>
      <c r="AM35" s="1152">
        <f t="shared" si="44"/>
        <v>0</v>
      </c>
      <c r="AN35" s="299">
        <f t="shared" si="66"/>
        <v>0</v>
      </c>
      <c r="AO35" s="300">
        <f t="shared" si="67"/>
        <v>0</v>
      </c>
      <c r="AP35" s="300">
        <f t="shared" si="68"/>
        <v>0</v>
      </c>
      <c r="AQ35" s="300">
        <f t="shared" si="69"/>
        <v>0</v>
      </c>
      <c r="AR35" s="598">
        <f t="shared" si="70"/>
        <v>0</v>
      </c>
      <c r="AS35" s="296">
        <f t="shared" ca="1" si="46"/>
        <v>0</v>
      </c>
      <c r="AT35" s="297">
        <f t="shared" ca="1" si="47"/>
        <v>0</v>
      </c>
      <c r="AU35" s="297">
        <f t="shared" si="48"/>
        <v>0</v>
      </c>
      <c r="AV35" s="297">
        <f t="shared" ca="1" si="49"/>
        <v>0</v>
      </c>
      <c r="AW35" s="298">
        <f t="shared" ca="1" si="50"/>
        <v>0</v>
      </c>
      <c r="AX35" s="296">
        <f t="shared" ca="1" si="51"/>
        <v>0</v>
      </c>
      <c r="AY35" s="297">
        <f t="shared" ca="1" si="52"/>
        <v>0</v>
      </c>
      <c r="AZ35" s="297">
        <f t="shared" si="53"/>
        <v>0</v>
      </c>
      <c r="BA35" s="297">
        <f t="shared" ca="1" si="71"/>
        <v>0</v>
      </c>
      <c r="BB35" s="298">
        <f t="shared" ca="1" si="72"/>
        <v>0</v>
      </c>
      <c r="BC35" s="296">
        <f t="shared" ca="1" si="73"/>
        <v>1</v>
      </c>
      <c r="BD35" s="297">
        <f t="shared" ca="1" si="56"/>
        <v>0</v>
      </c>
      <c r="BE35" s="297">
        <f t="shared" ca="1" si="57"/>
        <v>0</v>
      </c>
      <c r="BF35" s="297">
        <f t="shared" ca="1" si="58"/>
        <v>0</v>
      </c>
      <c r="BG35" s="297">
        <f t="shared" ca="1" si="59"/>
        <v>0</v>
      </c>
      <c r="BH35" s="298">
        <f t="shared" ca="1" si="60"/>
        <v>0</v>
      </c>
    </row>
    <row r="36" spans="1:62" x14ac:dyDescent="0.2">
      <c r="A36" s="317">
        <v>2019</v>
      </c>
      <c r="B36" s="819">
        <f t="shared" si="74"/>
        <v>159700</v>
      </c>
      <c r="C36" s="820">
        <f t="shared" si="74"/>
        <v>1000000</v>
      </c>
      <c r="D36" s="820">
        <f t="shared" si="74"/>
        <v>1000000</v>
      </c>
      <c r="E36" s="820">
        <f t="shared" si="74"/>
        <v>1000000</v>
      </c>
      <c r="F36" s="820">
        <f t="shared" si="74"/>
        <v>1000000</v>
      </c>
      <c r="G36" s="821">
        <f t="shared" si="74"/>
        <v>1000000</v>
      </c>
      <c r="H36" s="780">
        <f t="shared" si="75"/>
        <v>1</v>
      </c>
      <c r="I36" s="781">
        <f t="shared" si="75"/>
        <v>1</v>
      </c>
      <c r="J36" s="781">
        <f t="shared" si="75"/>
        <v>1</v>
      </c>
      <c r="K36" s="781">
        <f t="shared" si="75"/>
        <v>1</v>
      </c>
      <c r="L36" s="781">
        <f t="shared" si="75"/>
        <v>1</v>
      </c>
      <c r="M36" s="782">
        <f t="shared" si="75"/>
        <v>1</v>
      </c>
      <c r="N36" s="275">
        <f t="shared" si="28"/>
        <v>8900.0319177625734</v>
      </c>
      <c r="O36" s="276">
        <f t="shared" si="29"/>
        <v>57257.038372427814</v>
      </c>
      <c r="P36" s="276">
        <f t="shared" si="30"/>
        <v>57257.038372427814</v>
      </c>
      <c r="Q36" s="276">
        <f t="shared" si="31"/>
        <v>172218.67259266533</v>
      </c>
      <c r="R36" s="276">
        <f t="shared" si="32"/>
        <v>19881.049924921001</v>
      </c>
      <c r="S36" s="278">
        <f t="shared" si="33"/>
        <v>57257.038372427814</v>
      </c>
      <c r="T36" s="733">
        <f t="shared" si="61"/>
        <v>-48357.006454665243</v>
      </c>
      <c r="U36" s="290">
        <f t="shared" si="62"/>
        <v>-48357.006454665243</v>
      </c>
      <c r="V36" s="290">
        <f t="shared" si="63"/>
        <v>-163318.64067490277</v>
      </c>
      <c r="W36" s="290">
        <f t="shared" si="64"/>
        <v>-10981.018007158427</v>
      </c>
      <c r="X36" s="291">
        <f t="shared" si="65"/>
        <v>-48357.006454665243</v>
      </c>
      <c r="Y36" s="293">
        <f ca="1">IF(AND(Y$22=TRUE,INDEX(CDRANGE_CLS1,MATCH($A36,$A$24:$A$67,0),MATCH(Y$20,$B$20:$G$20,0))&lt;$D$6/OPDAYS_Cls1),86,payback(C36,T36,disc_rate/12,85))</f>
        <v>86</v>
      </c>
      <c r="Z36" s="294">
        <f ca="1">IF(AND(Z$22=TRUE,INDEX(CDRANGE_CLS1,MATCH($A36,$A$24:$A$67,0),MATCH(Z$20,$B$20:$G$20,0))&lt;$D$6/OPDAYS_Cls1),86,payback(D36,U36,disc_rate/12,85))</f>
        <v>86</v>
      </c>
      <c r="AA36" s="294">
        <f>IF(AND(AA$22=TRUE,INDEX(CDRANGE_CLS1,MATCH($A36,$A$24:$A$67,0),MATCH(AA$20,$B$20:$G$20,0))&lt;$D$6/OPDAYS_Cls1),86,payback(E36,V36,disc_rate/12,85))</f>
        <v>86</v>
      </c>
      <c r="AB36" s="294">
        <f ca="1">IF(AND(AB$22=TRUE,INDEX(CDRANGE_CLS1,MATCH($A36,$A$24:$A$67,0),MATCH(AB$20,$B$20:$G$20,0))&lt;$D$6/OPDAYS_Cls1),86,payback(F36,W36,disc_rate/12,85))</f>
        <v>86</v>
      </c>
      <c r="AC36" s="592">
        <f ca="1">IF(AND(AC$22=TRUE,INDEX(CDRANGE_CLS1,MATCH($A36,$A$24:$A$67,0),MATCH(AC$20,$B$20:$G$20,0))&lt;$D$6/OPDAYS_Cls1),86,payback(G36,X36,disc_rate/12,85))</f>
        <v>86</v>
      </c>
      <c r="AD36" s="296">
        <f t="shared" si="35"/>
        <v>0</v>
      </c>
      <c r="AE36" s="297">
        <f t="shared" si="36"/>
        <v>0</v>
      </c>
      <c r="AF36" s="297">
        <f t="shared" si="37"/>
        <v>0</v>
      </c>
      <c r="AG36" s="297">
        <f t="shared" si="38"/>
        <v>0</v>
      </c>
      <c r="AH36" s="298">
        <f t="shared" si="39"/>
        <v>0</v>
      </c>
      <c r="AI36" s="1143">
        <f t="shared" si="40"/>
        <v>0</v>
      </c>
      <c r="AJ36" s="1144">
        <f t="shared" si="41"/>
        <v>0</v>
      </c>
      <c r="AK36" s="1144">
        <f t="shared" si="42"/>
        <v>0</v>
      </c>
      <c r="AL36" s="1144">
        <f t="shared" si="43"/>
        <v>0</v>
      </c>
      <c r="AM36" s="1152">
        <f t="shared" si="44"/>
        <v>0</v>
      </c>
      <c r="AN36" s="299">
        <f t="shared" si="66"/>
        <v>0</v>
      </c>
      <c r="AO36" s="300">
        <f t="shared" si="67"/>
        <v>0</v>
      </c>
      <c r="AP36" s="300">
        <f t="shared" si="68"/>
        <v>0</v>
      </c>
      <c r="AQ36" s="300">
        <f t="shared" si="69"/>
        <v>0</v>
      </c>
      <c r="AR36" s="598">
        <f t="shared" si="70"/>
        <v>0</v>
      </c>
      <c r="AS36" s="296">
        <f t="shared" ca="1" si="46"/>
        <v>0</v>
      </c>
      <c r="AT36" s="297">
        <f t="shared" ca="1" si="47"/>
        <v>0</v>
      </c>
      <c r="AU36" s="297">
        <f t="shared" si="48"/>
        <v>0</v>
      </c>
      <c r="AV36" s="297">
        <f t="shared" ca="1" si="49"/>
        <v>0</v>
      </c>
      <c r="AW36" s="298">
        <f t="shared" ca="1" si="50"/>
        <v>0</v>
      </c>
      <c r="AX36" s="296">
        <f t="shared" ca="1" si="51"/>
        <v>0</v>
      </c>
      <c r="AY36" s="297">
        <f t="shared" ca="1" si="52"/>
        <v>0</v>
      </c>
      <c r="AZ36" s="297">
        <f t="shared" si="53"/>
        <v>0</v>
      </c>
      <c r="BA36" s="297">
        <f t="shared" ca="1" si="71"/>
        <v>0</v>
      </c>
      <c r="BB36" s="298">
        <f t="shared" ca="1" si="72"/>
        <v>0</v>
      </c>
      <c r="BC36" s="296">
        <f t="shared" ca="1" si="73"/>
        <v>1</v>
      </c>
      <c r="BD36" s="297">
        <f t="shared" ca="1" si="56"/>
        <v>0</v>
      </c>
      <c r="BE36" s="297">
        <f t="shared" ca="1" si="57"/>
        <v>0</v>
      </c>
      <c r="BF36" s="297">
        <f t="shared" ca="1" si="58"/>
        <v>0</v>
      </c>
      <c r="BG36" s="297">
        <f t="shared" ca="1" si="59"/>
        <v>0</v>
      </c>
      <c r="BH36" s="298">
        <f t="shared" ca="1" si="60"/>
        <v>0</v>
      </c>
    </row>
    <row r="37" spans="1:62" ht="15" thickBot="1" x14ac:dyDescent="0.25">
      <c r="A37" s="618">
        <v>2020</v>
      </c>
      <c r="B37" s="813">
        <f t="shared" si="74"/>
        <v>161500</v>
      </c>
      <c r="C37" s="814">
        <f t="shared" si="74"/>
        <v>1000000</v>
      </c>
      <c r="D37" s="814">
        <f t="shared" si="74"/>
        <v>1000000</v>
      </c>
      <c r="E37" s="814">
        <f t="shared" si="74"/>
        <v>1000000</v>
      </c>
      <c r="F37" s="814">
        <f t="shared" si="74"/>
        <v>1000000</v>
      </c>
      <c r="G37" s="815">
        <f t="shared" si="74"/>
        <v>1000000</v>
      </c>
      <c r="H37" s="780">
        <f t="shared" si="75"/>
        <v>1</v>
      </c>
      <c r="I37" s="781">
        <f t="shared" si="75"/>
        <v>1</v>
      </c>
      <c r="J37" s="781">
        <f t="shared" si="75"/>
        <v>1</v>
      </c>
      <c r="K37" s="781">
        <f t="shared" si="75"/>
        <v>1</v>
      </c>
      <c r="L37" s="781">
        <f t="shared" si="75"/>
        <v>1</v>
      </c>
      <c r="M37" s="782">
        <f t="shared" si="75"/>
        <v>1</v>
      </c>
      <c r="N37" s="774">
        <f t="shared" si="28"/>
        <v>8521.0469518864611</v>
      </c>
      <c r="O37" s="775">
        <f t="shared" si="29"/>
        <v>55271.206650039851</v>
      </c>
      <c r="P37" s="775">
        <f t="shared" si="30"/>
        <v>55271.206650039851</v>
      </c>
      <c r="Q37" s="775">
        <f t="shared" si="31"/>
        <v>175637.84990936503</v>
      </c>
      <c r="R37" s="775">
        <f t="shared" si="32"/>
        <v>19881.049924921001</v>
      </c>
      <c r="S37" s="776">
        <f t="shared" si="33"/>
        <v>55271.206650039851</v>
      </c>
      <c r="T37" s="734">
        <f t="shared" si="61"/>
        <v>-46750.159698153388</v>
      </c>
      <c r="U37" s="619">
        <f t="shared" si="62"/>
        <v>-46750.159698153388</v>
      </c>
      <c r="V37" s="619">
        <f t="shared" si="63"/>
        <v>-167116.80295747856</v>
      </c>
      <c r="W37" s="619">
        <f t="shared" si="64"/>
        <v>-11360.00297303454</v>
      </c>
      <c r="X37" s="620">
        <f t="shared" si="65"/>
        <v>-46750.159698153388</v>
      </c>
      <c r="Y37" s="621">
        <f ca="1">IF(AND(Y$22=TRUE,INDEX(CDRANGE_CLS1,MATCH($A37,$A$24:$A$67,0),MATCH(Y$20,$B$20:$G$20,0))&lt;$D$6/OPDAYS_Cls1),86,payback(C37,T37,disc_rate/12,85))</f>
        <v>86</v>
      </c>
      <c r="Z37" s="622">
        <f ca="1">IF(AND(Z$22=TRUE,INDEX(CDRANGE_CLS1,MATCH($A37,$A$24:$A$67,0),MATCH(Z$20,$B$20:$G$20,0))&lt;$D$6/OPDAYS_Cls1),86,payback(D37,U37,disc_rate/12,85))</f>
        <v>86</v>
      </c>
      <c r="AA37" s="622">
        <f>IF(AND(AA$22=TRUE,INDEX(CDRANGE_CLS1,MATCH($A37,$A$24:$A$67,0),MATCH(AA$20,$B$20:$G$20,0))&lt;$D$6/OPDAYS_Cls1),86,payback(E37,V37,disc_rate/12,85))</f>
        <v>86</v>
      </c>
      <c r="AB37" s="622">
        <f ca="1">IF(AND(AB$22=TRUE,INDEX(CDRANGE_CLS1,MATCH($A37,$A$24:$A$67,0),MATCH(AB$20,$B$20:$G$20,0))&lt;$D$6/OPDAYS_Cls1),86,payback(F37,W37,disc_rate/12,85))</f>
        <v>86</v>
      </c>
      <c r="AC37" s="623">
        <f ca="1">IF(AND(AC$22=TRUE,INDEX(CDRANGE_CLS1,MATCH($A37,$A$24:$A$67,0),MATCH(AC$20,$B$20:$G$20,0))&lt;$D$6/OPDAYS_Cls1),86,payback(G37,X37,disc_rate/12,85))</f>
        <v>86</v>
      </c>
      <c r="AD37" s="624">
        <f t="shared" si="35"/>
        <v>0</v>
      </c>
      <c r="AE37" s="625">
        <f t="shared" si="36"/>
        <v>0</v>
      </c>
      <c r="AF37" s="625">
        <f t="shared" si="37"/>
        <v>0</v>
      </c>
      <c r="AG37" s="625">
        <f t="shared" si="38"/>
        <v>0</v>
      </c>
      <c r="AH37" s="626">
        <f t="shared" si="39"/>
        <v>0</v>
      </c>
      <c r="AI37" s="1155">
        <f t="shared" si="40"/>
        <v>0</v>
      </c>
      <c r="AJ37" s="1156">
        <f t="shared" si="41"/>
        <v>0</v>
      </c>
      <c r="AK37" s="1156">
        <f t="shared" si="42"/>
        <v>0</v>
      </c>
      <c r="AL37" s="1156">
        <f t="shared" si="43"/>
        <v>0</v>
      </c>
      <c r="AM37" s="1157">
        <f t="shared" si="44"/>
        <v>0</v>
      </c>
      <c r="AN37" s="630">
        <f t="shared" si="66"/>
        <v>0</v>
      </c>
      <c r="AO37" s="628">
        <f t="shared" si="67"/>
        <v>0</v>
      </c>
      <c r="AP37" s="628">
        <f t="shared" si="68"/>
        <v>0</v>
      </c>
      <c r="AQ37" s="628">
        <f t="shared" si="69"/>
        <v>0</v>
      </c>
      <c r="AR37" s="629">
        <f t="shared" si="70"/>
        <v>0</v>
      </c>
      <c r="AS37" s="624">
        <f t="shared" ca="1" si="46"/>
        <v>0</v>
      </c>
      <c r="AT37" s="625">
        <f t="shared" ca="1" si="47"/>
        <v>0</v>
      </c>
      <c r="AU37" s="625">
        <f t="shared" si="48"/>
        <v>0</v>
      </c>
      <c r="AV37" s="625">
        <f t="shared" ca="1" si="49"/>
        <v>0</v>
      </c>
      <c r="AW37" s="626">
        <f t="shared" ca="1" si="50"/>
        <v>0</v>
      </c>
      <c r="AX37" s="624">
        <f t="shared" ca="1" si="51"/>
        <v>0</v>
      </c>
      <c r="AY37" s="625">
        <f t="shared" ca="1" si="52"/>
        <v>0</v>
      </c>
      <c r="AZ37" s="625">
        <f t="shared" si="53"/>
        <v>0</v>
      </c>
      <c r="BA37" s="625">
        <f t="shared" ca="1" si="71"/>
        <v>0</v>
      </c>
      <c r="BB37" s="626">
        <f t="shared" ca="1" si="72"/>
        <v>0</v>
      </c>
      <c r="BC37" s="624">
        <f t="shared" ca="1" si="73"/>
        <v>1</v>
      </c>
      <c r="BD37" s="625">
        <f t="shared" ca="1" si="56"/>
        <v>0</v>
      </c>
      <c r="BE37" s="625">
        <f t="shared" ca="1" si="57"/>
        <v>0</v>
      </c>
      <c r="BF37" s="625">
        <f t="shared" ca="1" si="58"/>
        <v>0</v>
      </c>
      <c r="BG37" s="625">
        <f t="shared" ca="1" si="59"/>
        <v>0</v>
      </c>
      <c r="BH37" s="626">
        <f t="shared" ca="1" si="60"/>
        <v>0</v>
      </c>
    </row>
    <row r="38" spans="1:62" x14ac:dyDescent="0.2">
      <c r="A38" s="318">
        <v>2021</v>
      </c>
      <c r="B38" s="816">
        <f t="shared" si="74"/>
        <v>163300</v>
      </c>
      <c r="C38" s="817">
        <f t="shared" si="74"/>
        <v>1</v>
      </c>
      <c r="D38" s="817">
        <f t="shared" si="74"/>
        <v>9691</v>
      </c>
      <c r="E38" s="817">
        <f t="shared" si="74"/>
        <v>803302</v>
      </c>
      <c r="F38" s="817">
        <f t="shared" si="74"/>
        <v>1</v>
      </c>
      <c r="G38" s="818">
        <f t="shared" si="74"/>
        <v>1000000</v>
      </c>
      <c r="H38" s="780">
        <f t="shared" si="75"/>
        <v>1</v>
      </c>
      <c r="I38" s="781">
        <f t="shared" si="75"/>
        <v>1</v>
      </c>
      <c r="J38" s="781">
        <f t="shared" si="75"/>
        <v>1</v>
      </c>
      <c r="K38" s="781">
        <f t="shared" si="75"/>
        <v>1</v>
      </c>
      <c r="L38" s="781">
        <f t="shared" si="75"/>
        <v>1</v>
      </c>
      <c r="M38" s="782">
        <f t="shared" si="75"/>
        <v>1</v>
      </c>
      <c r="N38" s="631">
        <f t="shared" si="28"/>
        <v>8562.6343620798889</v>
      </c>
      <c r="O38" s="632">
        <f t="shared" si="29"/>
        <v>8545.0915049896212</v>
      </c>
      <c r="P38" s="632">
        <f t="shared" si="30"/>
        <v>8019.6419929197327</v>
      </c>
      <c r="Q38" s="632">
        <f t="shared" si="31"/>
        <v>13065.028915763467</v>
      </c>
      <c r="R38" s="632">
        <f t="shared" si="32"/>
        <v>2299.2943487177708</v>
      </c>
      <c r="S38" s="744">
        <f t="shared" si="33"/>
        <v>55562.02630307147</v>
      </c>
      <c r="T38" s="735">
        <f t="shared" si="61"/>
        <v>17.542857090267717</v>
      </c>
      <c r="U38" s="632">
        <f t="shared" si="62"/>
        <v>542.99236916015616</v>
      </c>
      <c r="V38" s="632">
        <f t="shared" si="63"/>
        <v>-4502.3945536835781</v>
      </c>
      <c r="W38" s="632">
        <f t="shared" si="64"/>
        <v>6263.340013362118</v>
      </c>
      <c r="X38" s="633">
        <f t="shared" si="65"/>
        <v>-46999.391940991583</v>
      </c>
      <c r="Y38" s="634">
        <f ca="1">IF(AND(Y$22=TRUE,INDEX(CDRANGE_CLS1,MATCH($A38,$A$24:$A$67,0),MATCH(Y$20,$B$20:$G$20,0))&lt;$D$6/OPDAYS_Cls1),86,payback(C38,T38,disc_rate/12,85))</f>
        <v>1</v>
      </c>
      <c r="Z38" s="635">
        <f ca="1">IF(AND(Z$22=TRUE,INDEX(CDRANGE_CLS1,MATCH($A38,$A$24:$A$67,0),MATCH(Z$20,$B$20:$G$20,0))&lt;$D$6/OPDAYS_Cls1),86,payback(D38,U38,disc_rate/12,85))</f>
        <v>19</v>
      </c>
      <c r="AA38" s="635">
        <f>IF(AND(AA$22=TRUE,INDEX(CDRANGE_CLS1,MATCH($A38,$A$24:$A$67,0),MATCH(AA$20,$B$20:$G$20,0))&lt;$D$6/OPDAYS_Cls1),86,payback(E38,V38,disc_rate/12,85))</f>
        <v>86</v>
      </c>
      <c r="AB38" s="635">
        <f ca="1">IF(AND(AB$22=TRUE,INDEX(CDRANGE_CLS1,MATCH($A38,$A$24:$A$67,0),MATCH(AB$20,$B$20:$G$20,0))&lt;$D$6/OPDAYS_Cls1),86,payback(F38,W38,disc_rate/12,85))</f>
        <v>1</v>
      </c>
      <c r="AC38" s="636">
        <f ca="1">IF(AND(AC$22=TRUE,INDEX(CDRANGE_CLS1,MATCH($A38,$A$24:$A$67,0),MATCH(AC$20,$B$20:$G$20,0))&lt;$D$6/OPDAYS_Cls1),86,payback(G38,X38,disc_rate/12,85))</f>
        <v>86</v>
      </c>
      <c r="AD38" s="637">
        <f t="shared" si="35"/>
        <v>0</v>
      </c>
      <c r="AE38" s="638">
        <f t="shared" si="36"/>
        <v>0</v>
      </c>
      <c r="AF38" s="638">
        <f t="shared" si="37"/>
        <v>0</v>
      </c>
      <c r="AG38" s="638">
        <f t="shared" si="38"/>
        <v>0</v>
      </c>
      <c r="AH38" s="639">
        <f t="shared" si="39"/>
        <v>0</v>
      </c>
      <c r="AI38" s="1149">
        <f t="shared" si="40"/>
        <v>0</v>
      </c>
      <c r="AJ38" s="1150">
        <f t="shared" si="41"/>
        <v>0</v>
      </c>
      <c r="AK38" s="1150">
        <f t="shared" si="42"/>
        <v>0</v>
      </c>
      <c r="AL38" s="1150">
        <f t="shared" si="43"/>
        <v>0</v>
      </c>
      <c r="AM38" s="1151">
        <f t="shared" si="44"/>
        <v>0</v>
      </c>
      <c r="AN38" s="643">
        <f t="shared" si="66"/>
        <v>0.99999999989583421</v>
      </c>
      <c r="AO38" s="641">
        <f t="shared" si="67"/>
        <v>0.99026491506644054</v>
      </c>
      <c r="AP38" s="641">
        <f t="shared" si="68"/>
        <v>0</v>
      </c>
      <c r="AQ38" s="641">
        <f t="shared" si="69"/>
        <v>0.99999999989583421</v>
      </c>
      <c r="AR38" s="642">
        <f t="shared" si="70"/>
        <v>0</v>
      </c>
      <c r="AS38" s="637">
        <f t="shared" ca="1" si="46"/>
        <v>0</v>
      </c>
      <c r="AT38" s="638">
        <f t="shared" ca="1" si="47"/>
        <v>0</v>
      </c>
      <c r="AU38" s="638">
        <f t="shared" si="48"/>
        <v>0</v>
      </c>
      <c r="AV38" s="638">
        <f t="shared" ca="1" si="49"/>
        <v>0</v>
      </c>
      <c r="AW38" s="639">
        <f t="shared" ca="1" si="50"/>
        <v>0</v>
      </c>
      <c r="AX38" s="637">
        <f t="shared" ca="1" si="51"/>
        <v>0</v>
      </c>
      <c r="AY38" s="638">
        <f t="shared" ca="1" si="52"/>
        <v>0</v>
      </c>
      <c r="AZ38" s="638">
        <f t="shared" si="53"/>
        <v>0</v>
      </c>
      <c r="BA38" s="638">
        <f t="shared" ca="1" si="71"/>
        <v>0</v>
      </c>
      <c r="BB38" s="639">
        <f t="shared" ca="1" si="72"/>
        <v>0</v>
      </c>
      <c r="BC38" s="637">
        <f t="shared" ca="1" si="73"/>
        <v>1</v>
      </c>
      <c r="BD38" s="638">
        <f t="shared" ca="1" si="56"/>
        <v>0</v>
      </c>
      <c r="BE38" s="638">
        <f t="shared" ca="1" si="57"/>
        <v>0</v>
      </c>
      <c r="BF38" s="638">
        <f t="shared" ca="1" si="58"/>
        <v>0</v>
      </c>
      <c r="BG38" s="638">
        <f t="shared" ca="1" si="59"/>
        <v>0</v>
      </c>
      <c r="BH38" s="639">
        <f t="shared" ca="1" si="60"/>
        <v>0</v>
      </c>
    </row>
    <row r="39" spans="1:62" x14ac:dyDescent="0.2">
      <c r="A39" s="317">
        <v>2022</v>
      </c>
      <c r="B39" s="819">
        <f t="shared" si="74"/>
        <v>163300</v>
      </c>
      <c r="C39" s="820">
        <f t="shared" si="74"/>
        <v>257.33999999999997</v>
      </c>
      <c r="D39" s="820">
        <f t="shared" si="74"/>
        <v>9515.5</v>
      </c>
      <c r="E39" s="820">
        <f t="shared" si="74"/>
        <v>746184.5</v>
      </c>
      <c r="F39" s="820">
        <f t="shared" si="74"/>
        <v>1</v>
      </c>
      <c r="G39" s="821">
        <f t="shared" si="74"/>
        <v>1000000</v>
      </c>
      <c r="H39" s="780">
        <f t="shared" si="75"/>
        <v>1</v>
      </c>
      <c r="I39" s="781">
        <f t="shared" si="75"/>
        <v>1</v>
      </c>
      <c r="J39" s="781">
        <f t="shared" si="75"/>
        <v>1</v>
      </c>
      <c r="K39" s="781">
        <f t="shared" si="75"/>
        <v>1</v>
      </c>
      <c r="L39" s="781">
        <f t="shared" si="75"/>
        <v>1</v>
      </c>
      <c r="M39" s="782">
        <f t="shared" si="75"/>
        <v>1</v>
      </c>
      <c r="N39" s="275">
        <f t="shared" si="28"/>
        <v>8526.2884062467092</v>
      </c>
      <c r="O39" s="276">
        <f t="shared" si="29"/>
        <v>8462.635720285698</v>
      </c>
      <c r="P39" s="276">
        <f t="shared" si="30"/>
        <v>7930.0111052300599</v>
      </c>
      <c r="Q39" s="276">
        <f t="shared" si="31"/>
        <v>12988.388252795981</v>
      </c>
      <c r="R39" s="276">
        <f t="shared" si="32"/>
        <v>2246.3536917293659</v>
      </c>
      <c r="S39" s="278">
        <f t="shared" si="33"/>
        <v>56432.615605521547</v>
      </c>
      <c r="T39" s="733">
        <f t="shared" si="61"/>
        <v>63.65268596101123</v>
      </c>
      <c r="U39" s="290">
        <f t="shared" si="62"/>
        <v>596.27730101664929</v>
      </c>
      <c r="V39" s="290">
        <f t="shared" si="63"/>
        <v>-4462.0998465492721</v>
      </c>
      <c r="W39" s="290">
        <f t="shared" si="64"/>
        <v>6279.9347145173433</v>
      </c>
      <c r="X39" s="291">
        <f t="shared" si="65"/>
        <v>-47906.327199274834</v>
      </c>
      <c r="Y39" s="293">
        <f ca="1">IF(AND(Y$22=TRUE,INDEX(CDRANGE_CLS1,MATCH($A39,$A$24:$A$67,0),MATCH(Y$20,$B$20:$G$20,0))&lt;$D$6/OPDAYS_Cls1),86,payback(C39,T39,disc_rate/12,85))</f>
        <v>5</v>
      </c>
      <c r="Z39" s="294">
        <f ca="1">IF(AND(Z$22=TRUE,INDEX(CDRANGE_CLS1,MATCH($A39,$A$24:$A$67,0),MATCH(Z$20,$B$20:$G$20,0))&lt;$D$6/OPDAYS_Cls1),86,payback(D39,U39,disc_rate/12,85))</f>
        <v>17</v>
      </c>
      <c r="AA39" s="294">
        <f>IF(AND(AA$22=TRUE,INDEX(CDRANGE_CLS1,MATCH($A39,$A$24:$A$67,0),MATCH(AA$20,$B$20:$G$20,0))&lt;$D$6/OPDAYS_Cls1),86,payback(E39,V39,disc_rate/12,85))</f>
        <v>86</v>
      </c>
      <c r="AB39" s="294">
        <f ca="1">IF(AND(AB$22=TRUE,INDEX(CDRANGE_CLS1,MATCH($A39,$A$24:$A$67,0),MATCH(AB$20,$B$20:$G$20,0))&lt;$D$6/OPDAYS_Cls1),86,payback(F39,W39,disc_rate/12,85))</f>
        <v>1</v>
      </c>
      <c r="AC39" s="592">
        <f ca="1">IF(AND(AC$22=TRUE,INDEX(CDRANGE_CLS1,MATCH($A39,$A$24:$A$67,0),MATCH(AC$20,$B$20:$G$20,0))&lt;$D$6/OPDAYS_Cls1),86,payback(G39,X39,disc_rate/12,85))</f>
        <v>86</v>
      </c>
      <c r="AD39" s="296">
        <f t="shared" si="35"/>
        <v>0</v>
      </c>
      <c r="AE39" s="297">
        <f t="shared" si="36"/>
        <v>0</v>
      </c>
      <c r="AF39" s="297">
        <f t="shared" si="37"/>
        <v>0</v>
      </c>
      <c r="AG39" s="297">
        <f t="shared" si="38"/>
        <v>0</v>
      </c>
      <c r="AH39" s="298">
        <f t="shared" si="39"/>
        <v>0</v>
      </c>
      <c r="AI39" s="1143">
        <f t="shared" si="40"/>
        <v>0</v>
      </c>
      <c r="AJ39" s="1144">
        <f t="shared" si="41"/>
        <v>0</v>
      </c>
      <c r="AK39" s="1144">
        <f t="shared" si="42"/>
        <v>0</v>
      </c>
      <c r="AL39" s="1144">
        <f t="shared" si="43"/>
        <v>2.2094167260173447E-2</v>
      </c>
      <c r="AM39" s="1152">
        <f t="shared" si="44"/>
        <v>0</v>
      </c>
      <c r="AN39" s="299">
        <f t="shared" si="66"/>
        <v>0.99999310176119094</v>
      </c>
      <c r="AO39" s="300">
        <f t="shared" si="67"/>
        <v>0.99061267385922924</v>
      </c>
      <c r="AP39" s="300">
        <f t="shared" si="68"/>
        <v>0</v>
      </c>
      <c r="AQ39" s="300">
        <f t="shared" si="69"/>
        <v>0.99999999989583421</v>
      </c>
      <c r="AR39" s="598">
        <f t="shared" si="70"/>
        <v>0</v>
      </c>
      <c r="AS39" s="296">
        <f t="shared" ca="1" si="46"/>
        <v>0</v>
      </c>
      <c r="AT39" s="297">
        <f t="shared" ca="1" si="47"/>
        <v>0</v>
      </c>
      <c r="AU39" s="297">
        <f t="shared" si="48"/>
        <v>0</v>
      </c>
      <c r="AV39" s="297">
        <f t="shared" ca="1" si="49"/>
        <v>4.4188334520346893E-2</v>
      </c>
      <c r="AW39" s="298">
        <f t="shared" ca="1" si="50"/>
        <v>0</v>
      </c>
      <c r="AX39" s="296">
        <f t="shared" ca="1" si="51"/>
        <v>0</v>
      </c>
      <c r="AY39" s="297">
        <f t="shared" ca="1" si="52"/>
        <v>0</v>
      </c>
      <c r="AZ39" s="297">
        <f t="shared" si="53"/>
        <v>0</v>
      </c>
      <c r="BA39" s="297">
        <f t="shared" ca="1" si="71"/>
        <v>4.4188334515743978E-2</v>
      </c>
      <c r="BB39" s="298">
        <f t="shared" ca="1" si="72"/>
        <v>0</v>
      </c>
      <c r="BC39" s="296">
        <f t="shared" ca="1" si="73"/>
        <v>0.955811665484256</v>
      </c>
      <c r="BD39" s="297">
        <f t="shared" ca="1" si="56"/>
        <v>0</v>
      </c>
      <c r="BE39" s="297">
        <f t="shared" ca="1" si="57"/>
        <v>0</v>
      </c>
      <c r="BF39" s="297">
        <f t="shared" ca="1" si="58"/>
        <v>0</v>
      </c>
      <c r="BG39" s="297">
        <f t="shared" ca="1" si="59"/>
        <v>4.4188334515743978E-2</v>
      </c>
      <c r="BH39" s="298">
        <f t="shared" ca="1" si="60"/>
        <v>0</v>
      </c>
      <c r="BI39" s="227">
        <f ca="1">(AK39*AZ39/SUMPRODUCT($AI39:$AM39,$AX39:$BB39))</f>
        <v>0</v>
      </c>
    </row>
    <row r="40" spans="1:62" x14ac:dyDescent="0.2">
      <c r="A40" s="317">
        <v>2023</v>
      </c>
      <c r="B40" s="819">
        <f t="shared" si="74"/>
        <v>162800</v>
      </c>
      <c r="C40" s="820">
        <f t="shared" si="74"/>
        <v>490.7</v>
      </c>
      <c r="D40" s="820">
        <f t="shared" si="74"/>
        <v>9316.0400000000009</v>
      </c>
      <c r="E40" s="820">
        <f t="shared" si="74"/>
        <v>689043.04</v>
      </c>
      <c r="F40" s="820">
        <f t="shared" si="74"/>
        <v>1</v>
      </c>
      <c r="G40" s="821">
        <f t="shared" si="74"/>
        <v>1000000</v>
      </c>
      <c r="H40" s="780">
        <f t="shared" si="75"/>
        <v>1</v>
      </c>
      <c r="I40" s="781">
        <f t="shared" si="75"/>
        <v>1</v>
      </c>
      <c r="J40" s="781">
        <f t="shared" si="75"/>
        <v>1</v>
      </c>
      <c r="K40" s="781">
        <f t="shared" si="75"/>
        <v>1</v>
      </c>
      <c r="L40" s="781">
        <f t="shared" si="75"/>
        <v>1</v>
      </c>
      <c r="M40" s="782">
        <f t="shared" si="75"/>
        <v>1</v>
      </c>
      <c r="N40" s="275">
        <f t="shared" si="28"/>
        <v>8421.5311677094905</v>
      </c>
      <c r="O40" s="276">
        <f t="shared" si="29"/>
        <v>8323.082020129048</v>
      </c>
      <c r="P40" s="276">
        <f t="shared" si="30"/>
        <v>7788.8565355672363</v>
      </c>
      <c r="Q40" s="276">
        <f t="shared" si="31"/>
        <v>12989.646227426374</v>
      </c>
      <c r="R40" s="276">
        <f t="shared" si="32"/>
        <v>2200.4088145413352</v>
      </c>
      <c r="S40" s="278">
        <f t="shared" si="33"/>
        <v>56756.679928920646</v>
      </c>
      <c r="T40" s="733">
        <f t="shared" si="61"/>
        <v>98.449147580442514</v>
      </c>
      <c r="U40" s="290">
        <f t="shared" si="62"/>
        <v>632.67463214225427</v>
      </c>
      <c r="V40" s="290">
        <f t="shared" si="63"/>
        <v>-4568.1150597168835</v>
      </c>
      <c r="W40" s="290">
        <f t="shared" si="64"/>
        <v>6221.1223531681553</v>
      </c>
      <c r="X40" s="291">
        <f t="shared" si="65"/>
        <v>-48335.148761211152</v>
      </c>
      <c r="Y40" s="293">
        <f ca="1">IF(AND(Y$22=TRUE,INDEX(CDRANGE_CLS1,MATCH($A40,$A$24:$A$67,0),MATCH(Y$20,$B$20:$G$20,0))&lt;$D$6/OPDAYS_Cls1),86,payback(C40,T40,disc_rate/12,85))</f>
        <v>6</v>
      </c>
      <c r="Z40" s="294">
        <f ca="1">IF(AND(Z$22=TRUE,INDEX(CDRANGE_CLS1,MATCH($A40,$A$24:$A$67,0),MATCH(Z$20,$B$20:$G$20,0))&lt;$D$6/OPDAYS_Cls1),86,payback(D40,U40,disc_rate/12,85))</f>
        <v>16</v>
      </c>
      <c r="AA40" s="294">
        <f>IF(AND(AA$22=TRUE,INDEX(CDRANGE_CLS1,MATCH($A40,$A$24:$A$67,0),MATCH(AA$20,$B$20:$G$20,0))&lt;$D$6/OPDAYS_Cls1),86,payback(E40,V40,disc_rate/12,85))</f>
        <v>86</v>
      </c>
      <c r="AB40" s="294">
        <f ca="1">IF(AND(AB$22=TRUE,INDEX(CDRANGE_CLS1,MATCH($A40,$A$24:$A$67,0),MATCH(AB$20,$B$20:$G$20,0))&lt;$D$6/OPDAYS_Cls1),86,payback(F40,W40,disc_rate/12,85))</f>
        <v>1</v>
      </c>
      <c r="AC40" s="592">
        <f ca="1">IF(AND(AC$22=TRUE,INDEX(CDRANGE_CLS1,MATCH($A40,$A$24:$A$67,0),MATCH(AC$20,$B$20:$G$20,0))&lt;$D$6/OPDAYS_Cls1),86,payback(G40,X40,disc_rate/12,85))</f>
        <v>86</v>
      </c>
      <c r="AD40" s="296">
        <f t="shared" si="35"/>
        <v>0</v>
      </c>
      <c r="AE40" s="297">
        <f t="shared" si="36"/>
        <v>0</v>
      </c>
      <c r="AF40" s="297">
        <f t="shared" si="37"/>
        <v>0</v>
      </c>
      <c r="AG40" s="297">
        <f t="shared" si="38"/>
        <v>0</v>
      </c>
      <c r="AH40" s="298">
        <f t="shared" si="39"/>
        <v>0</v>
      </c>
      <c r="AI40" s="1143">
        <f t="shared" si="40"/>
        <v>0</v>
      </c>
      <c r="AJ40" s="1144">
        <f t="shared" si="41"/>
        <v>0</v>
      </c>
      <c r="AK40" s="1144">
        <f t="shared" si="42"/>
        <v>0</v>
      </c>
      <c r="AL40" s="1144">
        <f t="shared" si="43"/>
        <v>5.5532752917322271E-2</v>
      </c>
      <c r="AM40" s="1152">
        <f t="shared" si="44"/>
        <v>0</v>
      </c>
      <c r="AN40" s="299">
        <f t="shared" si="66"/>
        <v>0.9999747643012632</v>
      </c>
      <c r="AO40" s="300">
        <f t="shared" si="67"/>
        <v>0.9909452240447062</v>
      </c>
      <c r="AP40" s="300">
        <f t="shared" si="68"/>
        <v>0</v>
      </c>
      <c r="AQ40" s="300">
        <f t="shared" si="69"/>
        <v>0.99999999989519339</v>
      </c>
      <c r="AR40" s="598">
        <f t="shared" si="70"/>
        <v>0</v>
      </c>
      <c r="AS40" s="296">
        <f t="shared" ca="1" si="46"/>
        <v>0</v>
      </c>
      <c r="AT40" s="297">
        <f t="shared" ca="1" si="47"/>
        <v>0</v>
      </c>
      <c r="AU40" s="297">
        <f t="shared" si="48"/>
        <v>0</v>
      </c>
      <c r="AV40" s="297">
        <f t="shared" ca="1" si="49"/>
        <v>0.11106550583464454</v>
      </c>
      <c r="AW40" s="298">
        <f t="shared" ca="1" si="50"/>
        <v>0</v>
      </c>
      <c r="AX40" s="296">
        <f t="shared" ca="1" si="51"/>
        <v>0</v>
      </c>
      <c r="AY40" s="297">
        <f t="shared" ca="1" si="52"/>
        <v>0</v>
      </c>
      <c r="AZ40" s="297">
        <f t="shared" si="53"/>
        <v>0</v>
      </c>
      <c r="BA40" s="297">
        <f t="shared" ca="1" si="71"/>
        <v>0.11106550582300415</v>
      </c>
      <c r="BB40" s="298">
        <f t="shared" ca="1" si="72"/>
        <v>0</v>
      </c>
      <c r="BC40" s="296">
        <f t="shared" ca="1" si="73"/>
        <v>0.88893449417699588</v>
      </c>
      <c r="BD40" s="297">
        <f t="shared" ca="1" si="56"/>
        <v>0</v>
      </c>
      <c r="BE40" s="297">
        <f t="shared" ca="1" si="57"/>
        <v>0</v>
      </c>
      <c r="BF40" s="297">
        <f t="shared" ca="1" si="58"/>
        <v>0</v>
      </c>
      <c r="BG40" s="297">
        <f t="shared" ca="1" si="59"/>
        <v>0.11106550582300415</v>
      </c>
      <c r="BH40" s="298">
        <f t="shared" ca="1" si="60"/>
        <v>0</v>
      </c>
    </row>
    <row r="41" spans="1:62" x14ac:dyDescent="0.2">
      <c r="A41" s="317">
        <v>2024</v>
      </c>
      <c r="B41" s="819">
        <f t="shared" si="74"/>
        <v>167400</v>
      </c>
      <c r="C41" s="820">
        <f t="shared" si="74"/>
        <v>809.9</v>
      </c>
      <c r="D41" s="820">
        <f t="shared" si="74"/>
        <v>9202.4</v>
      </c>
      <c r="E41" s="820">
        <f t="shared" si="74"/>
        <v>631987.4</v>
      </c>
      <c r="F41" s="820">
        <f t="shared" si="74"/>
        <v>1</v>
      </c>
      <c r="G41" s="821">
        <f t="shared" si="74"/>
        <v>1000000</v>
      </c>
      <c r="H41" s="780">
        <f t="shared" si="75"/>
        <v>1</v>
      </c>
      <c r="I41" s="781">
        <f t="shared" si="75"/>
        <v>1</v>
      </c>
      <c r="J41" s="781">
        <f t="shared" si="75"/>
        <v>1</v>
      </c>
      <c r="K41" s="781">
        <f t="shared" si="75"/>
        <v>1</v>
      </c>
      <c r="L41" s="781">
        <f t="shared" si="75"/>
        <v>1</v>
      </c>
      <c r="M41" s="782">
        <f t="shared" si="75"/>
        <v>1</v>
      </c>
      <c r="N41" s="275">
        <f t="shared" si="28"/>
        <v>8374.5029173644361</v>
      </c>
      <c r="O41" s="276">
        <f t="shared" si="29"/>
        <v>8224.4937976296769</v>
      </c>
      <c r="P41" s="276">
        <f t="shared" si="30"/>
        <v>7683.314994335301</v>
      </c>
      <c r="Q41" s="276">
        <f t="shared" si="31"/>
        <v>12901.624917158579</v>
      </c>
      <c r="R41" s="276">
        <f t="shared" si="32"/>
        <v>2140.526570345949</v>
      </c>
      <c r="S41" s="278">
        <f t="shared" si="33"/>
        <v>57780.182285210867</v>
      </c>
      <c r="T41" s="733">
        <f t="shared" si="61"/>
        <v>150.00911973475922</v>
      </c>
      <c r="U41" s="290">
        <f t="shared" si="62"/>
        <v>691.18792302913516</v>
      </c>
      <c r="V41" s="290">
        <f t="shared" si="63"/>
        <v>-4527.1219997941425</v>
      </c>
      <c r="W41" s="290">
        <f t="shared" si="64"/>
        <v>6233.9763470184871</v>
      </c>
      <c r="X41" s="291">
        <f t="shared" si="65"/>
        <v>-49405.679367846431</v>
      </c>
      <c r="Y41" s="293">
        <f ca="1">IF(AND(Y$22=TRUE,INDEX(CDRANGE_CLS1,MATCH($A41,$A$24:$A$67,0),MATCH(Y$20,$B$20:$G$20,0))&lt;$D$6/OPDAYS_Cls1),86,payback(C41,T41,disc_rate/12,85))</f>
        <v>6</v>
      </c>
      <c r="Z41" s="294">
        <f ca="1">IF(AND(Z$22=TRUE,INDEX(CDRANGE_CLS1,MATCH($A41,$A$24:$A$67,0),MATCH(Z$20,$B$20:$G$20,0))&lt;$D$6/OPDAYS_Cls1),86,payback(D41,U41,disc_rate/12,85))</f>
        <v>14</v>
      </c>
      <c r="AA41" s="294">
        <f>IF(AND(AA$22=TRUE,INDEX(CDRANGE_CLS1,MATCH($A41,$A$24:$A$67,0),MATCH(AA$20,$B$20:$G$20,0))&lt;$D$6/OPDAYS_Cls1),86,payback(E41,V41,disc_rate/12,85))</f>
        <v>86</v>
      </c>
      <c r="AB41" s="294">
        <f ca="1">IF(AND(AB$22=TRUE,INDEX(CDRANGE_CLS1,MATCH($A41,$A$24:$A$67,0),MATCH(AB$20,$B$20:$G$20,0))&lt;$D$6/OPDAYS_Cls1),86,payback(F41,W41,disc_rate/12,85))</f>
        <v>1</v>
      </c>
      <c r="AC41" s="592">
        <f ca="1">IF(AND(AC$22=TRUE,INDEX(CDRANGE_CLS1,MATCH($A41,$A$24:$A$67,0),MATCH(AC$20,$B$20:$G$20,0))&lt;$D$6/OPDAYS_Cls1),86,payback(G41,X41,disc_rate/12,85))</f>
        <v>86</v>
      </c>
      <c r="AD41" s="296">
        <f t="shared" si="35"/>
        <v>0</v>
      </c>
      <c r="AE41" s="297">
        <f t="shared" si="36"/>
        <v>0</v>
      </c>
      <c r="AF41" s="297">
        <f t="shared" si="37"/>
        <v>0</v>
      </c>
      <c r="AG41" s="297">
        <f t="shared" si="38"/>
        <v>0</v>
      </c>
      <c r="AH41" s="298">
        <f t="shared" si="39"/>
        <v>0</v>
      </c>
      <c r="AI41" s="1143">
        <f t="shared" si="40"/>
        <v>0</v>
      </c>
      <c r="AJ41" s="1144">
        <f t="shared" si="41"/>
        <v>0</v>
      </c>
      <c r="AK41" s="1144">
        <f t="shared" si="42"/>
        <v>0</v>
      </c>
      <c r="AL41" s="1144">
        <f t="shared" si="43"/>
        <v>0.12529103522648768</v>
      </c>
      <c r="AM41" s="1152">
        <f t="shared" si="44"/>
        <v>0</v>
      </c>
      <c r="AN41" s="299">
        <f t="shared" si="66"/>
        <v>0.99993498175076667</v>
      </c>
      <c r="AO41" s="300">
        <f t="shared" si="67"/>
        <v>0.99164075097156057</v>
      </c>
      <c r="AP41" s="300">
        <f t="shared" si="68"/>
        <v>0</v>
      </c>
      <c r="AQ41" s="300">
        <f t="shared" si="69"/>
        <v>0.99999999990087418</v>
      </c>
      <c r="AR41" s="598">
        <f t="shared" si="70"/>
        <v>0</v>
      </c>
      <c r="AS41" s="296">
        <f t="shared" ca="1" si="46"/>
        <v>0</v>
      </c>
      <c r="AT41" s="297">
        <f t="shared" ca="1" si="47"/>
        <v>0</v>
      </c>
      <c r="AU41" s="297">
        <f t="shared" si="48"/>
        <v>0</v>
      </c>
      <c r="AV41" s="297">
        <f t="shared" ca="1" si="49"/>
        <v>0.25058207045297537</v>
      </c>
      <c r="AW41" s="298">
        <f t="shared" ca="1" si="50"/>
        <v>0</v>
      </c>
      <c r="AX41" s="296">
        <f t="shared" ca="1" si="51"/>
        <v>0</v>
      </c>
      <c r="AY41" s="297">
        <f t="shared" ca="1" si="52"/>
        <v>0</v>
      </c>
      <c r="AZ41" s="297">
        <f t="shared" si="53"/>
        <v>0</v>
      </c>
      <c r="BA41" s="297">
        <f t="shared" ca="1" si="71"/>
        <v>0.25058207042813624</v>
      </c>
      <c r="BB41" s="298">
        <f t="shared" ca="1" si="72"/>
        <v>0</v>
      </c>
      <c r="BC41" s="296">
        <f t="shared" ca="1" si="73"/>
        <v>0.74941792957186371</v>
      </c>
      <c r="BD41" s="297">
        <f t="shared" ca="1" si="56"/>
        <v>0</v>
      </c>
      <c r="BE41" s="297">
        <f t="shared" ca="1" si="57"/>
        <v>0</v>
      </c>
      <c r="BF41" s="297">
        <f t="shared" ca="1" si="58"/>
        <v>0</v>
      </c>
      <c r="BG41" s="297">
        <f t="shared" ca="1" si="59"/>
        <v>0.25058207042813624</v>
      </c>
      <c r="BH41" s="298">
        <f t="shared" ca="1" si="60"/>
        <v>0</v>
      </c>
    </row>
    <row r="42" spans="1:62" ht="15" thickBot="1" x14ac:dyDescent="0.25">
      <c r="A42" s="302">
        <v>2025</v>
      </c>
      <c r="B42" s="822">
        <f t="shared" si="74"/>
        <v>167100</v>
      </c>
      <c r="C42" s="823">
        <f t="shared" si="74"/>
        <v>1129.0999999999999</v>
      </c>
      <c r="D42" s="823">
        <f t="shared" si="74"/>
        <v>9088.76</v>
      </c>
      <c r="E42" s="823">
        <f t="shared" si="74"/>
        <v>574931.76</v>
      </c>
      <c r="F42" s="823">
        <f t="shared" si="74"/>
        <v>1</v>
      </c>
      <c r="G42" s="824">
        <f t="shared" si="74"/>
        <v>1000000</v>
      </c>
      <c r="H42" s="780">
        <f t="shared" si="75"/>
        <v>1</v>
      </c>
      <c r="I42" s="781">
        <f t="shared" si="75"/>
        <v>1</v>
      </c>
      <c r="J42" s="781">
        <f t="shared" si="75"/>
        <v>1</v>
      </c>
      <c r="K42" s="781">
        <f t="shared" si="75"/>
        <v>1</v>
      </c>
      <c r="L42" s="781">
        <f t="shared" si="75"/>
        <v>1</v>
      </c>
      <c r="M42" s="782">
        <f t="shared" si="75"/>
        <v>1</v>
      </c>
      <c r="N42" s="777">
        <f t="shared" si="28"/>
        <v>8206.629165770395</v>
      </c>
      <c r="O42" s="778">
        <f t="shared" si="29"/>
        <v>8037.6280725058577</v>
      </c>
      <c r="P42" s="778">
        <f t="shared" si="30"/>
        <v>7496.546772988775</v>
      </c>
      <c r="Q42" s="778">
        <f t="shared" si="31"/>
        <v>12911.45877312893</v>
      </c>
      <c r="R42" s="778">
        <f t="shared" si="32"/>
        <v>2083.8172654550085</v>
      </c>
      <c r="S42" s="779">
        <f t="shared" si="33"/>
        <v>58124.644510813137</v>
      </c>
      <c r="T42" s="736">
        <f t="shared" si="61"/>
        <v>169.0010932645373</v>
      </c>
      <c r="U42" s="304">
        <f t="shared" si="62"/>
        <v>710.08239278162</v>
      </c>
      <c r="V42" s="304">
        <f t="shared" si="63"/>
        <v>-4704.8296073585352</v>
      </c>
      <c r="W42" s="304">
        <f t="shared" si="64"/>
        <v>6122.8119003153861</v>
      </c>
      <c r="X42" s="305">
        <f t="shared" si="65"/>
        <v>-49918.015345042746</v>
      </c>
      <c r="Y42" s="307">
        <f ca="1">IF(AND(Y$22=TRUE,INDEX(CDRANGE_CLS1,MATCH($A42,$A$24:$A$67,0),MATCH(Y$20,$B$20:$G$20,0))&lt;$D$6/OPDAYS_Cls1),86,payback(C42,T42,disc_rate/12,85))</f>
        <v>7</v>
      </c>
      <c r="Z42" s="308">
        <f ca="1">IF(AND(Z$22=TRUE,INDEX(CDRANGE_CLS1,MATCH($A42,$A$24:$A$67,0),MATCH(Z$20,$B$20:$G$20,0))&lt;$D$6/OPDAYS_Cls1),86,payback(D42,U42,disc_rate/12,85))</f>
        <v>14</v>
      </c>
      <c r="AA42" s="308">
        <f>IF(AND(AA$22=TRUE,INDEX(CDRANGE_CLS1,MATCH($A42,$A$24:$A$67,0),MATCH(AA$20,$B$20:$G$20,0))&lt;$D$6/OPDAYS_Cls1),86,payback(E42,V42,disc_rate/12,85))</f>
        <v>86</v>
      </c>
      <c r="AB42" s="308">
        <f ca="1">IF(AND(AB$22=TRUE,INDEX(CDRANGE_CLS1,MATCH($A42,$A$24:$A$67,0),MATCH(AB$20,$B$20:$G$20,0))&lt;$D$6/OPDAYS_Cls1),86,payback(F42,W42,disc_rate/12,85))</f>
        <v>1</v>
      </c>
      <c r="AC42" s="593">
        <f ca="1">IF(AND(AC$22=TRUE,INDEX(CDRANGE_CLS1,MATCH($A42,$A$24:$A$67,0),MATCH(AC$20,$B$20:$G$20,0))&lt;$D$6/OPDAYS_Cls1),86,payback(G42,X42,disc_rate/12,85))</f>
        <v>86</v>
      </c>
      <c r="AD42" s="310">
        <f t="shared" si="35"/>
        <v>0</v>
      </c>
      <c r="AE42" s="311">
        <f t="shared" si="36"/>
        <v>0</v>
      </c>
      <c r="AF42" s="311">
        <f t="shared" si="37"/>
        <v>0</v>
      </c>
      <c r="AG42" s="311">
        <f t="shared" si="38"/>
        <v>0</v>
      </c>
      <c r="AH42" s="312">
        <f t="shared" si="39"/>
        <v>0</v>
      </c>
      <c r="AI42" s="1146">
        <f t="shared" si="40"/>
        <v>0</v>
      </c>
      <c r="AJ42" s="1147">
        <f t="shared" si="41"/>
        <v>0</v>
      </c>
      <c r="AK42" s="1147">
        <f t="shared" si="42"/>
        <v>0</v>
      </c>
      <c r="AL42" s="1147">
        <f t="shared" si="43"/>
        <v>0.23293368977573564</v>
      </c>
      <c r="AM42" s="1153">
        <f t="shared" si="44"/>
        <v>0</v>
      </c>
      <c r="AN42" s="313">
        <f t="shared" si="66"/>
        <v>0.99987318171536366</v>
      </c>
      <c r="AO42" s="314">
        <f t="shared" si="67"/>
        <v>0.99181590566229938</v>
      </c>
      <c r="AP42" s="314">
        <f t="shared" si="68"/>
        <v>5.2180482157382357E-15</v>
      </c>
      <c r="AQ42" s="314">
        <f t="shared" si="69"/>
        <v>0.99999999990051802</v>
      </c>
      <c r="AR42" s="599">
        <f t="shared" si="70"/>
        <v>0</v>
      </c>
      <c r="AS42" s="310">
        <f t="shared" ca="1" si="46"/>
        <v>0</v>
      </c>
      <c r="AT42" s="311">
        <f t="shared" ca="1" si="47"/>
        <v>0</v>
      </c>
      <c r="AU42" s="311">
        <f t="shared" si="48"/>
        <v>0</v>
      </c>
      <c r="AV42" s="311">
        <f t="shared" ca="1" si="49"/>
        <v>0.46586737955147128</v>
      </c>
      <c r="AW42" s="312">
        <f t="shared" ca="1" si="50"/>
        <v>0</v>
      </c>
      <c r="AX42" s="310">
        <f t="shared" ca="1" si="51"/>
        <v>0</v>
      </c>
      <c r="AY42" s="311">
        <f t="shared" ca="1" si="52"/>
        <v>0</v>
      </c>
      <c r="AZ42" s="311">
        <f t="shared" si="53"/>
        <v>0</v>
      </c>
      <c r="BA42" s="311">
        <f t="shared" ca="1" si="71"/>
        <v>0.46586737950512586</v>
      </c>
      <c r="BB42" s="312">
        <f t="shared" ca="1" si="72"/>
        <v>0</v>
      </c>
      <c r="BC42" s="310">
        <f t="shared" ca="1" si="73"/>
        <v>0.5341326204948742</v>
      </c>
      <c r="BD42" s="311">
        <f t="shared" ca="1" si="56"/>
        <v>0</v>
      </c>
      <c r="BE42" s="311">
        <f t="shared" ca="1" si="57"/>
        <v>0</v>
      </c>
      <c r="BF42" s="311">
        <f t="shared" ca="1" si="58"/>
        <v>0</v>
      </c>
      <c r="BG42" s="311">
        <f t="shared" ca="1" si="59"/>
        <v>0.46586737950512586</v>
      </c>
      <c r="BH42" s="312">
        <f t="shared" ca="1" si="60"/>
        <v>0</v>
      </c>
      <c r="BJ42" s="540"/>
    </row>
    <row r="43" spans="1:62" x14ac:dyDescent="0.2">
      <c r="A43" s="316">
        <v>2026</v>
      </c>
      <c r="B43" s="825">
        <f t="shared" si="74"/>
        <v>166900</v>
      </c>
      <c r="C43" s="826">
        <f t="shared" si="74"/>
        <v>1362.46</v>
      </c>
      <c r="D43" s="826">
        <f t="shared" si="74"/>
        <v>8889.2999999999993</v>
      </c>
      <c r="E43" s="826">
        <f t="shared" si="74"/>
        <v>517790.3</v>
      </c>
      <c r="F43" s="826">
        <f t="shared" si="74"/>
        <v>1</v>
      </c>
      <c r="G43" s="827">
        <f t="shared" si="74"/>
        <v>1000000</v>
      </c>
      <c r="H43" s="780">
        <f t="shared" si="75"/>
        <v>1</v>
      </c>
      <c r="I43" s="781">
        <f t="shared" si="75"/>
        <v>1</v>
      </c>
      <c r="J43" s="781">
        <f t="shared" si="75"/>
        <v>1</v>
      </c>
      <c r="K43" s="781">
        <f t="shared" si="75"/>
        <v>1</v>
      </c>
      <c r="L43" s="781">
        <f t="shared" si="75"/>
        <v>1</v>
      </c>
      <c r="M43" s="782">
        <f t="shared" si="75"/>
        <v>1</v>
      </c>
      <c r="N43" s="275">
        <f t="shared" si="28"/>
        <v>8114.424829526849</v>
      </c>
      <c r="O43" s="276">
        <f t="shared" si="29"/>
        <v>8017.8328518221597</v>
      </c>
      <c r="P43" s="276">
        <f t="shared" si="30"/>
        <v>7469.6411751606447</v>
      </c>
      <c r="Q43" s="276">
        <f t="shared" si="31"/>
        <v>12942.941156153334</v>
      </c>
      <c r="R43" s="276">
        <f t="shared" si="32"/>
        <v>2044.2219988939548</v>
      </c>
      <c r="S43" s="278">
        <f t="shared" si="33"/>
        <v>59190.14940280679</v>
      </c>
      <c r="T43" s="732">
        <f t="shared" si="61"/>
        <v>96.59197770468927</v>
      </c>
      <c r="U43" s="276">
        <f t="shared" si="62"/>
        <v>644.78365436620425</v>
      </c>
      <c r="V43" s="276">
        <f t="shared" si="63"/>
        <v>-4828.5163266264854</v>
      </c>
      <c r="W43" s="276">
        <f t="shared" si="64"/>
        <v>6070.2028306328939</v>
      </c>
      <c r="X43" s="277">
        <f t="shared" si="65"/>
        <v>-51075.724573279942</v>
      </c>
      <c r="Y43" s="279">
        <f ca="1">IF(AND(Y$22=TRUE,INDEX(CDRANGE_CLS1,MATCH($A43,$A$24:$A$67,0),MATCH(Y$20,$B$20:$G$20,0))&lt;$D$6/OPDAYS_Cls1),86,payback(C43,T43,disc_rate/12,85))</f>
        <v>15</v>
      </c>
      <c r="Z43" s="280">
        <f ca="1">IF(AND(Z$22=TRUE,INDEX(CDRANGE_CLS1,MATCH($A43,$A$24:$A$67,0),MATCH(Z$20,$B$20:$G$20,0))&lt;$D$6/OPDAYS_Cls1),86,payback(D43,U43,disc_rate/12,85))</f>
        <v>15</v>
      </c>
      <c r="AA43" s="280">
        <f>IF(AND(AA$22=TRUE,INDEX(CDRANGE_CLS1,MATCH($A43,$A$24:$A$67,0),MATCH(AA$20,$B$20:$G$20,0))&lt;$D$6/OPDAYS_Cls1),86,payback(E43,V43,disc_rate/12,85))</f>
        <v>86</v>
      </c>
      <c r="AB43" s="280">
        <f ca="1">IF(AND(AB$22=TRUE,INDEX(CDRANGE_CLS1,MATCH($A43,$A$24:$A$67,0),MATCH(AB$20,$B$20:$G$20,0))&lt;$D$6/OPDAYS_Cls1),86,payback(F43,W43,disc_rate/12,85))</f>
        <v>1</v>
      </c>
      <c r="AC43" s="610">
        <f ca="1">IF(AND(AC$22=TRUE,INDEX(CDRANGE_CLS1,MATCH($A43,$A$24:$A$67,0),MATCH(AC$20,$B$20:$G$20,0))&lt;$D$6/OPDAYS_Cls1),86,payback(G43,X43,disc_rate/12,85))</f>
        <v>86</v>
      </c>
      <c r="AD43" s="282">
        <f t="shared" si="35"/>
        <v>0</v>
      </c>
      <c r="AE43" s="283">
        <f t="shared" si="36"/>
        <v>0</v>
      </c>
      <c r="AF43" s="283">
        <f t="shared" si="37"/>
        <v>0</v>
      </c>
      <c r="AG43" s="283">
        <f t="shared" si="38"/>
        <v>0</v>
      </c>
      <c r="AH43" s="284">
        <f t="shared" si="39"/>
        <v>0</v>
      </c>
      <c r="AI43" s="1140">
        <f t="shared" si="40"/>
        <v>0</v>
      </c>
      <c r="AJ43" s="1141">
        <f t="shared" si="41"/>
        <v>0</v>
      </c>
      <c r="AK43" s="1141">
        <f t="shared" si="42"/>
        <v>0</v>
      </c>
      <c r="AL43" s="1141">
        <f t="shared" si="43"/>
        <v>0.34057634432498363</v>
      </c>
      <c r="AM43" s="1154">
        <f t="shared" si="44"/>
        <v>0</v>
      </c>
      <c r="AN43" s="285">
        <f t="shared" si="66"/>
        <v>0.99981490608059509</v>
      </c>
      <c r="AO43" s="286">
        <f t="shared" si="67"/>
        <v>0.99215107859478691</v>
      </c>
      <c r="AP43" s="286">
        <f t="shared" si="68"/>
        <v>2.4479307469960077E-12</v>
      </c>
      <c r="AQ43" s="286">
        <f t="shared" si="69"/>
        <v>0.99999999990027943</v>
      </c>
      <c r="AR43" s="611">
        <f t="shared" si="70"/>
        <v>0</v>
      </c>
      <c r="AS43" s="282">
        <f t="shared" ca="1" si="46"/>
        <v>0</v>
      </c>
      <c r="AT43" s="283">
        <f t="shared" ca="1" si="47"/>
        <v>0</v>
      </c>
      <c r="AU43" s="283">
        <f t="shared" si="48"/>
        <v>0</v>
      </c>
      <c r="AV43" s="283">
        <f t="shared" ca="1" si="49"/>
        <v>0.68115268864996725</v>
      </c>
      <c r="AW43" s="284">
        <f t="shared" ca="1" si="50"/>
        <v>0</v>
      </c>
      <c r="AX43" s="282">
        <f t="shared" ca="1" si="51"/>
        <v>0</v>
      </c>
      <c r="AY43" s="283">
        <f t="shared" ca="1" si="52"/>
        <v>0</v>
      </c>
      <c r="AZ43" s="283">
        <f t="shared" si="53"/>
        <v>0</v>
      </c>
      <c r="BA43" s="283">
        <f t="shared" ca="1" si="71"/>
        <v>0.68115268858204236</v>
      </c>
      <c r="BB43" s="284">
        <f t="shared" ca="1" si="72"/>
        <v>0</v>
      </c>
      <c r="BC43" s="282">
        <f t="shared" ca="1" si="73"/>
        <v>0.31884731141795764</v>
      </c>
      <c r="BD43" s="283">
        <f t="shared" ca="1" si="56"/>
        <v>0</v>
      </c>
      <c r="BE43" s="283">
        <f t="shared" ca="1" si="57"/>
        <v>0</v>
      </c>
      <c r="BF43" s="283">
        <f t="shared" ca="1" si="58"/>
        <v>0</v>
      </c>
      <c r="BG43" s="283">
        <f t="shared" ca="1" si="59"/>
        <v>0.68115268858204236</v>
      </c>
      <c r="BH43" s="284">
        <f t="shared" ca="1" si="60"/>
        <v>0</v>
      </c>
    </row>
    <row r="44" spans="1:62" x14ac:dyDescent="0.2">
      <c r="A44" s="317">
        <v>2027</v>
      </c>
      <c r="B44" s="819">
        <f t="shared" ref="B44:G53" si="76">ROUND(INDEX(COST_Cls1,$A44-($A$24-1),MATCH(B$20,TECHOPTS_Cls1,0)),2)</f>
        <v>169800</v>
      </c>
      <c r="C44" s="820">
        <f t="shared" si="76"/>
        <v>1619.8</v>
      </c>
      <c r="D44" s="820">
        <f t="shared" si="76"/>
        <v>8713.7999999999993</v>
      </c>
      <c r="E44" s="820">
        <f t="shared" si="76"/>
        <v>460672.8</v>
      </c>
      <c r="F44" s="820">
        <f t="shared" si="76"/>
        <v>1</v>
      </c>
      <c r="G44" s="821">
        <f t="shared" si="76"/>
        <v>1000000</v>
      </c>
      <c r="H44" s="780">
        <f t="shared" ref="H44:M53" si="77">IF(H$21="Single-fuel",1,1-MIN(INDEX(CDRANGE_CLS1,$A44-($A$24-1),MATCH(H$20,TECHOPTS_Cls1,0))*OPDAYS_Cls1/$D$6,1))</f>
        <v>1</v>
      </c>
      <c r="I44" s="781">
        <f t="shared" si="77"/>
        <v>1</v>
      </c>
      <c r="J44" s="781">
        <f t="shared" si="77"/>
        <v>1</v>
      </c>
      <c r="K44" s="781">
        <f t="shared" si="77"/>
        <v>1</v>
      </c>
      <c r="L44" s="781">
        <f t="shared" si="77"/>
        <v>1</v>
      </c>
      <c r="M44" s="782">
        <f t="shared" si="77"/>
        <v>1</v>
      </c>
      <c r="N44" s="275">
        <f t="shared" si="28"/>
        <v>7907.8829076733591</v>
      </c>
      <c r="O44" s="276">
        <f t="shared" si="29"/>
        <v>7860.9861872597321</v>
      </c>
      <c r="P44" s="276">
        <f t="shared" si="30"/>
        <v>7314.7939320726546</v>
      </c>
      <c r="Q44" s="276">
        <f t="shared" si="31"/>
        <v>12833.290492919681</v>
      </c>
      <c r="R44" s="276">
        <f t="shared" si="32"/>
        <v>2002.2686132445683</v>
      </c>
      <c r="S44" s="278">
        <f t="shared" si="33"/>
        <v>59338.981322474989</v>
      </c>
      <c r="T44" s="733">
        <f t="shared" si="61"/>
        <v>46.896720413627008</v>
      </c>
      <c r="U44" s="290">
        <f t="shared" si="62"/>
        <v>593.08897560070454</v>
      </c>
      <c r="V44" s="290">
        <f t="shared" si="63"/>
        <v>-4925.407585246322</v>
      </c>
      <c r="W44" s="290">
        <f t="shared" si="64"/>
        <v>5905.6142944287913</v>
      </c>
      <c r="X44" s="291">
        <f t="shared" si="65"/>
        <v>-51431.098414801629</v>
      </c>
      <c r="Y44" s="293">
        <f ca="1">IF(AND(Y$22=TRUE,INDEX(CDRANGE_CLS1,MATCH($A44,$A$24:$A$67,0),MATCH(Y$20,$B$20:$G$20,0))&lt;$D$6/OPDAYS_Cls1),86,payback(C44,T44,disc_rate/12,85))</f>
        <v>40</v>
      </c>
      <c r="Z44" s="294">
        <f ca="1">IF(AND(Z$22=TRUE,INDEX(CDRANGE_CLS1,MATCH($A44,$A$24:$A$67,0),MATCH(Z$20,$B$20:$G$20,0))&lt;$D$6/OPDAYS_Cls1),86,payback(D44,U44,disc_rate/12,85))</f>
        <v>16</v>
      </c>
      <c r="AA44" s="294">
        <f>IF(AND(AA$22=TRUE,INDEX(CDRANGE_CLS1,MATCH($A44,$A$24:$A$67,0),MATCH(AA$20,$B$20:$G$20,0))&lt;$D$6/OPDAYS_Cls1),86,payback(E44,V44,disc_rate/12,85))</f>
        <v>86</v>
      </c>
      <c r="AB44" s="294">
        <f ca="1">IF(AND(AB$22=TRUE,INDEX(CDRANGE_CLS1,MATCH($A44,$A$24:$A$67,0),MATCH(AB$20,$B$20:$G$20,0))&lt;$D$6/OPDAYS_Cls1),86,payback(F44,W44,disc_rate/12,85))</f>
        <v>1</v>
      </c>
      <c r="AC44" s="592">
        <f ca="1">IF(AND(AC$22=TRUE,INDEX(CDRANGE_CLS1,MATCH($A44,$A$24:$A$67,0),MATCH(AC$20,$B$20:$G$20,0))&lt;$D$6/OPDAYS_Cls1),86,payback(G44,X44,disc_rate/12,85))</f>
        <v>86</v>
      </c>
      <c r="AD44" s="296">
        <f t="shared" si="35"/>
        <v>0</v>
      </c>
      <c r="AE44" s="297">
        <f t="shared" si="36"/>
        <v>0</v>
      </c>
      <c r="AF44" s="297">
        <f t="shared" si="37"/>
        <v>0</v>
      </c>
      <c r="AG44" s="297">
        <f t="shared" si="38"/>
        <v>0</v>
      </c>
      <c r="AH44" s="298">
        <f t="shared" si="39"/>
        <v>0</v>
      </c>
      <c r="AI44" s="1143">
        <f t="shared" si="40"/>
        <v>0</v>
      </c>
      <c r="AJ44" s="1144">
        <f t="shared" si="41"/>
        <v>0</v>
      </c>
      <c r="AK44" s="1144">
        <f t="shared" si="42"/>
        <v>0</v>
      </c>
      <c r="AL44" s="1144">
        <f t="shared" si="43"/>
        <v>0.41033462663414894</v>
      </c>
      <c r="AM44" s="1152">
        <f t="shared" si="44"/>
        <v>0</v>
      </c>
      <c r="AN44" s="299">
        <f t="shared" si="66"/>
        <v>0.99974725066181824</v>
      </c>
      <c r="AO44" s="300">
        <f t="shared" si="67"/>
        <v>0.99271130537068564</v>
      </c>
      <c r="AP44" s="300">
        <f t="shared" si="68"/>
        <v>1.319584663761475E-9</v>
      </c>
      <c r="AQ44" s="300">
        <f t="shared" si="69"/>
        <v>0.99999999990365651</v>
      </c>
      <c r="AR44" s="598">
        <f t="shared" si="70"/>
        <v>0</v>
      </c>
      <c r="AS44" s="296">
        <f t="shared" ca="1" si="46"/>
        <v>0</v>
      </c>
      <c r="AT44" s="297">
        <f t="shared" ca="1" si="47"/>
        <v>0</v>
      </c>
      <c r="AU44" s="297">
        <f t="shared" si="48"/>
        <v>0</v>
      </c>
      <c r="AV44" s="297">
        <f t="shared" ca="1" si="49"/>
        <v>0.82066925326829787</v>
      </c>
      <c r="AW44" s="298">
        <f t="shared" ca="1" si="50"/>
        <v>0</v>
      </c>
      <c r="AX44" s="296">
        <f t="shared" ca="1" si="51"/>
        <v>0</v>
      </c>
      <c r="AY44" s="297">
        <f t="shared" ca="1" si="52"/>
        <v>0</v>
      </c>
      <c r="AZ44" s="297">
        <f t="shared" si="53"/>
        <v>0</v>
      </c>
      <c r="BA44" s="297">
        <f t="shared" ca="1" si="71"/>
        <v>0.82066925318923178</v>
      </c>
      <c r="BB44" s="298">
        <f t="shared" ca="1" si="72"/>
        <v>0</v>
      </c>
      <c r="BC44" s="296">
        <f t="shared" ca="1" si="73"/>
        <v>0.17933074681076822</v>
      </c>
      <c r="BD44" s="297">
        <f t="shared" ca="1" si="56"/>
        <v>0</v>
      </c>
      <c r="BE44" s="297">
        <f t="shared" ca="1" si="57"/>
        <v>0</v>
      </c>
      <c r="BF44" s="297">
        <f t="shared" ca="1" si="58"/>
        <v>0</v>
      </c>
      <c r="BG44" s="297">
        <f t="shared" ca="1" si="59"/>
        <v>0.82066925318923178</v>
      </c>
      <c r="BH44" s="298">
        <f t="shared" ca="1" si="60"/>
        <v>0</v>
      </c>
    </row>
    <row r="45" spans="1:62" x14ac:dyDescent="0.2">
      <c r="A45" s="317">
        <v>2028</v>
      </c>
      <c r="B45" s="819">
        <f t="shared" si="76"/>
        <v>169500</v>
      </c>
      <c r="C45" s="820">
        <f t="shared" si="76"/>
        <v>1915.86</v>
      </c>
      <c r="D45" s="820">
        <f t="shared" si="76"/>
        <v>8907.23</v>
      </c>
      <c r="E45" s="820">
        <f t="shared" si="76"/>
        <v>434030.11</v>
      </c>
      <c r="F45" s="820">
        <f t="shared" si="76"/>
        <v>1</v>
      </c>
      <c r="G45" s="821">
        <f t="shared" si="76"/>
        <v>1000000</v>
      </c>
      <c r="H45" s="780">
        <f t="shared" si="77"/>
        <v>1</v>
      </c>
      <c r="I45" s="781">
        <f t="shared" si="77"/>
        <v>1</v>
      </c>
      <c r="J45" s="781">
        <f t="shared" si="77"/>
        <v>1</v>
      </c>
      <c r="K45" s="781">
        <f t="shared" si="77"/>
        <v>1</v>
      </c>
      <c r="L45" s="781">
        <f t="shared" si="77"/>
        <v>1</v>
      </c>
      <c r="M45" s="782">
        <f t="shared" si="77"/>
        <v>1</v>
      </c>
      <c r="N45" s="275">
        <f t="shared" si="28"/>
        <v>7908.8659910522902</v>
      </c>
      <c r="O45" s="276">
        <f t="shared" si="29"/>
        <v>7827.2175015011553</v>
      </c>
      <c r="P45" s="276">
        <f t="shared" si="30"/>
        <v>7269.0223673398477</v>
      </c>
      <c r="Q45" s="276">
        <f t="shared" si="31"/>
        <v>12472.640102712538</v>
      </c>
      <c r="R45" s="276">
        <f t="shared" si="32"/>
        <v>1958.5081154637742</v>
      </c>
      <c r="S45" s="278">
        <f t="shared" si="33"/>
        <v>60249.100138335249</v>
      </c>
      <c r="T45" s="733">
        <f t="shared" si="61"/>
        <v>81.648489551134844</v>
      </c>
      <c r="U45" s="290">
        <f t="shared" si="62"/>
        <v>639.84362371244242</v>
      </c>
      <c r="V45" s="290">
        <f t="shared" si="63"/>
        <v>-4563.7741116602474</v>
      </c>
      <c r="W45" s="290">
        <f t="shared" si="64"/>
        <v>5950.3578755885155</v>
      </c>
      <c r="X45" s="291">
        <f t="shared" si="65"/>
        <v>-52340.234147282958</v>
      </c>
      <c r="Y45" s="293">
        <f ca="1">IF(AND(Y$22=TRUE,INDEX(CDRANGE_CLS1,MATCH($A45,$A$24:$A$67,0),MATCH(Y$20,$B$20:$G$20,0))&lt;$D$6/OPDAYS_Cls1),86,payback(C45,T45,disc_rate/12,85))</f>
        <v>26</v>
      </c>
      <c r="Z45" s="294">
        <f ca="1">IF(AND(Z$22=TRUE,INDEX(CDRANGE_CLS1,MATCH($A45,$A$24:$A$67,0),MATCH(Z$20,$B$20:$G$20,0))&lt;$D$6/OPDAYS_Cls1),86,payback(D45,U45,disc_rate/12,85))</f>
        <v>15</v>
      </c>
      <c r="AA45" s="294">
        <f>IF(AND(AA$22=TRUE,INDEX(CDRANGE_CLS1,MATCH($A45,$A$24:$A$67,0),MATCH(AA$20,$B$20:$G$20,0))&lt;$D$6/OPDAYS_Cls1),86,payback(E45,V45,disc_rate/12,85))</f>
        <v>86</v>
      </c>
      <c r="AB45" s="294">
        <f ca="1">IF(AND(AB$22=TRUE,INDEX(CDRANGE_CLS1,MATCH($A45,$A$24:$A$67,0),MATCH(AB$20,$B$20:$G$20,0))&lt;$D$6/OPDAYS_Cls1),86,payback(F45,W45,disc_rate/12,85))</f>
        <v>1</v>
      </c>
      <c r="AC45" s="592">
        <f ca="1">IF(AND(AC$22=TRUE,INDEX(CDRANGE_CLS1,MATCH($A45,$A$24:$A$67,0),MATCH(AC$20,$B$20:$G$20,0))&lt;$D$6/OPDAYS_Cls1),86,payback(G45,X45,disc_rate/12,85))</f>
        <v>86</v>
      </c>
      <c r="AD45" s="296">
        <f t="shared" si="35"/>
        <v>0</v>
      </c>
      <c r="AE45" s="297">
        <f t="shared" si="36"/>
        <v>0</v>
      </c>
      <c r="AF45" s="297">
        <f t="shared" si="37"/>
        <v>0</v>
      </c>
      <c r="AG45" s="297">
        <f t="shared" si="38"/>
        <v>0</v>
      </c>
      <c r="AH45" s="298">
        <f t="shared" si="39"/>
        <v>0</v>
      </c>
      <c r="AI45" s="1143">
        <f t="shared" si="40"/>
        <v>0</v>
      </c>
      <c r="AJ45" s="1144">
        <f t="shared" si="41"/>
        <v>0</v>
      </c>
      <c r="AK45" s="1144">
        <f t="shared" si="42"/>
        <v>0</v>
      </c>
      <c r="AL45" s="1144">
        <f t="shared" si="43"/>
        <v>0.4437732122912979</v>
      </c>
      <c r="AM45" s="1152">
        <f t="shared" si="44"/>
        <v>0</v>
      </c>
      <c r="AN45" s="299">
        <f t="shared" si="66"/>
        <v>0.99964517960516952</v>
      </c>
      <c r="AO45" s="300">
        <f t="shared" si="67"/>
        <v>0.99235849698776191</v>
      </c>
      <c r="AP45" s="300">
        <f t="shared" si="68"/>
        <v>1.2299778195945521E-8</v>
      </c>
      <c r="AQ45" s="300">
        <f t="shared" si="69"/>
        <v>0.99999999990331523</v>
      </c>
      <c r="AR45" s="598">
        <f t="shared" si="70"/>
        <v>0</v>
      </c>
      <c r="AS45" s="296">
        <f t="shared" ca="1" si="46"/>
        <v>0</v>
      </c>
      <c r="AT45" s="297">
        <f t="shared" ca="1" si="47"/>
        <v>0</v>
      </c>
      <c r="AU45" s="297">
        <f t="shared" si="48"/>
        <v>0</v>
      </c>
      <c r="AV45" s="297">
        <f t="shared" ca="1" si="49"/>
        <v>0.88754642458259581</v>
      </c>
      <c r="AW45" s="298">
        <f t="shared" ca="1" si="50"/>
        <v>0</v>
      </c>
      <c r="AX45" s="296">
        <f t="shared" ca="1" si="51"/>
        <v>0</v>
      </c>
      <c r="AY45" s="297">
        <f t="shared" ca="1" si="52"/>
        <v>0</v>
      </c>
      <c r="AZ45" s="297">
        <f t="shared" si="53"/>
        <v>0</v>
      </c>
      <c r="BA45" s="297">
        <f t="shared" ca="1" si="71"/>
        <v>0.88754642449678356</v>
      </c>
      <c r="BB45" s="298">
        <f t="shared" ca="1" si="72"/>
        <v>0</v>
      </c>
      <c r="BC45" s="296">
        <f t="shared" ca="1" si="73"/>
        <v>0.11245357550321644</v>
      </c>
      <c r="BD45" s="297">
        <f t="shared" ca="1" si="56"/>
        <v>0</v>
      </c>
      <c r="BE45" s="297">
        <f t="shared" ca="1" si="57"/>
        <v>0</v>
      </c>
      <c r="BF45" s="297">
        <f t="shared" ca="1" si="58"/>
        <v>0</v>
      </c>
      <c r="BG45" s="297">
        <f t="shared" ca="1" si="59"/>
        <v>0.88754642449678356</v>
      </c>
      <c r="BH45" s="298">
        <f t="shared" ca="1" si="60"/>
        <v>0</v>
      </c>
    </row>
    <row r="46" spans="1:62" x14ac:dyDescent="0.2">
      <c r="A46" s="317">
        <v>2029</v>
      </c>
      <c r="B46" s="819">
        <f t="shared" si="76"/>
        <v>169300</v>
      </c>
      <c r="C46" s="820">
        <f t="shared" si="76"/>
        <v>2140.25</v>
      </c>
      <c r="D46" s="820">
        <f t="shared" si="76"/>
        <v>9029</v>
      </c>
      <c r="E46" s="820">
        <f t="shared" si="76"/>
        <v>407315.75</v>
      </c>
      <c r="F46" s="820">
        <f t="shared" si="76"/>
        <v>1</v>
      </c>
      <c r="G46" s="821">
        <f t="shared" si="76"/>
        <v>1000000</v>
      </c>
      <c r="H46" s="780">
        <f t="shared" si="77"/>
        <v>1</v>
      </c>
      <c r="I46" s="781">
        <f t="shared" si="77"/>
        <v>1</v>
      </c>
      <c r="J46" s="781">
        <f t="shared" si="77"/>
        <v>1</v>
      </c>
      <c r="K46" s="781">
        <f t="shared" si="77"/>
        <v>1</v>
      </c>
      <c r="L46" s="781">
        <f t="shared" si="77"/>
        <v>1</v>
      </c>
      <c r="M46" s="782">
        <f t="shared" si="77"/>
        <v>1</v>
      </c>
      <c r="N46" s="275">
        <f t="shared" si="28"/>
        <v>7840.985724712953</v>
      </c>
      <c r="O46" s="276">
        <f t="shared" si="29"/>
        <v>7786.1398573239831</v>
      </c>
      <c r="P46" s="276">
        <f t="shared" si="30"/>
        <v>7220.453920084783</v>
      </c>
      <c r="Q46" s="276">
        <f t="shared" si="31"/>
        <v>12181.507281062397</v>
      </c>
      <c r="R46" s="276">
        <f t="shared" si="32"/>
        <v>1926.5950970000579</v>
      </c>
      <c r="S46" s="278">
        <f t="shared" si="33"/>
        <v>60811.258243652665</v>
      </c>
      <c r="T46" s="733">
        <f t="shared" si="61"/>
        <v>54.845867388969964</v>
      </c>
      <c r="U46" s="290">
        <f t="shared" si="62"/>
        <v>620.53180462816999</v>
      </c>
      <c r="V46" s="290">
        <f t="shared" si="63"/>
        <v>-4340.5215563494439</v>
      </c>
      <c r="W46" s="290">
        <f t="shared" si="64"/>
        <v>5914.3906277128954</v>
      </c>
      <c r="X46" s="291">
        <f t="shared" si="65"/>
        <v>-52970.27251893971</v>
      </c>
      <c r="Y46" s="293">
        <f ca="1">IF(AND(Y$22=TRUE,INDEX(CDRANGE_CLS1,MATCH($A46,$A$24:$A$67,0),MATCH(Y$20,$B$20:$G$20,0))&lt;$D$6/OPDAYS_Cls1),86,payback(C46,T46,disc_rate/12,85))</f>
        <v>45</v>
      </c>
      <c r="Z46" s="294">
        <f ca="1">IF(AND(Z$22=TRUE,INDEX(CDRANGE_CLS1,MATCH($A46,$A$24:$A$67,0),MATCH(Z$20,$B$20:$G$20,0))&lt;$D$6/OPDAYS_Cls1),86,payback(D46,U46,disc_rate/12,85))</f>
        <v>16</v>
      </c>
      <c r="AA46" s="294">
        <f>IF(AND(AA$22=TRUE,INDEX(CDRANGE_CLS1,MATCH($A46,$A$24:$A$67,0),MATCH(AA$20,$B$20:$G$20,0))&lt;$D$6/OPDAYS_Cls1),86,payback(E46,V46,disc_rate/12,85))</f>
        <v>86</v>
      </c>
      <c r="AB46" s="294">
        <f ca="1">IF(AND(AB$22=TRUE,INDEX(CDRANGE_CLS1,MATCH($A46,$A$24:$A$67,0),MATCH(AB$20,$B$20:$G$20,0))&lt;$D$6/OPDAYS_Cls1),86,payback(F46,W46,disc_rate/12,85))</f>
        <v>1</v>
      </c>
      <c r="AC46" s="592">
        <f ca="1">IF(AND(AC$22=TRUE,INDEX(CDRANGE_CLS1,MATCH($A46,$A$24:$A$67,0),MATCH(AC$20,$B$20:$G$20,0))&lt;$D$6/OPDAYS_Cls1),86,payback(G46,X46,disc_rate/12,85))</f>
        <v>86</v>
      </c>
      <c r="AD46" s="296">
        <f t="shared" si="35"/>
        <v>0</v>
      </c>
      <c r="AE46" s="297">
        <f t="shared" si="36"/>
        <v>0</v>
      </c>
      <c r="AF46" s="297">
        <f t="shared" si="37"/>
        <v>0</v>
      </c>
      <c r="AG46" s="297">
        <f t="shared" si="38"/>
        <v>0</v>
      </c>
      <c r="AH46" s="298">
        <f t="shared" si="39"/>
        <v>0</v>
      </c>
      <c r="AI46" s="1143">
        <f t="shared" si="40"/>
        <v>0</v>
      </c>
      <c r="AJ46" s="1144">
        <f t="shared" si="41"/>
        <v>0</v>
      </c>
      <c r="AK46" s="1144">
        <f t="shared" si="42"/>
        <v>0</v>
      </c>
      <c r="AL46" s="1144">
        <f t="shared" si="43"/>
        <v>0.45748819104836913</v>
      </c>
      <c r="AM46" s="1152">
        <f t="shared" si="44"/>
        <v>0</v>
      </c>
      <c r="AN46" s="299">
        <f t="shared" si="66"/>
        <v>0.99955617046404588</v>
      </c>
      <c r="AO46" s="300">
        <f t="shared" si="67"/>
        <v>0.99213047690991318</v>
      </c>
      <c r="AP46" s="300">
        <f t="shared" si="68"/>
        <v>1.0403722794372072E-7</v>
      </c>
      <c r="AQ46" s="300">
        <f t="shared" si="69"/>
        <v>0.99999999990308663</v>
      </c>
      <c r="AR46" s="598">
        <f t="shared" si="70"/>
        <v>0</v>
      </c>
      <c r="AS46" s="296">
        <f t="shared" ca="1" si="46"/>
        <v>0</v>
      </c>
      <c r="AT46" s="297">
        <f t="shared" ca="1" si="47"/>
        <v>0</v>
      </c>
      <c r="AU46" s="297">
        <f t="shared" si="48"/>
        <v>0</v>
      </c>
      <c r="AV46" s="297">
        <f t="shared" ca="1" si="49"/>
        <v>0.91497638209673826</v>
      </c>
      <c r="AW46" s="298">
        <f t="shared" ca="1" si="50"/>
        <v>0</v>
      </c>
      <c r="AX46" s="296">
        <f t="shared" ca="1" si="51"/>
        <v>0</v>
      </c>
      <c r="AY46" s="297">
        <f t="shared" ca="1" si="52"/>
        <v>0</v>
      </c>
      <c r="AZ46" s="297">
        <f t="shared" si="53"/>
        <v>0</v>
      </c>
      <c r="BA46" s="297">
        <f t="shared" ca="1" si="71"/>
        <v>0.91497638200806486</v>
      </c>
      <c r="BB46" s="298">
        <f t="shared" ca="1" si="72"/>
        <v>0</v>
      </c>
      <c r="BC46" s="296">
        <f t="shared" ca="1" si="73"/>
        <v>8.5023617991935141E-2</v>
      </c>
      <c r="BD46" s="297">
        <f t="shared" ca="1" si="56"/>
        <v>0</v>
      </c>
      <c r="BE46" s="297">
        <f t="shared" ca="1" si="57"/>
        <v>0</v>
      </c>
      <c r="BF46" s="297">
        <f t="shared" ca="1" si="58"/>
        <v>0</v>
      </c>
      <c r="BG46" s="297">
        <f t="shared" ca="1" si="59"/>
        <v>0.91497638200806486</v>
      </c>
      <c r="BH46" s="298">
        <f t="shared" ca="1" si="60"/>
        <v>0</v>
      </c>
    </row>
    <row r="47" spans="1:62" ht="15" thickBot="1" x14ac:dyDescent="0.25">
      <c r="A47" s="618">
        <v>2030</v>
      </c>
      <c r="B47" s="813">
        <f t="shared" si="76"/>
        <v>169300</v>
      </c>
      <c r="C47" s="814">
        <f t="shared" si="76"/>
        <v>2395.87</v>
      </c>
      <c r="D47" s="814">
        <f t="shared" si="76"/>
        <v>9182</v>
      </c>
      <c r="E47" s="814">
        <f t="shared" si="76"/>
        <v>380632.62</v>
      </c>
      <c r="F47" s="814">
        <f t="shared" si="76"/>
        <v>1</v>
      </c>
      <c r="G47" s="815">
        <f t="shared" si="76"/>
        <v>1000000</v>
      </c>
      <c r="H47" s="780">
        <f t="shared" si="77"/>
        <v>1</v>
      </c>
      <c r="I47" s="781">
        <f t="shared" si="77"/>
        <v>1</v>
      </c>
      <c r="J47" s="781">
        <f t="shared" si="77"/>
        <v>1</v>
      </c>
      <c r="K47" s="781">
        <f t="shared" si="77"/>
        <v>1</v>
      </c>
      <c r="L47" s="781">
        <f t="shared" si="77"/>
        <v>1</v>
      </c>
      <c r="M47" s="782">
        <f t="shared" si="77"/>
        <v>1</v>
      </c>
      <c r="N47" s="774">
        <f t="shared" si="28"/>
        <v>7892.8611050758473</v>
      </c>
      <c r="O47" s="775">
        <f t="shared" si="29"/>
        <v>7819.844326877499</v>
      </c>
      <c r="P47" s="775">
        <f t="shared" si="30"/>
        <v>7240.1846356131036</v>
      </c>
      <c r="Q47" s="775">
        <f t="shared" si="31"/>
        <v>11862.852397936698</v>
      </c>
      <c r="R47" s="775">
        <f t="shared" si="32"/>
        <v>1891.4829810438191</v>
      </c>
      <c r="S47" s="776">
        <f t="shared" si="33"/>
        <v>62079.470687577756</v>
      </c>
      <c r="T47" s="734">
        <f t="shared" si="61"/>
        <v>73.01677819834822</v>
      </c>
      <c r="U47" s="619">
        <f t="shared" si="62"/>
        <v>652.67646946274363</v>
      </c>
      <c r="V47" s="619">
        <f t="shared" si="63"/>
        <v>-3969.991292860851</v>
      </c>
      <c r="W47" s="619">
        <f t="shared" si="64"/>
        <v>6001.3781240320277</v>
      </c>
      <c r="X47" s="620">
        <f t="shared" si="65"/>
        <v>-54186.609582501907</v>
      </c>
      <c r="Y47" s="621">
        <f ca="1">IF(AND(Y$22=TRUE,INDEX(CDRANGE_CLS1,MATCH($A47,$A$24:$A$67,0),MATCH(Y$20,$B$20:$G$20,0))&lt;$D$6/OPDAYS_Cls1),86,payback(C47,T47,disc_rate/12,85))</f>
        <v>37</v>
      </c>
      <c r="Z47" s="622">
        <f ca="1">IF(AND(Z$22=TRUE,INDEX(CDRANGE_CLS1,MATCH($A47,$A$24:$A$67,0),MATCH(Z$20,$B$20:$G$20,0))&lt;$D$6/OPDAYS_Cls1),86,payback(D47,U47,disc_rate/12,85))</f>
        <v>15</v>
      </c>
      <c r="AA47" s="622">
        <f>IF(AND(AA$22=TRUE,INDEX(CDRANGE_CLS1,MATCH($A47,$A$24:$A$67,0),MATCH(AA$20,$B$20:$G$20,0))&lt;$D$6/OPDAYS_Cls1),86,payback(E47,V47,disc_rate/12,85))</f>
        <v>86</v>
      </c>
      <c r="AB47" s="622">
        <f ca="1">IF(AND(AB$22=TRUE,INDEX(CDRANGE_CLS1,MATCH($A47,$A$24:$A$67,0),MATCH(AB$20,$B$20:$G$20,0))&lt;$D$6/OPDAYS_Cls1),86,payback(F47,W47,disc_rate/12,85))</f>
        <v>1</v>
      </c>
      <c r="AC47" s="623">
        <f ca="1">IF(AND(AC$22=TRUE,INDEX(CDRANGE_CLS1,MATCH($A47,$A$24:$A$67,0),MATCH(AC$20,$B$20:$G$20,0))&lt;$D$6/OPDAYS_Cls1),86,payback(G47,X47,disc_rate/12,85))</f>
        <v>86</v>
      </c>
      <c r="AD47" s="624">
        <f t="shared" si="35"/>
        <v>0</v>
      </c>
      <c r="AE47" s="625">
        <f t="shared" si="36"/>
        <v>0</v>
      </c>
      <c r="AF47" s="625">
        <f t="shared" si="37"/>
        <v>0</v>
      </c>
      <c r="AG47" s="625">
        <f t="shared" si="38"/>
        <v>0</v>
      </c>
      <c r="AH47" s="626">
        <f t="shared" si="39"/>
        <v>0</v>
      </c>
      <c r="AI47" s="1155">
        <f t="shared" si="40"/>
        <v>0</v>
      </c>
      <c r="AJ47" s="1156">
        <f t="shared" si="41"/>
        <v>0</v>
      </c>
      <c r="AK47" s="1156">
        <f t="shared" si="42"/>
        <v>0</v>
      </c>
      <c r="AL47" s="1156">
        <f t="shared" si="43"/>
        <v>0.46274939862964609</v>
      </c>
      <c r="AM47" s="1157">
        <f t="shared" si="44"/>
        <v>0</v>
      </c>
      <c r="AN47" s="630">
        <f t="shared" si="66"/>
        <v>0.99944385339762554</v>
      </c>
      <c r="AO47" s="628">
        <f t="shared" si="67"/>
        <v>0.99186261006369503</v>
      </c>
      <c r="AP47" s="628">
        <f t="shared" si="68"/>
        <v>7.9818864839875658E-7</v>
      </c>
      <c r="AQ47" s="628">
        <f t="shared" si="69"/>
        <v>0.99999999990308663</v>
      </c>
      <c r="AR47" s="629">
        <f t="shared" si="70"/>
        <v>0</v>
      </c>
      <c r="AS47" s="624">
        <f t="shared" ca="1" si="46"/>
        <v>0</v>
      </c>
      <c r="AT47" s="625">
        <f t="shared" ca="1" si="47"/>
        <v>0</v>
      </c>
      <c r="AU47" s="625">
        <f t="shared" si="48"/>
        <v>0</v>
      </c>
      <c r="AV47" s="625">
        <f t="shared" ca="1" si="49"/>
        <v>0.92549879725929218</v>
      </c>
      <c r="AW47" s="626">
        <f t="shared" ca="1" si="50"/>
        <v>0</v>
      </c>
      <c r="AX47" s="624">
        <f t="shared" ca="1" si="51"/>
        <v>0</v>
      </c>
      <c r="AY47" s="625">
        <f t="shared" ca="1" si="52"/>
        <v>0</v>
      </c>
      <c r="AZ47" s="625">
        <f t="shared" si="53"/>
        <v>0</v>
      </c>
      <c r="BA47" s="625">
        <f t="shared" ca="1" si="71"/>
        <v>0.92549879716959893</v>
      </c>
      <c r="BB47" s="626">
        <f t="shared" ca="1" si="72"/>
        <v>0</v>
      </c>
      <c r="BC47" s="624">
        <f t="shared" ca="1" si="73"/>
        <v>7.450120283040107E-2</v>
      </c>
      <c r="BD47" s="625">
        <f t="shared" ca="1" si="56"/>
        <v>0</v>
      </c>
      <c r="BE47" s="625">
        <f t="shared" ca="1" si="57"/>
        <v>0</v>
      </c>
      <c r="BF47" s="625">
        <f t="shared" ca="1" si="58"/>
        <v>0</v>
      </c>
      <c r="BG47" s="625">
        <f t="shared" ca="1" si="59"/>
        <v>0.92549879716959893</v>
      </c>
      <c r="BH47" s="626">
        <f t="shared" ca="1" si="60"/>
        <v>0</v>
      </c>
    </row>
    <row r="48" spans="1:62" x14ac:dyDescent="0.2">
      <c r="A48" s="318">
        <v>2031</v>
      </c>
      <c r="B48" s="816">
        <f t="shared" si="76"/>
        <v>169300</v>
      </c>
      <c r="C48" s="817">
        <f t="shared" si="76"/>
        <v>2606.5</v>
      </c>
      <c r="D48" s="817">
        <f t="shared" si="76"/>
        <v>9290</v>
      </c>
      <c r="E48" s="817">
        <f t="shared" si="76"/>
        <v>353904.5</v>
      </c>
      <c r="F48" s="817">
        <f t="shared" si="76"/>
        <v>1</v>
      </c>
      <c r="G48" s="818">
        <f t="shared" si="76"/>
        <v>1000000</v>
      </c>
      <c r="H48" s="780">
        <f t="shared" si="77"/>
        <v>1</v>
      </c>
      <c r="I48" s="781">
        <f t="shared" si="77"/>
        <v>1</v>
      </c>
      <c r="J48" s="781">
        <f t="shared" si="77"/>
        <v>1</v>
      </c>
      <c r="K48" s="781">
        <f t="shared" si="77"/>
        <v>1</v>
      </c>
      <c r="L48" s="781">
        <f t="shared" si="77"/>
        <v>1</v>
      </c>
      <c r="M48" s="782">
        <f t="shared" si="77"/>
        <v>1</v>
      </c>
      <c r="N48" s="631">
        <f t="shared" si="28"/>
        <v>7886.3745675059799</v>
      </c>
      <c r="O48" s="632">
        <f t="shared" si="29"/>
        <v>7803.41670374971</v>
      </c>
      <c r="P48" s="632">
        <f t="shared" si="30"/>
        <v>7215.8011495416513</v>
      </c>
      <c r="Q48" s="632">
        <f t="shared" si="31"/>
        <v>11632.343341031134</v>
      </c>
      <c r="R48" s="632">
        <f t="shared" si="32"/>
        <v>1863.5001380529973</v>
      </c>
      <c r="S48" s="744">
        <f t="shared" si="33"/>
        <v>62775.355854933419</v>
      </c>
      <c r="T48" s="735">
        <f t="shared" si="61"/>
        <v>82.957863756269944</v>
      </c>
      <c r="U48" s="632">
        <f t="shared" si="62"/>
        <v>670.57341796432866</v>
      </c>
      <c r="V48" s="632">
        <f t="shared" si="63"/>
        <v>-3745.9687735251537</v>
      </c>
      <c r="W48" s="632">
        <f t="shared" si="64"/>
        <v>6022.8744294529824</v>
      </c>
      <c r="X48" s="633">
        <f t="shared" si="65"/>
        <v>-54888.981287427436</v>
      </c>
      <c r="Y48" s="634">
        <f ca="1">IF(AND(Y$22=TRUE,INDEX(CDRANGE_CLS1,MATCH($A48,$A$24:$A$67,0),MATCH(Y$20,$B$20:$G$20,0))&lt;$D$6/OPDAYS_Cls1),86,payback(C48,T48,disc_rate/12,85))</f>
        <v>36</v>
      </c>
      <c r="Z48" s="635">
        <f ca="1">IF(AND(Z$22=TRUE,INDEX(CDRANGE_CLS1,MATCH($A48,$A$24:$A$67,0),MATCH(Z$20,$B$20:$G$20,0))&lt;$D$6/OPDAYS_Cls1),86,payback(D48,U48,disc_rate/12,85))</f>
        <v>15</v>
      </c>
      <c r="AA48" s="635">
        <f>IF(AND(AA$22=TRUE,INDEX(CDRANGE_CLS1,MATCH($A48,$A$24:$A$67,0),MATCH(AA$20,$B$20:$G$20,0))&lt;$D$6/OPDAYS_Cls1),86,payback(E48,V48,disc_rate/12,85))</f>
        <v>86</v>
      </c>
      <c r="AB48" s="635">
        <f ca="1">IF(AND(AB$22=TRUE,INDEX(CDRANGE_CLS1,MATCH($A48,$A$24:$A$67,0),MATCH(AB$20,$B$20:$G$20,0))&lt;$D$6/OPDAYS_Cls1),86,payback(F48,W48,disc_rate/12,85))</f>
        <v>1</v>
      </c>
      <c r="AC48" s="636">
        <f ca="1">IF(AND(AC$22=TRUE,INDEX(CDRANGE_CLS1,MATCH($A48,$A$24:$A$67,0),MATCH(AC$20,$B$20:$G$20,0))&lt;$D$6/OPDAYS_Cls1),86,payback(G48,X48,disc_rate/12,85))</f>
        <v>86</v>
      </c>
      <c r="AD48" s="637">
        <f t="shared" si="35"/>
        <v>0</v>
      </c>
      <c r="AE48" s="638">
        <f t="shared" si="36"/>
        <v>0</v>
      </c>
      <c r="AF48" s="638">
        <f t="shared" si="37"/>
        <v>0</v>
      </c>
      <c r="AG48" s="638">
        <f t="shared" si="38"/>
        <v>0</v>
      </c>
      <c r="AH48" s="639">
        <f t="shared" si="39"/>
        <v>0</v>
      </c>
      <c r="AI48" s="1149">
        <f t="shared" si="40"/>
        <v>0</v>
      </c>
      <c r="AJ48" s="1150">
        <f t="shared" si="41"/>
        <v>0</v>
      </c>
      <c r="AK48" s="1150">
        <f t="shared" si="42"/>
        <v>0</v>
      </c>
      <c r="AL48" s="1150">
        <f t="shared" si="43"/>
        <v>0.46471546508087158</v>
      </c>
      <c r="AM48" s="1151">
        <f t="shared" si="44"/>
        <v>0</v>
      </c>
      <c r="AN48" s="643">
        <f t="shared" si="66"/>
        <v>0.99934180273005302</v>
      </c>
      <c r="AO48" s="641">
        <f t="shared" si="67"/>
        <v>0.99167086208480315</v>
      </c>
      <c r="AP48" s="641">
        <f t="shared" si="68"/>
        <v>5.350926102098974E-6</v>
      </c>
      <c r="AQ48" s="641">
        <f t="shared" si="69"/>
        <v>0.99999999990308663</v>
      </c>
      <c r="AR48" s="642">
        <f t="shared" si="70"/>
        <v>0</v>
      </c>
      <c r="AS48" s="637">
        <f t="shared" ca="1" si="46"/>
        <v>0</v>
      </c>
      <c r="AT48" s="638">
        <f t="shared" ca="1" si="47"/>
        <v>0</v>
      </c>
      <c r="AU48" s="638">
        <f t="shared" si="48"/>
        <v>0</v>
      </c>
      <c r="AV48" s="638">
        <f t="shared" ca="1" si="49"/>
        <v>0.92943093016174316</v>
      </c>
      <c r="AW48" s="639">
        <f t="shared" ca="1" si="50"/>
        <v>0</v>
      </c>
      <c r="AX48" s="637">
        <f t="shared" ca="1" si="51"/>
        <v>0</v>
      </c>
      <c r="AY48" s="638">
        <f t="shared" ca="1" si="52"/>
        <v>0</v>
      </c>
      <c r="AZ48" s="638">
        <f t="shared" si="53"/>
        <v>0</v>
      </c>
      <c r="BA48" s="638">
        <f t="shared" ca="1" si="71"/>
        <v>0.92943093007166888</v>
      </c>
      <c r="BB48" s="639">
        <f t="shared" ca="1" si="72"/>
        <v>0</v>
      </c>
      <c r="BC48" s="637">
        <f t="shared" ca="1" si="73"/>
        <v>7.0569069928331118E-2</v>
      </c>
      <c r="BD48" s="638">
        <f t="shared" ca="1" si="56"/>
        <v>0</v>
      </c>
      <c r="BE48" s="638">
        <f t="shared" ca="1" si="57"/>
        <v>0</v>
      </c>
      <c r="BF48" s="638">
        <f t="shared" ca="1" si="58"/>
        <v>0</v>
      </c>
      <c r="BG48" s="638">
        <f t="shared" ca="1" si="59"/>
        <v>0.92943093007166888</v>
      </c>
      <c r="BH48" s="639">
        <f t="shared" ca="1" si="60"/>
        <v>0</v>
      </c>
    </row>
    <row r="49" spans="1:60" x14ac:dyDescent="0.2">
      <c r="A49" s="317">
        <v>2032</v>
      </c>
      <c r="B49" s="819">
        <f t="shared" si="76"/>
        <v>169300</v>
      </c>
      <c r="C49" s="820">
        <f t="shared" si="76"/>
        <v>2738.44</v>
      </c>
      <c r="D49" s="820">
        <f t="shared" si="76"/>
        <v>9319.31</v>
      </c>
      <c r="E49" s="820">
        <f t="shared" si="76"/>
        <v>327097.69</v>
      </c>
      <c r="F49" s="820">
        <f t="shared" si="76"/>
        <v>1</v>
      </c>
      <c r="G49" s="821">
        <f t="shared" si="76"/>
        <v>1000000</v>
      </c>
      <c r="H49" s="780">
        <f t="shared" si="77"/>
        <v>1</v>
      </c>
      <c r="I49" s="781">
        <f t="shared" si="77"/>
        <v>1</v>
      </c>
      <c r="J49" s="781">
        <f t="shared" si="77"/>
        <v>1</v>
      </c>
      <c r="K49" s="781">
        <f t="shared" si="77"/>
        <v>1</v>
      </c>
      <c r="L49" s="781">
        <f t="shared" si="77"/>
        <v>1</v>
      </c>
      <c r="M49" s="782">
        <f t="shared" si="77"/>
        <v>1</v>
      </c>
      <c r="N49" s="275">
        <f t="shared" si="28"/>
        <v>7882.6814559130607</v>
      </c>
      <c r="O49" s="276">
        <f t="shared" si="29"/>
        <v>7795.7386612623468</v>
      </c>
      <c r="P49" s="276">
        <f t="shared" si="30"/>
        <v>7203.0937058245654</v>
      </c>
      <c r="Q49" s="276">
        <f t="shared" si="31"/>
        <v>11497.001342981608</v>
      </c>
      <c r="R49" s="276">
        <f t="shared" si="32"/>
        <v>1846.3887011896363</v>
      </c>
      <c r="S49" s="278">
        <f t="shared" si="33"/>
        <v>63230.70011359889</v>
      </c>
      <c r="T49" s="733">
        <f t="shared" si="61"/>
        <v>86.94279465071395</v>
      </c>
      <c r="U49" s="290">
        <f t="shared" si="62"/>
        <v>679.58775008849534</v>
      </c>
      <c r="V49" s="290">
        <f t="shared" si="63"/>
        <v>-3614.3198870685474</v>
      </c>
      <c r="W49" s="290">
        <f t="shared" si="64"/>
        <v>6036.2927547234249</v>
      </c>
      <c r="X49" s="291">
        <f t="shared" si="65"/>
        <v>-55348.018657685832</v>
      </c>
      <c r="Y49" s="293">
        <f ca="1">IF(AND(Y$22=TRUE,INDEX(CDRANGE_CLS1,MATCH($A49,$A$24:$A$67,0),MATCH(Y$20,$B$20:$G$20,0))&lt;$D$6/OPDAYS_Cls1),86,payback(C49,T49,disc_rate/12,85))</f>
        <v>36</v>
      </c>
      <c r="Z49" s="294">
        <f ca="1">IF(AND(Z$22=TRUE,INDEX(CDRANGE_CLS1,MATCH($A49,$A$24:$A$67,0),MATCH(Z$20,$B$20:$G$20,0))&lt;$D$6/OPDAYS_Cls1),86,payback(D49,U49,disc_rate/12,85))</f>
        <v>15</v>
      </c>
      <c r="AA49" s="294">
        <f>IF(AND(AA$22=TRUE,INDEX(CDRANGE_CLS1,MATCH($A49,$A$24:$A$67,0),MATCH(AA$20,$B$20:$G$20,0))&lt;$D$6/OPDAYS_Cls1),86,payback(E49,V49,disc_rate/12,85))</f>
        <v>86</v>
      </c>
      <c r="AB49" s="294">
        <f ca="1">IF(AND(AB$22=TRUE,INDEX(CDRANGE_CLS1,MATCH($A49,$A$24:$A$67,0),MATCH(AB$20,$B$20:$G$20,0))&lt;$D$6/OPDAYS_Cls1),86,payback(F49,W49,disc_rate/12,85))</f>
        <v>1</v>
      </c>
      <c r="AC49" s="592">
        <f ca="1">IF(AND(AC$22=TRUE,INDEX(CDRANGE_CLS1,MATCH($A49,$A$24:$A$67,0),MATCH(AC$20,$B$20:$G$20,0))&lt;$D$6/OPDAYS_Cls1),86,payback(G49,X49,disc_rate/12,85))</f>
        <v>86</v>
      </c>
      <c r="AD49" s="296">
        <f t="shared" si="35"/>
        <v>0</v>
      </c>
      <c r="AE49" s="297">
        <f t="shared" si="36"/>
        <v>0</v>
      </c>
      <c r="AF49" s="297">
        <f t="shared" si="37"/>
        <v>0</v>
      </c>
      <c r="AG49" s="297">
        <f t="shared" si="38"/>
        <v>0</v>
      </c>
      <c r="AH49" s="298">
        <f t="shared" si="39"/>
        <v>0</v>
      </c>
      <c r="AI49" s="1143">
        <f t="shared" si="40"/>
        <v>0</v>
      </c>
      <c r="AJ49" s="1144">
        <f t="shared" si="41"/>
        <v>0</v>
      </c>
      <c r="AK49" s="1144">
        <f t="shared" si="42"/>
        <v>0</v>
      </c>
      <c r="AL49" s="1144">
        <f t="shared" si="43"/>
        <v>0.46544295051889861</v>
      </c>
      <c r="AM49" s="1152">
        <f t="shared" si="44"/>
        <v>0</v>
      </c>
      <c r="AN49" s="299">
        <f t="shared" si="66"/>
        <v>0.99927350565401973</v>
      </c>
      <c r="AO49" s="300">
        <f t="shared" si="67"/>
        <v>0.99161844344512917</v>
      </c>
      <c r="AP49" s="300">
        <f t="shared" si="68"/>
        <v>3.1389418923999379E-5</v>
      </c>
      <c r="AQ49" s="300">
        <f t="shared" si="69"/>
        <v>0.99999999990308663</v>
      </c>
      <c r="AR49" s="598">
        <f t="shared" si="70"/>
        <v>0</v>
      </c>
      <c r="AS49" s="296">
        <f t="shared" ca="1" si="46"/>
        <v>0</v>
      </c>
      <c r="AT49" s="297">
        <f t="shared" ca="1" si="47"/>
        <v>0</v>
      </c>
      <c r="AU49" s="297">
        <f t="shared" si="48"/>
        <v>0</v>
      </c>
      <c r="AV49" s="297">
        <f t="shared" ca="1" si="49"/>
        <v>0.93088590103779723</v>
      </c>
      <c r="AW49" s="298">
        <f t="shared" ca="1" si="50"/>
        <v>0</v>
      </c>
      <c r="AX49" s="296">
        <f t="shared" ca="1" si="51"/>
        <v>0</v>
      </c>
      <c r="AY49" s="297">
        <f t="shared" ca="1" si="52"/>
        <v>0</v>
      </c>
      <c r="AZ49" s="297">
        <f t="shared" si="53"/>
        <v>0</v>
      </c>
      <c r="BA49" s="297">
        <f t="shared" ca="1" si="71"/>
        <v>0.93088590094758195</v>
      </c>
      <c r="BB49" s="298">
        <f t="shared" ca="1" si="72"/>
        <v>0</v>
      </c>
      <c r="BC49" s="296">
        <f t="shared" ca="1" si="73"/>
        <v>6.9114099052418054E-2</v>
      </c>
      <c r="BD49" s="297">
        <f t="shared" ca="1" si="56"/>
        <v>0</v>
      </c>
      <c r="BE49" s="297">
        <f t="shared" ca="1" si="57"/>
        <v>0</v>
      </c>
      <c r="BF49" s="297">
        <f t="shared" ca="1" si="58"/>
        <v>0</v>
      </c>
      <c r="BG49" s="297">
        <f t="shared" ca="1" si="59"/>
        <v>0.93088590094758195</v>
      </c>
      <c r="BH49" s="298">
        <f t="shared" ca="1" si="60"/>
        <v>0</v>
      </c>
    </row>
    <row r="50" spans="1:60" x14ac:dyDescent="0.2">
      <c r="A50" s="317">
        <v>2033</v>
      </c>
      <c r="B50" s="819">
        <f t="shared" si="76"/>
        <v>169300</v>
      </c>
      <c r="C50" s="820">
        <f t="shared" si="76"/>
        <v>2807.46</v>
      </c>
      <c r="D50" s="820">
        <f t="shared" si="76"/>
        <v>9285.7099999999991</v>
      </c>
      <c r="E50" s="820">
        <f t="shared" si="76"/>
        <v>300227.96000000002</v>
      </c>
      <c r="F50" s="820">
        <f t="shared" si="76"/>
        <v>1</v>
      </c>
      <c r="G50" s="821">
        <f t="shared" si="76"/>
        <v>1000000</v>
      </c>
      <c r="H50" s="780">
        <f t="shared" si="77"/>
        <v>1</v>
      </c>
      <c r="I50" s="781">
        <f t="shared" si="77"/>
        <v>1</v>
      </c>
      <c r="J50" s="781">
        <f t="shared" si="77"/>
        <v>1</v>
      </c>
      <c r="K50" s="781">
        <f t="shared" si="77"/>
        <v>1</v>
      </c>
      <c r="L50" s="781">
        <f t="shared" si="77"/>
        <v>1</v>
      </c>
      <c r="M50" s="782">
        <f t="shared" si="77"/>
        <v>1</v>
      </c>
      <c r="N50" s="275">
        <f t="shared" si="28"/>
        <v>7991.5170051416526</v>
      </c>
      <c r="O50" s="276">
        <f t="shared" si="29"/>
        <v>7887.4207609231871</v>
      </c>
      <c r="P50" s="276">
        <f t="shared" si="30"/>
        <v>7284.8783555261971</v>
      </c>
      <c r="Q50" s="276">
        <f t="shared" si="31"/>
        <v>11492.914676752966</v>
      </c>
      <c r="R50" s="276">
        <f t="shared" si="32"/>
        <v>1837.5620814500598</v>
      </c>
      <c r="S50" s="278">
        <f t="shared" si="33"/>
        <v>64248.016029827733</v>
      </c>
      <c r="T50" s="733">
        <f t="shared" si="61"/>
        <v>104.09624421846547</v>
      </c>
      <c r="U50" s="290">
        <f t="shared" si="62"/>
        <v>706.63864961545551</v>
      </c>
      <c r="V50" s="290">
        <f t="shared" si="63"/>
        <v>-3501.3976716113129</v>
      </c>
      <c r="W50" s="290">
        <f t="shared" si="64"/>
        <v>6153.9549236915927</v>
      </c>
      <c r="X50" s="291">
        <f t="shared" si="65"/>
        <v>-56256.499024686083</v>
      </c>
      <c r="Y50" s="293">
        <f ca="1">IF(AND(Y$22=TRUE,INDEX(CDRANGE_CLS1,MATCH($A50,$A$24:$A$67,0),MATCH(Y$20,$B$20:$G$20,0))&lt;$D$6/OPDAYS_Cls1),86,payback(C50,T50,disc_rate/12,85))</f>
        <v>30</v>
      </c>
      <c r="Z50" s="294">
        <f ca="1">IF(AND(Z$22=TRUE,INDEX(CDRANGE_CLS1,MATCH($A50,$A$24:$A$67,0),MATCH(Z$20,$B$20:$G$20,0))&lt;$D$6/OPDAYS_Cls1),86,payback(D50,U50,disc_rate/12,85))</f>
        <v>14</v>
      </c>
      <c r="AA50" s="294">
        <f>IF(AND(AA$22=TRUE,INDEX(CDRANGE_CLS1,MATCH($A50,$A$24:$A$67,0),MATCH(AA$20,$B$20:$G$20,0))&lt;$D$6/OPDAYS_Cls1),86,payback(E50,V50,disc_rate/12,85))</f>
        <v>86</v>
      </c>
      <c r="AB50" s="294">
        <f ca="1">IF(AND(AB$22=TRUE,INDEX(CDRANGE_CLS1,MATCH($A50,$A$24:$A$67,0),MATCH(AB$20,$B$20:$G$20,0))&lt;$D$6/OPDAYS_Cls1),86,payback(F50,W50,disc_rate/12,85))</f>
        <v>1</v>
      </c>
      <c r="AC50" s="592">
        <f ca="1">IF(AND(AC$22=TRUE,INDEX(CDRANGE_CLS1,MATCH($A50,$A$24:$A$67,0),MATCH(AC$20,$B$20:$G$20,0))&lt;$D$6/OPDAYS_Cls1),86,payback(G50,X50,disc_rate/12,85))</f>
        <v>86</v>
      </c>
      <c r="AD50" s="296">
        <f t="shared" si="35"/>
        <v>0</v>
      </c>
      <c r="AE50" s="297">
        <f t="shared" si="36"/>
        <v>0</v>
      </c>
      <c r="AF50" s="297">
        <f t="shared" si="37"/>
        <v>0</v>
      </c>
      <c r="AG50" s="297">
        <f t="shared" si="38"/>
        <v>0</v>
      </c>
      <c r="AH50" s="298">
        <f t="shared" si="39"/>
        <v>0</v>
      </c>
      <c r="AI50" s="1143">
        <f t="shared" si="40"/>
        <v>0</v>
      </c>
      <c r="AJ50" s="1144">
        <f t="shared" si="41"/>
        <v>0</v>
      </c>
      <c r="AK50" s="1144">
        <f t="shared" si="42"/>
        <v>0</v>
      </c>
      <c r="AL50" s="1144">
        <f t="shared" si="43"/>
        <v>0.46571115086495868</v>
      </c>
      <c r="AM50" s="1152">
        <f t="shared" si="44"/>
        <v>0</v>
      </c>
      <c r="AN50" s="299">
        <f t="shared" si="66"/>
        <v>0.99923643699376841</v>
      </c>
      <c r="AO50" s="300">
        <f t="shared" si="67"/>
        <v>0.99167852079307772</v>
      </c>
      <c r="AP50" s="300">
        <f t="shared" si="68"/>
        <v>1.6078194452817662E-4</v>
      </c>
      <c r="AQ50" s="300">
        <f t="shared" si="69"/>
        <v>0.99999999990308663</v>
      </c>
      <c r="AR50" s="598">
        <f t="shared" si="70"/>
        <v>0</v>
      </c>
      <c r="AS50" s="296">
        <f t="shared" ca="1" si="46"/>
        <v>0</v>
      </c>
      <c r="AT50" s="297">
        <f t="shared" ca="1" si="47"/>
        <v>0</v>
      </c>
      <c r="AU50" s="297">
        <f t="shared" si="48"/>
        <v>0</v>
      </c>
      <c r="AV50" s="297">
        <f t="shared" ca="1" si="49"/>
        <v>0.93142230172991736</v>
      </c>
      <c r="AW50" s="298">
        <f t="shared" ca="1" si="50"/>
        <v>0</v>
      </c>
      <c r="AX50" s="296">
        <f t="shared" ca="1" si="51"/>
        <v>0</v>
      </c>
      <c r="AY50" s="297">
        <f t="shared" ca="1" si="52"/>
        <v>0</v>
      </c>
      <c r="AZ50" s="297">
        <f t="shared" si="53"/>
        <v>0</v>
      </c>
      <c r="BA50" s="297">
        <f t="shared" ca="1" si="71"/>
        <v>0.93142230163965012</v>
      </c>
      <c r="BB50" s="298">
        <f t="shared" ca="1" si="72"/>
        <v>0</v>
      </c>
      <c r="BC50" s="296">
        <f t="shared" ca="1" si="73"/>
        <v>6.8577698360349881E-2</v>
      </c>
      <c r="BD50" s="297">
        <f t="shared" ca="1" si="56"/>
        <v>0</v>
      </c>
      <c r="BE50" s="297">
        <f t="shared" ca="1" si="57"/>
        <v>0</v>
      </c>
      <c r="BF50" s="297">
        <f t="shared" ca="1" si="58"/>
        <v>0</v>
      </c>
      <c r="BG50" s="297">
        <f t="shared" ca="1" si="59"/>
        <v>0.93142230163965012</v>
      </c>
      <c r="BH50" s="298">
        <f t="shared" ca="1" si="60"/>
        <v>0</v>
      </c>
    </row>
    <row r="51" spans="1:60" x14ac:dyDescent="0.2">
      <c r="A51" s="317">
        <v>2034</v>
      </c>
      <c r="B51" s="819">
        <f t="shared" si="76"/>
        <v>169300</v>
      </c>
      <c r="C51" s="820">
        <f t="shared" si="76"/>
        <v>2840.18</v>
      </c>
      <c r="D51" s="820">
        <f t="shared" si="76"/>
        <v>9215.81</v>
      </c>
      <c r="E51" s="820">
        <f t="shared" si="76"/>
        <v>273321.93</v>
      </c>
      <c r="F51" s="820">
        <f t="shared" si="76"/>
        <v>1</v>
      </c>
      <c r="G51" s="821">
        <f t="shared" si="76"/>
        <v>1000000</v>
      </c>
      <c r="H51" s="780">
        <f t="shared" si="77"/>
        <v>1</v>
      </c>
      <c r="I51" s="781">
        <f t="shared" si="77"/>
        <v>1</v>
      </c>
      <c r="J51" s="781">
        <f t="shared" si="77"/>
        <v>1</v>
      </c>
      <c r="K51" s="781">
        <f t="shared" si="77"/>
        <v>1</v>
      </c>
      <c r="L51" s="781">
        <f t="shared" si="77"/>
        <v>1</v>
      </c>
      <c r="M51" s="782">
        <f t="shared" si="77"/>
        <v>1</v>
      </c>
      <c r="N51" s="275">
        <f t="shared" si="28"/>
        <v>8038.3215066515659</v>
      </c>
      <c r="O51" s="276">
        <f t="shared" si="29"/>
        <v>7935.0407444662496</v>
      </c>
      <c r="P51" s="276">
        <f t="shared" si="30"/>
        <v>7327.4736403114839</v>
      </c>
      <c r="Q51" s="276">
        <f t="shared" si="31"/>
        <v>11486.845505864221</v>
      </c>
      <c r="R51" s="276">
        <f t="shared" si="32"/>
        <v>1833.4065724188383</v>
      </c>
      <c r="S51" s="278">
        <f t="shared" si="33"/>
        <v>64766.457315925356</v>
      </c>
      <c r="T51" s="733">
        <f t="shared" si="61"/>
        <v>103.28076218531623</v>
      </c>
      <c r="U51" s="290">
        <f t="shared" si="62"/>
        <v>710.84786634008196</v>
      </c>
      <c r="V51" s="290">
        <f t="shared" si="63"/>
        <v>-3448.5239992126553</v>
      </c>
      <c r="W51" s="290">
        <f t="shared" si="64"/>
        <v>6204.9149342327273</v>
      </c>
      <c r="X51" s="291">
        <f t="shared" si="65"/>
        <v>-56728.135809273794</v>
      </c>
      <c r="Y51" s="293">
        <f ca="1">IF(AND(Y$22=TRUE,INDEX(CDRANGE_CLS1,MATCH($A51,$A$24:$A$67,0),MATCH(Y$20,$B$20:$G$20,0))&lt;$D$6/OPDAYS_Cls1),86,payback(C51,T51,disc_rate/12,85))</f>
        <v>31</v>
      </c>
      <c r="Z51" s="294">
        <f ca="1">IF(AND(Z$22=TRUE,INDEX(CDRANGE_CLS1,MATCH($A51,$A$24:$A$67,0),MATCH(Z$20,$B$20:$G$20,0))&lt;$D$6/OPDAYS_Cls1),86,payback(D51,U51,disc_rate/12,85))</f>
        <v>14</v>
      </c>
      <c r="AA51" s="294">
        <f>IF(AND(AA$22=TRUE,INDEX(CDRANGE_CLS1,MATCH($A51,$A$24:$A$67,0),MATCH(AA$20,$B$20:$G$20,0))&lt;$D$6/OPDAYS_Cls1),86,payback(E51,V51,disc_rate/12,85))</f>
        <v>86</v>
      </c>
      <c r="AB51" s="294">
        <f ca="1">IF(AND(AB$22=TRUE,INDEX(CDRANGE_CLS1,MATCH($A51,$A$24:$A$67,0),MATCH(AB$20,$B$20:$G$20,0))&lt;$D$6/OPDAYS_Cls1),86,payback(F51,W51,disc_rate/12,85))</f>
        <v>1</v>
      </c>
      <c r="AC51" s="592">
        <f ca="1">IF(AND(AC$22=TRUE,INDEX(CDRANGE_CLS1,MATCH($A51,$A$24:$A$67,0),MATCH(AC$20,$B$20:$G$20,0))&lt;$D$6/OPDAYS_Cls1),86,payback(G51,X51,disc_rate/12,85))</f>
        <v>86</v>
      </c>
      <c r="AD51" s="296">
        <f t="shared" si="35"/>
        <v>0</v>
      </c>
      <c r="AE51" s="297">
        <f t="shared" si="36"/>
        <v>0</v>
      </c>
      <c r="AF51" s="297">
        <f t="shared" si="37"/>
        <v>0</v>
      </c>
      <c r="AG51" s="297">
        <f t="shared" si="38"/>
        <v>0</v>
      </c>
      <c r="AH51" s="298">
        <f t="shared" si="39"/>
        <v>0</v>
      </c>
      <c r="AI51" s="1143">
        <f t="shared" si="40"/>
        <v>0</v>
      </c>
      <c r="AJ51" s="1144">
        <f t="shared" si="41"/>
        <v>0</v>
      </c>
      <c r="AK51" s="1144">
        <f t="shared" si="42"/>
        <v>0</v>
      </c>
      <c r="AL51" s="1144">
        <f t="shared" si="43"/>
        <v>0.46580989404370565</v>
      </c>
      <c r="AM51" s="1152">
        <f t="shared" si="44"/>
        <v>0</v>
      </c>
      <c r="AN51" s="299">
        <f t="shared" si="66"/>
        <v>0.99921854213575512</v>
      </c>
      <c r="AO51" s="300">
        <f t="shared" si="67"/>
        <v>0.99180281940855475</v>
      </c>
      <c r="AP51" s="300">
        <f t="shared" si="68"/>
        <v>7.1738381937103135E-4</v>
      </c>
      <c r="AQ51" s="300">
        <f t="shared" si="69"/>
        <v>0.99999999990308663</v>
      </c>
      <c r="AR51" s="598">
        <f t="shared" si="70"/>
        <v>0</v>
      </c>
      <c r="AS51" s="296">
        <f t="shared" ca="1" si="46"/>
        <v>0</v>
      </c>
      <c r="AT51" s="297">
        <f t="shared" ca="1" si="47"/>
        <v>0</v>
      </c>
      <c r="AU51" s="297">
        <f t="shared" si="48"/>
        <v>0</v>
      </c>
      <c r="AV51" s="297">
        <f t="shared" ca="1" si="49"/>
        <v>0.9316197880874113</v>
      </c>
      <c r="AW51" s="298">
        <f t="shared" ca="1" si="50"/>
        <v>0</v>
      </c>
      <c r="AX51" s="296">
        <f t="shared" ca="1" si="51"/>
        <v>0</v>
      </c>
      <c r="AY51" s="297">
        <f t="shared" ca="1" si="52"/>
        <v>0</v>
      </c>
      <c r="AZ51" s="297">
        <f t="shared" si="53"/>
        <v>0</v>
      </c>
      <c r="BA51" s="297">
        <f t="shared" ca="1" si="71"/>
        <v>0.93161978799712486</v>
      </c>
      <c r="BB51" s="298">
        <f t="shared" ca="1" si="72"/>
        <v>0</v>
      </c>
      <c r="BC51" s="296">
        <f t="shared" ca="1" si="73"/>
        <v>6.838021200287514E-2</v>
      </c>
      <c r="BD51" s="297">
        <f t="shared" ca="1" si="56"/>
        <v>0</v>
      </c>
      <c r="BE51" s="297">
        <f t="shared" ca="1" si="57"/>
        <v>0</v>
      </c>
      <c r="BF51" s="297">
        <f t="shared" ca="1" si="58"/>
        <v>0</v>
      </c>
      <c r="BG51" s="297">
        <f t="shared" ca="1" si="59"/>
        <v>0.93161978799712486</v>
      </c>
      <c r="BH51" s="298">
        <f t="shared" ca="1" si="60"/>
        <v>0</v>
      </c>
    </row>
    <row r="52" spans="1:60" ht="15" thickBot="1" x14ac:dyDescent="0.25">
      <c r="A52" s="302">
        <v>2035</v>
      </c>
      <c r="B52" s="822">
        <f t="shared" si="76"/>
        <v>169300</v>
      </c>
      <c r="C52" s="823">
        <f t="shared" si="76"/>
        <v>2866.59</v>
      </c>
      <c r="D52" s="823">
        <f t="shared" si="76"/>
        <v>9139.59</v>
      </c>
      <c r="E52" s="823">
        <f t="shared" si="76"/>
        <v>246409.59</v>
      </c>
      <c r="F52" s="823">
        <f t="shared" si="76"/>
        <v>1</v>
      </c>
      <c r="G52" s="824">
        <f t="shared" si="76"/>
        <v>1000000</v>
      </c>
      <c r="H52" s="780">
        <f t="shared" si="77"/>
        <v>1</v>
      </c>
      <c r="I52" s="781">
        <f t="shared" si="77"/>
        <v>1</v>
      </c>
      <c r="J52" s="781">
        <f t="shared" si="77"/>
        <v>1</v>
      </c>
      <c r="K52" s="781">
        <f t="shared" si="77"/>
        <v>1</v>
      </c>
      <c r="L52" s="781">
        <f t="shared" si="77"/>
        <v>1</v>
      </c>
      <c r="M52" s="782">
        <f t="shared" si="77"/>
        <v>1</v>
      </c>
      <c r="N52" s="777">
        <f t="shared" si="28"/>
        <v>8098.9126324083218</v>
      </c>
      <c r="O52" s="778">
        <f t="shared" si="29"/>
        <v>7993.1378645639734</v>
      </c>
      <c r="P52" s="778">
        <f t="shared" si="30"/>
        <v>7379.9995919344237</v>
      </c>
      <c r="Q52" s="778">
        <f t="shared" si="31"/>
        <v>11356.005556700969</v>
      </c>
      <c r="R52" s="778">
        <f t="shared" si="32"/>
        <v>1830.0670744189231</v>
      </c>
      <c r="S52" s="779">
        <f t="shared" si="33"/>
        <v>65346.763002636719</v>
      </c>
      <c r="T52" s="736">
        <f t="shared" si="61"/>
        <v>105.77476784434839</v>
      </c>
      <c r="U52" s="304">
        <f t="shared" si="62"/>
        <v>718.91304047389804</v>
      </c>
      <c r="V52" s="304">
        <f t="shared" si="63"/>
        <v>-3257.0929242926477</v>
      </c>
      <c r="W52" s="304">
        <f t="shared" si="64"/>
        <v>6268.8455579893989</v>
      </c>
      <c r="X52" s="305">
        <f t="shared" si="65"/>
        <v>-57247.8503702284</v>
      </c>
      <c r="Y52" s="307">
        <f ca="1">IF(AND(Y$22=TRUE,INDEX(CDRANGE_CLS1,MATCH($A52,$A$24:$A$67,0),MATCH(Y$20,$B$20:$G$20,0))&lt;$D$6/OPDAYS_Cls1),86,payback(C52,T52,disc_rate/12,85))</f>
        <v>30</v>
      </c>
      <c r="Z52" s="308">
        <f ca="1">IF(AND(Z$22=TRUE,INDEX(CDRANGE_CLS1,MATCH($A52,$A$24:$A$67,0),MATCH(Z$20,$B$20:$G$20,0))&lt;$D$6/OPDAYS_Cls1),86,payback(D52,U52,disc_rate/12,85))</f>
        <v>14</v>
      </c>
      <c r="AA52" s="308">
        <f>IF(AND(AA$22=TRUE,INDEX(CDRANGE_CLS1,MATCH($A52,$A$24:$A$67,0),MATCH(AA$20,$B$20:$G$20,0))&lt;$D$6/OPDAYS_Cls1),86,payback(E52,V52,disc_rate/12,85))</f>
        <v>86</v>
      </c>
      <c r="AB52" s="308">
        <f ca="1">IF(AND(AB$22=TRUE,INDEX(CDRANGE_CLS1,MATCH($A52,$A$24:$A$67,0),MATCH(AB$20,$B$20:$G$20,0))&lt;$D$6/OPDAYS_Cls1),86,payback(F52,W52,disc_rate/12,85))</f>
        <v>1</v>
      </c>
      <c r="AC52" s="593">
        <f ca="1">IF(AND(AC$22=TRUE,INDEX(CDRANGE_CLS1,MATCH($A52,$A$24:$A$67,0),MATCH(AC$20,$B$20:$G$20,0))&lt;$D$6/OPDAYS_Cls1),86,payback(G52,X52,disc_rate/12,85))</f>
        <v>86</v>
      </c>
      <c r="AD52" s="310">
        <f t="shared" si="35"/>
        <v>0</v>
      </c>
      <c r="AE52" s="311">
        <f t="shared" si="36"/>
        <v>0</v>
      </c>
      <c r="AF52" s="311">
        <f t="shared" si="37"/>
        <v>0</v>
      </c>
      <c r="AG52" s="311">
        <f t="shared" si="38"/>
        <v>0</v>
      </c>
      <c r="AH52" s="312">
        <f t="shared" si="39"/>
        <v>0</v>
      </c>
      <c r="AI52" s="1146">
        <f t="shared" si="40"/>
        <v>0</v>
      </c>
      <c r="AJ52" s="1147">
        <f t="shared" si="41"/>
        <v>0</v>
      </c>
      <c r="AK52" s="1147">
        <f t="shared" si="42"/>
        <v>0</v>
      </c>
      <c r="AL52" s="1147">
        <f t="shared" si="43"/>
        <v>0.46584623016534166</v>
      </c>
      <c r="AM52" s="1153">
        <f t="shared" si="44"/>
        <v>0</v>
      </c>
      <c r="AN52" s="313">
        <f t="shared" si="66"/>
        <v>0.99920394728472461</v>
      </c>
      <c r="AO52" s="314">
        <f t="shared" si="67"/>
        <v>0.9919373035768958</v>
      </c>
      <c r="AP52" s="314">
        <f t="shared" si="68"/>
        <v>2.7826431032799137E-3</v>
      </c>
      <c r="AQ52" s="314">
        <f t="shared" si="69"/>
        <v>0.99999999990308663</v>
      </c>
      <c r="AR52" s="599">
        <f t="shared" si="70"/>
        <v>0</v>
      </c>
      <c r="AS52" s="310">
        <f t="shared" ca="1" si="46"/>
        <v>0</v>
      </c>
      <c r="AT52" s="311">
        <f t="shared" ca="1" si="47"/>
        <v>0</v>
      </c>
      <c r="AU52" s="311">
        <f t="shared" si="48"/>
        <v>0</v>
      </c>
      <c r="AV52" s="311">
        <f t="shared" ca="1" si="49"/>
        <v>0.93169246033068331</v>
      </c>
      <c r="AW52" s="312">
        <f t="shared" ca="1" si="50"/>
        <v>0</v>
      </c>
      <c r="AX52" s="310">
        <f t="shared" ca="1" si="51"/>
        <v>0</v>
      </c>
      <c r="AY52" s="311">
        <f t="shared" ca="1" si="52"/>
        <v>0</v>
      </c>
      <c r="AZ52" s="311">
        <f t="shared" si="53"/>
        <v>0</v>
      </c>
      <c r="BA52" s="311">
        <f t="shared" ca="1" si="71"/>
        <v>0.93169246024038987</v>
      </c>
      <c r="BB52" s="312">
        <f t="shared" ca="1" si="72"/>
        <v>0</v>
      </c>
      <c r="BC52" s="310">
        <f t="shared" ca="1" si="73"/>
        <v>6.8307539759610125E-2</v>
      </c>
      <c r="BD52" s="311">
        <f t="shared" ca="1" si="56"/>
        <v>0</v>
      </c>
      <c r="BE52" s="311">
        <f t="shared" ca="1" si="57"/>
        <v>0</v>
      </c>
      <c r="BF52" s="311">
        <f t="shared" ca="1" si="58"/>
        <v>0</v>
      </c>
      <c r="BG52" s="311">
        <f t="shared" ca="1" si="59"/>
        <v>0.93169246024038987</v>
      </c>
      <c r="BH52" s="312">
        <f t="shared" ca="1" si="60"/>
        <v>0</v>
      </c>
    </row>
    <row r="53" spans="1:60" x14ac:dyDescent="0.2">
      <c r="A53" s="316">
        <v>2036</v>
      </c>
      <c r="B53" s="825">
        <f t="shared" si="76"/>
        <v>169300</v>
      </c>
      <c r="C53" s="826">
        <f t="shared" si="76"/>
        <v>3449.55</v>
      </c>
      <c r="D53" s="826">
        <f t="shared" si="76"/>
        <v>9566.5499999999993</v>
      </c>
      <c r="E53" s="826">
        <f t="shared" si="76"/>
        <v>233540.69</v>
      </c>
      <c r="F53" s="826">
        <f t="shared" si="76"/>
        <v>1</v>
      </c>
      <c r="G53" s="827">
        <f t="shared" si="76"/>
        <v>1000000</v>
      </c>
      <c r="H53" s="780">
        <f t="shared" si="77"/>
        <v>1</v>
      </c>
      <c r="I53" s="781">
        <f t="shared" si="77"/>
        <v>1</v>
      </c>
      <c r="J53" s="781">
        <f t="shared" si="77"/>
        <v>1</v>
      </c>
      <c r="K53" s="781">
        <f t="shared" si="77"/>
        <v>1</v>
      </c>
      <c r="L53" s="781">
        <f t="shared" si="77"/>
        <v>1</v>
      </c>
      <c r="M53" s="782">
        <f t="shared" si="77"/>
        <v>1</v>
      </c>
      <c r="N53" s="275">
        <f t="shared" si="28"/>
        <v>8166.8208860109962</v>
      </c>
      <c r="O53" s="276">
        <f t="shared" si="29"/>
        <v>7986.0546821086009</v>
      </c>
      <c r="P53" s="276">
        <f t="shared" si="30"/>
        <v>7336.4501732276494</v>
      </c>
      <c r="Q53" s="276">
        <f t="shared" si="31"/>
        <v>11106.055742836352</v>
      </c>
      <c r="R53" s="276">
        <f t="shared" si="32"/>
        <v>1800.3139581154862</v>
      </c>
      <c r="S53" s="278">
        <f t="shared" si="33"/>
        <v>66010.247693622412</v>
      </c>
      <c r="T53" s="732">
        <f t="shared" si="61"/>
        <v>180.76620390239532</v>
      </c>
      <c r="U53" s="276">
        <f t="shared" si="62"/>
        <v>830.37071278334679</v>
      </c>
      <c r="V53" s="276">
        <f t="shared" si="63"/>
        <v>-2939.2348568253556</v>
      </c>
      <c r="W53" s="276">
        <f t="shared" si="64"/>
        <v>6366.5069278955098</v>
      </c>
      <c r="X53" s="277">
        <f t="shared" si="65"/>
        <v>-57843.426807611417</v>
      </c>
      <c r="Y53" s="279">
        <f ca="1">IF(AND(Y$22=TRUE,INDEX(CDRANGE_CLS1,MATCH($A53,$A$24:$A$67,0),MATCH(Y$20,$B$20:$G$20,0))&lt;$D$6/OPDAYS_Cls1),86,payback(C53,T53,disc_rate/12,85))</f>
        <v>21</v>
      </c>
      <c r="Z53" s="280">
        <f ca="1">IF(AND(Z$22=TRUE,INDEX(CDRANGE_CLS1,MATCH($A53,$A$24:$A$67,0),MATCH(Z$20,$B$20:$G$20,0))&lt;$D$6/OPDAYS_Cls1),86,payback(D53,U53,disc_rate/12,85))</f>
        <v>12</v>
      </c>
      <c r="AA53" s="280">
        <f>IF(AND(AA$22=TRUE,INDEX(CDRANGE_CLS1,MATCH($A53,$A$24:$A$67,0),MATCH(AA$20,$B$20:$G$20,0))&lt;$D$6/OPDAYS_Cls1),86,payback(E53,V53,disc_rate/12,85))</f>
        <v>86</v>
      </c>
      <c r="AB53" s="280">
        <f ca="1">IF(AND(AB$22=TRUE,INDEX(CDRANGE_CLS1,MATCH($A53,$A$24:$A$67,0),MATCH(AB$20,$B$20:$G$20,0))&lt;$D$6/OPDAYS_Cls1),86,payback(F53,W53,disc_rate/12,85))</f>
        <v>1</v>
      </c>
      <c r="AC53" s="610">
        <f ca="1">IF(AND(AC$22=TRUE,INDEX(CDRANGE_CLS1,MATCH($A53,$A$24:$A$67,0),MATCH(AC$20,$B$20:$G$20,0))&lt;$D$6/OPDAYS_Cls1),86,payback(G53,X53,disc_rate/12,85))</f>
        <v>86</v>
      </c>
      <c r="AD53" s="282">
        <f t="shared" si="35"/>
        <v>0</v>
      </c>
      <c r="AE53" s="283">
        <f t="shared" si="36"/>
        <v>0</v>
      </c>
      <c r="AF53" s="283">
        <f t="shared" si="37"/>
        <v>0</v>
      </c>
      <c r="AG53" s="283">
        <f t="shared" si="38"/>
        <v>0</v>
      </c>
      <c r="AH53" s="284">
        <f t="shared" si="39"/>
        <v>0</v>
      </c>
      <c r="AI53" s="1140">
        <f t="shared" si="40"/>
        <v>0</v>
      </c>
      <c r="AJ53" s="1141">
        <f t="shared" si="41"/>
        <v>0</v>
      </c>
      <c r="AK53" s="1141">
        <f t="shared" si="42"/>
        <v>0</v>
      </c>
      <c r="AL53" s="1141">
        <f t="shared" si="43"/>
        <v>0.46585959890384021</v>
      </c>
      <c r="AM53" s="1154">
        <f t="shared" si="44"/>
        <v>0</v>
      </c>
      <c r="AN53" s="285">
        <f t="shared" si="66"/>
        <v>0.99884745450051016</v>
      </c>
      <c r="AO53" s="286">
        <f t="shared" si="67"/>
        <v>0.99116981643258628</v>
      </c>
      <c r="AP53" s="286">
        <f t="shared" si="68"/>
        <v>5.0631050043602466E-3</v>
      </c>
      <c r="AQ53" s="286">
        <f t="shared" si="69"/>
        <v>0.99999999990308663</v>
      </c>
      <c r="AR53" s="611">
        <f t="shared" si="70"/>
        <v>0</v>
      </c>
      <c r="AS53" s="282">
        <f t="shared" ca="1" si="46"/>
        <v>0</v>
      </c>
      <c r="AT53" s="283">
        <f t="shared" ca="1" si="47"/>
        <v>0</v>
      </c>
      <c r="AU53" s="283">
        <f t="shared" si="48"/>
        <v>0</v>
      </c>
      <c r="AV53" s="283">
        <f t="shared" ca="1" si="49"/>
        <v>0.93171919780768042</v>
      </c>
      <c r="AW53" s="284">
        <f t="shared" ca="1" si="50"/>
        <v>0</v>
      </c>
      <c r="AX53" s="282">
        <f t="shared" ca="1" si="51"/>
        <v>0</v>
      </c>
      <c r="AY53" s="283">
        <f t="shared" ca="1" si="52"/>
        <v>0</v>
      </c>
      <c r="AZ53" s="283">
        <f t="shared" si="53"/>
        <v>0</v>
      </c>
      <c r="BA53" s="283">
        <f t="shared" ca="1" si="71"/>
        <v>0.93171919771738443</v>
      </c>
      <c r="BB53" s="284">
        <f t="shared" ca="1" si="72"/>
        <v>0</v>
      </c>
      <c r="BC53" s="282">
        <f t="shared" ca="1" si="73"/>
        <v>6.8280802282615571E-2</v>
      </c>
      <c r="BD53" s="283">
        <f t="shared" ca="1" si="56"/>
        <v>0</v>
      </c>
      <c r="BE53" s="283">
        <f t="shared" ca="1" si="57"/>
        <v>0</v>
      </c>
      <c r="BF53" s="283">
        <f t="shared" ca="1" si="58"/>
        <v>0</v>
      </c>
      <c r="BG53" s="283">
        <f t="shared" ca="1" si="59"/>
        <v>0.93171919771738443</v>
      </c>
      <c r="BH53" s="284">
        <f t="shared" ca="1" si="60"/>
        <v>0</v>
      </c>
    </row>
    <row r="54" spans="1:60" x14ac:dyDescent="0.2">
      <c r="A54" s="317">
        <v>2037</v>
      </c>
      <c r="B54" s="819">
        <f t="shared" ref="B54:G67" si="78">ROUND(INDEX(COST_Cls1,$A54-($A$24-1),MATCH(B$20,TECHOPTS_Cls1,0)),2)</f>
        <v>169300</v>
      </c>
      <c r="C54" s="820">
        <f t="shared" si="78"/>
        <v>3805.01</v>
      </c>
      <c r="D54" s="820">
        <f t="shared" si="78"/>
        <v>9766.01</v>
      </c>
      <c r="E54" s="820">
        <f t="shared" si="78"/>
        <v>220444.28</v>
      </c>
      <c r="F54" s="820">
        <f t="shared" si="78"/>
        <v>1</v>
      </c>
      <c r="G54" s="821">
        <f t="shared" si="78"/>
        <v>1000000</v>
      </c>
      <c r="H54" s="780">
        <f t="shared" ref="H54:M67" si="79">IF(H$21="Single-fuel",1,1-MIN(INDEX(CDRANGE_CLS1,$A54-($A$24-1),MATCH(H$20,TECHOPTS_Cls1,0))*OPDAYS_Cls1/$D$6,1))</f>
        <v>1</v>
      </c>
      <c r="I54" s="781">
        <f t="shared" si="79"/>
        <v>1</v>
      </c>
      <c r="J54" s="781">
        <f t="shared" si="79"/>
        <v>1</v>
      </c>
      <c r="K54" s="781">
        <f t="shared" si="79"/>
        <v>1</v>
      </c>
      <c r="L54" s="781">
        <f t="shared" si="79"/>
        <v>1</v>
      </c>
      <c r="M54" s="782">
        <f t="shared" si="79"/>
        <v>1</v>
      </c>
      <c r="N54" s="275">
        <f t="shared" si="28"/>
        <v>8210.1935862417358</v>
      </c>
      <c r="O54" s="276">
        <f t="shared" si="29"/>
        <v>7987.0976763070812</v>
      </c>
      <c r="P54" s="276">
        <f t="shared" si="30"/>
        <v>7315.410955846166</v>
      </c>
      <c r="Q54" s="276">
        <f t="shared" si="31"/>
        <v>10946.564933031808</v>
      </c>
      <c r="R54" s="276">
        <f t="shared" si="32"/>
        <v>1782.6423678795568</v>
      </c>
      <c r="S54" s="278">
        <f t="shared" si="33"/>
        <v>66458.789198817292</v>
      </c>
      <c r="T54" s="733">
        <f t="shared" si="61"/>
        <v>223.09590993465463</v>
      </c>
      <c r="U54" s="290">
        <f t="shared" si="62"/>
        <v>894.78263039556987</v>
      </c>
      <c r="V54" s="290">
        <f t="shared" si="63"/>
        <v>-2736.3713467900725</v>
      </c>
      <c r="W54" s="290">
        <f t="shared" si="64"/>
        <v>6427.5512183621795</v>
      </c>
      <c r="X54" s="291">
        <f t="shared" si="65"/>
        <v>-58248.595612575555</v>
      </c>
      <c r="Y54" s="293">
        <f ca="1">IF(AND(Y$22=TRUE,INDEX(CDRANGE_CLS1,MATCH($A54,$A$24:$A$67,0),MATCH(Y$20,$B$20:$G$20,0))&lt;$D$6/OPDAYS_Cls1),86,payback(C54,T54,disc_rate/12,85))</f>
        <v>19</v>
      </c>
      <c r="Z54" s="294">
        <f ca="1">IF(AND(Z$22=TRUE,INDEX(CDRANGE_CLS1,MATCH($A54,$A$24:$A$67,0),MATCH(Z$20,$B$20:$G$20,0))&lt;$D$6/OPDAYS_Cls1),86,payback(D54,U54,disc_rate/12,85))</f>
        <v>12</v>
      </c>
      <c r="AA54" s="294">
        <f>IF(AND(AA$22=TRUE,INDEX(CDRANGE_CLS1,MATCH($A54,$A$24:$A$67,0),MATCH(AA$20,$B$20:$G$20,0))&lt;$D$6/OPDAYS_Cls1),86,payback(E54,V54,disc_rate/12,85))</f>
        <v>86</v>
      </c>
      <c r="AB54" s="294">
        <f ca="1">IF(AND(AB$22=TRUE,INDEX(CDRANGE_CLS1,MATCH($A54,$A$24:$A$67,0),MATCH(AB$20,$B$20:$G$20,0))&lt;$D$6/OPDAYS_Cls1),86,payback(F54,W54,disc_rate/12,85))</f>
        <v>1</v>
      </c>
      <c r="AC54" s="592">
        <f ca="1">IF(AND(AC$22=TRUE,INDEX(CDRANGE_CLS1,MATCH($A54,$A$24:$A$67,0),MATCH(AC$20,$B$20:$G$20,0))&lt;$D$6/OPDAYS_Cls1),86,payback(G54,X54,disc_rate/12,85))</f>
        <v>86</v>
      </c>
      <c r="AD54" s="296">
        <f t="shared" si="35"/>
        <v>0</v>
      </c>
      <c r="AE54" s="297">
        <f t="shared" si="36"/>
        <v>0</v>
      </c>
      <c r="AF54" s="297">
        <f t="shared" si="37"/>
        <v>0</v>
      </c>
      <c r="AG54" s="297">
        <f t="shared" si="38"/>
        <v>0</v>
      </c>
      <c r="AH54" s="298">
        <f t="shared" si="39"/>
        <v>0</v>
      </c>
      <c r="AI54" s="1143">
        <f t="shared" si="40"/>
        <v>0</v>
      </c>
      <c r="AJ54" s="1144">
        <f t="shared" si="41"/>
        <v>0</v>
      </c>
      <c r="AK54" s="1144">
        <f t="shared" si="42"/>
        <v>0</v>
      </c>
      <c r="AL54" s="1144">
        <f t="shared" si="43"/>
        <v>0.46586451718094984</v>
      </c>
      <c r="AM54" s="1152">
        <f t="shared" si="44"/>
        <v>0</v>
      </c>
      <c r="AN54" s="299">
        <f t="shared" si="66"/>
        <v>0.99859786270955819</v>
      </c>
      <c r="AO54" s="300">
        <f t="shared" si="67"/>
        <v>0.99079948064170331</v>
      </c>
      <c r="AP54" s="300">
        <f t="shared" si="68"/>
        <v>9.008650911026872E-3</v>
      </c>
      <c r="AQ54" s="300">
        <f t="shared" si="69"/>
        <v>0.99999999990308663</v>
      </c>
      <c r="AR54" s="598">
        <f t="shared" si="70"/>
        <v>0</v>
      </c>
      <c r="AS54" s="296">
        <f t="shared" ca="1" si="46"/>
        <v>0</v>
      </c>
      <c r="AT54" s="297">
        <f t="shared" ca="1" si="47"/>
        <v>0</v>
      </c>
      <c r="AU54" s="297">
        <f t="shared" si="48"/>
        <v>0</v>
      </c>
      <c r="AV54" s="297">
        <f t="shared" ca="1" si="49"/>
        <v>0.93172903436189969</v>
      </c>
      <c r="AW54" s="298">
        <f t="shared" ca="1" si="50"/>
        <v>0</v>
      </c>
      <c r="AX54" s="296">
        <f t="shared" ca="1" si="51"/>
        <v>0</v>
      </c>
      <c r="AY54" s="297">
        <f t="shared" ca="1" si="52"/>
        <v>0</v>
      </c>
      <c r="AZ54" s="297">
        <f t="shared" si="53"/>
        <v>0</v>
      </c>
      <c r="BA54" s="297">
        <f t="shared" ca="1" si="71"/>
        <v>0.9317290342716027</v>
      </c>
      <c r="BB54" s="298">
        <f t="shared" ca="1" si="72"/>
        <v>0</v>
      </c>
      <c r="BC54" s="296">
        <f t="shared" ca="1" si="73"/>
        <v>6.8270965728397304E-2</v>
      </c>
      <c r="BD54" s="297">
        <f t="shared" ca="1" si="56"/>
        <v>0</v>
      </c>
      <c r="BE54" s="297">
        <f t="shared" ca="1" si="57"/>
        <v>0</v>
      </c>
      <c r="BF54" s="297">
        <f t="shared" ca="1" si="58"/>
        <v>0</v>
      </c>
      <c r="BG54" s="297">
        <f t="shared" ca="1" si="59"/>
        <v>0.9317290342716027</v>
      </c>
      <c r="BH54" s="298">
        <f t="shared" ca="1" si="60"/>
        <v>0</v>
      </c>
    </row>
    <row r="55" spans="1:60" x14ac:dyDescent="0.2">
      <c r="A55" s="317">
        <v>2038</v>
      </c>
      <c r="B55" s="819">
        <f t="shared" si="78"/>
        <v>169300</v>
      </c>
      <c r="C55" s="820">
        <f t="shared" si="78"/>
        <v>4355.74</v>
      </c>
      <c r="D55" s="820">
        <f t="shared" si="78"/>
        <v>10160.74</v>
      </c>
      <c r="E55" s="820">
        <f t="shared" si="78"/>
        <v>207543.14</v>
      </c>
      <c r="F55" s="820">
        <f t="shared" si="78"/>
        <v>1</v>
      </c>
      <c r="G55" s="821">
        <f t="shared" si="78"/>
        <v>1000000</v>
      </c>
      <c r="H55" s="780">
        <f t="shared" si="79"/>
        <v>1</v>
      </c>
      <c r="I55" s="781">
        <f t="shared" si="79"/>
        <v>1</v>
      </c>
      <c r="J55" s="781">
        <f t="shared" si="79"/>
        <v>1</v>
      </c>
      <c r="K55" s="781">
        <f t="shared" si="79"/>
        <v>1</v>
      </c>
      <c r="L55" s="781">
        <f t="shared" si="79"/>
        <v>1</v>
      </c>
      <c r="M55" s="782">
        <f t="shared" si="79"/>
        <v>1</v>
      </c>
      <c r="N55" s="275">
        <f t="shared" si="28"/>
        <v>8273.5292603443249</v>
      </c>
      <c r="O55" s="276">
        <f t="shared" si="29"/>
        <v>7972.829199714407</v>
      </c>
      <c r="P55" s="276">
        <f t="shared" si="30"/>
        <v>7269.1418953273969</v>
      </c>
      <c r="Q55" s="276">
        <f t="shared" si="31"/>
        <v>10711.747775271411</v>
      </c>
      <c r="R55" s="276">
        <f t="shared" si="32"/>
        <v>1755.9377878649839</v>
      </c>
      <c r="S55" s="278">
        <f t="shared" si="33"/>
        <v>67020.437162363218</v>
      </c>
      <c r="T55" s="733">
        <f t="shared" si="61"/>
        <v>300.70006062991797</v>
      </c>
      <c r="U55" s="290">
        <f t="shared" si="62"/>
        <v>1004.387365016928</v>
      </c>
      <c r="V55" s="290">
        <f t="shared" si="63"/>
        <v>-2438.2185149270863</v>
      </c>
      <c r="W55" s="290">
        <f t="shared" si="64"/>
        <v>6517.5914724793411</v>
      </c>
      <c r="X55" s="291">
        <f t="shared" si="65"/>
        <v>-58746.907902018895</v>
      </c>
      <c r="Y55" s="293">
        <f ca="1">IF(AND(Y$22=TRUE,INDEX(CDRANGE_CLS1,MATCH($A55,$A$24:$A$67,0),MATCH(Y$20,$B$20:$G$20,0))&lt;$D$6/OPDAYS_Cls1),86,payback(C55,T55,disc_rate/12,85))</f>
        <v>16</v>
      </c>
      <c r="Z55" s="294">
        <f ca="1">IF(AND(Z$22=TRUE,INDEX(CDRANGE_CLS1,MATCH($A55,$A$24:$A$67,0),MATCH(Z$20,$B$20:$G$20,0))&lt;$D$6/OPDAYS_Cls1),86,payback(D55,U55,disc_rate/12,85))</f>
        <v>11</v>
      </c>
      <c r="AA55" s="294">
        <f>IF(AND(AA$22=TRUE,INDEX(CDRANGE_CLS1,MATCH($A55,$A$24:$A$67,0),MATCH(AA$20,$B$20:$G$20,0))&lt;$D$6/OPDAYS_Cls1),86,payback(E55,V55,disc_rate/12,85))</f>
        <v>86</v>
      </c>
      <c r="AB55" s="294">
        <f ca="1">IF(AND(AB$22=TRUE,INDEX(CDRANGE_CLS1,MATCH($A55,$A$24:$A$67,0),MATCH(AB$20,$B$20:$G$20,0))&lt;$D$6/OPDAYS_Cls1),86,payback(F55,W55,disc_rate/12,85))</f>
        <v>1</v>
      </c>
      <c r="AC55" s="592">
        <f ca="1">IF(AND(AC$22=TRUE,INDEX(CDRANGE_CLS1,MATCH($A55,$A$24:$A$67,0),MATCH(AC$20,$B$20:$G$20,0))&lt;$D$6/OPDAYS_Cls1),86,payback(G55,X55,disc_rate/12,85))</f>
        <v>86</v>
      </c>
      <c r="AD55" s="296">
        <f t="shared" si="35"/>
        <v>0</v>
      </c>
      <c r="AE55" s="297">
        <f t="shared" si="36"/>
        <v>0</v>
      </c>
      <c r="AF55" s="297">
        <f t="shared" si="37"/>
        <v>0</v>
      </c>
      <c r="AG55" s="297">
        <f t="shared" si="38"/>
        <v>0</v>
      </c>
      <c r="AH55" s="298">
        <f t="shared" si="39"/>
        <v>0</v>
      </c>
      <c r="AI55" s="1143">
        <f t="shared" si="40"/>
        <v>0</v>
      </c>
      <c r="AJ55" s="1144">
        <f t="shared" si="41"/>
        <v>0</v>
      </c>
      <c r="AK55" s="1144">
        <f t="shared" si="42"/>
        <v>0</v>
      </c>
      <c r="AL55" s="1144">
        <f t="shared" si="43"/>
        <v>0.46586632654011367</v>
      </c>
      <c r="AM55" s="1152">
        <f t="shared" si="44"/>
        <v>0</v>
      </c>
      <c r="AN55" s="299">
        <f t="shared" si="66"/>
        <v>0.99816300372715339</v>
      </c>
      <c r="AO55" s="300">
        <f t="shared" si="67"/>
        <v>0.99004449195926947</v>
      </c>
      <c r="AP55" s="300">
        <f t="shared" si="68"/>
        <v>1.5383489822861529E-2</v>
      </c>
      <c r="AQ55" s="300">
        <f t="shared" si="69"/>
        <v>0.99999999990308663</v>
      </c>
      <c r="AR55" s="598">
        <f t="shared" si="70"/>
        <v>0</v>
      </c>
      <c r="AS55" s="296">
        <f t="shared" ca="1" si="46"/>
        <v>0</v>
      </c>
      <c r="AT55" s="297">
        <f t="shared" ca="1" si="47"/>
        <v>0</v>
      </c>
      <c r="AU55" s="297">
        <f t="shared" si="48"/>
        <v>0</v>
      </c>
      <c r="AV55" s="297">
        <f t="shared" ca="1" si="49"/>
        <v>0.93173265308022735</v>
      </c>
      <c r="AW55" s="298">
        <f t="shared" ca="1" si="50"/>
        <v>0</v>
      </c>
      <c r="AX55" s="296">
        <f t="shared" ca="1" si="51"/>
        <v>0</v>
      </c>
      <c r="AY55" s="297">
        <f t="shared" ca="1" si="52"/>
        <v>0</v>
      </c>
      <c r="AZ55" s="297">
        <f t="shared" si="53"/>
        <v>0</v>
      </c>
      <c r="BA55" s="297">
        <f t="shared" ca="1" si="71"/>
        <v>0.93173265298993002</v>
      </c>
      <c r="BB55" s="298">
        <f t="shared" ca="1" si="72"/>
        <v>0</v>
      </c>
      <c r="BC55" s="296">
        <f t="shared" ca="1" si="73"/>
        <v>6.8267347010069979E-2</v>
      </c>
      <c r="BD55" s="297">
        <f t="shared" ca="1" si="56"/>
        <v>0</v>
      </c>
      <c r="BE55" s="297">
        <f t="shared" ca="1" si="57"/>
        <v>0</v>
      </c>
      <c r="BF55" s="297">
        <f t="shared" ca="1" si="58"/>
        <v>0</v>
      </c>
      <c r="BG55" s="297">
        <f t="shared" ca="1" si="59"/>
        <v>0.93173265298993002</v>
      </c>
      <c r="BH55" s="298">
        <f t="shared" ca="1" si="60"/>
        <v>0</v>
      </c>
    </row>
    <row r="56" spans="1:60" x14ac:dyDescent="0.2">
      <c r="A56" s="317">
        <v>2039</v>
      </c>
      <c r="B56" s="819">
        <f t="shared" si="78"/>
        <v>169300</v>
      </c>
      <c r="C56" s="820">
        <f t="shared" si="78"/>
        <v>5178.7700000000004</v>
      </c>
      <c r="D56" s="820">
        <f t="shared" si="78"/>
        <v>10827.77</v>
      </c>
      <c r="E56" s="820">
        <f t="shared" si="78"/>
        <v>194914.31</v>
      </c>
      <c r="F56" s="820">
        <f t="shared" si="78"/>
        <v>1</v>
      </c>
      <c r="G56" s="821">
        <f t="shared" si="78"/>
        <v>1000000</v>
      </c>
      <c r="H56" s="780">
        <f t="shared" si="79"/>
        <v>1</v>
      </c>
      <c r="I56" s="781">
        <f t="shared" si="79"/>
        <v>1</v>
      </c>
      <c r="J56" s="781">
        <f t="shared" si="79"/>
        <v>1</v>
      </c>
      <c r="K56" s="781">
        <f t="shared" si="79"/>
        <v>1</v>
      </c>
      <c r="L56" s="781">
        <f t="shared" si="79"/>
        <v>1</v>
      </c>
      <c r="M56" s="782">
        <f t="shared" si="79"/>
        <v>1</v>
      </c>
      <c r="N56" s="275">
        <f t="shared" si="28"/>
        <v>8340.9221852733808</v>
      </c>
      <c r="O56" s="276">
        <f t="shared" si="29"/>
        <v>7921.1538696539637</v>
      </c>
      <c r="P56" s="276">
        <f t="shared" si="30"/>
        <v>7174.496307041868</v>
      </c>
      <c r="Q56" s="276">
        <f t="shared" si="31"/>
        <v>10305.945352408859</v>
      </c>
      <c r="R56" s="276">
        <f t="shared" si="32"/>
        <v>1717.488324745794</v>
      </c>
      <c r="S56" s="278">
        <f t="shared" si="33"/>
        <v>67596.226670143194</v>
      </c>
      <c r="T56" s="733">
        <f t="shared" si="61"/>
        <v>419.76831561941708</v>
      </c>
      <c r="U56" s="290">
        <f t="shared" si="62"/>
        <v>1166.4258782315128</v>
      </c>
      <c r="V56" s="290">
        <f t="shared" si="63"/>
        <v>-1965.0231671354777</v>
      </c>
      <c r="W56" s="290">
        <f t="shared" si="64"/>
        <v>6623.4338605275871</v>
      </c>
      <c r="X56" s="291">
        <f t="shared" si="65"/>
        <v>-59255.304484869812</v>
      </c>
      <c r="Y56" s="293">
        <f ca="1">IF(AND(Y$22=TRUE,INDEX(CDRANGE_CLS1,MATCH($A56,$A$24:$A$67,0),MATCH(Y$20,$B$20:$G$20,0))&lt;$D$6/OPDAYS_Cls1),86,payback(C56,T56,disc_rate/12,85))</f>
        <v>13</v>
      </c>
      <c r="Z56" s="294">
        <f ca="1">IF(AND(Z$22=TRUE,INDEX(CDRANGE_CLS1,MATCH($A56,$A$24:$A$67,0),MATCH(Z$20,$B$20:$G$20,0))&lt;$D$6/OPDAYS_Cls1),86,payback(D56,U56,disc_rate/12,85))</f>
        <v>10</v>
      </c>
      <c r="AA56" s="294">
        <f>IF(AND(AA$22=TRUE,INDEX(CDRANGE_CLS1,MATCH($A56,$A$24:$A$67,0),MATCH(AA$20,$B$20:$G$20,0))&lt;$D$6/OPDAYS_Cls1),86,payback(E56,V56,disc_rate/12,85))</f>
        <v>86</v>
      </c>
      <c r="AB56" s="294">
        <f ca="1">IF(AND(AB$22=TRUE,INDEX(CDRANGE_CLS1,MATCH($A56,$A$24:$A$67,0),MATCH(AB$20,$B$20:$G$20,0))&lt;$D$6/OPDAYS_Cls1),86,payback(F56,W56,disc_rate/12,85))</f>
        <v>1</v>
      </c>
      <c r="AC56" s="592">
        <f ca="1">IF(AND(AC$22=TRUE,INDEX(CDRANGE_CLS1,MATCH($A56,$A$24:$A$67,0),MATCH(AC$20,$B$20:$G$20,0))&lt;$D$6/OPDAYS_Cls1),86,payback(G56,X56,disc_rate/12,85))</f>
        <v>86</v>
      </c>
      <c r="AD56" s="296">
        <f t="shared" si="35"/>
        <v>0</v>
      </c>
      <c r="AE56" s="297">
        <f t="shared" si="36"/>
        <v>0</v>
      </c>
      <c r="AF56" s="297">
        <f t="shared" si="37"/>
        <v>0</v>
      </c>
      <c r="AG56" s="297">
        <f t="shared" si="38"/>
        <v>0</v>
      </c>
      <c r="AH56" s="298">
        <f t="shared" si="39"/>
        <v>0</v>
      </c>
      <c r="AI56" s="1143">
        <f t="shared" si="40"/>
        <v>0</v>
      </c>
      <c r="AJ56" s="1144">
        <f t="shared" si="41"/>
        <v>0</v>
      </c>
      <c r="AK56" s="1144">
        <f t="shared" si="42"/>
        <v>0</v>
      </c>
      <c r="AL56" s="1144">
        <f t="shared" si="43"/>
        <v>0.46586699216968797</v>
      </c>
      <c r="AM56" s="1152">
        <f t="shared" si="44"/>
        <v>0</v>
      </c>
      <c r="AN56" s="299">
        <f t="shared" si="66"/>
        <v>0.99740419211728892</v>
      </c>
      <c r="AO56" s="300">
        <f t="shared" si="67"/>
        <v>0.98870212676789238</v>
      </c>
      <c r="AP56" s="300">
        <f t="shared" si="68"/>
        <v>2.5175300777839471E-2</v>
      </c>
      <c r="AQ56" s="300">
        <f t="shared" si="69"/>
        <v>0.99999999990308663</v>
      </c>
      <c r="AR56" s="598">
        <f t="shared" si="70"/>
        <v>0</v>
      </c>
      <c r="AS56" s="296">
        <f t="shared" ca="1" si="46"/>
        <v>0</v>
      </c>
      <c r="AT56" s="297">
        <f t="shared" ca="1" si="47"/>
        <v>0</v>
      </c>
      <c r="AU56" s="297">
        <f t="shared" si="48"/>
        <v>0</v>
      </c>
      <c r="AV56" s="297">
        <f t="shared" ca="1" si="49"/>
        <v>0.93173398433937593</v>
      </c>
      <c r="AW56" s="298">
        <f t="shared" ca="1" si="50"/>
        <v>0</v>
      </c>
      <c r="AX56" s="296">
        <f t="shared" ca="1" si="51"/>
        <v>0</v>
      </c>
      <c r="AY56" s="297">
        <f t="shared" ca="1" si="52"/>
        <v>0</v>
      </c>
      <c r="AZ56" s="297">
        <f t="shared" si="53"/>
        <v>0</v>
      </c>
      <c r="BA56" s="297">
        <f t="shared" ca="1" si="71"/>
        <v>0.9317339842490785</v>
      </c>
      <c r="BB56" s="298">
        <f t="shared" ca="1" si="72"/>
        <v>0</v>
      </c>
      <c r="BC56" s="296">
        <f t="shared" ca="1" si="73"/>
        <v>6.8266015750921505E-2</v>
      </c>
      <c r="BD56" s="297">
        <f t="shared" ca="1" si="56"/>
        <v>0</v>
      </c>
      <c r="BE56" s="297">
        <f t="shared" ca="1" si="57"/>
        <v>0</v>
      </c>
      <c r="BF56" s="297">
        <f t="shared" ca="1" si="58"/>
        <v>0</v>
      </c>
      <c r="BG56" s="297">
        <f t="shared" ca="1" si="59"/>
        <v>0.9317339842490785</v>
      </c>
      <c r="BH56" s="298">
        <f t="shared" ca="1" si="60"/>
        <v>0</v>
      </c>
    </row>
    <row r="57" spans="1:60" ht="15" thickBot="1" x14ac:dyDescent="0.25">
      <c r="A57" s="618">
        <v>2040</v>
      </c>
      <c r="B57" s="813">
        <f t="shared" si="78"/>
        <v>169300</v>
      </c>
      <c r="C57" s="814">
        <f t="shared" si="78"/>
        <v>6344.69</v>
      </c>
      <c r="D57" s="814">
        <f t="shared" si="78"/>
        <v>11837.69</v>
      </c>
      <c r="E57" s="814">
        <f t="shared" si="78"/>
        <v>182628.36</v>
      </c>
      <c r="F57" s="814">
        <f t="shared" si="78"/>
        <v>1</v>
      </c>
      <c r="G57" s="815">
        <f t="shared" si="78"/>
        <v>1000000</v>
      </c>
      <c r="H57" s="780">
        <f t="shared" si="79"/>
        <v>1</v>
      </c>
      <c r="I57" s="781">
        <f t="shared" si="79"/>
        <v>1</v>
      </c>
      <c r="J57" s="781">
        <f t="shared" si="79"/>
        <v>1</v>
      </c>
      <c r="K57" s="781">
        <f t="shared" si="79"/>
        <v>1</v>
      </c>
      <c r="L57" s="781">
        <f t="shared" si="79"/>
        <v>1</v>
      </c>
      <c r="M57" s="782">
        <f t="shared" si="79"/>
        <v>1</v>
      </c>
      <c r="N57" s="774">
        <f t="shared" si="28"/>
        <v>8341.1224518775671</v>
      </c>
      <c r="O57" s="775">
        <f t="shared" si="29"/>
        <v>7757.2806615759027</v>
      </c>
      <c r="P57" s="775">
        <f t="shared" si="30"/>
        <v>6963.4430992514717</v>
      </c>
      <c r="Q57" s="775">
        <f t="shared" si="31"/>
        <v>9696.5931138636824</v>
      </c>
      <c r="R57" s="775">
        <f t="shared" si="32"/>
        <v>1665.8154033915814</v>
      </c>
      <c r="S57" s="776">
        <f t="shared" si="33"/>
        <v>67599.230550625085</v>
      </c>
      <c r="T57" s="734">
        <f t="shared" si="61"/>
        <v>583.84179030166433</v>
      </c>
      <c r="U57" s="619">
        <f t="shared" si="62"/>
        <v>1377.6793526260954</v>
      </c>
      <c r="V57" s="619">
        <f t="shared" si="63"/>
        <v>-1355.4706619861154</v>
      </c>
      <c r="W57" s="619">
        <f t="shared" si="64"/>
        <v>6675.3070484859854</v>
      </c>
      <c r="X57" s="620">
        <f t="shared" si="65"/>
        <v>-59258.108098747514</v>
      </c>
      <c r="Y57" s="621">
        <f ca="1">IF(AND(Y$22=TRUE,INDEX(CDRANGE_CLS1,MATCH($A57,$A$24:$A$67,0),MATCH(Y$20,$B$20:$G$20,0))&lt;$D$6/OPDAYS_Cls1),86,payback(C57,T57,disc_rate/12,85))</f>
        <v>12</v>
      </c>
      <c r="Z57" s="622">
        <f ca="1">IF(AND(Z$22=TRUE,INDEX(CDRANGE_CLS1,MATCH($A57,$A$24:$A$67,0),MATCH(Z$20,$B$20:$G$20,0))&lt;$D$6/OPDAYS_Cls1),86,payback(D57,U57,disc_rate/12,85))</f>
        <v>9</v>
      </c>
      <c r="AA57" s="622">
        <f>IF(AND(AA$22=TRUE,INDEX(CDRANGE_CLS1,MATCH($A57,$A$24:$A$67,0),MATCH(AA$20,$B$20:$G$20,0))&lt;$D$6/OPDAYS_Cls1),86,payback(E57,V57,disc_rate/12,85))</f>
        <v>86</v>
      </c>
      <c r="AB57" s="622">
        <f ca="1">IF(AND(AB$22=TRUE,INDEX(CDRANGE_CLS1,MATCH($A57,$A$24:$A$67,0),MATCH(AB$20,$B$20:$G$20,0))&lt;$D$6/OPDAYS_Cls1),86,payback(F57,W57,disc_rate/12,85))</f>
        <v>1</v>
      </c>
      <c r="AC57" s="623">
        <f ca="1">IF(AND(AC$22=TRUE,INDEX(CDRANGE_CLS1,MATCH($A57,$A$24:$A$67,0),MATCH(AC$20,$B$20:$G$20,0))&lt;$D$6/OPDAYS_Cls1),86,payback(G57,X57,disc_rate/12,85))</f>
        <v>86</v>
      </c>
      <c r="AD57" s="624">
        <f t="shared" si="35"/>
        <v>0</v>
      </c>
      <c r="AE57" s="625">
        <f t="shared" si="36"/>
        <v>0</v>
      </c>
      <c r="AF57" s="625">
        <f t="shared" si="37"/>
        <v>0</v>
      </c>
      <c r="AG57" s="625">
        <f t="shared" si="38"/>
        <v>0</v>
      </c>
      <c r="AH57" s="626">
        <f t="shared" si="39"/>
        <v>0</v>
      </c>
      <c r="AI57" s="1155">
        <f t="shared" si="40"/>
        <v>0</v>
      </c>
      <c r="AJ57" s="1156">
        <f t="shared" si="41"/>
        <v>0</v>
      </c>
      <c r="AK57" s="1156">
        <f t="shared" si="42"/>
        <v>0</v>
      </c>
      <c r="AL57" s="1156">
        <f t="shared" si="43"/>
        <v>0.46586723704160238</v>
      </c>
      <c r="AM57" s="1157">
        <f t="shared" si="44"/>
        <v>0</v>
      </c>
      <c r="AN57" s="630">
        <f t="shared" si="66"/>
        <v>0.99610634447570467</v>
      </c>
      <c r="AO57" s="628">
        <f t="shared" si="67"/>
        <v>0.98651124502299903</v>
      </c>
      <c r="AP57" s="628">
        <f t="shared" si="68"/>
        <v>3.9464165761413872E-2</v>
      </c>
      <c r="AQ57" s="628">
        <f t="shared" si="69"/>
        <v>0.99999999990308663</v>
      </c>
      <c r="AR57" s="629">
        <f t="shared" si="70"/>
        <v>0</v>
      </c>
      <c r="AS57" s="624">
        <f t="shared" ca="1" si="46"/>
        <v>0</v>
      </c>
      <c r="AT57" s="625">
        <f t="shared" ca="1" si="47"/>
        <v>0</v>
      </c>
      <c r="AU57" s="625">
        <f t="shared" si="48"/>
        <v>0</v>
      </c>
      <c r="AV57" s="625">
        <f t="shared" ca="1" si="49"/>
        <v>0.93173447408320476</v>
      </c>
      <c r="AW57" s="626">
        <f t="shared" ca="1" si="50"/>
        <v>0</v>
      </c>
      <c r="AX57" s="624">
        <f t="shared" ca="1" si="51"/>
        <v>0</v>
      </c>
      <c r="AY57" s="625">
        <f t="shared" ca="1" si="52"/>
        <v>0</v>
      </c>
      <c r="AZ57" s="625">
        <f t="shared" si="53"/>
        <v>0</v>
      </c>
      <c r="BA57" s="625">
        <f t="shared" ca="1" si="71"/>
        <v>0.93173447399290721</v>
      </c>
      <c r="BB57" s="626">
        <f t="shared" ca="1" si="72"/>
        <v>0</v>
      </c>
      <c r="BC57" s="624">
        <f t="shared" ca="1" si="73"/>
        <v>6.8265526007092792E-2</v>
      </c>
      <c r="BD57" s="625">
        <f t="shared" ca="1" si="56"/>
        <v>0</v>
      </c>
      <c r="BE57" s="625">
        <f t="shared" ca="1" si="57"/>
        <v>0</v>
      </c>
      <c r="BF57" s="625">
        <f t="shared" ca="1" si="58"/>
        <v>0</v>
      </c>
      <c r="BG57" s="625">
        <f t="shared" ca="1" si="59"/>
        <v>0.93173447399290721</v>
      </c>
      <c r="BH57" s="626">
        <f t="shared" ca="1" si="60"/>
        <v>0</v>
      </c>
    </row>
    <row r="58" spans="1:60" x14ac:dyDescent="0.2">
      <c r="A58" s="318">
        <v>2041</v>
      </c>
      <c r="B58" s="816">
        <f t="shared" si="78"/>
        <v>169300</v>
      </c>
      <c r="C58" s="817">
        <f t="shared" si="78"/>
        <v>7877.14</v>
      </c>
      <c r="D58" s="817">
        <f t="shared" si="78"/>
        <v>13214.14</v>
      </c>
      <c r="E58" s="817">
        <f t="shared" si="78"/>
        <v>170708.94</v>
      </c>
      <c r="F58" s="817">
        <f t="shared" si="78"/>
        <v>1</v>
      </c>
      <c r="G58" s="818">
        <f t="shared" si="78"/>
        <v>1000000</v>
      </c>
      <c r="H58" s="780">
        <f t="shared" si="79"/>
        <v>1</v>
      </c>
      <c r="I58" s="781">
        <f t="shared" si="79"/>
        <v>1</v>
      </c>
      <c r="J58" s="781">
        <f t="shared" si="79"/>
        <v>1</v>
      </c>
      <c r="K58" s="781">
        <f t="shared" si="79"/>
        <v>1</v>
      </c>
      <c r="L58" s="781">
        <f t="shared" si="79"/>
        <v>1</v>
      </c>
      <c r="M58" s="782">
        <f t="shared" si="79"/>
        <v>1</v>
      </c>
      <c r="N58" s="631">
        <f t="shared" si="28"/>
        <v>8394.4225493478662</v>
      </c>
      <c r="O58" s="632">
        <f t="shared" si="29"/>
        <v>7599.793795045196</v>
      </c>
      <c r="P58" s="632">
        <f t="shared" si="30"/>
        <v>6746.7226073367037</v>
      </c>
      <c r="Q58" s="632">
        <f t="shared" si="31"/>
        <v>8879.7957150564562</v>
      </c>
      <c r="R58" s="632">
        <f t="shared" si="32"/>
        <v>1602.4475763911255</v>
      </c>
      <c r="S58" s="744">
        <f t="shared" si="33"/>
        <v>68031.447519132271</v>
      </c>
      <c r="T58" s="735">
        <f t="shared" si="61"/>
        <v>794.62875430267013</v>
      </c>
      <c r="U58" s="632">
        <f t="shared" si="62"/>
        <v>1647.6999420111624</v>
      </c>
      <c r="V58" s="632">
        <f t="shared" si="63"/>
        <v>-485.37316570859002</v>
      </c>
      <c r="W58" s="632">
        <f t="shared" si="64"/>
        <v>6791.9749729567411</v>
      </c>
      <c r="X58" s="633">
        <f t="shared" si="65"/>
        <v>-59637.024969784405</v>
      </c>
      <c r="Y58" s="634">
        <f ca="1">IF(AND(Y$22=TRUE,INDEX(CDRANGE_CLS1,MATCH($A58,$A$24:$A$67,0),MATCH(Y$20,$B$20:$G$20,0))&lt;$D$6/OPDAYS_Cls1),86,payback(C58,T58,disc_rate/12,85))</f>
        <v>11</v>
      </c>
      <c r="Z58" s="635">
        <f ca="1">IF(AND(Z$22=TRUE,INDEX(CDRANGE_CLS1,MATCH($A58,$A$24:$A$67,0),MATCH(Z$20,$B$20:$G$20,0))&lt;$D$6/OPDAYS_Cls1),86,payback(D58,U58,disc_rate/12,85))</f>
        <v>9</v>
      </c>
      <c r="AA58" s="635">
        <f>IF(AND(AA$22=TRUE,INDEX(CDRANGE_CLS1,MATCH($A58,$A$24:$A$67,0),MATCH(AA$20,$B$20:$G$20,0))&lt;$D$6/OPDAYS_Cls1),86,payback(E58,V58,disc_rate/12,85))</f>
        <v>86</v>
      </c>
      <c r="AB58" s="635">
        <f ca="1">IF(AND(AB$22=TRUE,INDEX(CDRANGE_CLS1,MATCH($A58,$A$24:$A$67,0),MATCH(AB$20,$B$20:$G$20,0))&lt;$D$6/OPDAYS_Cls1),86,payback(F58,W58,disc_rate/12,85))</f>
        <v>1</v>
      </c>
      <c r="AC58" s="636">
        <f ca="1">IF(AND(AC$22=TRUE,INDEX(CDRANGE_CLS1,MATCH($A58,$A$24:$A$67,0),MATCH(AC$20,$B$20:$G$20,0))&lt;$D$6/OPDAYS_Cls1),86,payback(G58,X58,disc_rate/12,85))</f>
        <v>86</v>
      </c>
      <c r="AD58" s="637">
        <f t="shared" si="35"/>
        <v>0</v>
      </c>
      <c r="AE58" s="638">
        <f t="shared" si="36"/>
        <v>0</v>
      </c>
      <c r="AF58" s="638">
        <f t="shared" si="37"/>
        <v>0</v>
      </c>
      <c r="AG58" s="638">
        <f t="shared" si="38"/>
        <v>0</v>
      </c>
      <c r="AH58" s="639">
        <f t="shared" si="39"/>
        <v>0</v>
      </c>
      <c r="AI58" s="1149">
        <f t="shared" si="40"/>
        <v>0</v>
      </c>
      <c r="AJ58" s="1150">
        <f t="shared" si="41"/>
        <v>0</v>
      </c>
      <c r="AK58" s="1150">
        <f t="shared" si="42"/>
        <v>0</v>
      </c>
      <c r="AL58" s="1150">
        <f t="shared" si="43"/>
        <v>0.46586732712501022</v>
      </c>
      <c r="AM58" s="1151">
        <f t="shared" si="44"/>
        <v>0</v>
      </c>
      <c r="AN58" s="643">
        <f t="shared" si="66"/>
        <v>0.99400463579363418</v>
      </c>
      <c r="AO58" s="641">
        <f t="shared" si="67"/>
        <v>0.98322000122665398</v>
      </c>
      <c r="AP58" s="641">
        <f t="shared" si="68"/>
        <v>5.9355865819580966E-2</v>
      </c>
      <c r="AQ58" s="641">
        <f t="shared" si="69"/>
        <v>0.99999999990308663</v>
      </c>
      <c r="AR58" s="642">
        <f t="shared" si="70"/>
        <v>0</v>
      </c>
      <c r="AS58" s="637">
        <f t="shared" ca="1" si="46"/>
        <v>0</v>
      </c>
      <c r="AT58" s="638">
        <f t="shared" ca="1" si="47"/>
        <v>0</v>
      </c>
      <c r="AU58" s="638">
        <f t="shared" si="48"/>
        <v>0</v>
      </c>
      <c r="AV58" s="638">
        <f t="shared" ca="1" si="49"/>
        <v>0.93173465425002044</v>
      </c>
      <c r="AW58" s="639">
        <f t="shared" ca="1" si="50"/>
        <v>0</v>
      </c>
      <c r="AX58" s="637">
        <f t="shared" ca="1" si="51"/>
        <v>0</v>
      </c>
      <c r="AY58" s="638">
        <f t="shared" ca="1" si="52"/>
        <v>0</v>
      </c>
      <c r="AZ58" s="638">
        <f t="shared" si="53"/>
        <v>0</v>
      </c>
      <c r="BA58" s="638">
        <f t="shared" ca="1" si="71"/>
        <v>0.9317346541597229</v>
      </c>
      <c r="BB58" s="639">
        <f t="shared" ca="1" si="72"/>
        <v>0</v>
      </c>
      <c r="BC58" s="637">
        <f t="shared" ca="1" si="73"/>
        <v>6.8265345840277103E-2</v>
      </c>
      <c r="BD58" s="638">
        <f t="shared" ca="1" si="56"/>
        <v>0</v>
      </c>
      <c r="BE58" s="638">
        <f t="shared" ca="1" si="57"/>
        <v>0</v>
      </c>
      <c r="BF58" s="638">
        <f t="shared" ca="1" si="58"/>
        <v>0</v>
      </c>
      <c r="BG58" s="638">
        <f t="shared" ca="1" si="59"/>
        <v>0.9317346541597229</v>
      </c>
      <c r="BH58" s="639">
        <f t="shared" ca="1" si="60"/>
        <v>0</v>
      </c>
    </row>
    <row r="59" spans="1:60" x14ac:dyDescent="0.2">
      <c r="A59" s="317">
        <v>2042</v>
      </c>
      <c r="B59" s="819">
        <f t="shared" si="78"/>
        <v>169300</v>
      </c>
      <c r="C59" s="820">
        <f t="shared" si="78"/>
        <v>9704.4699999999993</v>
      </c>
      <c r="D59" s="820">
        <f t="shared" si="78"/>
        <v>14885.47</v>
      </c>
      <c r="E59" s="820">
        <f t="shared" si="78"/>
        <v>159084.4</v>
      </c>
      <c r="F59" s="820">
        <f t="shared" si="78"/>
        <v>1</v>
      </c>
      <c r="G59" s="821">
        <f t="shared" si="78"/>
        <v>1000000</v>
      </c>
      <c r="H59" s="780">
        <f t="shared" si="79"/>
        <v>1</v>
      </c>
      <c r="I59" s="781">
        <f t="shared" si="79"/>
        <v>1</v>
      </c>
      <c r="J59" s="781">
        <f t="shared" si="79"/>
        <v>1</v>
      </c>
      <c r="K59" s="781">
        <f t="shared" si="79"/>
        <v>1</v>
      </c>
      <c r="L59" s="781">
        <f t="shared" si="79"/>
        <v>1</v>
      </c>
      <c r="M59" s="782">
        <f t="shared" si="79"/>
        <v>1</v>
      </c>
      <c r="N59" s="275">
        <f t="shared" si="28"/>
        <v>8517.2026469091998</v>
      </c>
      <c r="O59" s="276">
        <f t="shared" si="29"/>
        <v>7474.5496962318248</v>
      </c>
      <c r="P59" s="276">
        <f t="shared" si="30"/>
        <v>6554.0834639452623</v>
      </c>
      <c r="Q59" s="276">
        <f t="shared" si="31"/>
        <v>7894.0001448757857</v>
      </c>
      <c r="R59" s="276">
        <f t="shared" si="32"/>
        <v>1532.9145355917206</v>
      </c>
      <c r="S59" s="278">
        <f t="shared" si="33"/>
        <v>69026.68750337149</v>
      </c>
      <c r="T59" s="733">
        <f t="shared" si="61"/>
        <v>1042.652950677375</v>
      </c>
      <c r="U59" s="290">
        <f t="shared" si="62"/>
        <v>1963.1191829639374</v>
      </c>
      <c r="V59" s="290">
        <f t="shared" si="63"/>
        <v>623.20250203341402</v>
      </c>
      <c r="W59" s="290">
        <f t="shared" si="64"/>
        <v>6984.288111317479</v>
      </c>
      <c r="X59" s="291">
        <f t="shared" si="65"/>
        <v>-60509.484856462288</v>
      </c>
      <c r="Y59" s="293">
        <f ca="1">IF(AND(Y$22=TRUE,INDEX(CDRANGE_CLS1,MATCH($A59,$A$24:$A$67,0),MATCH(Y$20,$B$20:$G$20,0))&lt;$D$6/OPDAYS_Cls1),86,payback(C59,T59,disc_rate/12,85))</f>
        <v>10</v>
      </c>
      <c r="Z59" s="294">
        <f ca="1">IF(AND(Z$22=TRUE,INDEX(CDRANGE_CLS1,MATCH($A59,$A$24:$A$67,0),MATCH(Z$20,$B$20:$G$20,0))&lt;$D$6/OPDAYS_Cls1),86,payback(D59,U59,disc_rate/12,85))</f>
        <v>8</v>
      </c>
      <c r="AA59" s="294">
        <f>IF(AND(AA$22=TRUE,INDEX(CDRANGE_CLS1,MATCH($A59,$A$24:$A$67,0),MATCH(AA$20,$B$20:$G$20,0))&lt;$D$6/OPDAYS_Cls1),86,payback(E59,V59,disc_rate/12,85))</f>
        <v>86</v>
      </c>
      <c r="AB59" s="294">
        <f ca="1">IF(AND(AB$22=TRUE,INDEX(CDRANGE_CLS1,MATCH($A59,$A$24:$A$67,0),MATCH(AB$20,$B$20:$G$20,0))&lt;$D$6/OPDAYS_Cls1),86,payback(F59,W59,disc_rate/12,85))</f>
        <v>1</v>
      </c>
      <c r="AC59" s="592">
        <f ca="1">IF(AND(AC$22=TRUE,INDEX(CDRANGE_CLS1,MATCH($A59,$A$24:$A$67,0),MATCH(AC$20,$B$20:$G$20,0))&lt;$D$6/OPDAYS_Cls1),86,payback(G59,X59,disc_rate/12,85))</f>
        <v>86</v>
      </c>
      <c r="AD59" s="296">
        <f t="shared" si="35"/>
        <v>0</v>
      </c>
      <c r="AE59" s="297">
        <f t="shared" si="36"/>
        <v>0</v>
      </c>
      <c r="AF59" s="297">
        <f t="shared" si="37"/>
        <v>0</v>
      </c>
      <c r="AG59" s="297">
        <f t="shared" si="38"/>
        <v>0</v>
      </c>
      <c r="AH59" s="298">
        <f t="shared" si="39"/>
        <v>0</v>
      </c>
      <c r="AI59" s="1143">
        <f t="shared" si="40"/>
        <v>0</v>
      </c>
      <c r="AJ59" s="1144">
        <f t="shared" si="41"/>
        <v>0</v>
      </c>
      <c r="AK59" s="1144">
        <f t="shared" si="42"/>
        <v>0</v>
      </c>
      <c r="AL59" s="1144">
        <f t="shared" si="43"/>
        <v>0.46586736026485265</v>
      </c>
      <c r="AM59" s="1152">
        <f t="shared" si="44"/>
        <v>0</v>
      </c>
      <c r="AN59" s="299">
        <f t="shared" si="66"/>
        <v>0.99091454179409633</v>
      </c>
      <c r="AO59" s="300">
        <f t="shared" si="67"/>
        <v>0.97875513103421508</v>
      </c>
      <c r="AP59" s="300">
        <f t="shared" si="68"/>
        <v>8.6063658771882157E-2</v>
      </c>
      <c r="AQ59" s="300">
        <f t="shared" si="69"/>
        <v>0.99999999990308663</v>
      </c>
      <c r="AR59" s="598">
        <f t="shared" si="70"/>
        <v>0</v>
      </c>
      <c r="AS59" s="296">
        <f t="shared" ca="1" si="46"/>
        <v>0</v>
      </c>
      <c r="AT59" s="297">
        <f t="shared" ca="1" si="47"/>
        <v>0</v>
      </c>
      <c r="AU59" s="297">
        <f t="shared" si="48"/>
        <v>0</v>
      </c>
      <c r="AV59" s="297">
        <f t="shared" ca="1" si="49"/>
        <v>0.9317347205297053</v>
      </c>
      <c r="AW59" s="298">
        <f t="shared" ca="1" si="50"/>
        <v>0</v>
      </c>
      <c r="AX59" s="296">
        <f t="shared" ca="1" si="51"/>
        <v>0</v>
      </c>
      <c r="AY59" s="297">
        <f t="shared" ca="1" si="52"/>
        <v>0</v>
      </c>
      <c r="AZ59" s="297">
        <f t="shared" si="53"/>
        <v>0</v>
      </c>
      <c r="BA59" s="297">
        <f t="shared" ca="1" si="71"/>
        <v>0.93173472043940775</v>
      </c>
      <c r="BB59" s="298">
        <f t="shared" ca="1" si="72"/>
        <v>0</v>
      </c>
      <c r="BC59" s="296">
        <f t="shared" ca="1" si="73"/>
        <v>6.8265279560592251E-2</v>
      </c>
      <c r="BD59" s="297">
        <f t="shared" ca="1" si="56"/>
        <v>0</v>
      </c>
      <c r="BE59" s="297">
        <f t="shared" ca="1" si="57"/>
        <v>0</v>
      </c>
      <c r="BF59" s="297">
        <f t="shared" ca="1" si="58"/>
        <v>0</v>
      </c>
      <c r="BG59" s="297">
        <f t="shared" ca="1" si="59"/>
        <v>0.93173472043940775</v>
      </c>
      <c r="BH59" s="298">
        <f t="shared" ca="1" si="60"/>
        <v>0</v>
      </c>
    </row>
    <row r="60" spans="1:60" x14ac:dyDescent="0.2">
      <c r="A60" s="317">
        <v>2043</v>
      </c>
      <c r="B60" s="819">
        <f t="shared" si="78"/>
        <v>169300</v>
      </c>
      <c r="C60" s="820">
        <f t="shared" si="78"/>
        <v>11646.6</v>
      </c>
      <c r="D60" s="820">
        <f t="shared" si="78"/>
        <v>16671.599999999999</v>
      </c>
      <c r="E60" s="820">
        <f t="shared" si="78"/>
        <v>147574.67000000001</v>
      </c>
      <c r="F60" s="820">
        <f t="shared" si="78"/>
        <v>1</v>
      </c>
      <c r="G60" s="821">
        <f t="shared" si="78"/>
        <v>1000000</v>
      </c>
      <c r="H60" s="780">
        <f t="shared" si="79"/>
        <v>1</v>
      </c>
      <c r="I60" s="781">
        <f t="shared" si="79"/>
        <v>1</v>
      </c>
      <c r="J60" s="781">
        <f t="shared" si="79"/>
        <v>1</v>
      </c>
      <c r="K60" s="781">
        <f t="shared" si="79"/>
        <v>1</v>
      </c>
      <c r="L60" s="781">
        <f t="shared" si="79"/>
        <v>1</v>
      </c>
      <c r="M60" s="782">
        <f t="shared" si="79"/>
        <v>1</v>
      </c>
      <c r="N60" s="275">
        <f t="shared" si="28"/>
        <v>8568.8413912067026</v>
      </c>
      <c r="O60" s="276">
        <f t="shared" si="29"/>
        <v>7282.5671100242434</v>
      </c>
      <c r="P60" s="276">
        <f t="shared" si="30"/>
        <v>6308.4800859450133</v>
      </c>
      <c r="Q60" s="276">
        <f t="shared" si="31"/>
        <v>6815.0306316906181</v>
      </c>
      <c r="R60" s="276">
        <f t="shared" si="32"/>
        <v>1465.336284669512</v>
      </c>
      <c r="S60" s="278">
        <f t="shared" si="33"/>
        <v>69445.332629115335</v>
      </c>
      <c r="T60" s="733">
        <f t="shared" si="61"/>
        <v>1286.2742811824592</v>
      </c>
      <c r="U60" s="290">
        <f t="shared" si="62"/>
        <v>2260.3613052616893</v>
      </c>
      <c r="V60" s="290">
        <f t="shared" si="63"/>
        <v>1753.8107595160845</v>
      </c>
      <c r="W60" s="290">
        <f t="shared" si="64"/>
        <v>7103.5051065371908</v>
      </c>
      <c r="X60" s="291">
        <f t="shared" si="65"/>
        <v>-60876.491237908631</v>
      </c>
      <c r="Y60" s="293">
        <f ca="1">IF(AND(Y$22=TRUE,INDEX(CDRANGE_CLS1,MATCH($A60,$A$24:$A$67,0),MATCH(Y$20,$B$20:$G$20,0))&lt;$D$6/OPDAYS_Cls1),86,payback(C60,T60,disc_rate/12,85))</f>
        <v>10</v>
      </c>
      <c r="Z60" s="294">
        <f ca="1">IF(AND(Z$22=TRUE,INDEX(CDRANGE_CLS1,MATCH($A60,$A$24:$A$67,0),MATCH(Z$20,$B$20:$G$20,0))&lt;$D$6/OPDAYS_Cls1),86,payback(D60,U60,disc_rate/12,85))</f>
        <v>8</v>
      </c>
      <c r="AA60" s="294">
        <f>IF(AND(AA$22=TRUE,INDEX(CDRANGE_CLS1,MATCH($A60,$A$24:$A$67,0),MATCH(AA$20,$B$20:$G$20,0))&lt;$D$6/OPDAYS_Cls1),86,payback(E60,V60,disc_rate/12,85))</f>
        <v>86</v>
      </c>
      <c r="AB60" s="294">
        <f ca="1">IF(AND(AB$22=TRUE,INDEX(CDRANGE_CLS1,MATCH($A60,$A$24:$A$67,0),MATCH(AB$20,$B$20:$G$20,0))&lt;$D$6/OPDAYS_Cls1),86,payback(F60,W60,disc_rate/12,85))</f>
        <v>1</v>
      </c>
      <c r="AC60" s="592">
        <f ca="1">IF(AND(AC$22=TRUE,INDEX(CDRANGE_CLS1,MATCH($A60,$A$24:$A$67,0),MATCH(AC$20,$B$20:$G$20,0))&lt;$D$6/OPDAYS_Cls1),86,payback(G60,X60,disc_rate/12,85))</f>
        <v>86</v>
      </c>
      <c r="AD60" s="296">
        <f t="shared" si="35"/>
        <v>0</v>
      </c>
      <c r="AE60" s="297">
        <f t="shared" si="36"/>
        <v>0</v>
      </c>
      <c r="AF60" s="297">
        <f t="shared" si="37"/>
        <v>0</v>
      </c>
      <c r="AG60" s="297">
        <f t="shared" si="38"/>
        <v>0</v>
      </c>
      <c r="AH60" s="298">
        <f t="shared" si="39"/>
        <v>0</v>
      </c>
      <c r="AI60" s="1143">
        <f t="shared" si="40"/>
        <v>0</v>
      </c>
      <c r="AJ60" s="1144">
        <f t="shared" si="41"/>
        <v>0</v>
      </c>
      <c r="AK60" s="1144">
        <f t="shared" si="42"/>
        <v>0</v>
      </c>
      <c r="AL60" s="1144">
        <f t="shared" si="43"/>
        <v>0.46586737245632065</v>
      </c>
      <c r="AM60" s="1152">
        <f t="shared" si="44"/>
        <v>0</v>
      </c>
      <c r="AN60" s="299">
        <f t="shared" si="66"/>
        <v>0.9869403815291391</v>
      </c>
      <c r="AO60" s="300">
        <f t="shared" si="67"/>
        <v>0.97342323415950882</v>
      </c>
      <c r="AP60" s="300">
        <f t="shared" si="68"/>
        <v>0.12116448545362779</v>
      </c>
      <c r="AQ60" s="300">
        <f t="shared" si="69"/>
        <v>0.99999999990308663</v>
      </c>
      <c r="AR60" s="598">
        <f t="shared" si="70"/>
        <v>0</v>
      </c>
      <c r="AS60" s="296">
        <f t="shared" ca="1" si="46"/>
        <v>0</v>
      </c>
      <c r="AT60" s="297">
        <f t="shared" ca="1" si="47"/>
        <v>0</v>
      </c>
      <c r="AU60" s="297">
        <f t="shared" si="48"/>
        <v>0</v>
      </c>
      <c r="AV60" s="297">
        <f t="shared" ca="1" si="49"/>
        <v>0.9317347449126413</v>
      </c>
      <c r="AW60" s="298">
        <f t="shared" ca="1" si="50"/>
        <v>0</v>
      </c>
      <c r="AX60" s="296">
        <f t="shared" ca="1" si="51"/>
        <v>0</v>
      </c>
      <c r="AY60" s="297">
        <f t="shared" ca="1" si="52"/>
        <v>0</v>
      </c>
      <c r="AZ60" s="297">
        <f t="shared" si="53"/>
        <v>0</v>
      </c>
      <c r="BA60" s="297">
        <f t="shared" ca="1" si="71"/>
        <v>0.93173474482234375</v>
      </c>
      <c r="BB60" s="298">
        <f t="shared" ca="1" si="72"/>
        <v>0</v>
      </c>
      <c r="BC60" s="296">
        <f t="shared" ca="1" si="73"/>
        <v>6.8265255177656248E-2</v>
      </c>
      <c r="BD60" s="297">
        <f t="shared" ca="1" si="56"/>
        <v>0</v>
      </c>
      <c r="BE60" s="297">
        <f t="shared" ca="1" si="57"/>
        <v>0</v>
      </c>
      <c r="BF60" s="297">
        <f t="shared" ca="1" si="58"/>
        <v>0</v>
      </c>
      <c r="BG60" s="297">
        <f t="shared" ca="1" si="59"/>
        <v>0.93173474482234375</v>
      </c>
      <c r="BH60" s="298">
        <f t="shared" ca="1" si="60"/>
        <v>0</v>
      </c>
    </row>
    <row r="61" spans="1:60" x14ac:dyDescent="0.2">
      <c r="A61" s="317">
        <v>2044</v>
      </c>
      <c r="B61" s="819">
        <f t="shared" si="78"/>
        <v>169300</v>
      </c>
      <c r="C61" s="820">
        <f t="shared" si="78"/>
        <v>13473.93</v>
      </c>
      <c r="D61" s="820">
        <f t="shared" si="78"/>
        <v>18342.93</v>
      </c>
      <c r="E61" s="820">
        <f t="shared" si="78"/>
        <v>135950.13</v>
      </c>
      <c r="F61" s="820">
        <f t="shared" si="78"/>
        <v>1</v>
      </c>
      <c r="G61" s="821">
        <f t="shared" si="78"/>
        <v>1000000</v>
      </c>
      <c r="H61" s="780">
        <f t="shared" si="79"/>
        <v>1</v>
      </c>
      <c r="I61" s="781">
        <f t="shared" si="79"/>
        <v>1</v>
      </c>
      <c r="J61" s="781">
        <f t="shared" si="79"/>
        <v>1</v>
      </c>
      <c r="K61" s="781">
        <f t="shared" si="79"/>
        <v>1</v>
      </c>
      <c r="L61" s="781">
        <f t="shared" si="79"/>
        <v>1</v>
      </c>
      <c r="M61" s="782">
        <f t="shared" si="79"/>
        <v>1</v>
      </c>
      <c r="N61" s="275">
        <f t="shared" si="28"/>
        <v>8635.8425958735224</v>
      </c>
      <c r="O61" s="276">
        <f t="shared" si="29"/>
        <v>7127.8801190526838</v>
      </c>
      <c r="P61" s="276">
        <f t="shared" si="30"/>
        <v>6109.0743382487126</v>
      </c>
      <c r="Q61" s="276">
        <f t="shared" si="31"/>
        <v>5819.5387811273649</v>
      </c>
      <c r="R61" s="276">
        <f t="shared" si="32"/>
        <v>1406.9765108483405</v>
      </c>
      <c r="S61" s="278">
        <f t="shared" si="33"/>
        <v>69988.498959041332</v>
      </c>
      <c r="T61" s="733">
        <f t="shared" si="61"/>
        <v>1507.9624768208387</v>
      </c>
      <c r="U61" s="290">
        <f t="shared" si="62"/>
        <v>2526.7682576248098</v>
      </c>
      <c r="V61" s="290">
        <f t="shared" si="63"/>
        <v>2816.3038147461575</v>
      </c>
      <c r="W61" s="290">
        <f t="shared" si="64"/>
        <v>7228.8660850251817</v>
      </c>
      <c r="X61" s="291">
        <f t="shared" si="65"/>
        <v>-61352.656363167807</v>
      </c>
      <c r="Y61" s="293">
        <f ca="1">IF(AND(Y$22=TRUE,INDEX(CDRANGE_CLS1,MATCH($A61,$A$24:$A$67,0),MATCH(Y$20,$B$20:$G$20,0))&lt;$D$6/OPDAYS_Cls1),86,payback(C61,T61,disc_rate/12,85))</f>
        <v>10</v>
      </c>
      <c r="Z61" s="294">
        <f ca="1">IF(AND(Z$22=TRUE,INDEX(CDRANGE_CLS1,MATCH($A61,$A$24:$A$67,0),MATCH(Z$20,$B$20:$G$20,0))&lt;$D$6/OPDAYS_Cls1),86,payback(D61,U61,disc_rate/12,85))</f>
        <v>8</v>
      </c>
      <c r="AA61" s="294">
        <f>IF(AND(AA$22=TRUE,INDEX(CDRANGE_CLS1,MATCH($A61,$A$24:$A$67,0),MATCH(AA$20,$B$20:$G$20,0))&lt;$D$6/OPDAYS_Cls1),86,payback(E61,V61,disc_rate/12,85))</f>
        <v>86</v>
      </c>
      <c r="AB61" s="294">
        <f ca="1">IF(AND(AB$22=TRUE,INDEX(CDRANGE_CLS1,MATCH($A61,$A$24:$A$67,0),MATCH(AB$20,$B$20:$G$20,0))&lt;$D$6/OPDAYS_Cls1),86,payback(F61,W61,disc_rate/12,85))</f>
        <v>1</v>
      </c>
      <c r="AC61" s="592">
        <f ca="1">IF(AND(AC$22=TRUE,INDEX(CDRANGE_CLS1,MATCH($A61,$A$24:$A$67,0),MATCH(AC$20,$B$20:$G$20,0))&lt;$D$6/OPDAYS_Cls1),86,payback(G61,X61,disc_rate/12,85))</f>
        <v>86</v>
      </c>
      <c r="AD61" s="296">
        <f t="shared" si="35"/>
        <v>0</v>
      </c>
      <c r="AE61" s="297">
        <f t="shared" si="36"/>
        <v>0</v>
      </c>
      <c r="AF61" s="297">
        <f t="shared" si="37"/>
        <v>0</v>
      </c>
      <c r="AG61" s="297">
        <f t="shared" si="38"/>
        <v>0</v>
      </c>
      <c r="AH61" s="298">
        <f t="shared" si="39"/>
        <v>0</v>
      </c>
      <c r="AI61" s="1143">
        <f t="shared" si="40"/>
        <v>0</v>
      </c>
      <c r="AJ61" s="1144">
        <f t="shared" si="41"/>
        <v>0</v>
      </c>
      <c r="AK61" s="1144">
        <f t="shared" si="42"/>
        <v>0</v>
      </c>
      <c r="AL61" s="1144">
        <f t="shared" si="43"/>
        <v>0.4658673769413112</v>
      </c>
      <c r="AM61" s="1152">
        <f t="shared" si="44"/>
        <v>0</v>
      </c>
      <c r="AN61" s="299">
        <f t="shared" si="66"/>
        <v>0.98255956941168898</v>
      </c>
      <c r="AO61" s="300">
        <f t="shared" si="67"/>
        <v>0.96791813883719779</v>
      </c>
      <c r="AP61" s="300">
        <f t="shared" si="68"/>
        <v>0.16676079263507659</v>
      </c>
      <c r="AQ61" s="300">
        <f t="shared" si="69"/>
        <v>0.99999999990308663</v>
      </c>
      <c r="AR61" s="598">
        <f t="shared" si="70"/>
        <v>0</v>
      </c>
      <c r="AS61" s="296">
        <f t="shared" ca="1" si="46"/>
        <v>0</v>
      </c>
      <c r="AT61" s="297">
        <f t="shared" ca="1" si="47"/>
        <v>0</v>
      </c>
      <c r="AU61" s="297">
        <f t="shared" si="48"/>
        <v>0</v>
      </c>
      <c r="AV61" s="297">
        <f t="shared" ca="1" si="49"/>
        <v>0.93173475388262239</v>
      </c>
      <c r="AW61" s="298">
        <f t="shared" ca="1" si="50"/>
        <v>0</v>
      </c>
      <c r="AX61" s="296">
        <f t="shared" ca="1" si="51"/>
        <v>0</v>
      </c>
      <c r="AY61" s="297">
        <f t="shared" ca="1" si="52"/>
        <v>0</v>
      </c>
      <c r="AZ61" s="297">
        <f t="shared" si="53"/>
        <v>0</v>
      </c>
      <c r="BA61" s="297">
        <f t="shared" ca="1" si="71"/>
        <v>0.93173475379232484</v>
      </c>
      <c r="BB61" s="298">
        <f t="shared" ca="1" si="72"/>
        <v>0</v>
      </c>
      <c r="BC61" s="296">
        <f t="shared" ca="1" si="73"/>
        <v>6.8265246207675156E-2</v>
      </c>
      <c r="BD61" s="297">
        <f t="shared" ca="1" si="56"/>
        <v>0</v>
      </c>
      <c r="BE61" s="297">
        <f t="shared" ca="1" si="57"/>
        <v>0</v>
      </c>
      <c r="BF61" s="297">
        <f t="shared" ca="1" si="58"/>
        <v>0</v>
      </c>
      <c r="BG61" s="297">
        <f t="shared" ca="1" si="59"/>
        <v>0.93173475379232484</v>
      </c>
      <c r="BH61" s="298">
        <f t="shared" ca="1" si="60"/>
        <v>0</v>
      </c>
    </row>
    <row r="62" spans="1:60" ht="15" thickBot="1" x14ac:dyDescent="0.25">
      <c r="A62" s="302">
        <v>2045</v>
      </c>
      <c r="B62" s="822">
        <f t="shared" si="78"/>
        <v>169300</v>
      </c>
      <c r="C62" s="823">
        <f t="shared" si="78"/>
        <v>15006.37</v>
      </c>
      <c r="D62" s="823">
        <f t="shared" si="78"/>
        <v>19719.37</v>
      </c>
      <c r="E62" s="823">
        <f t="shared" si="78"/>
        <v>124030.71</v>
      </c>
      <c r="F62" s="823">
        <f t="shared" si="78"/>
        <v>1</v>
      </c>
      <c r="G62" s="824">
        <f t="shared" si="78"/>
        <v>1000000</v>
      </c>
      <c r="H62" s="780">
        <f t="shared" si="79"/>
        <v>1</v>
      </c>
      <c r="I62" s="781">
        <f t="shared" si="79"/>
        <v>1</v>
      </c>
      <c r="J62" s="781">
        <f t="shared" si="79"/>
        <v>1</v>
      </c>
      <c r="K62" s="781">
        <f t="shared" si="79"/>
        <v>1</v>
      </c>
      <c r="L62" s="781">
        <f t="shared" si="79"/>
        <v>1</v>
      </c>
      <c r="M62" s="782">
        <f t="shared" si="79"/>
        <v>1</v>
      </c>
      <c r="N62" s="777">
        <f t="shared" si="28"/>
        <v>8754.4285033401902</v>
      </c>
      <c r="O62" s="778">
        <f t="shared" si="29"/>
        <v>7055.1523460156877</v>
      </c>
      <c r="P62" s="778">
        <f t="shared" si="30"/>
        <v>5996.2292289751713</v>
      </c>
      <c r="Q62" s="778">
        <f t="shared" si="31"/>
        <v>5007.4375736964557</v>
      </c>
      <c r="R62" s="778">
        <f t="shared" si="32"/>
        <v>1361.5024858594559</v>
      </c>
      <c r="S62" s="779">
        <f t="shared" si="33"/>
        <v>70949.66302667628</v>
      </c>
      <c r="T62" s="736">
        <f t="shared" si="61"/>
        <v>1699.2761573245025</v>
      </c>
      <c r="U62" s="304">
        <f t="shared" si="62"/>
        <v>2758.1992743650189</v>
      </c>
      <c r="V62" s="304">
        <f t="shared" si="63"/>
        <v>3746.9909296437345</v>
      </c>
      <c r="W62" s="304">
        <f t="shared" si="64"/>
        <v>7392.9260174807341</v>
      </c>
      <c r="X62" s="305">
        <f t="shared" si="65"/>
        <v>-62195.23452333609</v>
      </c>
      <c r="Y62" s="307">
        <f ca="1">IF(AND(Y$22=TRUE,INDEX(CDRANGE_CLS1,MATCH($A62,$A$24:$A$67,0),MATCH(Y$20,$B$20:$G$20,0))&lt;$D$6/OPDAYS_Cls1),86,payback(C62,T62,disc_rate/12,85))</f>
        <v>10</v>
      </c>
      <c r="Z62" s="308">
        <f ca="1">IF(AND(Z$22=TRUE,INDEX(CDRANGE_CLS1,MATCH($A62,$A$24:$A$67,0),MATCH(Z$20,$B$20:$G$20,0))&lt;$D$6/OPDAYS_Cls1),86,payback(D62,U62,disc_rate/12,85))</f>
        <v>8</v>
      </c>
      <c r="AA62" s="308">
        <f>IF(AND(AA$22=TRUE,INDEX(CDRANGE_CLS1,MATCH($A62,$A$24:$A$67,0),MATCH(AA$20,$B$20:$G$20,0))&lt;$D$6/OPDAYS_Cls1),86,payback(E62,V62,disc_rate/12,85))</f>
        <v>86</v>
      </c>
      <c r="AB62" s="308">
        <f ca="1">IF(AND(AB$22=TRUE,INDEX(CDRANGE_CLS1,MATCH($A62,$A$24:$A$67,0),MATCH(AB$20,$B$20:$G$20,0))&lt;$D$6/OPDAYS_Cls1),86,payback(F62,W62,disc_rate/12,85))</f>
        <v>1</v>
      </c>
      <c r="AC62" s="593">
        <f ca="1">IF(AND(AC$22=TRUE,INDEX(CDRANGE_CLS1,MATCH($A62,$A$24:$A$67,0),MATCH(AC$20,$B$20:$G$20,0))&lt;$D$6/OPDAYS_Cls1),86,payback(G62,X62,disc_rate/12,85))</f>
        <v>86</v>
      </c>
      <c r="AD62" s="310">
        <f t="shared" si="35"/>
        <v>0</v>
      </c>
      <c r="AE62" s="311">
        <f t="shared" si="36"/>
        <v>0</v>
      </c>
      <c r="AF62" s="311">
        <f t="shared" si="37"/>
        <v>0</v>
      </c>
      <c r="AG62" s="311">
        <f t="shared" si="38"/>
        <v>0</v>
      </c>
      <c r="AH62" s="312">
        <f t="shared" si="39"/>
        <v>0</v>
      </c>
      <c r="AI62" s="1146">
        <f t="shared" si="40"/>
        <v>0</v>
      </c>
      <c r="AJ62" s="1147">
        <f t="shared" si="41"/>
        <v>0</v>
      </c>
      <c r="AK62" s="1147">
        <f t="shared" si="42"/>
        <v>0</v>
      </c>
      <c r="AL62" s="1147">
        <f t="shared" si="43"/>
        <v>0.46586737859124699</v>
      </c>
      <c r="AM62" s="1153">
        <f t="shared" si="44"/>
        <v>0</v>
      </c>
      <c r="AN62" s="313">
        <f t="shared" si="66"/>
        <v>0.97841239439502958</v>
      </c>
      <c r="AO62" s="314">
        <f t="shared" si="67"/>
        <v>0.96301614837893579</v>
      </c>
      <c r="AP62" s="314">
        <f t="shared" si="68"/>
        <v>0.22517491435074732</v>
      </c>
      <c r="AQ62" s="314">
        <f t="shared" si="69"/>
        <v>0.99999999990308663</v>
      </c>
      <c r="AR62" s="599">
        <f t="shared" si="70"/>
        <v>0</v>
      </c>
      <c r="AS62" s="310">
        <f t="shared" ca="1" si="46"/>
        <v>0</v>
      </c>
      <c r="AT62" s="311">
        <f t="shared" ca="1" si="47"/>
        <v>0</v>
      </c>
      <c r="AU62" s="311">
        <f t="shared" si="48"/>
        <v>0</v>
      </c>
      <c r="AV62" s="311">
        <f t="shared" ca="1" si="49"/>
        <v>0.93173475718249399</v>
      </c>
      <c r="AW62" s="312">
        <f t="shared" ca="1" si="50"/>
        <v>0</v>
      </c>
      <c r="AX62" s="310">
        <f t="shared" ca="1" si="51"/>
        <v>0</v>
      </c>
      <c r="AY62" s="311">
        <f t="shared" ca="1" si="52"/>
        <v>0</v>
      </c>
      <c r="AZ62" s="311">
        <f t="shared" si="53"/>
        <v>0</v>
      </c>
      <c r="BA62" s="311">
        <f t="shared" ca="1" si="71"/>
        <v>0.93173475709219644</v>
      </c>
      <c r="BB62" s="312">
        <f t="shared" ca="1" si="72"/>
        <v>0</v>
      </c>
      <c r="BC62" s="310">
        <f t="shared" ca="1" si="73"/>
        <v>6.8265242907803558E-2</v>
      </c>
      <c r="BD62" s="311">
        <f t="shared" ca="1" si="56"/>
        <v>0</v>
      </c>
      <c r="BE62" s="311">
        <f t="shared" ca="1" si="57"/>
        <v>0</v>
      </c>
      <c r="BF62" s="311">
        <f t="shared" ca="1" si="58"/>
        <v>0</v>
      </c>
      <c r="BG62" s="311">
        <f t="shared" ca="1" si="59"/>
        <v>0.93173475709219644</v>
      </c>
      <c r="BH62" s="312">
        <f t="shared" ca="1" si="60"/>
        <v>0</v>
      </c>
    </row>
    <row r="63" spans="1:60" x14ac:dyDescent="0.2">
      <c r="A63" s="316">
        <v>2046</v>
      </c>
      <c r="B63" s="825">
        <f t="shared" si="78"/>
        <v>169300</v>
      </c>
      <c r="C63" s="826">
        <f t="shared" si="78"/>
        <v>16172.29</v>
      </c>
      <c r="D63" s="826">
        <f t="shared" si="78"/>
        <v>20729.29</v>
      </c>
      <c r="E63" s="826">
        <f t="shared" si="78"/>
        <v>111744.76</v>
      </c>
      <c r="F63" s="826">
        <f t="shared" si="78"/>
        <v>1</v>
      </c>
      <c r="G63" s="827">
        <f t="shared" si="78"/>
        <v>1000000</v>
      </c>
      <c r="H63" s="780">
        <f t="shared" si="79"/>
        <v>1</v>
      </c>
      <c r="I63" s="781">
        <f t="shared" si="79"/>
        <v>1</v>
      </c>
      <c r="J63" s="781">
        <f t="shared" si="79"/>
        <v>1</v>
      </c>
      <c r="K63" s="781">
        <f t="shared" si="79"/>
        <v>1</v>
      </c>
      <c r="L63" s="781">
        <f t="shared" si="79"/>
        <v>1</v>
      </c>
      <c r="M63" s="782">
        <f t="shared" si="79"/>
        <v>1</v>
      </c>
      <c r="N63" s="631">
        <f t="shared" si="28"/>
        <v>8759.6525392855856</v>
      </c>
      <c r="O63" s="632">
        <f t="shared" si="29"/>
        <v>6934.7828918076175</v>
      </c>
      <c r="P63" s="632">
        <f t="shared" si="30"/>
        <v>5858.2140925275453</v>
      </c>
      <c r="Q63" s="632">
        <f t="shared" si="31"/>
        <v>4435.6935930880018</v>
      </c>
      <c r="R63" s="632">
        <f t="shared" si="32"/>
        <v>1328.8264729892837</v>
      </c>
      <c r="S63" s="744">
        <f t="shared" si="33"/>
        <v>70992.020331022824</v>
      </c>
      <c r="T63" s="732">
        <f t="shared" si="61"/>
        <v>1824.8696474779681</v>
      </c>
      <c r="U63" s="276">
        <f t="shared" si="62"/>
        <v>2901.4384467580403</v>
      </c>
      <c r="V63" s="276">
        <f t="shared" si="63"/>
        <v>4323.9589461975838</v>
      </c>
      <c r="W63" s="276">
        <f t="shared" si="64"/>
        <v>7430.8260662963021</v>
      </c>
      <c r="X63" s="277">
        <f t="shared" si="65"/>
        <v>-62232.367791737241</v>
      </c>
      <c r="Y63" s="279">
        <f ca="1">IF(AND(Y$22=TRUE,INDEX(CDRANGE_CLS1,MATCH($A63,$A$24:$A$67,0),MATCH(Y$20,$B$20:$G$20,0))&lt;$D$6/OPDAYS_Cls1),86,payback(C63,T63,disc_rate/12,85))</f>
        <v>10</v>
      </c>
      <c r="Z63" s="280">
        <f ca="1">IF(AND(Z$22=TRUE,INDEX(CDRANGE_CLS1,MATCH($A63,$A$24:$A$67,0),MATCH(Z$20,$B$20:$G$20,0))&lt;$D$6/OPDAYS_Cls1),86,payback(D63,U63,disc_rate/12,85))</f>
        <v>8</v>
      </c>
      <c r="AA63" s="280">
        <f>IF(AND(AA$22=TRUE,INDEX(CDRANGE_CLS1,MATCH($A63,$A$24:$A$67,0),MATCH(AA$20,$B$20:$G$20,0))&lt;$D$6/OPDAYS_Cls1),86,payback(E63,V63,disc_rate/12,85))</f>
        <v>86</v>
      </c>
      <c r="AB63" s="280">
        <f ca="1">IF(AND(AB$22=TRUE,INDEX(CDRANGE_CLS1,MATCH($A63,$A$24:$A$67,0),MATCH(AB$20,$B$20:$G$20,0))&lt;$D$6/OPDAYS_Cls1),86,payback(F63,W63,disc_rate/12,85))</f>
        <v>1</v>
      </c>
      <c r="AC63" s="610">
        <f ca="1">IF(AND(AC$22=TRUE,INDEX(CDRANGE_CLS1,MATCH($A63,$A$24:$A$67,0),MATCH(AC$20,$B$20:$G$20,0))&lt;$D$6/OPDAYS_Cls1),86,payback(G63,X63,disc_rate/12,85))</f>
        <v>86</v>
      </c>
      <c r="AD63" s="282">
        <f t="shared" si="35"/>
        <v>0</v>
      </c>
      <c r="AE63" s="283">
        <f t="shared" si="36"/>
        <v>0</v>
      </c>
      <c r="AF63" s="283">
        <f t="shared" si="37"/>
        <v>0</v>
      </c>
      <c r="AG63" s="283">
        <f t="shared" si="38"/>
        <v>0</v>
      </c>
      <c r="AH63" s="284">
        <f t="shared" si="39"/>
        <v>0</v>
      </c>
      <c r="AI63" s="1140">
        <f t="shared" si="40"/>
        <v>0</v>
      </c>
      <c r="AJ63" s="1141">
        <f t="shared" si="41"/>
        <v>0</v>
      </c>
      <c r="AK63" s="1141">
        <f t="shared" si="42"/>
        <v>0</v>
      </c>
      <c r="AL63" s="1141">
        <f t="shared" si="43"/>
        <v>0.46586737919822446</v>
      </c>
      <c r="AM63" s="1154">
        <f t="shared" si="44"/>
        <v>0</v>
      </c>
      <c r="AN63" s="285">
        <f t="shared" si="66"/>
        <v>0.9749715348369824</v>
      </c>
      <c r="AO63" s="286">
        <f t="shared" si="67"/>
        <v>0.95921119899974006</v>
      </c>
      <c r="AP63" s="286">
        <f t="shared" si="68"/>
        <v>0.29815362320382222</v>
      </c>
      <c r="AQ63" s="286">
        <f t="shared" si="69"/>
        <v>0.99999999990308663</v>
      </c>
      <c r="AR63" s="611">
        <f t="shared" si="70"/>
        <v>0</v>
      </c>
      <c r="AS63" s="282">
        <f t="shared" ca="1" si="46"/>
        <v>0</v>
      </c>
      <c r="AT63" s="283">
        <f t="shared" ca="1" si="47"/>
        <v>0</v>
      </c>
      <c r="AU63" s="283">
        <f t="shared" si="48"/>
        <v>0</v>
      </c>
      <c r="AV63" s="283">
        <f t="shared" ca="1" si="49"/>
        <v>0.93173475839644893</v>
      </c>
      <c r="AW63" s="284">
        <f t="shared" ca="1" si="50"/>
        <v>0</v>
      </c>
      <c r="AX63" s="282">
        <f t="shared" ca="1" si="51"/>
        <v>0</v>
      </c>
      <c r="AY63" s="283">
        <f t="shared" ca="1" si="52"/>
        <v>0</v>
      </c>
      <c r="AZ63" s="283">
        <f t="shared" si="53"/>
        <v>0</v>
      </c>
      <c r="BA63" s="283">
        <f t="shared" ca="1" si="71"/>
        <v>0.93173475830615138</v>
      </c>
      <c r="BB63" s="284">
        <f t="shared" ca="1" si="72"/>
        <v>0</v>
      </c>
      <c r="BC63" s="282">
        <f t="shared" ca="1" si="73"/>
        <v>6.8265241693848622E-2</v>
      </c>
      <c r="BD63" s="283">
        <f t="shared" ca="1" si="56"/>
        <v>0</v>
      </c>
      <c r="BE63" s="283">
        <f t="shared" ca="1" si="57"/>
        <v>0</v>
      </c>
      <c r="BF63" s="283">
        <f t="shared" ca="1" si="58"/>
        <v>0</v>
      </c>
      <c r="BG63" s="283">
        <f t="shared" ca="1" si="59"/>
        <v>0.93173475830615138</v>
      </c>
      <c r="BH63" s="284">
        <f t="shared" ca="1" si="60"/>
        <v>0</v>
      </c>
    </row>
    <row r="64" spans="1:60" x14ac:dyDescent="0.2">
      <c r="A64" s="317">
        <v>2047</v>
      </c>
      <c r="B64" s="819">
        <f t="shared" si="78"/>
        <v>169300</v>
      </c>
      <c r="C64" s="820">
        <f t="shared" si="78"/>
        <v>16995.32</v>
      </c>
      <c r="D64" s="820">
        <f t="shared" si="78"/>
        <v>21396.32</v>
      </c>
      <c r="E64" s="820">
        <f t="shared" si="78"/>
        <v>99115.92</v>
      </c>
      <c r="F64" s="820">
        <f t="shared" si="78"/>
        <v>1</v>
      </c>
      <c r="G64" s="821">
        <f t="shared" si="78"/>
        <v>1000000</v>
      </c>
      <c r="H64" s="780">
        <f t="shared" si="79"/>
        <v>1</v>
      </c>
      <c r="I64" s="781">
        <f t="shared" si="79"/>
        <v>1</v>
      </c>
      <c r="J64" s="781">
        <f t="shared" si="79"/>
        <v>1</v>
      </c>
      <c r="K64" s="781">
        <f t="shared" si="79"/>
        <v>1</v>
      </c>
      <c r="L64" s="781">
        <f t="shared" si="79"/>
        <v>1</v>
      </c>
      <c r="M64" s="782">
        <f t="shared" si="79"/>
        <v>1</v>
      </c>
      <c r="N64" s="275">
        <f t="shared" si="28"/>
        <v>8841.4362216674272</v>
      </c>
      <c r="O64" s="276">
        <f t="shared" si="29"/>
        <v>6913.403602285448</v>
      </c>
      <c r="P64" s="276">
        <f t="shared" si="30"/>
        <v>5816.0173364012544</v>
      </c>
      <c r="Q64" s="276">
        <f t="shared" si="31"/>
        <v>4095.3702006182375</v>
      </c>
      <c r="R64" s="276">
        <f t="shared" si="32"/>
        <v>1306.6890088233401</v>
      </c>
      <c r="S64" s="278">
        <f t="shared" si="33"/>
        <v>71654.818790691512</v>
      </c>
      <c r="T64" s="733">
        <f t="shared" si="61"/>
        <v>1928.0326193819792</v>
      </c>
      <c r="U64" s="290">
        <f t="shared" si="62"/>
        <v>3025.4188852661728</v>
      </c>
      <c r="V64" s="290">
        <f t="shared" si="63"/>
        <v>4746.0660210491897</v>
      </c>
      <c r="W64" s="290">
        <f t="shared" si="64"/>
        <v>7534.7472128440868</v>
      </c>
      <c r="X64" s="291">
        <f t="shared" si="65"/>
        <v>-62813.382569024085</v>
      </c>
      <c r="Y64" s="293">
        <f ca="1">IF(AND(Y$22=TRUE,INDEX(CDRANGE_CLS1,MATCH($A64,$A$24:$A$67,0),MATCH(Y$20,$B$20:$G$20,0))&lt;$D$6/OPDAYS_Cls1),86,payback(C64,T64,disc_rate/12,85))</f>
        <v>10</v>
      </c>
      <c r="Z64" s="294">
        <f ca="1">IF(AND(Z$22=TRUE,INDEX(CDRANGE_CLS1,MATCH($A64,$A$24:$A$67,0),MATCH(Z$20,$B$20:$G$20,0))&lt;$D$6/OPDAYS_Cls1),86,payback(D64,U64,disc_rate/12,85))</f>
        <v>8</v>
      </c>
      <c r="AA64" s="294">
        <f>IF(AND(AA$22=TRUE,INDEX(CDRANGE_CLS1,MATCH($A64,$A$24:$A$67,0),MATCH(AA$20,$B$20:$G$20,0))&lt;$D$6/OPDAYS_Cls1),86,payback(E64,V64,disc_rate/12,85))</f>
        <v>86</v>
      </c>
      <c r="AB64" s="294">
        <f ca="1">IF(AND(AB$22=TRUE,INDEX(CDRANGE_CLS1,MATCH($A64,$A$24:$A$67,0),MATCH(AB$20,$B$20:$G$20,0))&lt;$D$6/OPDAYS_Cls1),86,payback(F64,W64,disc_rate/12,85))</f>
        <v>1</v>
      </c>
      <c r="AC64" s="592">
        <f ca="1">IF(AND(AC$22=TRUE,INDEX(CDRANGE_CLS1,MATCH($A64,$A$24:$A$67,0),MATCH(AC$20,$B$20:$G$20,0))&lt;$D$6/OPDAYS_Cls1),86,payback(G64,X64,disc_rate/12,85))</f>
        <v>86</v>
      </c>
      <c r="AD64" s="296">
        <f t="shared" si="35"/>
        <v>0</v>
      </c>
      <c r="AE64" s="297">
        <f t="shared" si="36"/>
        <v>0</v>
      </c>
      <c r="AF64" s="297">
        <f t="shared" si="37"/>
        <v>0</v>
      </c>
      <c r="AG64" s="297">
        <f t="shared" si="38"/>
        <v>0</v>
      </c>
      <c r="AH64" s="298">
        <f t="shared" si="39"/>
        <v>0</v>
      </c>
      <c r="AI64" s="1143">
        <f t="shared" si="40"/>
        <v>0</v>
      </c>
      <c r="AJ64" s="1144">
        <f t="shared" si="41"/>
        <v>0</v>
      </c>
      <c r="AK64" s="1144">
        <f t="shared" si="42"/>
        <v>0</v>
      </c>
      <c r="AL64" s="1144">
        <f t="shared" si="43"/>
        <v>0.46586737919822446</v>
      </c>
      <c r="AM64" s="1152">
        <f t="shared" si="44"/>
        <v>0</v>
      </c>
      <c r="AN64" s="299">
        <f t="shared" si="66"/>
        <v>0.97239562285415482</v>
      </c>
      <c r="AO64" s="300">
        <f t="shared" si="67"/>
        <v>0.95660265481079643</v>
      </c>
      <c r="AP64" s="300">
        <f t="shared" si="68"/>
        <v>0.385939998542423</v>
      </c>
      <c r="AQ64" s="300">
        <f t="shared" si="69"/>
        <v>0.99999999990308663</v>
      </c>
      <c r="AR64" s="598">
        <f t="shared" si="70"/>
        <v>0</v>
      </c>
      <c r="AS64" s="296">
        <f t="shared" ca="1" si="46"/>
        <v>0</v>
      </c>
      <c r="AT64" s="297">
        <f t="shared" ca="1" si="47"/>
        <v>0</v>
      </c>
      <c r="AU64" s="297">
        <f t="shared" si="48"/>
        <v>0</v>
      </c>
      <c r="AV64" s="297">
        <f t="shared" ca="1" si="49"/>
        <v>0.93173475839644893</v>
      </c>
      <c r="AW64" s="298">
        <f t="shared" ca="1" si="50"/>
        <v>0</v>
      </c>
      <c r="AX64" s="296">
        <f t="shared" ca="1" si="51"/>
        <v>0</v>
      </c>
      <c r="AY64" s="297">
        <f t="shared" ca="1" si="52"/>
        <v>0</v>
      </c>
      <c r="AZ64" s="297">
        <f t="shared" si="53"/>
        <v>0</v>
      </c>
      <c r="BA64" s="297">
        <f t="shared" ca="1" si="71"/>
        <v>0.93173475830615138</v>
      </c>
      <c r="BB64" s="298">
        <f t="shared" ca="1" si="72"/>
        <v>0</v>
      </c>
      <c r="BC64" s="296">
        <f t="shared" ca="1" si="73"/>
        <v>6.8265241693848622E-2</v>
      </c>
      <c r="BD64" s="297">
        <f t="shared" ca="1" si="56"/>
        <v>0</v>
      </c>
      <c r="BE64" s="297">
        <f t="shared" ca="1" si="57"/>
        <v>0</v>
      </c>
      <c r="BF64" s="297">
        <f t="shared" ca="1" si="58"/>
        <v>0</v>
      </c>
      <c r="BG64" s="297">
        <f t="shared" ca="1" si="59"/>
        <v>0.93173475830615138</v>
      </c>
      <c r="BH64" s="298">
        <f t="shared" ca="1" si="60"/>
        <v>0</v>
      </c>
    </row>
    <row r="65" spans="1:60" x14ac:dyDescent="0.2">
      <c r="A65" s="317">
        <v>2048</v>
      </c>
      <c r="B65" s="819">
        <f t="shared" si="78"/>
        <v>169300</v>
      </c>
      <c r="C65" s="820">
        <f t="shared" si="78"/>
        <v>17546.05</v>
      </c>
      <c r="D65" s="820">
        <f t="shared" si="78"/>
        <v>21791.05</v>
      </c>
      <c r="E65" s="820">
        <f t="shared" si="78"/>
        <v>86214.79</v>
      </c>
      <c r="F65" s="820">
        <f t="shared" si="78"/>
        <v>1</v>
      </c>
      <c r="G65" s="821">
        <f t="shared" si="78"/>
        <v>1000000</v>
      </c>
      <c r="H65" s="780">
        <f t="shared" si="79"/>
        <v>1</v>
      </c>
      <c r="I65" s="781">
        <f t="shared" si="79"/>
        <v>1</v>
      </c>
      <c r="J65" s="781">
        <f t="shared" si="79"/>
        <v>1</v>
      </c>
      <c r="K65" s="781">
        <f t="shared" si="79"/>
        <v>1</v>
      </c>
      <c r="L65" s="781">
        <f t="shared" si="79"/>
        <v>1</v>
      </c>
      <c r="M65" s="782">
        <f t="shared" si="79"/>
        <v>1</v>
      </c>
      <c r="N65" s="275">
        <f t="shared" si="28"/>
        <v>8916.4800973471174</v>
      </c>
      <c r="O65" s="276">
        <f t="shared" si="29"/>
        <v>6915.1429117425987</v>
      </c>
      <c r="P65" s="276">
        <f t="shared" si="30"/>
        <v>5801.7626137580264</v>
      </c>
      <c r="Q65" s="276">
        <f t="shared" si="31"/>
        <v>3920.6487777754783</v>
      </c>
      <c r="R65" s="276">
        <f t="shared" si="32"/>
        <v>1292.283046062212</v>
      </c>
      <c r="S65" s="278">
        <f t="shared" si="33"/>
        <v>72262.959573350861</v>
      </c>
      <c r="T65" s="733">
        <f t="shared" si="61"/>
        <v>2001.3371856045187</v>
      </c>
      <c r="U65" s="290">
        <f t="shared" si="62"/>
        <v>3114.717483589091</v>
      </c>
      <c r="V65" s="290">
        <f t="shared" si="63"/>
        <v>4995.8313195716391</v>
      </c>
      <c r="W65" s="290">
        <f t="shared" si="64"/>
        <v>7624.1970512849057</v>
      </c>
      <c r="X65" s="291">
        <f t="shared" si="65"/>
        <v>-63346.479476003748</v>
      </c>
      <c r="Y65" s="293">
        <f ca="1">IF(AND(Y$22=TRUE,INDEX(CDRANGE_CLS1,MATCH($A65,$A$24:$A$67,0),MATCH(Y$20,$B$20:$G$20,0))&lt;$D$6/OPDAYS_Cls1),86,payback(C65,T65,disc_rate/12,85))</f>
        <v>10</v>
      </c>
      <c r="Z65" s="294">
        <f ca="1">IF(AND(Z$22=TRUE,INDEX(CDRANGE_CLS1,MATCH($A65,$A$24:$A$67,0),MATCH(Z$20,$B$20:$G$20,0))&lt;$D$6/OPDAYS_Cls1),86,payback(D65,U65,disc_rate/12,85))</f>
        <v>8</v>
      </c>
      <c r="AA65" s="294">
        <f>IF(AND(AA$22=TRUE,INDEX(CDRANGE_CLS1,MATCH($A65,$A$24:$A$67,0),MATCH(AA$20,$B$20:$G$20,0))&lt;$D$6/OPDAYS_Cls1),86,payback(E65,V65,disc_rate/12,85))</f>
        <v>86</v>
      </c>
      <c r="AB65" s="294">
        <f ca="1">IF(AND(AB$22=TRUE,INDEX(CDRANGE_CLS1,MATCH($A65,$A$24:$A$67,0),MATCH(AB$20,$B$20:$G$20,0))&lt;$D$6/OPDAYS_Cls1),86,payback(F65,W65,disc_rate/12,85))</f>
        <v>1</v>
      </c>
      <c r="AC65" s="592">
        <f ca="1">IF(AND(AC$22=TRUE,INDEX(CDRANGE_CLS1,MATCH($A65,$A$24:$A$67,0),MATCH(AC$20,$B$20:$G$20,0))&lt;$D$6/OPDAYS_Cls1),86,payback(G65,X65,disc_rate/12,85))</f>
        <v>86</v>
      </c>
      <c r="AD65" s="296">
        <f t="shared" si="35"/>
        <v>0</v>
      </c>
      <c r="AE65" s="297">
        <f t="shared" si="36"/>
        <v>0</v>
      </c>
      <c r="AF65" s="297">
        <f t="shared" si="37"/>
        <v>0</v>
      </c>
      <c r="AG65" s="297">
        <f t="shared" si="38"/>
        <v>0</v>
      </c>
      <c r="AH65" s="298">
        <f t="shared" si="39"/>
        <v>0</v>
      </c>
      <c r="AI65" s="1143">
        <f t="shared" si="40"/>
        <v>0</v>
      </c>
      <c r="AJ65" s="1144">
        <f t="shared" si="41"/>
        <v>0</v>
      </c>
      <c r="AK65" s="1144">
        <f t="shared" si="42"/>
        <v>0</v>
      </c>
      <c r="AL65" s="1144">
        <f t="shared" si="43"/>
        <v>0.46586737919822446</v>
      </c>
      <c r="AM65" s="1152">
        <f t="shared" si="44"/>
        <v>0</v>
      </c>
      <c r="AN65" s="299">
        <f t="shared" si="66"/>
        <v>0.97060458565991148</v>
      </c>
      <c r="AO65" s="300">
        <f t="shared" si="67"/>
        <v>0.95502354128354461</v>
      </c>
      <c r="AP65" s="300">
        <f t="shared" si="68"/>
        <v>0.48657903968386351</v>
      </c>
      <c r="AQ65" s="300">
        <f t="shared" si="69"/>
        <v>0.99999999990308663</v>
      </c>
      <c r="AR65" s="598">
        <f t="shared" si="70"/>
        <v>0</v>
      </c>
      <c r="AS65" s="296">
        <f t="shared" ca="1" si="46"/>
        <v>0</v>
      </c>
      <c r="AT65" s="297">
        <f t="shared" ca="1" si="47"/>
        <v>0</v>
      </c>
      <c r="AU65" s="297">
        <f t="shared" si="48"/>
        <v>0</v>
      </c>
      <c r="AV65" s="297">
        <f t="shared" ca="1" si="49"/>
        <v>0.93173475839644893</v>
      </c>
      <c r="AW65" s="298">
        <f t="shared" ca="1" si="50"/>
        <v>0</v>
      </c>
      <c r="AX65" s="296">
        <f t="shared" ca="1" si="51"/>
        <v>0</v>
      </c>
      <c r="AY65" s="297">
        <f t="shared" ca="1" si="52"/>
        <v>0</v>
      </c>
      <c r="AZ65" s="297">
        <f t="shared" si="53"/>
        <v>0</v>
      </c>
      <c r="BA65" s="297">
        <f t="shared" ca="1" si="71"/>
        <v>0.93173475830615138</v>
      </c>
      <c r="BB65" s="298">
        <f t="shared" ca="1" si="72"/>
        <v>0</v>
      </c>
      <c r="BC65" s="296">
        <f t="shared" ca="1" si="73"/>
        <v>6.8265241693848622E-2</v>
      </c>
      <c r="BD65" s="297">
        <f t="shared" ca="1" si="56"/>
        <v>0</v>
      </c>
      <c r="BE65" s="297">
        <f t="shared" ca="1" si="57"/>
        <v>0</v>
      </c>
      <c r="BF65" s="297">
        <f t="shared" ca="1" si="58"/>
        <v>0</v>
      </c>
      <c r="BG65" s="297">
        <f t="shared" ca="1" si="59"/>
        <v>0.93173475830615138</v>
      </c>
      <c r="BH65" s="298">
        <f t="shared" ca="1" si="60"/>
        <v>0</v>
      </c>
    </row>
    <row r="66" spans="1:60" x14ac:dyDescent="0.2">
      <c r="A66" s="317">
        <v>2049</v>
      </c>
      <c r="B66" s="819">
        <f t="shared" si="78"/>
        <v>169300</v>
      </c>
      <c r="C66" s="820">
        <f t="shared" si="78"/>
        <v>17901.509999999998</v>
      </c>
      <c r="D66" s="820">
        <f t="shared" si="78"/>
        <v>21990.51</v>
      </c>
      <c r="E66" s="820">
        <f t="shared" si="78"/>
        <v>73118.38</v>
      </c>
      <c r="F66" s="820">
        <f t="shared" si="78"/>
        <v>1</v>
      </c>
      <c r="G66" s="821">
        <f t="shared" si="78"/>
        <v>1000000</v>
      </c>
      <c r="H66" s="780">
        <f t="shared" si="79"/>
        <v>1</v>
      </c>
      <c r="I66" s="781">
        <f t="shared" si="79"/>
        <v>1</v>
      </c>
      <c r="J66" s="781">
        <f t="shared" si="79"/>
        <v>1</v>
      </c>
      <c r="K66" s="781">
        <f t="shared" si="79"/>
        <v>1</v>
      </c>
      <c r="L66" s="781">
        <f t="shared" si="79"/>
        <v>1</v>
      </c>
      <c r="M66" s="782">
        <f t="shared" si="79"/>
        <v>1</v>
      </c>
      <c r="N66" s="275">
        <f t="shared" si="28"/>
        <v>8971.0858877097708</v>
      </c>
      <c r="O66" s="276">
        <f t="shared" si="29"/>
        <v>6921.0100645807415</v>
      </c>
      <c r="P66" s="276">
        <f t="shared" si="30"/>
        <v>5796.7115828301385</v>
      </c>
      <c r="Q66" s="276">
        <f t="shared" si="31"/>
        <v>3828.8203613273081</v>
      </c>
      <c r="R66" s="276">
        <f t="shared" si="32"/>
        <v>1283.152451376083</v>
      </c>
      <c r="S66" s="278">
        <f t="shared" si="33"/>
        <v>72705.472601164875</v>
      </c>
      <c r="T66" s="733">
        <f t="shared" si="61"/>
        <v>2050.0758231290292</v>
      </c>
      <c r="U66" s="290">
        <f t="shared" si="62"/>
        <v>3174.3743048796323</v>
      </c>
      <c r="V66" s="290">
        <f t="shared" si="63"/>
        <v>5142.2655263824627</v>
      </c>
      <c r="W66" s="290">
        <f t="shared" si="64"/>
        <v>7687.9334363336875</v>
      </c>
      <c r="X66" s="291">
        <f t="shared" si="65"/>
        <v>-63734.386713455104</v>
      </c>
      <c r="Y66" s="293">
        <f ca="1">IF(AND(Y$22=TRUE,INDEX(CDRANGE_CLS1,MATCH($A66,$A$24:$A$67,0),MATCH(Y$20,$B$20:$G$20,0))&lt;$D$6/OPDAYS_Cls1),86,payback(C66,T66,disc_rate/12,85))</f>
        <v>10</v>
      </c>
      <c r="Z66" s="294">
        <f ca="1">IF(AND(Z$22=TRUE,INDEX(CDRANGE_CLS1,MATCH($A66,$A$24:$A$67,0),MATCH(Z$20,$B$20:$G$20,0))&lt;$D$6/OPDAYS_Cls1),86,payback(D66,U66,disc_rate/12,85))</f>
        <v>8</v>
      </c>
      <c r="AA66" s="294">
        <f>IF(AND(AA$22=TRUE,INDEX(CDRANGE_CLS1,MATCH($A66,$A$24:$A$67,0),MATCH(AA$20,$B$20:$G$20,0))&lt;$D$6/OPDAYS_Cls1),86,payback(E66,V66,disc_rate/12,85))</f>
        <v>86</v>
      </c>
      <c r="AB66" s="294">
        <f ca="1">IF(AND(AB$22=TRUE,INDEX(CDRANGE_CLS1,MATCH($A66,$A$24:$A$67,0),MATCH(AB$20,$B$20:$G$20,0))&lt;$D$6/OPDAYS_Cls1),86,payback(F66,W66,disc_rate/12,85))</f>
        <v>1</v>
      </c>
      <c r="AC66" s="592">
        <f ca="1">IF(AND(AC$22=TRUE,INDEX(CDRANGE_CLS1,MATCH($A66,$A$24:$A$67,0),MATCH(AC$20,$B$20:$G$20,0))&lt;$D$6/OPDAYS_Cls1),86,payback(G66,X66,disc_rate/12,85))</f>
        <v>86</v>
      </c>
      <c r="AD66" s="296">
        <f t="shared" si="35"/>
        <v>0</v>
      </c>
      <c r="AE66" s="297">
        <f t="shared" si="36"/>
        <v>0</v>
      </c>
      <c r="AF66" s="297">
        <f t="shared" si="37"/>
        <v>0</v>
      </c>
      <c r="AG66" s="297">
        <f t="shared" si="38"/>
        <v>0</v>
      </c>
      <c r="AH66" s="298">
        <f t="shared" si="39"/>
        <v>0</v>
      </c>
      <c r="AI66" s="1143">
        <f t="shared" si="40"/>
        <v>0</v>
      </c>
      <c r="AJ66" s="1144">
        <f t="shared" si="41"/>
        <v>0</v>
      </c>
      <c r="AK66" s="1144">
        <f t="shared" si="42"/>
        <v>0</v>
      </c>
      <c r="AL66" s="1144">
        <f t="shared" si="43"/>
        <v>0.46586737919822446</v>
      </c>
      <c r="AM66" s="1152">
        <f t="shared" si="44"/>
        <v>0</v>
      </c>
      <c r="AN66" s="299">
        <f t="shared" si="66"/>
        <v>0.9694200780167247</v>
      </c>
      <c r="AO66" s="300">
        <f t="shared" si="67"/>
        <v>0.95421563507532436</v>
      </c>
      <c r="AP66" s="300">
        <f t="shared" si="68"/>
        <v>0.59563478730485053</v>
      </c>
      <c r="AQ66" s="300">
        <f t="shared" si="69"/>
        <v>0.99999999990308663</v>
      </c>
      <c r="AR66" s="598">
        <f t="shared" si="70"/>
        <v>0</v>
      </c>
      <c r="AS66" s="296">
        <f t="shared" ca="1" si="46"/>
        <v>0</v>
      </c>
      <c r="AT66" s="297">
        <f t="shared" ca="1" si="47"/>
        <v>0</v>
      </c>
      <c r="AU66" s="297">
        <f t="shared" si="48"/>
        <v>0</v>
      </c>
      <c r="AV66" s="297">
        <f t="shared" ca="1" si="49"/>
        <v>0.93173475839644893</v>
      </c>
      <c r="AW66" s="298">
        <f t="shared" ca="1" si="50"/>
        <v>0</v>
      </c>
      <c r="AX66" s="296">
        <f t="shared" ca="1" si="51"/>
        <v>0</v>
      </c>
      <c r="AY66" s="297">
        <f t="shared" ca="1" si="52"/>
        <v>0</v>
      </c>
      <c r="AZ66" s="297">
        <f t="shared" si="53"/>
        <v>0</v>
      </c>
      <c r="BA66" s="297">
        <f t="shared" ca="1" si="71"/>
        <v>0.93173475830615138</v>
      </c>
      <c r="BB66" s="298">
        <f t="shared" ca="1" si="72"/>
        <v>0</v>
      </c>
      <c r="BC66" s="296">
        <f t="shared" ca="1" si="73"/>
        <v>6.8265241693848622E-2</v>
      </c>
      <c r="BD66" s="297">
        <f t="shared" ca="1" si="56"/>
        <v>0</v>
      </c>
      <c r="BE66" s="297">
        <f t="shared" ca="1" si="57"/>
        <v>0</v>
      </c>
      <c r="BF66" s="297">
        <f t="shared" ca="1" si="58"/>
        <v>0</v>
      </c>
      <c r="BG66" s="297">
        <f t="shared" ca="1" si="59"/>
        <v>0.93173475830615138</v>
      </c>
      <c r="BH66" s="298">
        <f t="shared" ca="1" si="60"/>
        <v>0</v>
      </c>
    </row>
    <row r="67" spans="1:60" ht="15" thickBot="1" x14ac:dyDescent="0.25">
      <c r="A67" s="302">
        <v>2050</v>
      </c>
      <c r="B67" s="822">
        <f t="shared" si="78"/>
        <v>169300</v>
      </c>
      <c r="C67" s="823">
        <f t="shared" si="78"/>
        <v>18484.48</v>
      </c>
      <c r="D67" s="823">
        <f t="shared" si="78"/>
        <v>22417.48</v>
      </c>
      <c r="E67" s="823">
        <f t="shared" si="78"/>
        <v>60249.48</v>
      </c>
      <c r="F67" s="823">
        <f t="shared" si="78"/>
        <v>1</v>
      </c>
      <c r="G67" s="824">
        <f t="shared" si="78"/>
        <v>1000000</v>
      </c>
      <c r="H67" s="780">
        <f t="shared" si="79"/>
        <v>1</v>
      </c>
      <c r="I67" s="781">
        <f t="shared" si="79"/>
        <v>1</v>
      </c>
      <c r="J67" s="781">
        <f t="shared" si="79"/>
        <v>1</v>
      </c>
      <c r="K67" s="781">
        <f t="shared" si="79"/>
        <v>1</v>
      </c>
      <c r="L67" s="781">
        <f t="shared" si="79"/>
        <v>1</v>
      </c>
      <c r="M67" s="782">
        <f t="shared" si="79"/>
        <v>1</v>
      </c>
      <c r="N67" s="777">
        <f t="shared" si="28"/>
        <v>9021.4194140308919</v>
      </c>
      <c r="O67" s="778">
        <f t="shared" si="29"/>
        <v>6900.492340953143</v>
      </c>
      <c r="P67" s="778">
        <f t="shared" si="30"/>
        <v>5763.5143440914799</v>
      </c>
      <c r="Q67" s="778">
        <f t="shared" si="31"/>
        <v>3753.205016087787</v>
      </c>
      <c r="R67" s="778">
        <f t="shared" si="32"/>
        <v>1268.4540467052905</v>
      </c>
      <c r="S67" s="779">
        <f t="shared" si="33"/>
        <v>73113.264913891864</v>
      </c>
      <c r="T67" s="736">
        <f t="shared" si="61"/>
        <v>2120.9270730777489</v>
      </c>
      <c r="U67" s="304">
        <f t="shared" si="62"/>
        <v>3257.905069939412</v>
      </c>
      <c r="V67" s="304">
        <f t="shared" si="63"/>
        <v>5268.2143979431048</v>
      </c>
      <c r="W67" s="304">
        <f t="shared" si="64"/>
        <v>7752.9653673256016</v>
      </c>
      <c r="X67" s="305">
        <f t="shared" si="65"/>
        <v>-64091.845499860974</v>
      </c>
      <c r="Y67" s="307">
        <f ca="1">IF(AND(Y$22=TRUE,INDEX(CDRANGE_CLS1,MATCH($A67,$A$24:$A$67,0),MATCH(Y$20,$B$20:$G$20,0))&lt;$D$6/OPDAYS_Cls1),86,payback(C67,T67,disc_rate/12,85))</f>
        <v>9</v>
      </c>
      <c r="Z67" s="308">
        <f ca="1">IF(AND(Z$22=TRUE,INDEX(CDRANGE_CLS1,MATCH($A67,$A$24:$A$67,0),MATCH(Z$20,$B$20:$G$20,0))&lt;$D$6/OPDAYS_Cls1),86,payback(D67,U67,disc_rate/12,85))</f>
        <v>8</v>
      </c>
      <c r="AA67" s="308">
        <f>IF(AND(AA$22=TRUE,INDEX(CDRANGE_CLS1,MATCH($A67,$A$24:$A$67,0),MATCH(AA$20,$B$20:$G$20,0))&lt;$D$6/OPDAYS_Cls1),86,payback(E67,V67,disc_rate/12,85))</f>
        <v>86</v>
      </c>
      <c r="AB67" s="308">
        <f ca="1">IF(AND(AB$22=TRUE,INDEX(CDRANGE_CLS1,MATCH($A67,$A$24:$A$67,0),MATCH(AB$20,$B$20:$G$20,0))&lt;$D$6/OPDAYS_Cls1),86,payback(F67,W67,disc_rate/12,85))</f>
        <v>1</v>
      </c>
      <c r="AC67" s="593">
        <f ca="1">IF(AND(AC$22=TRUE,INDEX(CDRANGE_CLS1,MATCH($A67,$A$24:$A$67,0),MATCH(AC$20,$B$20:$G$20,0))&lt;$D$6/OPDAYS_Cls1),86,payback(G67,X67,disc_rate/12,85))</f>
        <v>86</v>
      </c>
      <c r="AD67" s="310">
        <f t="shared" si="35"/>
        <v>0</v>
      </c>
      <c r="AE67" s="311">
        <f t="shared" si="36"/>
        <v>0</v>
      </c>
      <c r="AF67" s="311">
        <f t="shared" si="37"/>
        <v>0</v>
      </c>
      <c r="AG67" s="311">
        <f t="shared" si="38"/>
        <v>0</v>
      </c>
      <c r="AH67" s="312">
        <f t="shared" si="39"/>
        <v>0</v>
      </c>
      <c r="AI67" s="1146">
        <f t="shared" si="40"/>
        <v>0</v>
      </c>
      <c r="AJ67" s="1147">
        <f t="shared" si="41"/>
        <v>0</v>
      </c>
      <c r="AK67" s="1147">
        <f t="shared" si="42"/>
        <v>0</v>
      </c>
      <c r="AL67" s="1147">
        <f t="shared" si="43"/>
        <v>0.46586737919822446</v>
      </c>
      <c r="AM67" s="1153">
        <f t="shared" si="44"/>
        <v>0</v>
      </c>
      <c r="AN67" s="313">
        <f t="shared" si="66"/>
        <v>0.96742926863847378</v>
      </c>
      <c r="AO67" s="314">
        <f t="shared" si="67"/>
        <v>0.95246381447591955</v>
      </c>
      <c r="AP67" s="314">
        <f t="shared" si="68"/>
        <v>0.70342400927912996</v>
      </c>
      <c r="AQ67" s="314">
        <f t="shared" si="69"/>
        <v>0.99999999990308663</v>
      </c>
      <c r="AR67" s="599">
        <f t="shared" si="70"/>
        <v>0</v>
      </c>
      <c r="AS67" s="310">
        <f t="shared" ca="1" si="46"/>
        <v>0</v>
      </c>
      <c r="AT67" s="311">
        <f t="shared" ca="1" si="47"/>
        <v>0</v>
      </c>
      <c r="AU67" s="311">
        <f t="shared" si="48"/>
        <v>0</v>
      </c>
      <c r="AV67" s="311">
        <f t="shared" ca="1" si="49"/>
        <v>0.93173475839644893</v>
      </c>
      <c r="AW67" s="312">
        <f t="shared" ca="1" si="50"/>
        <v>0</v>
      </c>
      <c r="AX67" s="310">
        <f t="shared" ca="1" si="51"/>
        <v>0</v>
      </c>
      <c r="AY67" s="311">
        <f t="shared" ca="1" si="52"/>
        <v>0</v>
      </c>
      <c r="AZ67" s="311">
        <f t="shared" si="53"/>
        <v>0</v>
      </c>
      <c r="BA67" s="311">
        <f t="shared" ca="1" si="71"/>
        <v>0.93173475830615138</v>
      </c>
      <c r="BB67" s="312">
        <f t="shared" ca="1" si="72"/>
        <v>0</v>
      </c>
      <c r="BC67" s="310">
        <f t="shared" ca="1" si="73"/>
        <v>6.8265241693848622E-2</v>
      </c>
      <c r="BD67" s="311">
        <f t="shared" ca="1" si="56"/>
        <v>0</v>
      </c>
      <c r="BE67" s="311">
        <f t="shared" ca="1" si="57"/>
        <v>0</v>
      </c>
      <c r="BF67" s="311">
        <f t="shared" ca="1" si="58"/>
        <v>0</v>
      </c>
      <c r="BG67" s="311">
        <f t="shared" ca="1" si="59"/>
        <v>0.93173475830615138</v>
      </c>
      <c r="BH67" s="312">
        <f t="shared" ca="1" si="60"/>
        <v>0</v>
      </c>
    </row>
    <row r="68" spans="1:60" x14ac:dyDescent="0.2">
      <c r="A68" s="227" t="str">
        <f>"Output generated: "&amp; TEXT(MAX($P$4,$P$5),"m/dd/yyyy hh:mm")</f>
        <v>Output generated: 7/21/2020 15:48</v>
      </c>
      <c r="B68" s="807"/>
      <c r="C68" s="807"/>
      <c r="D68" s="807"/>
      <c r="E68" s="807"/>
      <c r="F68" s="807"/>
      <c r="G68" s="767"/>
      <c r="W68" s="227" t="str">
        <f>IF(K68=0,"",$N68-R68+W$22)</f>
        <v/>
      </c>
      <c r="X68" s="227" t="str">
        <f>IF(M68=0,"",$N68-S68+X$22)</f>
        <v/>
      </c>
      <c r="Y68" s="234"/>
      <c r="Z68" s="234"/>
      <c r="AA68" s="234"/>
      <c r="AB68" s="234"/>
      <c r="AC68" s="234"/>
      <c r="AD68" s="322"/>
      <c r="AE68" s="234"/>
      <c r="AF68" s="234"/>
      <c r="AG68" s="234"/>
      <c r="AH68" s="234"/>
    </row>
    <row r="69" spans="1:60" ht="15" thickBot="1" x14ac:dyDescent="0.25">
      <c r="W69" s="227" t="str">
        <f>IF(K69=0,"",$N69-R69+W$22)</f>
        <v/>
      </c>
      <c r="X69" s="227" t="str">
        <f>IF(M69=0,"",$N69-S69+X$22)</f>
        <v/>
      </c>
    </row>
    <row r="70" spans="1:60" s="29" customFormat="1" ht="15" x14ac:dyDescent="0.2">
      <c r="A70" s="333"/>
      <c r="B70" s="1555" t="s">
        <v>187</v>
      </c>
      <c r="C70" s="1556"/>
      <c r="D70" s="1556"/>
      <c r="E70" s="1556"/>
      <c r="F70" s="1556"/>
      <c r="G70" s="1556"/>
      <c r="H70" s="1556"/>
      <c r="I70" s="1556"/>
      <c r="J70" s="1556"/>
      <c r="K70" s="1556"/>
      <c r="L70" s="1556"/>
      <c r="M70" s="1556"/>
      <c r="N70" s="1557"/>
      <c r="O70" s="1555" t="s">
        <v>188</v>
      </c>
      <c r="P70" s="1556"/>
      <c r="Q70" s="1556"/>
      <c r="R70" s="1556"/>
      <c r="S70" s="1556"/>
      <c r="T70" s="1556"/>
      <c r="U70" s="1556"/>
      <c r="V70" s="1556"/>
      <c r="W70" s="1556"/>
      <c r="X70" s="1556"/>
      <c r="Y70" s="1556"/>
      <c r="Z70" s="1556"/>
      <c r="AA70" s="1557"/>
    </row>
    <row r="71" spans="1:60" x14ac:dyDescent="0.2">
      <c r="A71" s="324"/>
      <c r="B71" s="1552" t="s">
        <v>121</v>
      </c>
      <c r="C71" s="1553"/>
      <c r="D71" s="1553"/>
      <c r="E71" s="1553"/>
      <c r="F71" s="1553"/>
      <c r="G71" s="1553"/>
      <c r="H71" s="1553"/>
      <c r="I71" s="1553"/>
      <c r="J71" s="1553"/>
      <c r="K71" s="1553"/>
      <c r="L71" s="1554"/>
      <c r="M71" s="382"/>
      <c r="N71" s="325"/>
      <c r="O71" s="1552" t="s">
        <v>121</v>
      </c>
      <c r="P71" s="1553"/>
      <c r="Q71" s="1553"/>
      <c r="R71" s="1553"/>
      <c r="S71" s="1553"/>
      <c r="T71" s="1553"/>
      <c r="U71" s="1553"/>
      <c r="V71" s="1553"/>
      <c r="W71" s="1553"/>
      <c r="X71" s="1553"/>
      <c r="Y71" s="1554"/>
      <c r="Z71" s="382"/>
      <c r="AA71" s="325"/>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227"/>
      <c r="AC72" s="903" t="s">
        <v>267</v>
      </c>
      <c r="AD72" s="234" t="b">
        <f>INDEX(TECH_OPT_FUEL2_Cls1,MATCH(RIGHT(O70),TECH_OPT_ROWS_Cls1,0))&lt;&gt;"N/A"</f>
        <v>0</v>
      </c>
    </row>
    <row r="73" spans="1:60" s="228" customFormat="1" ht="16" thickTop="1" thickBot="1" x14ac:dyDescent="0.25">
      <c r="A73" s="335" t="s">
        <v>124</v>
      </c>
      <c r="B73" s="340">
        <f t="array" ref="B73:L73">TRANSPOSE(Cls1CentTruckShr)</f>
        <v>7.9460669190030697E-3</v>
      </c>
      <c r="C73" s="341">
        <v>4.9615201402207001E-3</v>
      </c>
      <c r="D73" s="341">
        <v>9.2815995818941767E-3</v>
      </c>
      <c r="E73" s="341">
        <v>3.0833513121077051E-2</v>
      </c>
      <c r="F73" s="341">
        <v>4.3269302277925595E-2</v>
      </c>
      <c r="G73" s="341">
        <v>2.8144935330937017E-2</v>
      </c>
      <c r="H73" s="341">
        <v>6.8990329765143715E-2</v>
      </c>
      <c r="I73" s="341">
        <v>2.4926184998997059E-2</v>
      </c>
      <c r="J73" s="341">
        <v>7.8890239376675012E-3</v>
      </c>
      <c r="K73" s="341">
        <v>3.6046105934191604E-3</v>
      </c>
      <c r="L73" s="378">
        <v>7.5162351043371062E-3</v>
      </c>
      <c r="M73" s="384"/>
      <c r="N73" s="336"/>
      <c r="O73" s="340">
        <f t="array" ref="O73:Y73">TRANSPOSE(Cls1NCentTruckShr)</f>
        <v>1.2963682068270432E-2</v>
      </c>
      <c r="P73" s="341">
        <v>2.3837141813212878E-2</v>
      </c>
      <c r="Q73" s="341">
        <v>2.5768680683356839E-2</v>
      </c>
      <c r="R73" s="341">
        <v>5.7965433078982248E-2</v>
      </c>
      <c r="S73" s="341">
        <v>0.10312619102844889</v>
      </c>
      <c r="T73" s="341">
        <v>0.18550667796975542</v>
      </c>
      <c r="U73" s="341">
        <v>0.21310728355070049</v>
      </c>
      <c r="V73" s="341">
        <v>7.3364250696428643E-2</v>
      </c>
      <c r="W73" s="341">
        <v>1.9856733825595378E-2</v>
      </c>
      <c r="X73" s="341">
        <v>2.1261216059795113E-2</v>
      </c>
      <c r="Y73" s="378">
        <v>2.5879387454831333E-2</v>
      </c>
      <c r="Z73" s="384"/>
      <c r="AA73" s="336"/>
      <c r="AB73" s="936"/>
      <c r="AC73" s="903" t="s">
        <v>268</v>
      </c>
      <c r="AD73" s="234">
        <f>MATCH(RIGHT(O70),TECH_OPT_ROWS_Cls1,0)</f>
        <v>2</v>
      </c>
      <c r="AH73"/>
      <c r="AI73"/>
      <c r="AJ73"/>
      <c r="AK73"/>
      <c r="AL73"/>
      <c r="AM73"/>
      <c r="AN73"/>
      <c r="AO73"/>
      <c r="AP73"/>
      <c r="AQ73"/>
      <c r="AR73"/>
      <c r="AS73"/>
      <c r="AT73"/>
      <c r="AU73"/>
    </row>
    <row r="74" spans="1:60" s="228" customFormat="1" x14ac:dyDescent="0.2">
      <c r="A74" s="331" t="s">
        <v>125</v>
      </c>
      <c r="B74" s="938">
        <f t="array" ref="B74:L74">TRANSPOSE(Cls1CentVMTShr)</f>
        <v>8.9762242961142352E-4</v>
      </c>
      <c r="C74" s="939">
        <v>1.2044238150123706E-3</v>
      </c>
      <c r="D74" s="939">
        <v>4.1499109643594731E-3</v>
      </c>
      <c r="E74" s="939">
        <v>1.9575808105519295E-2</v>
      </c>
      <c r="F74" s="939">
        <v>3.4523467949689302E-2</v>
      </c>
      <c r="G74" s="939">
        <v>2.7311948935134379E-2</v>
      </c>
      <c r="H74" s="939">
        <v>7.6478458482655817E-2</v>
      </c>
      <c r="I74" s="939">
        <v>3.2480526319280681E-2</v>
      </c>
      <c r="J74" s="939">
        <v>1.1772940427842455E-2</v>
      </c>
      <c r="K74" s="939">
        <v>6.0339283082965706E-3</v>
      </c>
      <c r="L74" s="940">
        <v>1.5952440951210019E-2</v>
      </c>
      <c r="M74" s="388"/>
      <c r="N74" s="334"/>
      <c r="O74" s="938">
        <f t="array" ref="O74:Y74">TRANSPOSE(Cls1NCentVMTShr)</f>
        <v>1.3589913425833078E-3</v>
      </c>
      <c r="P74" s="939">
        <v>5.8692629772239642E-3</v>
      </c>
      <c r="Q74" s="939">
        <v>1.2100393581509007E-2</v>
      </c>
      <c r="R74" s="939">
        <v>3.6555003327388577E-2</v>
      </c>
      <c r="S74" s="939">
        <v>8.3148735051829181E-2</v>
      </c>
      <c r="T74" s="939">
        <v>0.18151138394047112</v>
      </c>
      <c r="U74" s="939">
        <v>0.2383386372324876</v>
      </c>
      <c r="V74" s="939">
        <v>9.5602564448196578E-2</v>
      </c>
      <c r="W74" s="939">
        <v>2.9193025028929166E-2</v>
      </c>
      <c r="X74" s="939">
        <v>3.5209492159336005E-2</v>
      </c>
      <c r="Y74" s="940">
        <v>5.0731034221433824E-2</v>
      </c>
      <c r="Z74" s="386"/>
      <c r="AA74" s="334"/>
      <c r="AB74" s="1568" t="str">
        <f>"% of miles on f2 for Tech "&amp; RIGHT(O70)&amp;" adopters"</f>
        <v>% of miles on f2 for Tech A adopters</v>
      </c>
      <c r="AC74" s="1569"/>
      <c r="AD74" s="1570"/>
      <c r="AE74" s="1173" t="s">
        <v>298</v>
      </c>
      <c r="AF74" s="1173"/>
      <c r="AG74" s="1173"/>
      <c r="AH74" s="1174" t="s">
        <v>307</v>
      </c>
      <c r="AI74" s="1175"/>
      <c r="AJ74" s="1170"/>
      <c r="AK74"/>
      <c r="AL74"/>
      <c r="AM74"/>
      <c r="AN74"/>
      <c r="AO74"/>
      <c r="AP74"/>
      <c r="AQ74"/>
      <c r="AR74"/>
      <c r="AS74"/>
      <c r="AT74"/>
      <c r="AU74"/>
    </row>
    <row r="75" spans="1:60" ht="15" thickBot="1" x14ac:dyDescent="0.25">
      <c r="A75" s="942" t="s">
        <v>266</v>
      </c>
      <c r="B75" s="933">
        <f t="array" ref="B75:L75">TRANSPOSE(Cls1CentVMT/OPDAYS_Cls1)</f>
        <v>51.642967609234425</v>
      </c>
      <c r="C75" s="934">
        <v>110.97733417848234</v>
      </c>
      <c r="D75" s="934">
        <v>204.40224583551472</v>
      </c>
      <c r="E75" s="934">
        <v>290.24610572847212</v>
      </c>
      <c r="F75" s="934">
        <v>364.75750419264841</v>
      </c>
      <c r="G75" s="934">
        <v>443.63126889109378</v>
      </c>
      <c r="H75" s="934">
        <v>506.78134229373978</v>
      </c>
      <c r="I75" s="934">
        <v>595.71283413609137</v>
      </c>
      <c r="J75" s="934">
        <v>682.23089916089702</v>
      </c>
      <c r="K75" s="934">
        <v>765.26438827532684</v>
      </c>
      <c r="L75" s="935">
        <v>970.27871027310334</v>
      </c>
      <c r="M75" s="931"/>
      <c r="N75" s="932"/>
      <c r="O75" s="933">
        <f t="array" ref="O75:Y75">TRANSPOSE(Cls1NCentVMT/OPDAYS_Cls1)</f>
        <v>47.924548633512046</v>
      </c>
      <c r="P75" s="934">
        <v>112.56389213862748</v>
      </c>
      <c r="Q75" s="934">
        <v>214.67280220238027</v>
      </c>
      <c r="R75" s="934">
        <v>288.30186744262801</v>
      </c>
      <c r="S75" s="934">
        <v>368.60089210549245</v>
      </c>
      <c r="T75" s="934">
        <v>447.31558789932524</v>
      </c>
      <c r="U75" s="934">
        <v>511.28831950097862</v>
      </c>
      <c r="V75" s="934">
        <v>595.73726658362273</v>
      </c>
      <c r="W75" s="934">
        <v>672.11099195240695</v>
      </c>
      <c r="X75" s="934">
        <v>757.0793017898726</v>
      </c>
      <c r="Y75" s="935">
        <v>896.16800791754974</v>
      </c>
      <c r="Z75" s="943"/>
      <c r="AA75" s="932"/>
      <c r="AB75" s="945" t="s">
        <v>186</v>
      </c>
      <c r="AC75" s="946" t="s">
        <v>15</v>
      </c>
      <c r="AD75" s="947" t="s">
        <v>18</v>
      </c>
      <c r="AE75" s="937" t="s">
        <v>186</v>
      </c>
      <c r="AF75" s="937" t="s">
        <v>15</v>
      </c>
      <c r="AG75" s="937" t="s">
        <v>18</v>
      </c>
      <c r="AH75" s="1172" t="s">
        <v>186</v>
      </c>
      <c r="AI75" s="937" t="s">
        <v>15</v>
      </c>
      <c r="AJ75"/>
      <c r="AK75"/>
      <c r="AL75"/>
      <c r="AM75"/>
      <c r="AN75"/>
      <c r="AO75"/>
      <c r="AP75"/>
      <c r="AQ75"/>
      <c r="AR75"/>
      <c r="AS75"/>
      <c r="AT75"/>
      <c r="AU75"/>
    </row>
    <row r="76" spans="1:60" ht="15" thickTop="1" x14ac:dyDescent="0.2">
      <c r="A76" s="941">
        <v>2007</v>
      </c>
      <c r="B76" s="342">
        <v>0</v>
      </c>
      <c r="C76" s="343">
        <v>0</v>
      </c>
      <c r="D76" s="343">
        <v>0</v>
      </c>
      <c r="E76" s="343">
        <v>0</v>
      </c>
      <c r="F76" s="343">
        <v>0</v>
      </c>
      <c r="G76" s="343">
        <v>0</v>
      </c>
      <c r="H76" s="343">
        <v>0</v>
      </c>
      <c r="I76" s="343">
        <v>0</v>
      </c>
      <c r="J76" s="343">
        <v>0</v>
      </c>
      <c r="K76" s="343">
        <v>0</v>
      </c>
      <c r="L76" s="379">
        <v>0</v>
      </c>
      <c r="M76" s="282">
        <f t="shared" ref="M76:M119" si="80">SUMPRODUCT($B$74:$L$74,$B76:$L76)</f>
        <v>0</v>
      </c>
      <c r="N76" s="284">
        <f t="shared" ref="N76:N119" si="81">SUMPRODUCT($B$73:$L$73,$B76:$L76)</f>
        <v>0</v>
      </c>
      <c r="O76" s="342">
        <v>0</v>
      </c>
      <c r="P76" s="343">
        <v>0</v>
      </c>
      <c r="Q76" s="343">
        <v>0</v>
      </c>
      <c r="R76" s="343">
        <v>0</v>
      </c>
      <c r="S76" s="343">
        <v>0</v>
      </c>
      <c r="T76" s="343">
        <v>0</v>
      </c>
      <c r="U76" s="343">
        <v>0</v>
      </c>
      <c r="V76" s="343">
        <v>0</v>
      </c>
      <c r="W76" s="343">
        <v>0</v>
      </c>
      <c r="X76" s="343">
        <v>0</v>
      </c>
      <c r="Y76" s="379">
        <v>0</v>
      </c>
      <c r="Z76" s="282">
        <f t="shared" ref="Z76:Z119" si="82">SUMPRODUCT($O$74:$Y$74,$O76:$Y76)</f>
        <v>0</v>
      </c>
      <c r="AA76" s="284">
        <f t="shared" ref="AA76:AA119" si="83">SUMPRODUCT($O$73:$Y$73,$O76:$Y76)</f>
        <v>0</v>
      </c>
      <c r="AB76" s="948">
        <f t="array" ref="AB76">IF(AND($AD$72=TRUE,SUM(B76:L76)&gt;0),SUMPRODUCT((((TRANSPOSE(Cls1CentDailyRng)&lt;INDEX(CDRANGE_CLS1,$A76-$A$76+1,AD$73))*TRANSPOSE(Cls1CentDailyRng)+(TRANSPOSE(Cls1CentDailyRng)&gt;INDEX(CDRANGE_CLS1,$A76-$A$76+1,AD$73))*INDEX(CDRANGE_CLS1,$A76-$A$76+1,AD$73))/TRANSPOSE(Cls1CentDailyRng)),B76:L76,TRANSPOSE(Cls1CentVMTShr))/SUMPRODUCT(B76:L76,TRANSPOSE(Cls1CentVMTShr)),0)</f>
        <v>0</v>
      </c>
      <c r="AC76" s="949">
        <f t="array" ref="AC76">IF(AND($AD$72=TRUE,SUM(O76:Y76)&gt;0),SUMPRODUCT((((TRANSPOSE(Cls1NCentDailyRng)&lt;INDEX(CDRANGE_CLS1,$A76-$A$76+1,AD$73))*TRANSPOSE(Cls1NCentDailyRng)+(TRANSPOSE(Cls1NCentDailyRng)&gt;INDEX(CDRANGE_CLS1,$A76-$A$76+1,AD$73))*INDEX(CDRANGE_CLS1,$A76-$A$76+1,AD$73))/TRANSPOSE(Cls1NCentDailyRng)),O76:Y76,TRANSPOSE(Cls1NCentVMTShr))/SUMPRODUCT(O76:Y76,TRANSPOSE(Cls1NCentVMTShr)),0)</f>
        <v>0</v>
      </c>
      <c r="AD76" s="1226">
        <f t="shared" ref="AD76:AD101" si="84">AB76*AH76+AC76*AI76</f>
        <v>0</v>
      </c>
      <c r="AE76" s="937">
        <f t="shared" ref="AE76:AE90" si="85">SUMPRODUCT($B$74:$L$74,B76:L76)</f>
        <v>0</v>
      </c>
      <c r="AF76" s="937">
        <f t="shared" ref="AF76:AF90" si="86">SUMPRODUCT($O$74:$Y$74,O76:Y76)</f>
        <v>0</v>
      </c>
      <c r="AG76" s="937">
        <f t="shared" ref="AG76:AG90" si="87">SUM(AE76:AF76)</f>
        <v>0</v>
      </c>
      <c r="AH76" s="1172">
        <f>IF(AG76&gt;0,AE76/AG76,0)</f>
        <v>0</v>
      </c>
      <c r="AI76" s="937">
        <f>IF(AG76&gt;0,AF76/AG76,0)</f>
        <v>0</v>
      </c>
      <c r="AJ76"/>
      <c r="AK76"/>
      <c r="AL76"/>
      <c r="AM76" s="1171"/>
      <c r="AN76"/>
      <c r="AO76"/>
      <c r="AP76"/>
      <c r="AQ76"/>
      <c r="AR76"/>
      <c r="AS76"/>
      <c r="AT76"/>
      <c r="AU76"/>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si="80"/>
        <v>0</v>
      </c>
      <c r="N77" s="298">
        <f t="shared" si="81"/>
        <v>0</v>
      </c>
      <c r="O77" s="344">
        <v>0</v>
      </c>
      <c r="P77" s="345">
        <v>0</v>
      </c>
      <c r="Q77" s="345">
        <v>0</v>
      </c>
      <c r="R77" s="345">
        <v>0</v>
      </c>
      <c r="S77" s="345">
        <v>0</v>
      </c>
      <c r="T77" s="345">
        <v>0</v>
      </c>
      <c r="U77" s="345">
        <v>0</v>
      </c>
      <c r="V77" s="345">
        <v>0</v>
      </c>
      <c r="W77" s="345">
        <v>0</v>
      </c>
      <c r="X77" s="345">
        <v>0</v>
      </c>
      <c r="Y77" s="380">
        <v>0</v>
      </c>
      <c r="Z77" s="296">
        <f t="shared" si="82"/>
        <v>0</v>
      </c>
      <c r="AA77" s="298">
        <f t="shared" si="83"/>
        <v>0</v>
      </c>
      <c r="AB77" s="948">
        <f t="array" ref="AB77">IF(AND($AD$72=TRUE,SUM(B77:L77)&gt;0),SUMPRODUCT((((TRANSPOSE(Cls1CentDailyRng)&lt;INDEX(CDRANGE_CLS1,$A77-$A$76+1,AD$73))*TRANSPOSE(Cls1CentDailyRng)+(TRANSPOSE(Cls1CentDailyRng)&gt;INDEX(CDRANGE_CLS1,$A77-$A$76+1,AD$73))*INDEX(CDRANGE_CLS1,$A77-$A$76+1,AD$73))/TRANSPOSE(Cls1CentDailyRng)),B77:L77,TRANSPOSE(Cls1CentVMTShr))/SUMPRODUCT(B77:L77,TRANSPOSE(Cls1CentVMTShr)),0)</f>
        <v>0</v>
      </c>
      <c r="AC77" s="949">
        <f t="array" ref="AC77">IF(AND($AD$72=TRUE,SUM(O77:Y77)&gt;0),SUMPRODUCT((((TRANSPOSE(Cls1NCentDailyRng)&lt;INDEX(CDRANGE_CLS1,$A77-$A$76+1,AD$73))*TRANSPOSE(Cls1NCentDailyRng)+(TRANSPOSE(Cls1NCentDailyRng)&gt;INDEX(CDRANGE_CLS1,$A77-$A$76+1,AD$73))*INDEX(CDRANGE_CLS1,$A77-$A$76+1,AD$73))/TRANSPOSE(Cls1NCentDailyRng)),O77:Y77,TRANSPOSE(Cls1NCentVMTShr))/SUMPRODUCT(O77:Y77,TRANSPOSE(Cls1NCentVMTShr)),0)</f>
        <v>0</v>
      </c>
      <c r="AD77" s="1226">
        <f t="shared" si="84"/>
        <v>0</v>
      </c>
      <c r="AE77" s="937">
        <f t="shared" si="85"/>
        <v>0</v>
      </c>
      <c r="AF77" s="937">
        <f t="shared" si="86"/>
        <v>0</v>
      </c>
      <c r="AG77" s="937">
        <f t="shared" si="87"/>
        <v>0</v>
      </c>
      <c r="AH77" s="1172">
        <f t="shared" ref="AH77:AH119" si="88">IF(AG77&gt;0,AE77/AG77,0)</f>
        <v>0</v>
      </c>
      <c r="AI77" s="937">
        <f t="shared" ref="AI77:AI119" si="89">IF(AG77&gt;0,AF77/AG77,0)</f>
        <v>0</v>
      </c>
      <c r="AJ77"/>
      <c r="AK77"/>
      <c r="AL77"/>
      <c r="AM77" s="1171"/>
      <c r="AN77"/>
      <c r="AO77"/>
      <c r="AP77"/>
      <c r="AQ77"/>
      <c r="AR77"/>
      <c r="AS77"/>
      <c r="AT77"/>
      <c r="AU7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80"/>
        <v>0</v>
      </c>
      <c r="N78" s="298">
        <f t="shared" si="81"/>
        <v>0</v>
      </c>
      <c r="O78" s="344">
        <v>0</v>
      </c>
      <c r="P78" s="345">
        <v>0</v>
      </c>
      <c r="Q78" s="345">
        <v>0</v>
      </c>
      <c r="R78" s="345">
        <v>0</v>
      </c>
      <c r="S78" s="345">
        <v>0</v>
      </c>
      <c r="T78" s="345">
        <v>0</v>
      </c>
      <c r="U78" s="345">
        <v>0</v>
      </c>
      <c r="V78" s="345">
        <v>0</v>
      </c>
      <c r="W78" s="345">
        <v>0</v>
      </c>
      <c r="X78" s="345">
        <v>0</v>
      </c>
      <c r="Y78" s="380">
        <v>0</v>
      </c>
      <c r="Z78" s="296">
        <f t="shared" si="82"/>
        <v>0</v>
      </c>
      <c r="AA78" s="298">
        <f t="shared" si="83"/>
        <v>0</v>
      </c>
      <c r="AB78" s="948">
        <f t="array" ref="AB78">IF(AND($AD$72=TRUE,SUM(B78:L78)&gt;0),SUMPRODUCT((((TRANSPOSE(Cls1CentDailyRng)&lt;INDEX(CDRANGE_CLS1,$A78-$A$76+1,AD$73))*TRANSPOSE(Cls1CentDailyRng)+(TRANSPOSE(Cls1CentDailyRng)&gt;INDEX(CDRANGE_CLS1,$A78-$A$76+1,AD$73))*INDEX(CDRANGE_CLS1,$A78-$A$76+1,AD$73))/TRANSPOSE(Cls1CentDailyRng)),B78:L78,TRANSPOSE(Cls1CentVMTShr))/SUMPRODUCT(B78:L78,TRANSPOSE(Cls1CentVMTShr)),0)</f>
        <v>0</v>
      </c>
      <c r="AC78" s="949">
        <f t="array" ref="AC78">IF(AND($AD$72=TRUE,SUM(O78:Y78)&gt;0),SUMPRODUCT((((TRANSPOSE(Cls1NCentDailyRng)&lt;INDEX(CDRANGE_CLS1,$A78-$A$76+1,AD$73))*TRANSPOSE(Cls1NCentDailyRng)+(TRANSPOSE(Cls1NCentDailyRng)&gt;INDEX(CDRANGE_CLS1,$A78-$A$76+1,AD$73))*INDEX(CDRANGE_CLS1,$A78-$A$76+1,AD$73))/TRANSPOSE(Cls1NCentDailyRng)),O78:Y78,TRANSPOSE(Cls1NCentVMTShr))/SUMPRODUCT(O78:Y78,TRANSPOSE(Cls1NCentVMTShr)),0)</f>
        <v>0</v>
      </c>
      <c r="AD78" s="1226">
        <f t="shared" si="84"/>
        <v>0</v>
      </c>
      <c r="AE78" s="937">
        <f t="shared" si="85"/>
        <v>0</v>
      </c>
      <c r="AF78" s="937">
        <f t="shared" si="86"/>
        <v>0</v>
      </c>
      <c r="AG78" s="937">
        <f t="shared" si="87"/>
        <v>0</v>
      </c>
      <c r="AH78" s="1172">
        <f t="shared" si="88"/>
        <v>0</v>
      </c>
      <c r="AI78" s="937">
        <f t="shared" si="89"/>
        <v>0</v>
      </c>
      <c r="AJ78"/>
      <c r="AK78"/>
      <c r="AL78"/>
      <c r="AM78" s="1171"/>
      <c r="AN78"/>
      <c r="AO78"/>
      <c r="AP78"/>
      <c r="AQ78"/>
      <c r="AR78"/>
      <c r="AS78"/>
      <c r="AT78"/>
      <c r="AU78"/>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80"/>
        <v>0</v>
      </c>
      <c r="N79" s="312">
        <f t="shared" si="81"/>
        <v>0</v>
      </c>
      <c r="O79" s="346">
        <v>0</v>
      </c>
      <c r="P79" s="347">
        <v>0</v>
      </c>
      <c r="Q79" s="347">
        <v>0</v>
      </c>
      <c r="R79" s="347">
        <v>0</v>
      </c>
      <c r="S79" s="347">
        <v>0</v>
      </c>
      <c r="T79" s="347">
        <v>0</v>
      </c>
      <c r="U79" s="347">
        <v>0</v>
      </c>
      <c r="V79" s="347">
        <v>0</v>
      </c>
      <c r="W79" s="347">
        <v>0</v>
      </c>
      <c r="X79" s="347">
        <v>0</v>
      </c>
      <c r="Y79" s="381">
        <v>0</v>
      </c>
      <c r="Z79" s="310">
        <f t="shared" si="82"/>
        <v>0</v>
      </c>
      <c r="AA79" s="312">
        <f t="shared" si="83"/>
        <v>0</v>
      </c>
      <c r="AB79" s="948">
        <f t="array" ref="AB79">IF(AND($AD$72=TRUE,SUM(B79:L79)&gt;0),SUMPRODUCT((((TRANSPOSE(Cls1CentDailyRng)&lt;INDEX(CDRANGE_CLS1,$A79-$A$76+1,AD$73))*TRANSPOSE(Cls1CentDailyRng)+(TRANSPOSE(Cls1CentDailyRng)&gt;INDEX(CDRANGE_CLS1,$A79-$A$76+1,AD$73))*INDEX(CDRANGE_CLS1,$A79-$A$76+1,AD$73))/TRANSPOSE(Cls1CentDailyRng)),B79:L79,TRANSPOSE(Cls1CentVMTShr))/SUMPRODUCT(B79:L79,TRANSPOSE(Cls1CentVMTShr)),0)</f>
        <v>0</v>
      </c>
      <c r="AC79" s="949">
        <f t="array" ref="AC79">IF(AND($AD$72=TRUE,SUM(O79:Y79)&gt;0),SUMPRODUCT((((TRANSPOSE(Cls1NCentDailyRng)&lt;INDEX(CDRANGE_CLS1,$A79-$A$76+1,AD$73))*TRANSPOSE(Cls1NCentDailyRng)+(TRANSPOSE(Cls1NCentDailyRng)&gt;INDEX(CDRANGE_CLS1,$A79-$A$76+1,AD$73))*INDEX(CDRANGE_CLS1,$A79-$A$76+1,AD$73))/TRANSPOSE(Cls1NCentDailyRng)),O79:Y79,TRANSPOSE(Cls1NCentVMTShr))/SUMPRODUCT(O79:Y79,TRANSPOSE(Cls1NCentVMTShr)),0)</f>
        <v>0</v>
      </c>
      <c r="AD79" s="1226">
        <f t="shared" si="84"/>
        <v>0</v>
      </c>
      <c r="AE79" s="937">
        <f t="shared" si="85"/>
        <v>0</v>
      </c>
      <c r="AF79" s="937">
        <f t="shared" si="86"/>
        <v>0</v>
      </c>
      <c r="AG79" s="937">
        <f t="shared" si="87"/>
        <v>0</v>
      </c>
      <c r="AH79" s="1172">
        <f t="shared" si="88"/>
        <v>0</v>
      </c>
      <c r="AI79" s="937">
        <f t="shared" si="89"/>
        <v>0</v>
      </c>
      <c r="AJ79" s="1169"/>
      <c r="AK79" s="1169"/>
      <c r="AL79" s="1169"/>
      <c r="AM79" s="1171"/>
      <c r="AN79" s="1169"/>
      <c r="AO79" s="1169"/>
      <c r="AP79" s="1169"/>
      <c r="AQ79" s="1169"/>
      <c r="AR79" s="1169"/>
      <c r="AS79" s="1169"/>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80"/>
        <v>0</v>
      </c>
      <c r="N80" s="284">
        <f t="shared" si="81"/>
        <v>0</v>
      </c>
      <c r="O80" s="342">
        <v>0</v>
      </c>
      <c r="P80" s="343">
        <v>0</v>
      </c>
      <c r="Q80" s="343">
        <v>0</v>
      </c>
      <c r="R80" s="343">
        <v>0</v>
      </c>
      <c r="S80" s="343">
        <v>0</v>
      </c>
      <c r="T80" s="343">
        <v>0</v>
      </c>
      <c r="U80" s="343">
        <v>0</v>
      </c>
      <c r="V80" s="343">
        <v>0</v>
      </c>
      <c r="W80" s="343">
        <v>0</v>
      </c>
      <c r="X80" s="343">
        <v>0</v>
      </c>
      <c r="Y80" s="379">
        <v>0</v>
      </c>
      <c r="Z80" s="282">
        <f t="shared" si="82"/>
        <v>0</v>
      </c>
      <c r="AA80" s="284">
        <f t="shared" si="83"/>
        <v>0</v>
      </c>
      <c r="AB80" s="948">
        <f t="array" ref="AB80">IF(AND($AD$72=TRUE,SUM(B80:L80)&gt;0),SUMPRODUCT((((TRANSPOSE(Cls1CentDailyRng)&lt;INDEX(CDRANGE_CLS1,$A80-$A$76+1,AD$73))*TRANSPOSE(Cls1CentDailyRng)+(TRANSPOSE(Cls1CentDailyRng)&gt;INDEX(CDRANGE_CLS1,$A80-$A$76+1,AD$73))*INDEX(CDRANGE_CLS1,$A80-$A$76+1,AD$73))/TRANSPOSE(Cls1CentDailyRng)),B80:L80,TRANSPOSE(Cls1CentVMTShr))/SUMPRODUCT(B80:L80,TRANSPOSE(Cls1CentVMTShr)),0)</f>
        <v>0</v>
      </c>
      <c r="AC80" s="949">
        <f t="array" ref="AC80">IF(AND($AD$72=TRUE,SUM(O80:Y80)&gt;0),SUMPRODUCT((((TRANSPOSE(Cls1NCentDailyRng)&lt;INDEX(CDRANGE_CLS1,$A80-$A$76+1,AD$73))*TRANSPOSE(Cls1NCentDailyRng)+(TRANSPOSE(Cls1NCentDailyRng)&gt;INDEX(CDRANGE_CLS1,$A80-$A$76+1,AD$73))*INDEX(CDRANGE_CLS1,$A80-$A$76+1,AD$73))/TRANSPOSE(Cls1NCentDailyRng)),O80:Y80,TRANSPOSE(Cls1NCentVMTShr))/SUMPRODUCT(O80:Y80,TRANSPOSE(Cls1NCentVMTShr)),0)</f>
        <v>0</v>
      </c>
      <c r="AD80" s="1226">
        <f t="shared" si="84"/>
        <v>0</v>
      </c>
      <c r="AE80" s="937">
        <f t="shared" si="85"/>
        <v>0</v>
      </c>
      <c r="AF80" s="937">
        <f t="shared" si="86"/>
        <v>0</v>
      </c>
      <c r="AG80" s="937">
        <f t="shared" si="87"/>
        <v>0</v>
      </c>
      <c r="AH80" s="1172">
        <f t="shared" si="88"/>
        <v>0</v>
      </c>
      <c r="AI80" s="937">
        <f t="shared" si="89"/>
        <v>0</v>
      </c>
      <c r="AJ80" s="1169"/>
      <c r="AK80" s="1169"/>
      <c r="AL80" s="1169"/>
      <c r="AM80" s="1171"/>
      <c r="AN80" s="1169"/>
      <c r="AO80" s="1169"/>
      <c r="AP80" s="1169"/>
      <c r="AQ80" s="1169"/>
      <c r="AR80" s="1169"/>
      <c r="AS80" s="1169"/>
    </row>
    <row r="81" spans="1:45" x14ac:dyDescent="0.2">
      <c r="A81" s="330">
        <v>2012</v>
      </c>
      <c r="B81" s="344">
        <v>0</v>
      </c>
      <c r="C81" s="345">
        <v>0</v>
      </c>
      <c r="D81" s="345">
        <v>0</v>
      </c>
      <c r="E81" s="345">
        <v>0</v>
      </c>
      <c r="F81" s="345">
        <v>0</v>
      </c>
      <c r="G81" s="345">
        <v>0</v>
      </c>
      <c r="H81" s="345">
        <v>0</v>
      </c>
      <c r="I81" s="345">
        <v>0</v>
      </c>
      <c r="J81" s="345">
        <v>0</v>
      </c>
      <c r="K81" s="345">
        <v>0</v>
      </c>
      <c r="L81" s="380">
        <v>0</v>
      </c>
      <c r="M81" s="296">
        <f t="shared" si="80"/>
        <v>0</v>
      </c>
      <c r="N81" s="298">
        <f t="shared" si="81"/>
        <v>0</v>
      </c>
      <c r="O81" s="344">
        <v>0</v>
      </c>
      <c r="P81" s="345">
        <v>0</v>
      </c>
      <c r="Q81" s="345">
        <v>0</v>
      </c>
      <c r="R81" s="345">
        <v>0</v>
      </c>
      <c r="S81" s="345">
        <v>0</v>
      </c>
      <c r="T81" s="345">
        <v>0</v>
      </c>
      <c r="U81" s="345">
        <v>0</v>
      </c>
      <c r="V81" s="345">
        <v>0</v>
      </c>
      <c r="W81" s="345">
        <v>0</v>
      </c>
      <c r="X81" s="345">
        <v>0</v>
      </c>
      <c r="Y81" s="380">
        <v>0</v>
      </c>
      <c r="Z81" s="296">
        <f t="shared" si="82"/>
        <v>0</v>
      </c>
      <c r="AA81" s="298">
        <f t="shared" si="83"/>
        <v>0</v>
      </c>
      <c r="AB81" s="948">
        <f t="array" ref="AB81">IF(AND($AD$72=TRUE,SUM(B81:L81)&gt;0),SUMPRODUCT((((TRANSPOSE(Cls1CentDailyRng)&lt;INDEX(CDRANGE_CLS1,$A81-$A$76+1,AD$73))*TRANSPOSE(Cls1CentDailyRng)+(TRANSPOSE(Cls1CentDailyRng)&gt;INDEX(CDRANGE_CLS1,$A81-$A$76+1,AD$73))*INDEX(CDRANGE_CLS1,$A81-$A$76+1,AD$73))/TRANSPOSE(Cls1CentDailyRng)),B81:L81,TRANSPOSE(Cls1CentVMTShr))/SUMPRODUCT(B81:L81,TRANSPOSE(Cls1CentVMTShr)),0)</f>
        <v>0</v>
      </c>
      <c r="AC81" s="949">
        <f t="array" ref="AC81">IF(AND($AD$72=TRUE,SUM(O81:Y81)&gt;0),SUMPRODUCT((((TRANSPOSE(Cls1NCentDailyRng)&lt;INDEX(CDRANGE_CLS1,$A81-$A$76+1,AD$73))*TRANSPOSE(Cls1NCentDailyRng)+(TRANSPOSE(Cls1NCentDailyRng)&gt;INDEX(CDRANGE_CLS1,$A81-$A$76+1,AD$73))*INDEX(CDRANGE_CLS1,$A81-$A$76+1,AD$73))/TRANSPOSE(Cls1NCentDailyRng)),O81:Y81,TRANSPOSE(Cls1NCentVMTShr))/SUMPRODUCT(O81:Y81,TRANSPOSE(Cls1NCentVMTShr)),0)</f>
        <v>0</v>
      </c>
      <c r="AD81" s="1226">
        <f t="shared" si="84"/>
        <v>0</v>
      </c>
      <c r="AE81" s="937">
        <f t="shared" si="85"/>
        <v>0</v>
      </c>
      <c r="AF81" s="937">
        <f t="shared" si="86"/>
        <v>0</v>
      </c>
      <c r="AG81" s="937">
        <f t="shared" si="87"/>
        <v>0</v>
      </c>
      <c r="AH81" s="1172">
        <f t="shared" si="88"/>
        <v>0</v>
      </c>
      <c r="AI81" s="937">
        <f t="shared" si="89"/>
        <v>0</v>
      </c>
      <c r="AJ81" s="1169"/>
      <c r="AK81" s="1169"/>
      <c r="AL81" s="1169"/>
      <c r="AM81" s="1171"/>
      <c r="AN81" s="1169"/>
      <c r="AO81" s="1169"/>
      <c r="AP81" s="1169"/>
      <c r="AQ81" s="1169"/>
      <c r="AR81" s="1169"/>
      <c r="AS81" s="1169"/>
    </row>
    <row r="82" spans="1:45" x14ac:dyDescent="0.2">
      <c r="A82" s="330">
        <v>2013</v>
      </c>
      <c r="B82" s="344">
        <v>0</v>
      </c>
      <c r="C82" s="345">
        <v>0</v>
      </c>
      <c r="D82" s="345">
        <v>0</v>
      </c>
      <c r="E82" s="345">
        <v>0</v>
      </c>
      <c r="F82" s="345">
        <v>0</v>
      </c>
      <c r="G82" s="345">
        <v>0</v>
      </c>
      <c r="H82" s="345">
        <v>0</v>
      </c>
      <c r="I82" s="345">
        <v>0</v>
      </c>
      <c r="J82" s="345">
        <v>0</v>
      </c>
      <c r="K82" s="345">
        <v>0</v>
      </c>
      <c r="L82" s="380">
        <v>0</v>
      </c>
      <c r="M82" s="296">
        <f t="shared" si="80"/>
        <v>0</v>
      </c>
      <c r="N82" s="298">
        <f t="shared" si="81"/>
        <v>0</v>
      </c>
      <c r="O82" s="344">
        <v>0</v>
      </c>
      <c r="P82" s="345">
        <v>0</v>
      </c>
      <c r="Q82" s="345">
        <v>0</v>
      </c>
      <c r="R82" s="345">
        <v>0</v>
      </c>
      <c r="S82" s="345">
        <v>0</v>
      </c>
      <c r="T82" s="345">
        <v>0</v>
      </c>
      <c r="U82" s="345">
        <v>0</v>
      </c>
      <c r="V82" s="345">
        <v>0</v>
      </c>
      <c r="W82" s="345">
        <v>0</v>
      </c>
      <c r="X82" s="345">
        <v>0</v>
      </c>
      <c r="Y82" s="380">
        <v>0</v>
      </c>
      <c r="Z82" s="296">
        <f t="shared" si="82"/>
        <v>0</v>
      </c>
      <c r="AA82" s="298">
        <f t="shared" si="83"/>
        <v>0</v>
      </c>
      <c r="AB82" s="948">
        <f t="array" ref="AB82">IF(AND($AD$72=TRUE,SUM(B82:L82)&gt;0),SUMPRODUCT((((TRANSPOSE(Cls1CentDailyRng)&lt;INDEX(CDRANGE_CLS1,$A82-$A$76+1,AD$73))*TRANSPOSE(Cls1CentDailyRng)+(TRANSPOSE(Cls1CentDailyRng)&gt;INDEX(CDRANGE_CLS1,$A82-$A$76+1,AD$73))*INDEX(CDRANGE_CLS1,$A82-$A$76+1,AD$73))/TRANSPOSE(Cls1CentDailyRng)),B82:L82,TRANSPOSE(Cls1CentVMTShr))/SUMPRODUCT(B82:L82,TRANSPOSE(Cls1CentVMTShr)),0)</f>
        <v>0</v>
      </c>
      <c r="AC82" s="949">
        <f t="array" ref="AC82">IF(AND($AD$72=TRUE,SUM(O82:Y82)&gt;0),SUMPRODUCT((((TRANSPOSE(Cls1NCentDailyRng)&lt;INDEX(CDRANGE_CLS1,$A82-$A$76+1,AD$73))*TRANSPOSE(Cls1NCentDailyRng)+(TRANSPOSE(Cls1NCentDailyRng)&gt;INDEX(CDRANGE_CLS1,$A82-$A$76+1,AD$73))*INDEX(CDRANGE_CLS1,$A82-$A$76+1,AD$73))/TRANSPOSE(Cls1NCentDailyRng)),O82:Y82,TRANSPOSE(Cls1NCentVMTShr))/SUMPRODUCT(O82:Y82,TRANSPOSE(Cls1NCentVMTShr)),0)</f>
        <v>0</v>
      </c>
      <c r="AD82" s="1226">
        <f t="shared" si="84"/>
        <v>0</v>
      </c>
      <c r="AE82" s="937">
        <f t="shared" si="85"/>
        <v>0</v>
      </c>
      <c r="AF82" s="937">
        <f t="shared" si="86"/>
        <v>0</v>
      </c>
      <c r="AG82" s="937">
        <f t="shared" si="87"/>
        <v>0</v>
      </c>
      <c r="AH82" s="1172">
        <f t="shared" si="88"/>
        <v>0</v>
      </c>
      <c r="AI82" s="937">
        <f t="shared" si="89"/>
        <v>0</v>
      </c>
      <c r="AJ82" s="1169"/>
      <c r="AK82" s="1169"/>
      <c r="AL82" s="1169"/>
      <c r="AM82" s="1171"/>
      <c r="AN82" s="1169"/>
      <c r="AO82" s="1169"/>
      <c r="AP82" s="1169"/>
      <c r="AQ82" s="1169"/>
      <c r="AR82" s="1169"/>
      <c r="AS82" s="1169"/>
    </row>
    <row r="83" spans="1:45" x14ac:dyDescent="0.2">
      <c r="A83" s="330">
        <v>2014</v>
      </c>
      <c r="B83" s="344">
        <v>0</v>
      </c>
      <c r="C83" s="345">
        <v>0</v>
      </c>
      <c r="D83" s="345">
        <v>0</v>
      </c>
      <c r="E83" s="345">
        <v>0</v>
      </c>
      <c r="F83" s="345">
        <v>0</v>
      </c>
      <c r="G83" s="345">
        <v>0</v>
      </c>
      <c r="H83" s="345">
        <v>0</v>
      </c>
      <c r="I83" s="345">
        <v>0</v>
      </c>
      <c r="J83" s="345">
        <v>0</v>
      </c>
      <c r="K83" s="345">
        <v>0</v>
      </c>
      <c r="L83" s="380">
        <v>0</v>
      </c>
      <c r="M83" s="296">
        <f t="shared" si="80"/>
        <v>0</v>
      </c>
      <c r="N83" s="298">
        <f t="shared" si="81"/>
        <v>0</v>
      </c>
      <c r="O83" s="344">
        <v>0</v>
      </c>
      <c r="P83" s="345">
        <v>0</v>
      </c>
      <c r="Q83" s="345">
        <v>0</v>
      </c>
      <c r="R83" s="345">
        <v>0</v>
      </c>
      <c r="S83" s="345">
        <v>0</v>
      </c>
      <c r="T83" s="345">
        <v>0</v>
      </c>
      <c r="U83" s="345">
        <v>0</v>
      </c>
      <c r="V83" s="345">
        <v>0</v>
      </c>
      <c r="W83" s="345">
        <v>0</v>
      </c>
      <c r="X83" s="345">
        <v>0</v>
      </c>
      <c r="Y83" s="380">
        <v>0</v>
      </c>
      <c r="Z83" s="296">
        <f t="shared" si="82"/>
        <v>0</v>
      </c>
      <c r="AA83" s="298">
        <f t="shared" si="83"/>
        <v>0</v>
      </c>
      <c r="AB83" s="948">
        <f t="array" ref="AB83">IF(AND($AD$72=TRUE,SUM(B83:L83)&gt;0),SUMPRODUCT((((TRANSPOSE(Cls1CentDailyRng)&lt;INDEX(CDRANGE_CLS1,$A83-$A$76+1,AD$73))*TRANSPOSE(Cls1CentDailyRng)+(TRANSPOSE(Cls1CentDailyRng)&gt;INDEX(CDRANGE_CLS1,$A83-$A$76+1,AD$73))*INDEX(CDRANGE_CLS1,$A83-$A$76+1,AD$73))/TRANSPOSE(Cls1CentDailyRng)),B83:L83,TRANSPOSE(Cls1CentVMTShr))/SUMPRODUCT(B83:L83,TRANSPOSE(Cls1CentVMTShr)),0)</f>
        <v>0</v>
      </c>
      <c r="AC83" s="949">
        <f t="array" ref="AC83">IF(AND($AD$72=TRUE,SUM(O83:Y83)&gt;0),SUMPRODUCT((((TRANSPOSE(Cls1NCentDailyRng)&lt;INDEX(CDRANGE_CLS1,$A83-$A$76+1,AD$73))*TRANSPOSE(Cls1NCentDailyRng)+(TRANSPOSE(Cls1NCentDailyRng)&gt;INDEX(CDRANGE_CLS1,$A83-$A$76+1,AD$73))*INDEX(CDRANGE_CLS1,$A83-$A$76+1,AD$73))/TRANSPOSE(Cls1NCentDailyRng)),O83:Y83,TRANSPOSE(Cls1NCentVMTShr))/SUMPRODUCT(O83:Y83,TRANSPOSE(Cls1NCentVMTShr)),0)</f>
        <v>0</v>
      </c>
      <c r="AD83" s="1226">
        <f t="shared" si="84"/>
        <v>0</v>
      </c>
      <c r="AE83" s="937">
        <f t="shared" si="85"/>
        <v>0</v>
      </c>
      <c r="AF83" s="937">
        <f t="shared" si="86"/>
        <v>0</v>
      </c>
      <c r="AG83" s="937">
        <f t="shared" si="87"/>
        <v>0</v>
      </c>
      <c r="AH83" s="1172">
        <f t="shared" si="88"/>
        <v>0</v>
      </c>
      <c r="AI83" s="937">
        <f t="shared" si="89"/>
        <v>0</v>
      </c>
      <c r="AJ83" s="1169"/>
      <c r="AK83" s="1169"/>
      <c r="AL83" s="1169"/>
      <c r="AM83" s="1171"/>
      <c r="AN83" s="1169"/>
      <c r="AO83" s="1169"/>
      <c r="AP83" s="1169"/>
      <c r="AQ83" s="1169"/>
      <c r="AR83" s="1169"/>
      <c r="AS83" s="1169"/>
    </row>
    <row r="84" spans="1:45" ht="15" thickBot="1" x14ac:dyDescent="0.25">
      <c r="A84" s="328">
        <v>2015</v>
      </c>
      <c r="B84" s="346">
        <v>0</v>
      </c>
      <c r="C84" s="347">
        <v>0</v>
      </c>
      <c r="D84" s="347">
        <v>0</v>
      </c>
      <c r="E84" s="347">
        <v>0</v>
      </c>
      <c r="F84" s="347">
        <v>0</v>
      </c>
      <c r="G84" s="347">
        <v>0</v>
      </c>
      <c r="H84" s="347">
        <v>0</v>
      </c>
      <c r="I84" s="347">
        <v>0</v>
      </c>
      <c r="J84" s="347">
        <v>0</v>
      </c>
      <c r="K84" s="347">
        <v>0</v>
      </c>
      <c r="L84" s="381">
        <v>0</v>
      </c>
      <c r="M84" s="310">
        <f t="shared" si="80"/>
        <v>0</v>
      </c>
      <c r="N84" s="312">
        <f t="shared" si="81"/>
        <v>0</v>
      </c>
      <c r="O84" s="346">
        <v>0</v>
      </c>
      <c r="P84" s="347">
        <v>0</v>
      </c>
      <c r="Q84" s="347">
        <v>0</v>
      </c>
      <c r="R84" s="347">
        <v>0</v>
      </c>
      <c r="S84" s="347">
        <v>0</v>
      </c>
      <c r="T84" s="347">
        <v>0</v>
      </c>
      <c r="U84" s="347">
        <v>0</v>
      </c>
      <c r="V84" s="347">
        <v>0</v>
      </c>
      <c r="W84" s="347">
        <v>0</v>
      </c>
      <c r="X84" s="347">
        <v>0</v>
      </c>
      <c r="Y84" s="381">
        <v>0</v>
      </c>
      <c r="Z84" s="310">
        <f t="shared" si="82"/>
        <v>0</v>
      </c>
      <c r="AA84" s="312">
        <f t="shared" si="83"/>
        <v>0</v>
      </c>
      <c r="AB84" s="948">
        <f t="array" ref="AB84">IF(AND($AD$72=TRUE,SUM(B84:L84)&gt;0),SUMPRODUCT((((TRANSPOSE(Cls1CentDailyRng)&lt;INDEX(CDRANGE_CLS1,$A84-$A$76+1,AD$73))*TRANSPOSE(Cls1CentDailyRng)+(TRANSPOSE(Cls1CentDailyRng)&gt;INDEX(CDRANGE_CLS1,$A84-$A$76+1,AD$73))*INDEX(CDRANGE_CLS1,$A84-$A$76+1,AD$73))/TRANSPOSE(Cls1CentDailyRng)),B84:L84,TRANSPOSE(Cls1CentVMTShr))/SUMPRODUCT(B84:L84,TRANSPOSE(Cls1CentVMTShr)),0)</f>
        <v>0</v>
      </c>
      <c r="AC84" s="949">
        <f t="array" ref="AC84">IF(AND($AD$72=TRUE,SUM(O84:Y84)&gt;0),SUMPRODUCT((((TRANSPOSE(Cls1NCentDailyRng)&lt;INDEX(CDRANGE_CLS1,$A84-$A$76+1,AD$73))*TRANSPOSE(Cls1NCentDailyRng)+(TRANSPOSE(Cls1NCentDailyRng)&gt;INDEX(CDRANGE_CLS1,$A84-$A$76+1,AD$73))*INDEX(CDRANGE_CLS1,$A84-$A$76+1,AD$73))/TRANSPOSE(Cls1NCentDailyRng)),O84:Y84,TRANSPOSE(Cls1NCentVMTShr))/SUMPRODUCT(O84:Y84,TRANSPOSE(Cls1NCentVMTShr)),0)</f>
        <v>0</v>
      </c>
      <c r="AD84" s="1226">
        <f t="shared" si="84"/>
        <v>0</v>
      </c>
      <c r="AE84" s="937">
        <f t="shared" si="85"/>
        <v>0</v>
      </c>
      <c r="AF84" s="937">
        <f t="shared" si="86"/>
        <v>0</v>
      </c>
      <c r="AG84" s="937">
        <f t="shared" si="87"/>
        <v>0</v>
      </c>
      <c r="AH84" s="1172">
        <f t="shared" si="88"/>
        <v>0</v>
      </c>
      <c r="AI84" s="937">
        <f t="shared" si="89"/>
        <v>0</v>
      </c>
      <c r="AJ84" s="1169"/>
      <c r="AK84" s="1169"/>
      <c r="AL84" s="1169"/>
      <c r="AM84" s="1171"/>
      <c r="AN84" s="1169"/>
      <c r="AO84" s="1169"/>
      <c r="AP84" s="1169"/>
      <c r="AQ84" s="1169"/>
      <c r="AR84" s="1169"/>
      <c r="AS84" s="1169"/>
    </row>
    <row r="85" spans="1:45" x14ac:dyDescent="0.2">
      <c r="A85" s="329">
        <v>2016</v>
      </c>
      <c r="B85" s="342">
        <v>0</v>
      </c>
      <c r="C85" s="343">
        <v>0</v>
      </c>
      <c r="D85" s="343">
        <v>0</v>
      </c>
      <c r="E85" s="343">
        <v>0</v>
      </c>
      <c r="F85" s="343">
        <v>0</v>
      </c>
      <c r="G85" s="343">
        <v>0</v>
      </c>
      <c r="H85" s="343">
        <v>0</v>
      </c>
      <c r="I85" s="343">
        <v>0</v>
      </c>
      <c r="J85" s="343">
        <v>0</v>
      </c>
      <c r="K85" s="343">
        <v>0</v>
      </c>
      <c r="L85" s="379">
        <v>0</v>
      </c>
      <c r="M85" s="282">
        <f t="shared" si="80"/>
        <v>0</v>
      </c>
      <c r="N85" s="284">
        <f t="shared" si="81"/>
        <v>0</v>
      </c>
      <c r="O85" s="342">
        <v>0</v>
      </c>
      <c r="P85" s="343">
        <v>0</v>
      </c>
      <c r="Q85" s="343">
        <v>0</v>
      </c>
      <c r="R85" s="343">
        <v>0</v>
      </c>
      <c r="S85" s="343">
        <v>0</v>
      </c>
      <c r="T85" s="343">
        <v>0</v>
      </c>
      <c r="U85" s="343">
        <v>0</v>
      </c>
      <c r="V85" s="343">
        <v>0</v>
      </c>
      <c r="W85" s="343">
        <v>0</v>
      </c>
      <c r="X85" s="343">
        <v>0</v>
      </c>
      <c r="Y85" s="379">
        <v>0</v>
      </c>
      <c r="Z85" s="282">
        <f t="shared" si="82"/>
        <v>0</v>
      </c>
      <c r="AA85" s="284">
        <f t="shared" si="83"/>
        <v>0</v>
      </c>
      <c r="AB85" s="948">
        <f t="array" ref="AB85">IF(AND($AD$72=TRUE,SUM(B85:L85)&gt;0),SUMPRODUCT((((TRANSPOSE(Cls1CentDailyRng)&lt;INDEX(CDRANGE_CLS1,$A85-$A$76+1,AD$73))*TRANSPOSE(Cls1CentDailyRng)+(TRANSPOSE(Cls1CentDailyRng)&gt;INDEX(CDRANGE_CLS1,$A85-$A$76+1,AD$73))*INDEX(CDRANGE_CLS1,$A85-$A$76+1,AD$73))/TRANSPOSE(Cls1CentDailyRng)),B85:L85,TRANSPOSE(Cls1CentVMTShr))/SUMPRODUCT(B85:L85,TRANSPOSE(Cls1CentVMTShr)),0)</f>
        <v>0</v>
      </c>
      <c r="AC85" s="949">
        <f t="array" ref="AC85">IF(AND($AD$72=TRUE,SUM(O85:Y85)&gt;0),SUMPRODUCT((((TRANSPOSE(Cls1NCentDailyRng)&lt;INDEX(CDRANGE_CLS1,$A85-$A$76+1,AD$73))*TRANSPOSE(Cls1NCentDailyRng)+(TRANSPOSE(Cls1NCentDailyRng)&gt;INDEX(CDRANGE_CLS1,$A85-$A$76+1,AD$73))*INDEX(CDRANGE_CLS1,$A85-$A$76+1,AD$73))/TRANSPOSE(Cls1NCentDailyRng)),O85:Y85,TRANSPOSE(Cls1NCentVMTShr))/SUMPRODUCT(O85:Y85,TRANSPOSE(Cls1NCentVMTShr)),0)</f>
        <v>0</v>
      </c>
      <c r="AD85" s="1226">
        <f t="shared" si="84"/>
        <v>0</v>
      </c>
      <c r="AE85" s="937">
        <f t="shared" si="85"/>
        <v>0</v>
      </c>
      <c r="AF85" s="937">
        <f t="shared" si="86"/>
        <v>0</v>
      </c>
      <c r="AG85" s="937">
        <f t="shared" si="87"/>
        <v>0</v>
      </c>
      <c r="AH85" s="1172">
        <f t="shared" si="88"/>
        <v>0</v>
      </c>
      <c r="AI85" s="937">
        <f t="shared" si="89"/>
        <v>0</v>
      </c>
      <c r="AJ85" s="1169"/>
      <c r="AK85" s="1169"/>
      <c r="AL85" s="1169"/>
      <c r="AM85" s="1171"/>
      <c r="AN85" s="1169"/>
      <c r="AO85" s="1169"/>
      <c r="AP85" s="1169"/>
      <c r="AQ85" s="1169"/>
      <c r="AR85" s="1169"/>
      <c r="AS85" s="1169"/>
    </row>
    <row r="86" spans="1:45" x14ac:dyDescent="0.2">
      <c r="A86" s="330">
        <v>2017</v>
      </c>
      <c r="B86" s="344">
        <v>0</v>
      </c>
      <c r="C86" s="345">
        <v>0</v>
      </c>
      <c r="D86" s="345">
        <v>0</v>
      </c>
      <c r="E86" s="345">
        <v>0</v>
      </c>
      <c r="F86" s="345">
        <v>0</v>
      </c>
      <c r="G86" s="345">
        <v>0</v>
      </c>
      <c r="H86" s="345">
        <v>0</v>
      </c>
      <c r="I86" s="345">
        <v>0</v>
      </c>
      <c r="J86" s="345">
        <v>0</v>
      </c>
      <c r="K86" s="345">
        <v>0</v>
      </c>
      <c r="L86" s="380">
        <v>0</v>
      </c>
      <c r="M86" s="296">
        <f t="shared" si="80"/>
        <v>0</v>
      </c>
      <c r="N86" s="298">
        <f t="shared" si="81"/>
        <v>0</v>
      </c>
      <c r="O86" s="344">
        <v>0</v>
      </c>
      <c r="P86" s="345">
        <v>0</v>
      </c>
      <c r="Q86" s="345">
        <v>0</v>
      </c>
      <c r="R86" s="345">
        <v>0</v>
      </c>
      <c r="S86" s="345">
        <v>0</v>
      </c>
      <c r="T86" s="345">
        <v>0</v>
      </c>
      <c r="U86" s="345">
        <v>0</v>
      </c>
      <c r="V86" s="345">
        <v>0</v>
      </c>
      <c r="W86" s="345">
        <v>0</v>
      </c>
      <c r="X86" s="345">
        <v>0</v>
      </c>
      <c r="Y86" s="380">
        <v>0</v>
      </c>
      <c r="Z86" s="296">
        <f t="shared" si="82"/>
        <v>0</v>
      </c>
      <c r="AA86" s="298">
        <f t="shared" si="83"/>
        <v>0</v>
      </c>
      <c r="AB86" s="948">
        <f t="array" ref="AB86">IF(AND($AD$72=TRUE,SUM(B86:L86)&gt;0),SUMPRODUCT((((TRANSPOSE(Cls1CentDailyRng)&lt;INDEX(CDRANGE_CLS1,$A86-$A$76+1,AD$73))*TRANSPOSE(Cls1CentDailyRng)+(TRANSPOSE(Cls1CentDailyRng)&gt;INDEX(CDRANGE_CLS1,$A86-$A$76+1,AD$73))*INDEX(CDRANGE_CLS1,$A86-$A$76+1,AD$73))/TRANSPOSE(Cls1CentDailyRng)),B86:L86,TRANSPOSE(Cls1CentVMTShr))/SUMPRODUCT(B86:L86,TRANSPOSE(Cls1CentVMTShr)),0)</f>
        <v>0</v>
      </c>
      <c r="AC86" s="949">
        <f t="array" ref="AC86">IF(AND($AD$72=TRUE,SUM(O86:Y86)&gt;0),SUMPRODUCT((((TRANSPOSE(Cls1NCentDailyRng)&lt;INDEX(CDRANGE_CLS1,$A86-$A$76+1,AD$73))*TRANSPOSE(Cls1NCentDailyRng)+(TRANSPOSE(Cls1NCentDailyRng)&gt;INDEX(CDRANGE_CLS1,$A86-$A$76+1,AD$73))*INDEX(CDRANGE_CLS1,$A86-$A$76+1,AD$73))/TRANSPOSE(Cls1NCentDailyRng)),O86:Y86,TRANSPOSE(Cls1NCentVMTShr))/SUMPRODUCT(O86:Y86,TRANSPOSE(Cls1NCentVMTShr)),0)</f>
        <v>0</v>
      </c>
      <c r="AD86" s="1226">
        <f t="shared" si="84"/>
        <v>0</v>
      </c>
      <c r="AE86" s="937">
        <f t="shared" si="85"/>
        <v>0</v>
      </c>
      <c r="AF86" s="937">
        <f t="shared" si="86"/>
        <v>0</v>
      </c>
      <c r="AG86" s="937">
        <f t="shared" si="87"/>
        <v>0</v>
      </c>
      <c r="AH86" s="1172">
        <f t="shared" si="88"/>
        <v>0</v>
      </c>
      <c r="AI86" s="937">
        <f t="shared" si="89"/>
        <v>0</v>
      </c>
      <c r="AJ86" s="1169"/>
      <c r="AK86" s="1169"/>
      <c r="AL86" s="1169"/>
      <c r="AM86" s="1171"/>
      <c r="AN86" s="1169"/>
      <c r="AO86" s="1169"/>
      <c r="AP86" s="1169"/>
      <c r="AQ86" s="1169"/>
      <c r="AR86" s="1169"/>
      <c r="AS86" s="1169"/>
    </row>
    <row r="87" spans="1:45" x14ac:dyDescent="0.2">
      <c r="A87" s="330">
        <v>2018</v>
      </c>
      <c r="B87" s="344">
        <v>0</v>
      </c>
      <c r="C87" s="345">
        <v>0</v>
      </c>
      <c r="D87" s="345">
        <v>0</v>
      </c>
      <c r="E87" s="345">
        <v>0</v>
      </c>
      <c r="F87" s="345">
        <v>0</v>
      </c>
      <c r="G87" s="345">
        <v>0</v>
      </c>
      <c r="H87" s="345">
        <v>0</v>
      </c>
      <c r="I87" s="345">
        <v>0</v>
      </c>
      <c r="J87" s="345">
        <v>0</v>
      </c>
      <c r="K87" s="345">
        <v>0</v>
      </c>
      <c r="L87" s="380">
        <v>0</v>
      </c>
      <c r="M87" s="296">
        <f t="shared" si="80"/>
        <v>0</v>
      </c>
      <c r="N87" s="298">
        <f t="shared" si="81"/>
        <v>0</v>
      </c>
      <c r="O87" s="344">
        <v>0</v>
      </c>
      <c r="P87" s="345">
        <v>0</v>
      </c>
      <c r="Q87" s="345">
        <v>0</v>
      </c>
      <c r="R87" s="345">
        <v>0</v>
      </c>
      <c r="S87" s="345">
        <v>0</v>
      </c>
      <c r="T87" s="345">
        <v>0</v>
      </c>
      <c r="U87" s="345">
        <v>0</v>
      </c>
      <c r="V87" s="345">
        <v>0</v>
      </c>
      <c r="W87" s="345">
        <v>0</v>
      </c>
      <c r="X87" s="345">
        <v>0</v>
      </c>
      <c r="Y87" s="380">
        <v>0</v>
      </c>
      <c r="Z87" s="296">
        <f t="shared" si="82"/>
        <v>0</v>
      </c>
      <c r="AA87" s="298">
        <f t="shared" si="83"/>
        <v>0</v>
      </c>
      <c r="AB87" s="948">
        <f t="array" ref="AB87">IF(AND($AD$72=TRUE,SUM(B87:L87)&gt;0),SUMPRODUCT((((TRANSPOSE(Cls1CentDailyRng)&lt;INDEX(CDRANGE_CLS1,$A87-$A$76+1,AD$73))*TRANSPOSE(Cls1CentDailyRng)+(TRANSPOSE(Cls1CentDailyRng)&gt;INDEX(CDRANGE_CLS1,$A87-$A$76+1,AD$73))*INDEX(CDRANGE_CLS1,$A87-$A$76+1,AD$73))/TRANSPOSE(Cls1CentDailyRng)),B87:L87,TRANSPOSE(Cls1CentVMTShr))/SUMPRODUCT(B87:L87,TRANSPOSE(Cls1CentVMTShr)),0)</f>
        <v>0</v>
      </c>
      <c r="AC87" s="949">
        <f t="array" ref="AC87">IF(AND($AD$72=TRUE,SUM(O87:Y87)&gt;0),SUMPRODUCT((((TRANSPOSE(Cls1NCentDailyRng)&lt;INDEX(CDRANGE_CLS1,$A87-$A$76+1,AD$73))*TRANSPOSE(Cls1NCentDailyRng)+(TRANSPOSE(Cls1NCentDailyRng)&gt;INDEX(CDRANGE_CLS1,$A87-$A$76+1,AD$73))*INDEX(CDRANGE_CLS1,$A87-$A$76+1,AD$73))/TRANSPOSE(Cls1NCentDailyRng)),O87:Y87,TRANSPOSE(Cls1NCentVMTShr))/SUMPRODUCT(O87:Y87,TRANSPOSE(Cls1NCentVMTShr)),0)</f>
        <v>0</v>
      </c>
      <c r="AD87" s="1226">
        <f t="shared" si="84"/>
        <v>0</v>
      </c>
      <c r="AE87" s="937">
        <f t="shared" si="85"/>
        <v>0</v>
      </c>
      <c r="AF87" s="937">
        <f t="shared" si="86"/>
        <v>0</v>
      </c>
      <c r="AG87" s="937">
        <f t="shared" si="87"/>
        <v>0</v>
      </c>
      <c r="AH87" s="1172">
        <f t="shared" si="88"/>
        <v>0</v>
      </c>
      <c r="AI87" s="937">
        <f t="shared" si="89"/>
        <v>0</v>
      </c>
      <c r="AJ87" s="1169"/>
      <c r="AK87" s="1169"/>
      <c r="AL87" s="1169"/>
      <c r="AM87" s="1171"/>
      <c r="AN87" s="1169"/>
      <c r="AO87" s="1169"/>
      <c r="AP87" s="1169"/>
      <c r="AQ87" s="1169"/>
      <c r="AR87" s="1169"/>
      <c r="AS87" s="1169"/>
    </row>
    <row r="88" spans="1:45" x14ac:dyDescent="0.2">
      <c r="A88" s="330">
        <v>2019</v>
      </c>
      <c r="B88" s="344">
        <v>0</v>
      </c>
      <c r="C88" s="345">
        <v>0</v>
      </c>
      <c r="D88" s="345">
        <v>0</v>
      </c>
      <c r="E88" s="345">
        <v>0</v>
      </c>
      <c r="F88" s="345">
        <v>0</v>
      </c>
      <c r="G88" s="345">
        <v>0</v>
      </c>
      <c r="H88" s="345">
        <v>0</v>
      </c>
      <c r="I88" s="345">
        <v>0</v>
      </c>
      <c r="J88" s="345">
        <v>0</v>
      </c>
      <c r="K88" s="345">
        <v>0</v>
      </c>
      <c r="L88" s="380">
        <v>0</v>
      </c>
      <c r="M88" s="296">
        <f t="shared" si="80"/>
        <v>0</v>
      </c>
      <c r="N88" s="298">
        <f t="shared" si="81"/>
        <v>0</v>
      </c>
      <c r="O88" s="344">
        <v>0</v>
      </c>
      <c r="P88" s="345">
        <v>0</v>
      </c>
      <c r="Q88" s="345">
        <v>0</v>
      </c>
      <c r="R88" s="345">
        <v>0</v>
      </c>
      <c r="S88" s="345">
        <v>0</v>
      </c>
      <c r="T88" s="345">
        <v>0</v>
      </c>
      <c r="U88" s="345">
        <v>0</v>
      </c>
      <c r="V88" s="345">
        <v>0</v>
      </c>
      <c r="W88" s="345">
        <v>0</v>
      </c>
      <c r="X88" s="345">
        <v>0</v>
      </c>
      <c r="Y88" s="380">
        <v>0</v>
      </c>
      <c r="Z88" s="296">
        <f t="shared" si="82"/>
        <v>0</v>
      </c>
      <c r="AA88" s="298">
        <f t="shared" si="83"/>
        <v>0</v>
      </c>
      <c r="AB88" s="948">
        <f t="array" ref="AB88">IF(AND($AD$72=TRUE,SUM(B88:L88)&gt;0),SUMPRODUCT((((TRANSPOSE(Cls1CentDailyRng)&lt;INDEX(CDRANGE_CLS1,$A88-$A$76+1,AD$73))*TRANSPOSE(Cls1CentDailyRng)+(TRANSPOSE(Cls1CentDailyRng)&gt;INDEX(CDRANGE_CLS1,$A88-$A$76+1,AD$73))*INDEX(CDRANGE_CLS1,$A88-$A$76+1,AD$73))/TRANSPOSE(Cls1CentDailyRng)),B88:L88,TRANSPOSE(Cls1CentVMTShr))/SUMPRODUCT(B88:L88,TRANSPOSE(Cls1CentVMTShr)),0)</f>
        <v>0</v>
      </c>
      <c r="AC88" s="949">
        <f t="array" ref="AC88">IF(AND($AD$72=TRUE,SUM(O88:Y88)&gt;0),SUMPRODUCT((((TRANSPOSE(Cls1NCentDailyRng)&lt;INDEX(CDRANGE_CLS1,$A88-$A$76+1,AD$73))*TRANSPOSE(Cls1NCentDailyRng)+(TRANSPOSE(Cls1NCentDailyRng)&gt;INDEX(CDRANGE_CLS1,$A88-$A$76+1,AD$73))*INDEX(CDRANGE_CLS1,$A88-$A$76+1,AD$73))/TRANSPOSE(Cls1NCentDailyRng)),O88:Y88,TRANSPOSE(Cls1NCentVMTShr))/SUMPRODUCT(O88:Y88,TRANSPOSE(Cls1NCentVMTShr)),0)</f>
        <v>0</v>
      </c>
      <c r="AD88" s="1226">
        <f t="shared" si="84"/>
        <v>0</v>
      </c>
      <c r="AE88" s="937">
        <f t="shared" si="85"/>
        <v>0</v>
      </c>
      <c r="AF88" s="937">
        <f t="shared" si="86"/>
        <v>0</v>
      </c>
      <c r="AG88" s="937">
        <f t="shared" si="87"/>
        <v>0</v>
      </c>
      <c r="AH88" s="1172">
        <f t="shared" si="88"/>
        <v>0</v>
      </c>
      <c r="AI88" s="937">
        <f t="shared" si="89"/>
        <v>0</v>
      </c>
      <c r="AJ88" s="1169"/>
      <c r="AK88" s="1169"/>
      <c r="AL88" s="1169"/>
      <c r="AM88" s="1171"/>
      <c r="AN88" s="1169"/>
      <c r="AO88" s="1169"/>
      <c r="AP88" s="1169"/>
      <c r="AQ88" s="1169"/>
      <c r="AR88" s="1169"/>
      <c r="AS88" s="1169"/>
    </row>
    <row r="89" spans="1:45" ht="15" thickBot="1" x14ac:dyDescent="0.25">
      <c r="A89" s="328">
        <v>2020</v>
      </c>
      <c r="B89" s="346">
        <v>0</v>
      </c>
      <c r="C89" s="347">
        <v>0</v>
      </c>
      <c r="D89" s="347">
        <v>0</v>
      </c>
      <c r="E89" s="347">
        <v>0</v>
      </c>
      <c r="F89" s="347">
        <v>0</v>
      </c>
      <c r="G89" s="347">
        <v>0</v>
      </c>
      <c r="H89" s="347">
        <v>0</v>
      </c>
      <c r="I89" s="347">
        <v>0</v>
      </c>
      <c r="J89" s="347">
        <v>0</v>
      </c>
      <c r="K89" s="347">
        <v>0</v>
      </c>
      <c r="L89" s="381">
        <v>0</v>
      </c>
      <c r="M89" s="310">
        <f t="shared" si="80"/>
        <v>0</v>
      </c>
      <c r="N89" s="312">
        <f t="shared" si="81"/>
        <v>0</v>
      </c>
      <c r="O89" s="346">
        <v>0</v>
      </c>
      <c r="P89" s="347">
        <v>0</v>
      </c>
      <c r="Q89" s="347">
        <v>0</v>
      </c>
      <c r="R89" s="347">
        <v>0</v>
      </c>
      <c r="S89" s="347">
        <v>0</v>
      </c>
      <c r="T89" s="347">
        <v>0</v>
      </c>
      <c r="U89" s="347">
        <v>0</v>
      </c>
      <c r="V89" s="347">
        <v>0</v>
      </c>
      <c r="W89" s="347">
        <v>0</v>
      </c>
      <c r="X89" s="347">
        <v>0</v>
      </c>
      <c r="Y89" s="381">
        <v>0</v>
      </c>
      <c r="Z89" s="310">
        <f t="shared" si="82"/>
        <v>0</v>
      </c>
      <c r="AA89" s="312">
        <f t="shared" si="83"/>
        <v>0</v>
      </c>
      <c r="AB89" s="948">
        <f t="array" ref="AB89">IF(AND($AD$72=TRUE,SUM(B89:L89)&gt;0),SUMPRODUCT((((TRANSPOSE(Cls1CentDailyRng)&lt;INDEX(CDRANGE_CLS1,$A89-$A$76+1,AD$73))*TRANSPOSE(Cls1CentDailyRng)+(TRANSPOSE(Cls1CentDailyRng)&gt;INDEX(CDRANGE_CLS1,$A89-$A$76+1,AD$73))*INDEX(CDRANGE_CLS1,$A89-$A$76+1,AD$73))/TRANSPOSE(Cls1CentDailyRng)),B89:L89,TRANSPOSE(Cls1CentVMTShr))/SUMPRODUCT(B89:L89,TRANSPOSE(Cls1CentVMTShr)),0)</f>
        <v>0</v>
      </c>
      <c r="AC89" s="949">
        <f t="array" ref="AC89">IF(AND($AD$72=TRUE,SUM(O89:Y89)&gt;0),SUMPRODUCT((((TRANSPOSE(Cls1NCentDailyRng)&lt;INDEX(CDRANGE_CLS1,$A89-$A$76+1,AD$73))*TRANSPOSE(Cls1NCentDailyRng)+(TRANSPOSE(Cls1NCentDailyRng)&gt;INDEX(CDRANGE_CLS1,$A89-$A$76+1,AD$73))*INDEX(CDRANGE_CLS1,$A89-$A$76+1,AD$73))/TRANSPOSE(Cls1NCentDailyRng)),O89:Y89,TRANSPOSE(Cls1NCentVMTShr))/SUMPRODUCT(O89:Y89,TRANSPOSE(Cls1NCentVMTShr)),0)</f>
        <v>0</v>
      </c>
      <c r="AD89" s="1226">
        <f t="shared" si="84"/>
        <v>0</v>
      </c>
      <c r="AE89" s="937">
        <f t="shared" si="85"/>
        <v>0</v>
      </c>
      <c r="AF89" s="937">
        <f t="shared" si="86"/>
        <v>0</v>
      </c>
      <c r="AG89" s="937">
        <f t="shared" si="87"/>
        <v>0</v>
      </c>
      <c r="AH89" s="1172">
        <f t="shared" si="88"/>
        <v>0</v>
      </c>
      <c r="AI89" s="937">
        <f t="shared" si="89"/>
        <v>0</v>
      </c>
      <c r="AJ89" s="1169"/>
      <c r="AK89" s="1169"/>
      <c r="AL89" s="1169"/>
      <c r="AM89" s="1171"/>
      <c r="AN89" s="1169"/>
      <c r="AO89" s="1169"/>
      <c r="AP89" s="1169"/>
      <c r="AQ89" s="1169"/>
      <c r="AR89" s="1169"/>
      <c r="AS89" s="1169"/>
    </row>
    <row r="90" spans="1:45" x14ac:dyDescent="0.2">
      <c r="A90" s="329">
        <v>2021</v>
      </c>
      <c r="B90" s="342">
        <v>0</v>
      </c>
      <c r="C90" s="343">
        <v>0</v>
      </c>
      <c r="D90" s="343">
        <v>0</v>
      </c>
      <c r="E90" s="343">
        <v>0</v>
      </c>
      <c r="F90" s="343">
        <v>0</v>
      </c>
      <c r="G90" s="343">
        <v>0</v>
      </c>
      <c r="H90" s="343">
        <v>0</v>
      </c>
      <c r="I90" s="343">
        <v>0</v>
      </c>
      <c r="J90" s="343">
        <v>0</v>
      </c>
      <c r="K90" s="343">
        <v>0</v>
      </c>
      <c r="L90" s="379">
        <v>0</v>
      </c>
      <c r="M90" s="282">
        <f t="shared" si="80"/>
        <v>0</v>
      </c>
      <c r="N90" s="284">
        <f t="shared" si="81"/>
        <v>0</v>
      </c>
      <c r="O90" s="342">
        <v>0</v>
      </c>
      <c r="P90" s="343">
        <v>0</v>
      </c>
      <c r="Q90" s="343">
        <v>0</v>
      </c>
      <c r="R90" s="343">
        <v>0</v>
      </c>
      <c r="S90" s="343">
        <v>0</v>
      </c>
      <c r="T90" s="343">
        <v>0</v>
      </c>
      <c r="U90" s="343">
        <v>0</v>
      </c>
      <c r="V90" s="343">
        <v>0</v>
      </c>
      <c r="W90" s="343">
        <v>0</v>
      </c>
      <c r="X90" s="343">
        <v>0</v>
      </c>
      <c r="Y90" s="379">
        <v>0</v>
      </c>
      <c r="Z90" s="282">
        <f t="shared" si="82"/>
        <v>0</v>
      </c>
      <c r="AA90" s="284">
        <f t="shared" si="83"/>
        <v>0</v>
      </c>
      <c r="AB90" s="948">
        <f t="array" ref="AB90">IF(AND($AD$72=TRUE,SUM(B90:L90)&gt;0),SUMPRODUCT((((TRANSPOSE(Cls1CentDailyRng)&lt;INDEX(CDRANGE_CLS1,$A90-$A$76+1,AD$73))*TRANSPOSE(Cls1CentDailyRng)+(TRANSPOSE(Cls1CentDailyRng)&gt;INDEX(CDRANGE_CLS1,$A90-$A$76+1,AD$73))*INDEX(CDRANGE_CLS1,$A90-$A$76+1,AD$73))/TRANSPOSE(Cls1CentDailyRng)),B90:L90,TRANSPOSE(Cls1CentVMTShr))/SUMPRODUCT(B90:L90,TRANSPOSE(Cls1CentVMTShr)),0)</f>
        <v>0</v>
      </c>
      <c r="AC90" s="949">
        <f t="array" ref="AC90">IF(AND($AD$72=TRUE,SUM(O90:Y90)&gt;0),SUMPRODUCT((((TRANSPOSE(Cls1NCentDailyRng)&lt;INDEX(CDRANGE_CLS1,$A90-$A$76+1,AD$73))*TRANSPOSE(Cls1NCentDailyRng)+(TRANSPOSE(Cls1NCentDailyRng)&gt;INDEX(CDRANGE_CLS1,$A90-$A$76+1,AD$73))*INDEX(CDRANGE_CLS1,$A90-$A$76+1,AD$73))/TRANSPOSE(Cls1NCentDailyRng)),O90:Y90,TRANSPOSE(Cls1NCentVMTShr))/SUMPRODUCT(O90:Y90,TRANSPOSE(Cls1NCentVMTShr)),0)</f>
        <v>0</v>
      </c>
      <c r="AD90" s="1226">
        <f t="shared" si="84"/>
        <v>0</v>
      </c>
      <c r="AE90" s="937">
        <f t="shared" si="85"/>
        <v>0</v>
      </c>
      <c r="AF90" s="937">
        <f t="shared" si="86"/>
        <v>0</v>
      </c>
      <c r="AG90" s="937">
        <f t="shared" si="87"/>
        <v>0</v>
      </c>
      <c r="AH90" s="1172">
        <f t="shared" si="88"/>
        <v>0</v>
      </c>
      <c r="AI90" s="937">
        <f t="shared" si="89"/>
        <v>0</v>
      </c>
      <c r="AJ90" s="1169"/>
      <c r="AK90" s="1169"/>
      <c r="AL90" s="1169"/>
      <c r="AM90" s="1171"/>
      <c r="AN90" s="1169"/>
      <c r="AO90" s="1169"/>
      <c r="AP90" s="1169"/>
      <c r="AQ90" s="1169"/>
      <c r="AR90" s="1169"/>
      <c r="AS90" s="1169"/>
    </row>
    <row r="91" spans="1:45" x14ac:dyDescent="0.2">
      <c r="A91" s="330">
        <v>2022</v>
      </c>
      <c r="B91" s="344">
        <v>2.3710772326558112E-2</v>
      </c>
      <c r="C91" s="345">
        <v>2.3710772326558112E-2</v>
      </c>
      <c r="D91" s="345">
        <v>2.3710772326558112E-2</v>
      </c>
      <c r="E91" s="345">
        <v>2.3309011156167098E-2</v>
      </c>
      <c r="F91" s="345">
        <v>2.1017059888285363E-2</v>
      </c>
      <c r="G91" s="345">
        <v>1.774541150996628E-2</v>
      </c>
      <c r="H91" s="345">
        <v>1.5048783448052475E-2</v>
      </c>
      <c r="I91" s="345">
        <v>1.2867863558911508E-2</v>
      </c>
      <c r="J91" s="345">
        <v>1.2376647611531986E-2</v>
      </c>
      <c r="K91" s="345">
        <v>1.3356952839242308E-2</v>
      </c>
      <c r="L91" s="380">
        <v>1.4412483369995033E-2</v>
      </c>
      <c r="M91" s="296">
        <f t="shared" si="80"/>
        <v>3.8398564918840773E-3</v>
      </c>
      <c r="N91" s="298">
        <f t="shared" si="81"/>
        <v>4.2667396072288864E-3</v>
      </c>
      <c r="O91" s="344">
        <v>2.3710772326558112E-2</v>
      </c>
      <c r="P91" s="345">
        <v>2.3710772326558112E-2</v>
      </c>
      <c r="Q91" s="345">
        <v>2.3710772326558112E-2</v>
      </c>
      <c r="R91" s="345">
        <v>2.3092750896789402E-2</v>
      </c>
      <c r="S91" s="345">
        <v>2.0086716411005009E-2</v>
      </c>
      <c r="T91" s="345">
        <v>1.6412946598014729E-2</v>
      </c>
      <c r="U91" s="345">
        <v>1.4152246040115772E-2</v>
      </c>
      <c r="V91" s="345">
        <v>1.2462683834090849E-2</v>
      </c>
      <c r="W91" s="345">
        <v>1.2720744008227142E-2</v>
      </c>
      <c r="X91" s="345">
        <v>1.3356952839242308E-2</v>
      </c>
      <c r="Y91" s="380">
        <v>1.4412483369995033E-2</v>
      </c>
      <c r="Z91" s="296">
        <f t="shared" si="82"/>
        <v>1.2089074749075585E-2</v>
      </c>
      <c r="AA91" s="298">
        <f t="shared" si="83"/>
        <v>1.2778156237141954E-2</v>
      </c>
      <c r="AB91" s="948">
        <f t="array" ref="AB91">IF(AND($AD$72=TRUE,SUM(B91:L91)&gt;0),SUMPRODUCT((((TRANSPOSE(Cls1CentDailyRng)&lt;INDEX(CDRANGE_CLS1,$A91-$A$76+1,AD$73))*TRANSPOSE(Cls1CentDailyRng)+(TRANSPOSE(Cls1CentDailyRng)&gt;INDEX(CDRANGE_CLS1,$A91-$A$76+1,AD$73))*INDEX(CDRANGE_CLS1,$A91-$A$76+1,AD$73))/TRANSPOSE(Cls1CentDailyRng)),B91:L91,TRANSPOSE(Cls1CentVMTShr))/SUMPRODUCT(B91:L91,TRANSPOSE(Cls1CentVMTShr)),0)</f>
        <v>0</v>
      </c>
      <c r="AC91" s="949">
        <f t="array" ref="AC91">IF(AND($AD$72=TRUE,SUM(O91:Y91)&gt;0),SUMPRODUCT((((TRANSPOSE(Cls1NCentDailyRng)&lt;INDEX(CDRANGE_CLS1,$A91-$A$76+1,AD$73))*TRANSPOSE(Cls1NCentDailyRng)+(TRANSPOSE(Cls1NCentDailyRng)&gt;INDEX(CDRANGE_CLS1,$A91-$A$76+1,AD$73))*INDEX(CDRANGE_CLS1,$A91-$A$76+1,AD$73))/TRANSPOSE(Cls1NCentDailyRng)),O91:Y91,TRANSPOSE(Cls1NCentVMTShr))/SUMPRODUCT(O91:Y91,TRANSPOSE(Cls1NCentVMTShr)),0)</f>
        <v>0</v>
      </c>
      <c r="AD91" s="1226">
        <f t="shared" si="84"/>
        <v>0</v>
      </c>
      <c r="AE91" s="937">
        <f>SUMPRODUCT($B$74:$L$74,B91:L91)</f>
        <v>3.8398564918840773E-3</v>
      </c>
      <c r="AF91" s="937">
        <f>SUMPRODUCT($O$74:$Y$74,O91:Y91)</f>
        <v>1.2089074749075585E-2</v>
      </c>
      <c r="AG91" s="937">
        <f>SUM(AE91:AF91)</f>
        <v>1.5928931240959662E-2</v>
      </c>
      <c r="AH91" s="1172">
        <f t="shared" si="88"/>
        <v>0.2410617783326397</v>
      </c>
      <c r="AI91" s="937">
        <f t="shared" si="89"/>
        <v>0.75893822166736025</v>
      </c>
      <c r="AJ91" s="1169"/>
      <c r="AK91" s="1171"/>
      <c r="AL91" s="1171"/>
      <c r="AM91" s="1171"/>
      <c r="AN91" s="1169"/>
      <c r="AO91" s="1171"/>
      <c r="AP91" s="1169"/>
      <c r="AQ91" s="1169"/>
      <c r="AR91" s="1169"/>
      <c r="AS91" s="1169"/>
    </row>
    <row r="92" spans="1:45" x14ac:dyDescent="0.2">
      <c r="A92" s="330">
        <v>2023</v>
      </c>
      <c r="B92" s="344">
        <v>5.9594924811287565E-2</v>
      </c>
      <c r="C92" s="345">
        <v>5.9594924811287565E-2</v>
      </c>
      <c r="D92" s="345">
        <v>5.9594924811287565E-2</v>
      </c>
      <c r="E92" s="345">
        <v>5.7259820958489069E-2</v>
      </c>
      <c r="F92" s="345">
        <v>4.9606126019348384E-2</v>
      </c>
      <c r="G92" s="345">
        <v>4.0106005546415087E-2</v>
      </c>
      <c r="H92" s="345">
        <v>3.4464334540748778E-2</v>
      </c>
      <c r="I92" s="345">
        <v>3.033485197197704E-2</v>
      </c>
      <c r="J92" s="345">
        <v>3.279937116248606E-2</v>
      </c>
      <c r="K92" s="345">
        <v>3.4308875021627126E-2</v>
      </c>
      <c r="L92" s="380">
        <v>6.4954638383467364E-2</v>
      </c>
      <c r="M92" s="296">
        <f t="shared" si="80"/>
        <v>9.5518593687248556E-3</v>
      </c>
      <c r="N92" s="298">
        <f t="shared" si="81"/>
        <v>1.0367565173462323E-2</v>
      </c>
      <c r="O92" s="344">
        <v>5.9594924811287565E-2</v>
      </c>
      <c r="P92" s="345">
        <v>5.9594924811287565E-2</v>
      </c>
      <c r="Q92" s="345">
        <v>5.9509008837870046E-2</v>
      </c>
      <c r="R92" s="345">
        <v>5.6573208935051064E-2</v>
      </c>
      <c r="S92" s="345">
        <v>4.6711003320219123E-2</v>
      </c>
      <c r="T92" s="345">
        <v>3.7818891153305396E-2</v>
      </c>
      <c r="U92" s="345">
        <v>3.3386822641616645E-2</v>
      </c>
      <c r="V92" s="345">
        <v>3.1112871408838068E-2</v>
      </c>
      <c r="W92" s="345">
        <v>3.279937116248606E-2</v>
      </c>
      <c r="X92" s="345">
        <v>3.4995291205706373E-2</v>
      </c>
      <c r="Y92" s="380">
        <v>3.6777022767758565E-2</v>
      </c>
      <c r="Z92" s="296">
        <f t="shared" si="82"/>
        <v>2.8954659452711629E-2</v>
      </c>
      <c r="AA92" s="298">
        <f t="shared" si="83"/>
        <v>3.0583331478535467E-2</v>
      </c>
      <c r="AB92" s="948">
        <f t="array" ref="AB92">IF(AND($AD$72=TRUE,SUM(B92:L92)&gt;0),SUMPRODUCT((((TRANSPOSE(Cls1CentDailyRng)&lt;INDEX(CDRANGE_CLS1,$A92-$A$76+1,AD$73))*TRANSPOSE(Cls1CentDailyRng)+(TRANSPOSE(Cls1CentDailyRng)&gt;INDEX(CDRANGE_CLS1,$A92-$A$76+1,AD$73))*INDEX(CDRANGE_CLS1,$A92-$A$76+1,AD$73))/TRANSPOSE(Cls1CentDailyRng)),B92:L92,TRANSPOSE(Cls1CentVMTShr))/SUMPRODUCT(B92:L92,TRANSPOSE(Cls1CentVMTShr)),0)</f>
        <v>0</v>
      </c>
      <c r="AC92" s="949">
        <f t="array" ref="AC92">IF(AND($AD$72=TRUE,SUM(O92:Y92)&gt;0),SUMPRODUCT((((TRANSPOSE(Cls1NCentDailyRng)&lt;INDEX(CDRANGE_CLS1,$A92-$A$76+1,AD$73))*TRANSPOSE(Cls1NCentDailyRng)+(TRANSPOSE(Cls1NCentDailyRng)&gt;INDEX(CDRANGE_CLS1,$A92-$A$76+1,AD$73))*INDEX(CDRANGE_CLS1,$A92-$A$76+1,AD$73))/TRANSPOSE(Cls1NCentDailyRng)),O92:Y92,TRANSPOSE(Cls1NCentVMTShr))/SUMPRODUCT(O92:Y92,TRANSPOSE(Cls1NCentVMTShr)),0)</f>
        <v>0</v>
      </c>
      <c r="AD92" s="1226">
        <f t="shared" si="84"/>
        <v>0</v>
      </c>
      <c r="AE92" s="937">
        <f t="shared" ref="AE92:AE119" si="90">SUMPRODUCT($B$74:$L$74,B92:L92)</f>
        <v>9.5518593687248556E-3</v>
      </c>
      <c r="AF92" s="937">
        <f t="shared" ref="AF92:AF119" si="91">SUMPRODUCT($O$74:$Y$74,O92:Y92)</f>
        <v>2.8954659452711629E-2</v>
      </c>
      <c r="AG92" s="937">
        <f t="shared" ref="AG92:AG119" si="92">SUM(AE92:AF92)</f>
        <v>3.8506518821436485E-2</v>
      </c>
      <c r="AH92" s="1172">
        <f t="shared" si="88"/>
        <v>0.24805824211269284</v>
      </c>
      <c r="AI92" s="937">
        <f t="shared" si="89"/>
        <v>0.75194175788730711</v>
      </c>
      <c r="AJ92" s="1169"/>
      <c r="AK92" s="1171"/>
      <c r="AL92" s="1171"/>
      <c r="AM92" s="1171"/>
      <c r="AN92" s="1169"/>
      <c r="AO92" s="1171"/>
      <c r="AP92" s="1169"/>
      <c r="AQ92" s="1169"/>
      <c r="AR92" s="1169"/>
      <c r="AS92" s="1169"/>
    </row>
    <row r="93" spans="1:45" x14ac:dyDescent="0.2">
      <c r="A93" s="330">
        <v>2024</v>
      </c>
      <c r="B93" s="344">
        <v>0.13444952797063267</v>
      </c>
      <c r="C93" s="345">
        <v>0.13444952797063267</v>
      </c>
      <c r="D93" s="345">
        <v>0.13425555154311558</v>
      </c>
      <c r="E93" s="345">
        <v>0.12342366779216732</v>
      </c>
      <c r="F93" s="345">
        <v>0.10059561014321844</v>
      </c>
      <c r="G93" s="345">
        <v>8.2740046241500956E-2</v>
      </c>
      <c r="H93" s="345">
        <v>7.0631387242447163E-2</v>
      </c>
      <c r="I93" s="345">
        <v>7.2168581537270821E-2</v>
      </c>
      <c r="J93" s="345">
        <v>0.15763254366552712</v>
      </c>
      <c r="K93" s="345">
        <v>0.15346607240072599</v>
      </c>
      <c r="L93" s="380">
        <v>0.14431003936430883</v>
      </c>
      <c r="M93" s="296">
        <f t="shared" si="80"/>
        <v>2.1818339322764869E-2</v>
      </c>
      <c r="N93" s="298">
        <f t="shared" si="81"/>
        <v>2.302171628916469E-2</v>
      </c>
      <c r="O93" s="344">
        <v>0.13444952797063267</v>
      </c>
      <c r="P93" s="345">
        <v>0.13444952797063267</v>
      </c>
      <c r="Q93" s="345">
        <v>0.13354626888416432</v>
      </c>
      <c r="R93" s="345">
        <v>0.1206935205419398</v>
      </c>
      <c r="S93" s="345">
        <v>9.5593491732635427E-2</v>
      </c>
      <c r="T93" s="345">
        <v>7.7728915933468049E-2</v>
      </c>
      <c r="U93" s="345">
        <v>6.8411960713648232E-2</v>
      </c>
      <c r="V93" s="345">
        <v>7.402217626172275E-2</v>
      </c>
      <c r="W93" s="345">
        <v>0.15458230658905586</v>
      </c>
      <c r="X93" s="345">
        <v>0.15072710936928832</v>
      </c>
      <c r="Y93" s="380">
        <v>0.14431003936430883</v>
      </c>
      <c r="Z93" s="296">
        <f t="shared" si="82"/>
        <v>6.957958189108647E-2</v>
      </c>
      <c r="AA93" s="298">
        <f t="shared" si="83"/>
        <v>6.9681107796878652E-2</v>
      </c>
      <c r="AB93" s="948">
        <f t="array" ref="AB93">IF(AND($AD$72=TRUE,SUM(B93:L93)&gt;0),SUMPRODUCT((((TRANSPOSE(Cls1CentDailyRng)&lt;INDEX(CDRANGE_CLS1,$A93-$A$76+1,AD$73))*TRANSPOSE(Cls1CentDailyRng)+(TRANSPOSE(Cls1CentDailyRng)&gt;INDEX(CDRANGE_CLS1,$A93-$A$76+1,AD$73))*INDEX(CDRANGE_CLS1,$A93-$A$76+1,AD$73))/TRANSPOSE(Cls1CentDailyRng)),B93:L93,TRANSPOSE(Cls1CentVMTShr))/SUMPRODUCT(B93:L93,TRANSPOSE(Cls1CentVMTShr)),0)</f>
        <v>0</v>
      </c>
      <c r="AC93" s="949">
        <f t="array" ref="AC93">IF(AND($AD$72=TRUE,SUM(O93:Y93)&gt;0),SUMPRODUCT((((TRANSPOSE(Cls1NCentDailyRng)&lt;INDEX(CDRANGE_CLS1,$A93-$A$76+1,AD$73))*TRANSPOSE(Cls1NCentDailyRng)+(TRANSPOSE(Cls1NCentDailyRng)&gt;INDEX(CDRANGE_CLS1,$A93-$A$76+1,AD$73))*INDEX(CDRANGE_CLS1,$A93-$A$76+1,AD$73))/TRANSPOSE(Cls1NCentDailyRng)),O93:Y93,TRANSPOSE(Cls1NCentVMTShr))/SUMPRODUCT(O93:Y93,TRANSPOSE(Cls1NCentVMTShr)),0)</f>
        <v>0</v>
      </c>
      <c r="AD93" s="1226">
        <f t="shared" si="84"/>
        <v>0</v>
      </c>
      <c r="AE93" s="937">
        <f t="shared" si="90"/>
        <v>2.1818339322764869E-2</v>
      </c>
      <c r="AF93" s="937">
        <f t="shared" si="91"/>
        <v>6.957958189108647E-2</v>
      </c>
      <c r="AG93" s="937">
        <f t="shared" si="92"/>
        <v>9.1397921213851346E-2</v>
      </c>
      <c r="AH93" s="1172">
        <f t="shared" si="88"/>
        <v>0.2387181134209243</v>
      </c>
      <c r="AI93" s="937">
        <f t="shared" si="89"/>
        <v>0.76128188657907558</v>
      </c>
      <c r="AJ93" s="1169"/>
      <c r="AK93" s="1171"/>
      <c r="AL93" s="1171"/>
      <c r="AM93" s="1171"/>
      <c r="AN93" s="1169"/>
      <c r="AO93" s="1171"/>
      <c r="AP93" s="1169"/>
      <c r="AQ93" s="1169"/>
      <c r="AR93" s="1169"/>
      <c r="AS93" s="1169"/>
    </row>
    <row r="94" spans="1:45" ht="15" thickBot="1" x14ac:dyDescent="0.25">
      <c r="A94" s="328">
        <v>2025</v>
      </c>
      <c r="B94" s="346">
        <v>0.24991241522448601</v>
      </c>
      <c r="C94" s="347">
        <v>0.24991241522448601</v>
      </c>
      <c r="D94" s="347">
        <v>0.24918252161814289</v>
      </c>
      <c r="E94" s="347">
        <v>0.22433450885590991</v>
      </c>
      <c r="F94" s="347">
        <v>0.17766852442671108</v>
      </c>
      <c r="G94" s="347">
        <v>0.14445861903140808</v>
      </c>
      <c r="H94" s="347">
        <v>0.12713987088461015</v>
      </c>
      <c r="I94" s="347">
        <v>0.2855076287191991</v>
      </c>
      <c r="J94" s="347">
        <v>0.27599580902482557</v>
      </c>
      <c r="K94" s="347">
        <v>0.27206229103572011</v>
      </c>
      <c r="L94" s="381">
        <v>0.26329355728411419</v>
      </c>
      <c r="M94" s="310">
        <f t="shared" si="80"/>
        <v>4.4118082953047595E-2</v>
      </c>
      <c r="N94" s="312">
        <f t="shared" si="81"/>
        <v>4.523400127594554E-2</v>
      </c>
      <c r="O94" s="346">
        <v>0.24991241522448601</v>
      </c>
      <c r="P94" s="347">
        <v>0.24991241522448601</v>
      </c>
      <c r="Q94" s="347">
        <v>0.24721556914245449</v>
      </c>
      <c r="R94" s="347">
        <v>0.21514768844535367</v>
      </c>
      <c r="S94" s="347">
        <v>0.16812371680631494</v>
      </c>
      <c r="T94" s="347">
        <v>0.13993935388177997</v>
      </c>
      <c r="U94" s="347">
        <v>0.12674082675823153</v>
      </c>
      <c r="V94" s="347">
        <v>0.27952958631636649</v>
      </c>
      <c r="W94" s="347">
        <v>0.27599580902482557</v>
      </c>
      <c r="X94" s="347">
        <v>0.26738959625924502</v>
      </c>
      <c r="Y94" s="381">
        <v>0.26696235121596651</v>
      </c>
      <c r="Z94" s="310">
        <f t="shared" si="82"/>
        <v>0.13998848267484912</v>
      </c>
      <c r="AA94" s="312">
        <f t="shared" si="83"/>
        <v>0.13692727133892474</v>
      </c>
      <c r="AB94" s="948">
        <f t="array" ref="AB94">IF(AND($AD$72=TRUE,SUM(B94:L94)&gt;0),SUMPRODUCT((((TRANSPOSE(Cls1CentDailyRng)&lt;INDEX(CDRANGE_CLS1,$A94-$A$76+1,AD$73))*TRANSPOSE(Cls1CentDailyRng)+(TRANSPOSE(Cls1CentDailyRng)&gt;INDEX(CDRANGE_CLS1,$A94-$A$76+1,AD$73))*INDEX(CDRANGE_CLS1,$A94-$A$76+1,AD$73))/TRANSPOSE(Cls1CentDailyRng)),B94:L94,TRANSPOSE(Cls1CentVMTShr))/SUMPRODUCT(B94:L94,TRANSPOSE(Cls1CentVMTShr)),0)</f>
        <v>0</v>
      </c>
      <c r="AC94" s="949">
        <f t="array" ref="AC94">IF(AND($AD$72=TRUE,SUM(O94:Y94)&gt;0),SUMPRODUCT((((TRANSPOSE(Cls1NCentDailyRng)&lt;INDEX(CDRANGE_CLS1,$A94-$A$76+1,AD$73))*TRANSPOSE(Cls1NCentDailyRng)+(TRANSPOSE(Cls1NCentDailyRng)&gt;INDEX(CDRANGE_CLS1,$A94-$A$76+1,AD$73))*INDEX(CDRANGE_CLS1,$A94-$A$76+1,AD$73))/TRANSPOSE(Cls1NCentDailyRng)),O94:Y94,TRANSPOSE(Cls1NCentVMTShr))/SUMPRODUCT(O94:Y94,TRANSPOSE(Cls1NCentVMTShr)),0)</f>
        <v>0</v>
      </c>
      <c r="AD94" s="1226">
        <f t="shared" si="84"/>
        <v>0</v>
      </c>
      <c r="AE94" s="937">
        <f t="shared" si="90"/>
        <v>4.4118082953047595E-2</v>
      </c>
      <c r="AF94" s="937">
        <f t="shared" si="91"/>
        <v>0.13998848267484912</v>
      </c>
      <c r="AG94" s="937">
        <f t="shared" si="92"/>
        <v>0.18410656562789671</v>
      </c>
      <c r="AH94" s="1172">
        <f t="shared" si="88"/>
        <v>0.23963340363545738</v>
      </c>
      <c r="AI94" s="937">
        <f t="shared" si="89"/>
        <v>0.76036659636454262</v>
      </c>
      <c r="AJ94" s="1169"/>
      <c r="AK94" s="1171"/>
      <c r="AL94" s="1171"/>
      <c r="AM94" s="1171"/>
      <c r="AN94" s="1169"/>
      <c r="AO94" s="1171"/>
      <c r="AP94" s="1169"/>
      <c r="AQ94" s="1169"/>
      <c r="AR94" s="1169"/>
      <c r="AS94" s="1169"/>
    </row>
    <row r="95" spans="1:45" x14ac:dyDescent="0.2">
      <c r="A95" s="329">
        <v>2026</v>
      </c>
      <c r="B95" s="342">
        <v>0.3653244599579003</v>
      </c>
      <c r="C95" s="343">
        <v>0.3653244599579003</v>
      </c>
      <c r="D95" s="343">
        <v>0.36502016271040366</v>
      </c>
      <c r="E95" s="343">
        <v>0.34159440203127256</v>
      </c>
      <c r="F95" s="343">
        <v>0.28624114064645728</v>
      </c>
      <c r="G95" s="343">
        <v>0.2316933611930353</v>
      </c>
      <c r="H95" s="343">
        <v>0.19807875481991419</v>
      </c>
      <c r="I95" s="343">
        <v>0.19087779936621072</v>
      </c>
      <c r="J95" s="343">
        <v>0.20597926327636215</v>
      </c>
      <c r="K95" s="343">
        <v>0.21859701987775332</v>
      </c>
      <c r="L95" s="379">
        <v>0.23144591979159965</v>
      </c>
      <c r="M95" s="282">
        <f t="shared" si="80"/>
        <v>5.3964427567174671E-2</v>
      </c>
      <c r="N95" s="284">
        <f t="shared" si="81"/>
        <v>6.0118341217862539E-2</v>
      </c>
      <c r="O95" s="342">
        <v>0.3653244599579003</v>
      </c>
      <c r="P95" s="343">
        <v>0.3653244599579003</v>
      </c>
      <c r="Q95" s="343">
        <v>0.3638248602652569</v>
      </c>
      <c r="R95" s="343">
        <v>0.3353398975026744</v>
      </c>
      <c r="S95" s="343">
        <v>0.26653754670284485</v>
      </c>
      <c r="T95" s="343">
        <v>0.21787348081828595</v>
      </c>
      <c r="U95" s="343">
        <v>0.19183508001939464</v>
      </c>
      <c r="V95" s="343">
        <v>0.1961788433045453</v>
      </c>
      <c r="W95" s="343">
        <v>0.21046650111959461</v>
      </c>
      <c r="X95" s="343">
        <v>0.21859701987775332</v>
      </c>
      <c r="Y95" s="379">
        <v>0.22866152978714666</v>
      </c>
      <c r="Z95" s="282">
        <f t="shared" si="82"/>
        <v>0.17092820189893543</v>
      </c>
      <c r="AA95" s="284">
        <f t="shared" si="83"/>
        <v>0.18018004046974914</v>
      </c>
      <c r="AB95" s="948">
        <f t="array" ref="AB95">IF(AND($AD$72=TRUE,SUM(B95:L95)&gt;0),SUMPRODUCT((((TRANSPOSE(Cls1CentDailyRng)&lt;INDEX(CDRANGE_CLS1,$A95-$A$76+1,AD$73))*TRANSPOSE(Cls1CentDailyRng)+(TRANSPOSE(Cls1CentDailyRng)&gt;INDEX(CDRANGE_CLS1,$A95-$A$76+1,AD$73))*INDEX(CDRANGE_CLS1,$A95-$A$76+1,AD$73))/TRANSPOSE(Cls1CentDailyRng)),B95:L95,TRANSPOSE(Cls1CentVMTShr))/SUMPRODUCT(B95:L95,TRANSPOSE(Cls1CentVMTShr)),0)</f>
        <v>0</v>
      </c>
      <c r="AC95" s="949">
        <f t="array" ref="AC95">IF(AND($AD$72=TRUE,SUM(O95:Y95)&gt;0),SUMPRODUCT((((TRANSPOSE(Cls1NCentDailyRng)&lt;INDEX(CDRANGE_CLS1,$A95-$A$76+1,AD$73))*TRANSPOSE(Cls1NCentDailyRng)+(TRANSPOSE(Cls1NCentDailyRng)&gt;INDEX(CDRANGE_CLS1,$A95-$A$76+1,AD$73))*INDEX(CDRANGE_CLS1,$A95-$A$76+1,AD$73))/TRANSPOSE(Cls1NCentDailyRng)),O95:Y95,TRANSPOSE(Cls1NCentVMTShr))/SUMPRODUCT(O95:Y95,TRANSPOSE(Cls1NCentVMTShr)),0)</f>
        <v>0</v>
      </c>
      <c r="AD95" s="1226">
        <f t="shared" si="84"/>
        <v>0</v>
      </c>
      <c r="AE95" s="937">
        <f t="shared" si="90"/>
        <v>5.3964427567174671E-2</v>
      </c>
      <c r="AF95" s="937">
        <f t="shared" si="91"/>
        <v>0.17092820189893543</v>
      </c>
      <c r="AG95" s="937">
        <f t="shared" si="92"/>
        <v>0.22489262946611011</v>
      </c>
      <c r="AH95" s="1172">
        <f t="shared" si="88"/>
        <v>0.23995640806586224</v>
      </c>
      <c r="AI95" s="937">
        <f t="shared" si="89"/>
        <v>0.76004359193413773</v>
      </c>
      <c r="AJ95" s="1169"/>
      <c r="AK95" s="1171"/>
      <c r="AL95" s="1171"/>
      <c r="AM95" s="1171"/>
      <c r="AN95" s="1169"/>
      <c r="AO95" s="1171"/>
      <c r="AP95" s="1169"/>
      <c r="AQ95" s="1169"/>
      <c r="AR95" s="1169"/>
      <c r="AS95" s="1169"/>
    </row>
    <row r="96" spans="1:45" x14ac:dyDescent="0.2">
      <c r="A96" s="330">
        <v>2027</v>
      </c>
      <c r="B96" s="344">
        <v>0.43979121009962546</v>
      </c>
      <c r="C96" s="345">
        <v>0.43979121009962546</v>
      </c>
      <c r="D96" s="345">
        <v>0.43979121009962546</v>
      </c>
      <c r="E96" s="345">
        <v>0.42250831519531046</v>
      </c>
      <c r="F96" s="345">
        <v>0.36588972295116357</v>
      </c>
      <c r="G96" s="345">
        <v>0.29567385470837099</v>
      </c>
      <c r="H96" s="345">
        <v>0.2540083117180636</v>
      </c>
      <c r="I96" s="345">
        <v>0.22352601980465089</v>
      </c>
      <c r="J96" s="345">
        <v>0.24238070794339969</v>
      </c>
      <c r="K96" s="345">
        <v>0.2535160472250767</v>
      </c>
      <c r="L96" s="380">
        <v>0.27541376799648709</v>
      </c>
      <c r="M96" s="296">
        <f t="shared" si="80"/>
        <v>6.7190868924191474E-2</v>
      </c>
      <c r="N96" s="298">
        <f t="shared" si="81"/>
        <v>7.4931356044852099E-2</v>
      </c>
      <c r="O96" s="344">
        <v>0.43979121009962546</v>
      </c>
      <c r="P96" s="345">
        <v>0.43979121009962546</v>
      </c>
      <c r="Q96" s="345">
        <v>0.43915524353359453</v>
      </c>
      <c r="R96" s="345">
        <v>0.41446122299447241</v>
      </c>
      <c r="S96" s="345">
        <v>0.3444844836328525</v>
      </c>
      <c r="T96" s="345">
        <v>0.27877988214338478</v>
      </c>
      <c r="U96" s="345">
        <v>0.24605327993715567</v>
      </c>
      <c r="V96" s="345">
        <v>0.2299376662391715</v>
      </c>
      <c r="W96" s="345">
        <v>0.24811519154614878</v>
      </c>
      <c r="X96" s="345">
        <v>0.25857904723126673</v>
      </c>
      <c r="Y96" s="380">
        <v>0.27171942427316859</v>
      </c>
      <c r="Z96" s="296">
        <f t="shared" si="82"/>
        <v>0.21364758799851008</v>
      </c>
      <c r="AA96" s="298">
        <f t="shared" si="83"/>
        <v>0.22552780213531343</v>
      </c>
      <c r="AB96" s="948">
        <f t="array" ref="AB96">IF(AND($AD$72=TRUE,SUM(B96:L96)&gt;0),SUMPRODUCT((((TRANSPOSE(Cls1CentDailyRng)&lt;INDEX(CDRANGE_CLS1,$A96-$A$76+1,AD$73))*TRANSPOSE(Cls1CentDailyRng)+(TRANSPOSE(Cls1CentDailyRng)&gt;INDEX(CDRANGE_CLS1,$A96-$A$76+1,AD$73))*INDEX(CDRANGE_CLS1,$A96-$A$76+1,AD$73))/TRANSPOSE(Cls1CentDailyRng)),B96:L96,TRANSPOSE(Cls1CentVMTShr))/SUMPRODUCT(B96:L96,TRANSPOSE(Cls1CentVMTShr)),0)</f>
        <v>0</v>
      </c>
      <c r="AC96" s="949">
        <f t="array" ref="AC96">IF(AND($AD$72=TRUE,SUM(O96:Y96)&gt;0),SUMPRODUCT((((TRANSPOSE(Cls1NCentDailyRng)&lt;INDEX(CDRANGE_CLS1,$A96-$A$76+1,AD$73))*TRANSPOSE(Cls1NCentDailyRng)+(TRANSPOSE(Cls1NCentDailyRng)&gt;INDEX(CDRANGE_CLS1,$A96-$A$76+1,AD$73))*INDEX(CDRANGE_CLS1,$A96-$A$76+1,AD$73))/TRANSPOSE(Cls1NCentDailyRng)),O96:Y96,TRANSPOSE(Cls1NCentVMTShr))/SUMPRODUCT(O96:Y96,TRANSPOSE(Cls1NCentVMTShr)),0)</f>
        <v>0</v>
      </c>
      <c r="AD96" s="1226">
        <f t="shared" si="84"/>
        <v>0</v>
      </c>
      <c r="AE96" s="937">
        <f t="shared" si="90"/>
        <v>6.7190868924191474E-2</v>
      </c>
      <c r="AF96" s="937">
        <f t="shared" si="91"/>
        <v>0.21364758799851008</v>
      </c>
      <c r="AG96" s="937">
        <f t="shared" si="92"/>
        <v>0.28083845692270154</v>
      </c>
      <c r="AH96" s="1172">
        <f t="shared" si="88"/>
        <v>0.23925095466069024</v>
      </c>
      <c r="AI96" s="937">
        <f t="shared" si="89"/>
        <v>0.76074904533930976</v>
      </c>
      <c r="AJ96" s="1169"/>
      <c r="AK96" s="1171"/>
      <c r="AL96" s="1171"/>
      <c r="AM96" s="1171"/>
      <c r="AN96" s="1169"/>
      <c r="AO96" s="1171"/>
      <c r="AP96" s="1169"/>
      <c r="AQ96" s="1169"/>
      <c r="AR96" s="1169"/>
      <c r="AS96" s="1169"/>
    </row>
    <row r="97" spans="1:45" x14ac:dyDescent="0.2">
      <c r="A97" s="330">
        <v>2028</v>
      </c>
      <c r="B97" s="344">
        <v>0.47371639970151252</v>
      </c>
      <c r="C97" s="345">
        <v>0.47371639970151252</v>
      </c>
      <c r="D97" s="345">
        <v>0.47338760937145791</v>
      </c>
      <c r="E97" s="345">
        <v>0.44633779007955104</v>
      </c>
      <c r="F97" s="345">
        <v>0.37076184053296135</v>
      </c>
      <c r="G97" s="345">
        <v>0.29988039244136488</v>
      </c>
      <c r="H97" s="345">
        <v>0.26460432751635959</v>
      </c>
      <c r="I97" s="345">
        <v>0.24810935349385893</v>
      </c>
      <c r="J97" s="345">
        <v>0.26768275342167952</v>
      </c>
      <c r="K97" s="345">
        <v>0.27894744464249405</v>
      </c>
      <c r="L97" s="380">
        <v>0.29706645171832374</v>
      </c>
      <c r="M97" s="296">
        <f t="shared" si="80"/>
        <v>7.0556766106464386E-2</v>
      </c>
      <c r="N97" s="298">
        <f t="shared" si="81"/>
        <v>7.8542845731957939E-2</v>
      </c>
      <c r="O97" s="344">
        <v>0.47371639970151252</v>
      </c>
      <c r="P97" s="345">
        <v>0.47371639970151252</v>
      </c>
      <c r="Q97" s="345">
        <v>0.4720656785272796</v>
      </c>
      <c r="R97" s="345">
        <v>0.43465441526683007</v>
      </c>
      <c r="S97" s="345">
        <v>0.3539019831230954</v>
      </c>
      <c r="T97" s="345">
        <v>0.28193933203553917</v>
      </c>
      <c r="U97" s="345">
        <v>0.24815477285148227</v>
      </c>
      <c r="V97" s="345">
        <v>0.25498110690697906</v>
      </c>
      <c r="W97" s="345">
        <v>0.27349720152101309</v>
      </c>
      <c r="X97" s="345">
        <v>0.28403067946392596</v>
      </c>
      <c r="Y97" s="380">
        <v>0.29706645171832374</v>
      </c>
      <c r="Z97" s="296">
        <f t="shared" si="82"/>
        <v>0.22220381033880315</v>
      </c>
      <c r="AA97" s="298">
        <f t="shared" si="83"/>
        <v>0.23433837131187329</v>
      </c>
      <c r="AB97" s="948">
        <f t="array" ref="AB97">IF(AND($AD$72=TRUE,SUM(B97:L97)&gt;0),SUMPRODUCT((((TRANSPOSE(Cls1CentDailyRng)&lt;INDEX(CDRANGE_CLS1,$A97-$A$76+1,AD$73))*TRANSPOSE(Cls1CentDailyRng)+(TRANSPOSE(Cls1CentDailyRng)&gt;INDEX(CDRANGE_CLS1,$A97-$A$76+1,AD$73))*INDEX(CDRANGE_CLS1,$A97-$A$76+1,AD$73))/TRANSPOSE(Cls1CentDailyRng)),B97:L97,TRANSPOSE(Cls1CentVMTShr))/SUMPRODUCT(B97:L97,TRANSPOSE(Cls1CentVMTShr)),0)</f>
        <v>0</v>
      </c>
      <c r="AC97" s="949">
        <f t="array" ref="AC97">IF(AND($AD$72=TRUE,SUM(O97:Y97)&gt;0),SUMPRODUCT((((TRANSPOSE(Cls1NCentDailyRng)&lt;INDEX(CDRANGE_CLS1,$A97-$A$76+1,AD$73))*TRANSPOSE(Cls1NCentDailyRng)+(TRANSPOSE(Cls1NCentDailyRng)&gt;INDEX(CDRANGE_CLS1,$A97-$A$76+1,AD$73))*INDEX(CDRANGE_CLS1,$A97-$A$76+1,AD$73))/TRANSPOSE(Cls1NCentDailyRng)),O97:Y97,TRANSPOSE(Cls1NCentVMTShr))/SUMPRODUCT(O97:Y97,TRANSPOSE(Cls1NCentVMTShr)),0)</f>
        <v>0</v>
      </c>
      <c r="AD97" s="1226">
        <f t="shared" si="84"/>
        <v>0</v>
      </c>
      <c r="AE97" s="937">
        <f t="shared" si="90"/>
        <v>7.0556766106464386E-2</v>
      </c>
      <c r="AF97" s="937">
        <f t="shared" si="91"/>
        <v>0.22220381033880315</v>
      </c>
      <c r="AG97" s="937">
        <f t="shared" si="92"/>
        <v>0.29276057644526754</v>
      </c>
      <c r="AH97" s="1172">
        <f t="shared" si="88"/>
        <v>0.24100501154620177</v>
      </c>
      <c r="AI97" s="937">
        <f t="shared" si="89"/>
        <v>0.7589949884537982</v>
      </c>
      <c r="AJ97" s="1169"/>
      <c r="AK97" s="1171"/>
      <c r="AL97" s="1171"/>
      <c r="AM97" s="1171"/>
      <c r="AN97" s="1169"/>
      <c r="AO97" s="1171"/>
      <c r="AP97" s="1169"/>
      <c r="AQ97" s="1169"/>
      <c r="AR97" s="1169"/>
      <c r="AS97" s="1169"/>
    </row>
    <row r="98" spans="1:45" x14ac:dyDescent="0.2">
      <c r="A98" s="330">
        <v>2029</v>
      </c>
      <c r="B98" s="344">
        <v>0.48492170447749872</v>
      </c>
      <c r="C98" s="345">
        <v>0.48492170447749872</v>
      </c>
      <c r="D98" s="345">
        <v>0.48492170447749872</v>
      </c>
      <c r="E98" s="345">
        <v>0.46299458125017245</v>
      </c>
      <c r="F98" s="345">
        <v>0.39514397162259801</v>
      </c>
      <c r="G98" s="345">
        <v>0.324890952878855</v>
      </c>
      <c r="H98" s="345">
        <v>0.27883020192407398</v>
      </c>
      <c r="I98" s="345">
        <v>0.24743100327205372</v>
      </c>
      <c r="J98" s="345">
        <v>0.26851290921966603</v>
      </c>
      <c r="K98" s="345">
        <v>0.28634692998147304</v>
      </c>
      <c r="L98" s="380">
        <v>0.30486698725571137</v>
      </c>
      <c r="M98" s="296">
        <f t="shared" si="80"/>
        <v>7.3723897355762971E-2</v>
      </c>
      <c r="N98" s="298">
        <f t="shared" si="81"/>
        <v>8.2123430951411128E-2</v>
      </c>
      <c r="O98" s="344">
        <v>0.48492170447749872</v>
      </c>
      <c r="P98" s="345">
        <v>0.48492170447749872</v>
      </c>
      <c r="Q98" s="345">
        <v>0.48407390125983057</v>
      </c>
      <c r="R98" s="345">
        <v>0.4567146049693272</v>
      </c>
      <c r="S98" s="345">
        <v>0.37896747600997588</v>
      </c>
      <c r="T98" s="345">
        <v>0.30620380507661588</v>
      </c>
      <c r="U98" s="345">
        <v>0.2614925296189573</v>
      </c>
      <c r="V98" s="345">
        <v>0.25480401933302083</v>
      </c>
      <c r="W98" s="345">
        <v>0.2748280284985441</v>
      </c>
      <c r="X98" s="345">
        <v>0.28634692998147304</v>
      </c>
      <c r="Y98" s="380">
        <v>0.30080407413057331</v>
      </c>
      <c r="Z98" s="296">
        <f t="shared" si="82"/>
        <v>0.23319695283567723</v>
      </c>
      <c r="AA98" s="298">
        <f t="shared" si="83"/>
        <v>0.24642681163529853</v>
      </c>
      <c r="AB98" s="948">
        <f t="array" ref="AB98">IF(AND($AD$72=TRUE,SUM(B98:L98)&gt;0),SUMPRODUCT((((TRANSPOSE(Cls1CentDailyRng)&lt;INDEX(CDRANGE_CLS1,$A98-$A$76+1,AD$73))*TRANSPOSE(Cls1CentDailyRng)+(TRANSPOSE(Cls1CentDailyRng)&gt;INDEX(CDRANGE_CLS1,$A98-$A$76+1,AD$73))*INDEX(CDRANGE_CLS1,$A98-$A$76+1,AD$73))/TRANSPOSE(Cls1CentDailyRng)),B98:L98,TRANSPOSE(Cls1CentVMTShr))/SUMPRODUCT(B98:L98,TRANSPOSE(Cls1CentVMTShr)),0)</f>
        <v>0</v>
      </c>
      <c r="AC98" s="949">
        <f t="array" ref="AC98">IF(AND($AD$72=TRUE,SUM(O98:Y98)&gt;0),SUMPRODUCT((((TRANSPOSE(Cls1NCentDailyRng)&lt;INDEX(CDRANGE_CLS1,$A98-$A$76+1,AD$73))*TRANSPOSE(Cls1NCentDailyRng)+(TRANSPOSE(Cls1NCentDailyRng)&gt;INDEX(CDRANGE_CLS1,$A98-$A$76+1,AD$73))*INDEX(CDRANGE_CLS1,$A98-$A$76+1,AD$73))/TRANSPOSE(Cls1NCentDailyRng)),O98:Y98,TRANSPOSE(Cls1NCentVMTShr))/SUMPRODUCT(O98:Y98,TRANSPOSE(Cls1NCentVMTShr)),0)</f>
        <v>0</v>
      </c>
      <c r="AD98" s="1226">
        <f t="shared" si="84"/>
        <v>0</v>
      </c>
      <c r="AE98" s="937">
        <f t="shared" si="90"/>
        <v>7.3723897355762971E-2</v>
      </c>
      <c r="AF98" s="937">
        <f t="shared" si="91"/>
        <v>0.23319695283567723</v>
      </c>
      <c r="AG98" s="937">
        <f t="shared" si="92"/>
        <v>0.30692085019144022</v>
      </c>
      <c r="AH98" s="1172">
        <f t="shared" si="88"/>
        <v>0.24020491703244692</v>
      </c>
      <c r="AI98" s="937">
        <f t="shared" si="89"/>
        <v>0.75979508296755305</v>
      </c>
      <c r="AJ98" s="1169"/>
      <c r="AK98" s="1171"/>
      <c r="AL98" s="1171"/>
      <c r="AM98" s="1171"/>
      <c r="AN98" s="1169"/>
      <c r="AO98" s="1171"/>
      <c r="AP98" s="1169"/>
      <c r="AQ98" s="1169"/>
      <c r="AR98" s="1169"/>
      <c r="AS98" s="1169"/>
    </row>
    <row r="99" spans="1:45" ht="15" thickBot="1" x14ac:dyDescent="0.25">
      <c r="A99" s="328">
        <v>2030</v>
      </c>
      <c r="B99" s="346">
        <v>0.48358978014166593</v>
      </c>
      <c r="C99" s="347">
        <v>0.48358978014166593</v>
      </c>
      <c r="D99" s="347">
        <v>0.48330625299782798</v>
      </c>
      <c r="E99" s="347">
        <v>0.45508922646589867</v>
      </c>
      <c r="F99" s="347">
        <v>0.38506550801826434</v>
      </c>
      <c r="G99" s="347">
        <v>0.31313406285307877</v>
      </c>
      <c r="H99" s="347">
        <v>0.2676429088035211</v>
      </c>
      <c r="I99" s="347">
        <v>0.25578146256250289</v>
      </c>
      <c r="J99" s="347">
        <v>0.27572391367966825</v>
      </c>
      <c r="K99" s="347">
        <v>0.28718552805294939</v>
      </c>
      <c r="L99" s="381">
        <v>0.30559762341429353</v>
      </c>
      <c r="M99" s="310">
        <f t="shared" si="80"/>
        <v>7.2407843382957401E-2</v>
      </c>
      <c r="N99" s="312">
        <f t="shared" si="81"/>
        <v>8.0582242481152061E-2</v>
      </c>
      <c r="O99" s="346">
        <v>0.48358978014166593</v>
      </c>
      <c r="P99" s="347">
        <v>0.48358978014166593</v>
      </c>
      <c r="Q99" s="347">
        <v>0.48213980786659272</v>
      </c>
      <c r="R99" s="347">
        <v>0.44736963832242826</v>
      </c>
      <c r="S99" s="347">
        <v>0.35937294247015256</v>
      </c>
      <c r="T99" s="347">
        <v>0.29453265104600923</v>
      </c>
      <c r="U99" s="347">
        <v>0.25082356801516037</v>
      </c>
      <c r="V99" s="347">
        <v>0.26278667197447486</v>
      </c>
      <c r="W99" s="347">
        <v>0.27572391367966825</v>
      </c>
      <c r="X99" s="347">
        <v>0.29235393038757684</v>
      </c>
      <c r="Y99" s="381">
        <v>0.30559762341429353</v>
      </c>
      <c r="Z99" s="310">
        <f t="shared" si="82"/>
        <v>0.22777578381090249</v>
      </c>
      <c r="AA99" s="312">
        <f t="shared" si="83"/>
        <v>0.2401820525375023</v>
      </c>
      <c r="AB99" s="948">
        <f t="array" ref="AB99">IF(AND($AD$72=TRUE,SUM(B99:L99)&gt;0),SUMPRODUCT((((TRANSPOSE(Cls1CentDailyRng)&lt;INDEX(CDRANGE_CLS1,$A99-$A$76+1,AD$73))*TRANSPOSE(Cls1CentDailyRng)+(TRANSPOSE(Cls1CentDailyRng)&gt;INDEX(CDRANGE_CLS1,$A99-$A$76+1,AD$73))*INDEX(CDRANGE_CLS1,$A99-$A$76+1,AD$73))/TRANSPOSE(Cls1CentDailyRng)),B99:L99,TRANSPOSE(Cls1CentVMTShr))/SUMPRODUCT(B99:L99,TRANSPOSE(Cls1CentVMTShr)),0)</f>
        <v>0</v>
      </c>
      <c r="AC99" s="949">
        <f t="array" ref="AC99">IF(AND($AD$72=TRUE,SUM(O99:Y99)&gt;0),SUMPRODUCT((((TRANSPOSE(Cls1NCentDailyRng)&lt;INDEX(CDRANGE_CLS1,$A99-$A$76+1,AD$73))*TRANSPOSE(Cls1NCentDailyRng)+(TRANSPOSE(Cls1NCentDailyRng)&gt;INDEX(CDRANGE_CLS1,$A99-$A$76+1,AD$73))*INDEX(CDRANGE_CLS1,$A99-$A$76+1,AD$73))/TRANSPOSE(Cls1NCentDailyRng)),O99:Y99,TRANSPOSE(Cls1NCentVMTShr))/SUMPRODUCT(O99:Y99,TRANSPOSE(Cls1NCentVMTShr)),0)</f>
        <v>0</v>
      </c>
      <c r="AD99" s="1226">
        <f t="shared" si="84"/>
        <v>0</v>
      </c>
      <c r="AE99" s="937">
        <f t="shared" si="90"/>
        <v>7.2407843382957401E-2</v>
      </c>
      <c r="AF99" s="937">
        <f t="shared" si="91"/>
        <v>0.22777578381090249</v>
      </c>
      <c r="AG99" s="937">
        <f t="shared" si="92"/>
        <v>0.30018362719385988</v>
      </c>
      <c r="AH99" s="1172">
        <f t="shared" si="88"/>
        <v>0.24121183443558067</v>
      </c>
      <c r="AI99" s="937">
        <f t="shared" si="89"/>
        <v>0.75878816556441941</v>
      </c>
      <c r="AJ99" s="1169"/>
      <c r="AK99" s="1171"/>
      <c r="AL99" s="1171"/>
      <c r="AM99" s="1171"/>
      <c r="AN99" s="1169"/>
      <c r="AO99" s="1171"/>
      <c r="AP99" s="1169"/>
      <c r="AQ99" s="1169"/>
      <c r="AR99" s="1169"/>
      <c r="AS99" s="1169"/>
    </row>
    <row r="100" spans="1:45" x14ac:dyDescent="0.2">
      <c r="A100" s="329">
        <v>2031</v>
      </c>
      <c r="B100" s="342">
        <v>0.48016832757899303</v>
      </c>
      <c r="C100" s="343">
        <v>0.48016832757899303</v>
      </c>
      <c r="D100" s="343">
        <v>0.47982426751092011</v>
      </c>
      <c r="E100" s="343">
        <v>0.44788334218251968</v>
      </c>
      <c r="F100" s="343">
        <v>0.37318336434809013</v>
      </c>
      <c r="G100" s="343">
        <v>0.30039266350882499</v>
      </c>
      <c r="H100" s="343">
        <v>0.26442576181236493</v>
      </c>
      <c r="I100" s="343">
        <v>0.25530491812169337</v>
      </c>
      <c r="J100" s="343">
        <v>0.27508380975344465</v>
      </c>
      <c r="K100" s="343">
        <v>0.28644320105214766</v>
      </c>
      <c r="L100" s="379">
        <v>0.30467853732722677</v>
      </c>
      <c r="M100" s="282">
        <f t="shared" si="80"/>
        <v>7.1198737562635769E-2</v>
      </c>
      <c r="N100" s="284">
        <f t="shared" si="81"/>
        <v>7.9162376606152551E-2</v>
      </c>
      <c r="O100" s="342">
        <v>0.48016832757899303</v>
      </c>
      <c r="P100" s="343">
        <v>0.48016832757899303</v>
      </c>
      <c r="Q100" s="343">
        <v>0.47812343437085453</v>
      </c>
      <c r="R100" s="343">
        <v>0.43940023401486294</v>
      </c>
      <c r="S100" s="343">
        <v>0.34679666557861261</v>
      </c>
      <c r="T100" s="343">
        <v>0.28207884002053829</v>
      </c>
      <c r="U100" s="343">
        <v>0.24771250498257977</v>
      </c>
      <c r="V100" s="343">
        <v>0.2622547445827485</v>
      </c>
      <c r="W100" s="343">
        <v>0.28094928463452185</v>
      </c>
      <c r="X100" s="343">
        <v>0.29156354662972389</v>
      </c>
      <c r="Y100" s="379">
        <v>0.30467853732722677</v>
      </c>
      <c r="Z100" s="282">
        <f t="shared" si="82"/>
        <v>0.22339067043115896</v>
      </c>
      <c r="AA100" s="284">
        <f t="shared" si="83"/>
        <v>0.23524463925064229</v>
      </c>
      <c r="AB100" s="948">
        <f t="array" ref="AB100">IF(AND($AD$72=TRUE,SUM(B100:L100)&gt;0),SUMPRODUCT((((TRANSPOSE(Cls1CentDailyRng)&lt;INDEX(CDRANGE_CLS1,$A100-$A$76+1,AD$73))*TRANSPOSE(Cls1CentDailyRng)+(TRANSPOSE(Cls1CentDailyRng)&gt;INDEX(CDRANGE_CLS1,$A100-$A$76+1,AD$73))*INDEX(CDRANGE_CLS1,$A100-$A$76+1,AD$73))/TRANSPOSE(Cls1CentDailyRng)),B100:L100,TRANSPOSE(Cls1CentVMTShr))/SUMPRODUCT(B100:L100,TRANSPOSE(Cls1CentVMTShr)),0)</f>
        <v>0</v>
      </c>
      <c r="AC100" s="949">
        <f t="array" ref="AC100">IF(AND($AD$72=TRUE,SUM(O100:Y100)&gt;0),SUMPRODUCT((((TRANSPOSE(Cls1NCentDailyRng)&lt;INDEX(CDRANGE_CLS1,$A100-$A$76+1,AD$73))*TRANSPOSE(Cls1NCentDailyRng)+(TRANSPOSE(Cls1NCentDailyRng)&gt;INDEX(CDRANGE_CLS1,$A100-$A$76+1,AD$73))*INDEX(CDRANGE_CLS1,$A100-$A$76+1,AD$73))/TRANSPOSE(Cls1NCentDailyRng)),O100:Y100,TRANSPOSE(Cls1NCentVMTShr))/SUMPRODUCT(O100:Y100,TRANSPOSE(Cls1NCentVMTShr)),0)</f>
        <v>0</v>
      </c>
      <c r="AD100" s="1226">
        <f t="shared" si="84"/>
        <v>0</v>
      </c>
      <c r="AE100" s="937">
        <f t="shared" si="90"/>
        <v>7.1198737562635769E-2</v>
      </c>
      <c r="AF100" s="937">
        <f t="shared" si="91"/>
        <v>0.22339067043115896</v>
      </c>
      <c r="AG100" s="937">
        <f t="shared" si="92"/>
        <v>0.29458940799379474</v>
      </c>
      <c r="AH100" s="1172">
        <f t="shared" si="88"/>
        <v>0.24168804319039028</v>
      </c>
      <c r="AI100" s="937">
        <f t="shared" si="89"/>
        <v>0.75831195680960961</v>
      </c>
      <c r="AJ100" s="1169"/>
      <c r="AK100" s="1171"/>
      <c r="AL100" s="1171"/>
      <c r="AM100" s="1171"/>
      <c r="AN100" s="1169"/>
      <c r="AO100" s="1171"/>
      <c r="AP100" s="1169"/>
      <c r="AQ100" s="1169"/>
      <c r="AR100" s="1169"/>
      <c r="AS100" s="1169"/>
    </row>
    <row r="101" spans="1:45" x14ac:dyDescent="0.2">
      <c r="A101" s="330">
        <v>2032</v>
      </c>
      <c r="B101" s="344">
        <v>0.47364918262367628</v>
      </c>
      <c r="C101" s="345">
        <v>0.47364918262367628</v>
      </c>
      <c r="D101" s="345">
        <v>0.47323356167441816</v>
      </c>
      <c r="E101" s="345">
        <v>0.44134858795429666</v>
      </c>
      <c r="F101" s="345">
        <v>0.3583462138395383</v>
      </c>
      <c r="G101" s="345">
        <v>0.29462690552130888</v>
      </c>
      <c r="H101" s="345">
        <v>0.25067112990531515</v>
      </c>
      <c r="I101" s="345">
        <v>0.25362821157556198</v>
      </c>
      <c r="J101" s="345">
        <v>0.27310650813703158</v>
      </c>
      <c r="K101" s="345">
        <v>0.28931721565787122</v>
      </c>
      <c r="L101" s="380">
        <v>0.30576532266416118</v>
      </c>
      <c r="M101" s="296">
        <f t="shared" si="80"/>
        <v>6.9265062570003283E-2</v>
      </c>
      <c r="N101" s="298">
        <f t="shared" si="81"/>
        <v>7.7023497185511117E-2</v>
      </c>
      <c r="O101" s="344">
        <v>0.47364918262367628</v>
      </c>
      <c r="P101" s="345">
        <v>0.47364918262367628</v>
      </c>
      <c r="Q101" s="345">
        <v>0.4716013299202611</v>
      </c>
      <c r="R101" s="345">
        <v>0.42805296446584878</v>
      </c>
      <c r="S101" s="345">
        <v>0.34064093345001956</v>
      </c>
      <c r="T101" s="345">
        <v>0.27650419580507568</v>
      </c>
      <c r="U101" s="345">
        <v>0.24255314461418401</v>
      </c>
      <c r="V101" s="345">
        <v>0.26047519022935894</v>
      </c>
      <c r="W101" s="345">
        <v>0.27887816366720486</v>
      </c>
      <c r="X101" s="345">
        <v>0.28931721565787122</v>
      </c>
      <c r="Y101" s="380">
        <v>0.30220605977503506</v>
      </c>
      <c r="Z101" s="296">
        <f t="shared" si="82"/>
        <v>0.21966133547894329</v>
      </c>
      <c r="AA101" s="298">
        <f t="shared" si="83"/>
        <v>0.23112703841282592</v>
      </c>
      <c r="AB101" s="948">
        <f t="array" ref="AB101">IF(AND($AD$72=TRUE,SUM(B101:L101)&gt;0),SUMPRODUCT((((TRANSPOSE(Cls1CentDailyRng)&lt;INDEX(CDRANGE_CLS1,$A101-$A$76+1,AD$73))*TRANSPOSE(Cls1CentDailyRng)+(TRANSPOSE(Cls1CentDailyRng)&gt;INDEX(CDRANGE_CLS1,$A101-$A$76+1,AD$73))*INDEX(CDRANGE_CLS1,$A101-$A$76+1,AD$73))/TRANSPOSE(Cls1CentDailyRng)),B101:L101,TRANSPOSE(Cls1CentVMTShr))/SUMPRODUCT(B101:L101,TRANSPOSE(Cls1CentVMTShr)),0)</f>
        <v>0</v>
      </c>
      <c r="AC101" s="949">
        <f t="array" ref="AC101">IF(AND($AD$72=TRUE,SUM(O101:Y101)&gt;0),SUMPRODUCT((((TRANSPOSE(Cls1NCentDailyRng)&lt;INDEX(CDRANGE_CLS1,$A101-$A$76+1,AD$73))*TRANSPOSE(Cls1NCentDailyRng)+(TRANSPOSE(Cls1NCentDailyRng)&gt;INDEX(CDRANGE_CLS1,$A101-$A$76+1,AD$73))*INDEX(CDRANGE_CLS1,$A101-$A$76+1,AD$73))/TRANSPOSE(Cls1NCentDailyRng)),O101:Y101,TRANSPOSE(Cls1NCentVMTShr))/SUMPRODUCT(O101:Y101,TRANSPOSE(Cls1NCentVMTShr)),0)</f>
        <v>0</v>
      </c>
      <c r="AD101" s="1226">
        <f t="shared" si="84"/>
        <v>0</v>
      </c>
      <c r="AE101" s="937">
        <f t="shared" si="90"/>
        <v>6.9265062570003283E-2</v>
      </c>
      <c r="AF101" s="937">
        <f t="shared" si="91"/>
        <v>0.21966133547894329</v>
      </c>
      <c r="AG101" s="937">
        <f t="shared" si="92"/>
        <v>0.2889263980489466</v>
      </c>
      <c r="AH101" s="1172">
        <f t="shared" si="88"/>
        <v>0.2397325513962528</v>
      </c>
      <c r="AI101" s="937">
        <f t="shared" si="89"/>
        <v>0.76026744860374706</v>
      </c>
      <c r="AJ101" s="1169"/>
      <c r="AK101" s="1171"/>
      <c r="AL101" s="1171"/>
      <c r="AM101" s="1171"/>
      <c r="AN101" s="1169"/>
      <c r="AO101" s="1171"/>
      <c r="AP101" s="1169"/>
      <c r="AQ101" s="1169"/>
      <c r="AR101" s="1169"/>
      <c r="AS101" s="1169"/>
    </row>
    <row r="102" spans="1:45" x14ac:dyDescent="0.2">
      <c r="A102" s="330">
        <v>2033</v>
      </c>
      <c r="B102" s="344">
        <v>0.46443847576209252</v>
      </c>
      <c r="C102" s="345">
        <v>0.46443847576209252</v>
      </c>
      <c r="D102" s="345">
        <v>0.46340865762776046</v>
      </c>
      <c r="E102" s="345">
        <v>0.41890300021701887</v>
      </c>
      <c r="F102" s="345">
        <v>0.34096284910133579</v>
      </c>
      <c r="G102" s="345">
        <v>0.2688354313049478</v>
      </c>
      <c r="H102" s="345">
        <v>0.23548321183953541</v>
      </c>
      <c r="I102" s="345">
        <v>0.25773806837927038</v>
      </c>
      <c r="J102" s="345">
        <v>0.27573068400048456</v>
      </c>
      <c r="K102" s="345">
        <v>0.2859243895262501</v>
      </c>
      <c r="L102" s="380">
        <v>0.27127577322410878</v>
      </c>
      <c r="M102" s="296">
        <f t="shared" si="80"/>
        <v>6.5893160227136052E-2</v>
      </c>
      <c r="N102" s="298">
        <f t="shared" si="81"/>
        <v>7.3447140980303416E-2</v>
      </c>
      <c r="O102" s="344">
        <v>0.46443847576209252</v>
      </c>
      <c r="P102" s="345">
        <v>0.46443847576209252</v>
      </c>
      <c r="Q102" s="345">
        <v>0.46050025404162637</v>
      </c>
      <c r="R102" s="345">
        <v>0.40809266936231181</v>
      </c>
      <c r="S102" s="345">
        <v>0.31402313964853112</v>
      </c>
      <c r="T102" s="345">
        <v>0.2516820987122424</v>
      </c>
      <c r="U102" s="345">
        <v>0.24399663354976531</v>
      </c>
      <c r="V102" s="345">
        <v>0.26409174311718786</v>
      </c>
      <c r="W102" s="345">
        <v>0.28100890926370503</v>
      </c>
      <c r="X102" s="345">
        <v>0.29047716254136124</v>
      </c>
      <c r="Y102" s="380">
        <v>0.2577486580315288</v>
      </c>
      <c r="Z102" s="296">
        <f t="shared" si="82"/>
        <v>0.21054951802324653</v>
      </c>
      <c r="AA102" s="298">
        <f t="shared" si="83"/>
        <v>0.22148473802503638</v>
      </c>
      <c r="AB102" s="948">
        <f t="array" ref="AB102">IF(AND($AD$72=TRUE,SUM(B102:L102)&gt;0),SUMPRODUCT((((TRANSPOSE(Cls1CentDailyRng)&lt;INDEX(CDRANGE_CLS1,$A102-$A$76+1,AD$73))*TRANSPOSE(Cls1CentDailyRng)+(TRANSPOSE(Cls1CentDailyRng)&gt;INDEX(CDRANGE_CLS1,$A102-$A$76+1,AD$73))*INDEX(CDRANGE_CLS1,$A102-$A$76+1,AD$73))/TRANSPOSE(Cls1CentDailyRng)),B102:L102,TRANSPOSE(Cls1CentVMTShr))/SUMPRODUCT(B102:L102,TRANSPOSE(Cls1CentVMTShr)),0)</f>
        <v>0</v>
      </c>
      <c r="AC102" s="949">
        <f t="array" ref="AC102">IF(AND($AD$72=TRUE,SUM(O102:Y102)&gt;0),SUMPRODUCT((((TRANSPOSE(Cls1NCentDailyRng)&lt;INDEX(CDRANGE_CLS1,$A102-$A$76+1,AD$73))*TRANSPOSE(Cls1NCentDailyRng)+(TRANSPOSE(Cls1NCentDailyRng)&gt;INDEX(CDRANGE_CLS1,$A102-$A$76+1,AD$73))*INDEX(CDRANGE_CLS1,$A102-$A$76+1,AD$73))/TRANSPOSE(Cls1NCentDailyRng)),O102:Y102,TRANSPOSE(Cls1NCentVMTShr))/SUMPRODUCT(O102:Y102,TRANSPOSE(Cls1NCentVMTShr)),0)</f>
        <v>0</v>
      </c>
      <c r="AD102" s="1226">
        <f>AB102*AH102+AC102*AI102</f>
        <v>0</v>
      </c>
      <c r="AE102" s="937">
        <f t="shared" si="90"/>
        <v>6.5893160227136052E-2</v>
      </c>
      <c r="AF102" s="937">
        <f t="shared" si="91"/>
        <v>0.21054951802324653</v>
      </c>
      <c r="AG102" s="937">
        <f t="shared" si="92"/>
        <v>0.2764426782503826</v>
      </c>
      <c r="AH102" s="1172">
        <f t="shared" si="88"/>
        <v>0.23836102530975553</v>
      </c>
      <c r="AI102" s="937">
        <f t="shared" si="89"/>
        <v>0.76163897469024444</v>
      </c>
      <c r="AJ102" s="1169"/>
      <c r="AK102" s="1171"/>
      <c r="AL102" s="1171"/>
      <c r="AM102" s="1171"/>
      <c r="AN102" s="1169"/>
      <c r="AO102" s="1171"/>
      <c r="AP102" s="1169"/>
      <c r="AQ102" s="1169"/>
      <c r="AR102" s="1169"/>
      <c r="AS102" s="1169"/>
    </row>
    <row r="103" spans="1:45" x14ac:dyDescent="0.2">
      <c r="A103" s="330">
        <v>2034</v>
      </c>
      <c r="B103" s="344">
        <v>0.4645286299248309</v>
      </c>
      <c r="C103" s="345">
        <v>0.4645286299248309</v>
      </c>
      <c r="D103" s="345">
        <v>0.46330125770183417</v>
      </c>
      <c r="E103" s="345">
        <v>0.41377374404080081</v>
      </c>
      <c r="F103" s="345">
        <v>0.33215753685905719</v>
      </c>
      <c r="G103" s="345">
        <v>0.26887139446662262</v>
      </c>
      <c r="H103" s="345">
        <v>0.23551229071629978</v>
      </c>
      <c r="I103" s="345">
        <v>0.26415932863432967</v>
      </c>
      <c r="J103" s="345">
        <v>0.28107935762123487</v>
      </c>
      <c r="K103" s="345">
        <v>0.29054913611997341</v>
      </c>
      <c r="L103" s="380">
        <v>0.25780971688820203</v>
      </c>
      <c r="M103" s="296">
        <f t="shared" si="80"/>
        <v>6.5576335366785476E-2</v>
      </c>
      <c r="N103" s="298">
        <f t="shared" si="81"/>
        <v>7.3028883147871357E-2</v>
      </c>
      <c r="O103" s="344">
        <v>0.4645286299248309</v>
      </c>
      <c r="P103" s="345">
        <v>0.4645286299248309</v>
      </c>
      <c r="Q103" s="345">
        <v>0.45991589680771588</v>
      </c>
      <c r="R103" s="345">
        <v>0.40215042747829538</v>
      </c>
      <c r="S103" s="345">
        <v>0.31406952492836465</v>
      </c>
      <c r="T103" s="345">
        <v>0.25171443550961509</v>
      </c>
      <c r="U103" s="345">
        <v>0.24406058900205341</v>
      </c>
      <c r="V103" s="345">
        <v>0.27015939457863053</v>
      </c>
      <c r="W103" s="345">
        <v>0.28107935762123487</v>
      </c>
      <c r="X103" s="345">
        <v>0.29054913611997341</v>
      </c>
      <c r="Y103" s="380">
        <v>0.24423659202926815</v>
      </c>
      <c r="Z103" s="296">
        <f t="shared" si="82"/>
        <v>0.21025004219657156</v>
      </c>
      <c r="AA103" s="298">
        <f t="shared" si="83"/>
        <v>0.22125135846671745</v>
      </c>
      <c r="AB103" s="948">
        <f t="array" ref="AB103">IF(AND($AD$72=TRUE,SUM(B103:L103)&gt;0),SUMPRODUCT((((TRANSPOSE(Cls1CentDailyRng)&lt;INDEX(CDRANGE_CLS1,$A103-$A$76+1,AD$73))*TRANSPOSE(Cls1CentDailyRng)+(TRANSPOSE(Cls1CentDailyRng)&gt;INDEX(CDRANGE_CLS1,$A103-$A$76+1,AD$73))*INDEX(CDRANGE_CLS1,$A103-$A$76+1,AD$73))/TRANSPOSE(Cls1CentDailyRng)),B103:L103,TRANSPOSE(Cls1CentVMTShr))/SUMPRODUCT(B103:L103,TRANSPOSE(Cls1CentVMTShr)),0)</f>
        <v>0</v>
      </c>
      <c r="AC103" s="949">
        <f t="array" ref="AC103">IF(AND($AD$72=TRUE,SUM(O103:Y103)&gt;0),SUMPRODUCT((((TRANSPOSE(Cls1NCentDailyRng)&lt;INDEX(CDRANGE_CLS1,$A103-$A$76+1,AD$73))*TRANSPOSE(Cls1NCentDailyRng)+(TRANSPOSE(Cls1NCentDailyRng)&gt;INDEX(CDRANGE_CLS1,$A103-$A$76+1,AD$73))*INDEX(CDRANGE_CLS1,$A103-$A$76+1,AD$73))/TRANSPOSE(Cls1NCentDailyRng)),O103:Y103,TRANSPOSE(Cls1NCentVMTShr))/SUMPRODUCT(O103:Y103,TRANSPOSE(Cls1NCentVMTShr)),0)</f>
        <v>0</v>
      </c>
      <c r="AD103" s="1226">
        <f t="shared" ref="AD103:AD119" si="93">AB103*AH103+AC103*AI103</f>
        <v>0</v>
      </c>
      <c r="AE103" s="937">
        <f t="shared" si="90"/>
        <v>6.5576335366785476E-2</v>
      </c>
      <c r="AF103" s="937">
        <f t="shared" si="91"/>
        <v>0.21025004219657156</v>
      </c>
      <c r="AG103" s="937">
        <f t="shared" si="92"/>
        <v>0.27582637756335704</v>
      </c>
      <c r="AH103" s="1172">
        <f t="shared" si="88"/>
        <v>0.237744975466397</v>
      </c>
      <c r="AI103" s="937">
        <f t="shared" si="89"/>
        <v>0.76225502453360294</v>
      </c>
      <c r="AJ103" s="1169"/>
      <c r="AK103" s="1171"/>
      <c r="AL103" s="1171"/>
      <c r="AM103" s="1171"/>
      <c r="AN103" s="1169"/>
      <c r="AO103" s="1171"/>
      <c r="AP103" s="1169"/>
      <c r="AQ103" s="1169"/>
      <c r="AR103" s="1169"/>
      <c r="AS103" s="1169"/>
    </row>
    <row r="104" spans="1:45" ht="15" thickBot="1" x14ac:dyDescent="0.25">
      <c r="A104" s="328">
        <v>2035</v>
      </c>
      <c r="B104" s="346">
        <v>0.46455808054210945</v>
      </c>
      <c r="C104" s="347">
        <v>0.46455808054210945</v>
      </c>
      <c r="D104" s="347">
        <v>0.46282641121761992</v>
      </c>
      <c r="E104" s="347">
        <v>0.40818323034166637</v>
      </c>
      <c r="F104" s="347">
        <v>0.32316544371462086</v>
      </c>
      <c r="G104" s="347">
        <v>0.26018801246565587</v>
      </c>
      <c r="H104" s="347">
        <v>0.23672590723331657</v>
      </c>
      <c r="I104" s="347">
        <v>0.26419319026682497</v>
      </c>
      <c r="J104" s="347">
        <v>0.28111385031538932</v>
      </c>
      <c r="K104" s="347">
        <v>0.29058390120408578</v>
      </c>
      <c r="L104" s="381">
        <v>0.27387822193993289</v>
      </c>
      <c r="M104" s="310">
        <f t="shared" si="80"/>
        <v>6.5268252646587532E-2</v>
      </c>
      <c r="N104" s="312">
        <f t="shared" si="81"/>
        <v>7.2424749885661485E-2</v>
      </c>
      <c r="O104" s="346">
        <v>0.46455808054210945</v>
      </c>
      <c r="P104" s="347">
        <v>0.46455808054210945</v>
      </c>
      <c r="Q104" s="347">
        <v>0.45827660331091363</v>
      </c>
      <c r="R104" s="347">
        <v>0.39575069331220042</v>
      </c>
      <c r="S104" s="347">
        <v>0.30493810067836685</v>
      </c>
      <c r="T104" s="347">
        <v>0.24347788247572569</v>
      </c>
      <c r="U104" s="347">
        <v>0.24409346044704117</v>
      </c>
      <c r="V104" s="347">
        <v>0.27019350117875524</v>
      </c>
      <c r="W104" s="347">
        <v>0.28603027795609742</v>
      </c>
      <c r="X104" s="347">
        <v>0.29477545448229836</v>
      </c>
      <c r="Y104" s="381">
        <v>0.25783762295409052</v>
      </c>
      <c r="Z104" s="310">
        <f t="shared" si="82"/>
        <v>0.20873661060081669</v>
      </c>
      <c r="AA104" s="312">
        <f t="shared" si="83"/>
        <v>0.21891927136141631</v>
      </c>
      <c r="AB104" s="948">
        <f t="array" ref="AB104">IF(AND($AD$72=TRUE,SUM(B104:L104)&gt;0),SUMPRODUCT((((TRANSPOSE(Cls1CentDailyRng)&lt;INDEX(CDRANGE_CLS1,$A104-$A$76+1,AD$73))*TRANSPOSE(Cls1CentDailyRng)+(TRANSPOSE(Cls1CentDailyRng)&gt;INDEX(CDRANGE_CLS1,$A104-$A$76+1,AD$73))*INDEX(CDRANGE_CLS1,$A104-$A$76+1,AD$73))/TRANSPOSE(Cls1CentDailyRng)),B104:L104,TRANSPOSE(Cls1CentVMTShr))/SUMPRODUCT(B104:L104,TRANSPOSE(Cls1CentVMTShr)),0)</f>
        <v>0</v>
      </c>
      <c r="AC104" s="949">
        <f t="array" ref="AC104">IF(AND($AD$72=TRUE,SUM(O104:Y104)&gt;0),SUMPRODUCT((((TRANSPOSE(Cls1NCentDailyRng)&lt;INDEX(CDRANGE_CLS1,$A104-$A$76+1,AD$73))*TRANSPOSE(Cls1NCentDailyRng)+(TRANSPOSE(Cls1NCentDailyRng)&gt;INDEX(CDRANGE_CLS1,$A104-$A$76+1,AD$73))*INDEX(CDRANGE_CLS1,$A104-$A$76+1,AD$73))/TRANSPOSE(Cls1NCentDailyRng)),O104:Y104,TRANSPOSE(Cls1NCentVMTShr))/SUMPRODUCT(O104:Y104,TRANSPOSE(Cls1NCentVMTShr)),0)</f>
        <v>0</v>
      </c>
      <c r="AD104" s="1226">
        <f t="shared" si="93"/>
        <v>0</v>
      </c>
      <c r="AE104" s="937">
        <f t="shared" si="90"/>
        <v>6.5268252646587532E-2</v>
      </c>
      <c r="AF104" s="937">
        <f t="shared" si="91"/>
        <v>0.20873661060081669</v>
      </c>
      <c r="AG104" s="937">
        <f t="shared" si="92"/>
        <v>0.27400486324740425</v>
      </c>
      <c r="AH104" s="1172">
        <f t="shared" si="88"/>
        <v>0.23820107378041525</v>
      </c>
      <c r="AI104" s="937">
        <f t="shared" si="89"/>
        <v>0.76179892621958467</v>
      </c>
      <c r="AJ104" s="1169"/>
      <c r="AK104" s="1171"/>
      <c r="AL104" s="1171"/>
      <c r="AM104" s="1171"/>
      <c r="AN104" s="1169"/>
      <c r="AO104" s="1171"/>
      <c r="AP104" s="1169"/>
      <c r="AQ104" s="1169"/>
      <c r="AR104" s="1169"/>
      <c r="AS104" s="1169"/>
    </row>
    <row r="105" spans="1:45" x14ac:dyDescent="0.2">
      <c r="A105" s="329">
        <v>2036</v>
      </c>
      <c r="B105" s="342">
        <v>0.36830723556096212</v>
      </c>
      <c r="C105" s="343">
        <v>0.36830723556096212</v>
      </c>
      <c r="D105" s="343">
        <v>0.36205246067115276</v>
      </c>
      <c r="E105" s="343">
        <v>0.28237511881579463</v>
      </c>
      <c r="F105" s="343">
        <v>0.20670982505385121</v>
      </c>
      <c r="G105" s="343">
        <v>0.20283634997474814</v>
      </c>
      <c r="H105" s="343">
        <v>0.22511213542611613</v>
      </c>
      <c r="I105" s="343">
        <v>0.19153838701700077</v>
      </c>
      <c r="J105" s="343">
        <v>0.26193701675913661</v>
      </c>
      <c r="K105" s="343">
        <v>0.30726463005124627</v>
      </c>
      <c r="L105" s="379">
        <v>0.39089902498902912</v>
      </c>
      <c r="M105" s="282">
        <f t="shared" si="80"/>
        <v>5.5091673491500431E-2</v>
      </c>
      <c r="N105" s="284">
        <f t="shared" si="81"/>
        <v>5.7890973899173748E-2</v>
      </c>
      <c r="O105" s="342">
        <v>0.36830723556096212</v>
      </c>
      <c r="P105" s="343">
        <v>0.36830723556096212</v>
      </c>
      <c r="Q105" s="343">
        <v>0.35136308590232251</v>
      </c>
      <c r="R105" s="343">
        <v>0.26796055133360758</v>
      </c>
      <c r="S105" s="343">
        <v>0.1920944461616434</v>
      </c>
      <c r="T105" s="343">
        <v>0.20883887441045301</v>
      </c>
      <c r="U105" s="343">
        <v>0.14292099805662739</v>
      </c>
      <c r="V105" s="343">
        <v>0.21817891398702854</v>
      </c>
      <c r="W105" s="343">
        <v>0.27442985613845094</v>
      </c>
      <c r="X105" s="343">
        <v>0.31970269462966378</v>
      </c>
      <c r="Y105" s="379">
        <v>0.37974161327615819</v>
      </c>
      <c r="Z105" s="282">
        <f t="shared" si="82"/>
        <v>0.16404294371677255</v>
      </c>
      <c r="AA105" s="284">
        <f t="shared" si="83"/>
        <v>0.16522966386989776</v>
      </c>
      <c r="AB105" s="948">
        <f t="array" ref="AB105">IF(AND($AD$72=TRUE,SUM(B105:L105)&gt;0),SUMPRODUCT((((TRANSPOSE(Cls1CentDailyRng)&lt;INDEX(CDRANGE_CLS1,$A105-$A$76+1,AD$73))*TRANSPOSE(Cls1CentDailyRng)+(TRANSPOSE(Cls1CentDailyRng)&gt;INDEX(CDRANGE_CLS1,$A105-$A$76+1,AD$73))*INDEX(CDRANGE_CLS1,$A105-$A$76+1,AD$73))/TRANSPOSE(Cls1CentDailyRng)),B105:L105,TRANSPOSE(Cls1CentVMTShr))/SUMPRODUCT(B105:L105,TRANSPOSE(Cls1CentVMTShr)),0)</f>
        <v>0</v>
      </c>
      <c r="AC105" s="949">
        <f t="array" ref="AC105">IF(AND($AD$72=TRUE,SUM(O105:Y105)&gt;0),SUMPRODUCT((((TRANSPOSE(Cls1NCentDailyRng)&lt;INDEX(CDRANGE_CLS1,$A105-$A$76+1,AD$73))*TRANSPOSE(Cls1NCentDailyRng)+(TRANSPOSE(Cls1NCentDailyRng)&gt;INDEX(CDRANGE_CLS1,$A105-$A$76+1,AD$73))*INDEX(CDRANGE_CLS1,$A105-$A$76+1,AD$73))/TRANSPOSE(Cls1NCentDailyRng)),O105:Y105,TRANSPOSE(Cls1NCentVMTShr))/SUMPRODUCT(O105:Y105,TRANSPOSE(Cls1NCentVMTShr)),0)</f>
        <v>0</v>
      </c>
      <c r="AD105" s="1226">
        <f t="shared" si="93"/>
        <v>0</v>
      </c>
      <c r="AE105" s="937">
        <f t="shared" si="90"/>
        <v>5.5091673491500431E-2</v>
      </c>
      <c r="AF105" s="937">
        <f t="shared" si="91"/>
        <v>0.16404294371677255</v>
      </c>
      <c r="AG105" s="937">
        <f t="shared" si="92"/>
        <v>0.21913461720827299</v>
      </c>
      <c r="AH105" s="1172">
        <f t="shared" si="88"/>
        <v>0.25140561629812891</v>
      </c>
      <c r="AI105" s="937">
        <f t="shared" si="89"/>
        <v>0.74859438370187115</v>
      </c>
      <c r="AJ105" s="1169"/>
      <c r="AK105" s="1171"/>
      <c r="AL105" s="1171"/>
      <c r="AM105" s="1171"/>
      <c r="AN105" s="1169"/>
      <c r="AO105" s="1171"/>
      <c r="AP105" s="1169"/>
      <c r="AQ105" s="1169"/>
      <c r="AR105" s="1169"/>
      <c r="AS105" s="1169"/>
    </row>
    <row r="106" spans="1:45" x14ac:dyDescent="0.2">
      <c r="A106" s="330">
        <v>2037</v>
      </c>
      <c r="B106" s="344">
        <v>0.26417550911024656</v>
      </c>
      <c r="C106" s="345">
        <v>0.26417550911024656</v>
      </c>
      <c r="D106" s="345">
        <v>0.25308049907064062</v>
      </c>
      <c r="E106" s="345">
        <v>0.17358203365303004</v>
      </c>
      <c r="F106" s="345">
        <v>0.1482300637243178</v>
      </c>
      <c r="G106" s="345">
        <v>9.9524903024581723E-2</v>
      </c>
      <c r="H106" s="345">
        <v>0.16401938900344704</v>
      </c>
      <c r="I106" s="345">
        <v>0.2422264999562557</v>
      </c>
      <c r="J106" s="345">
        <v>0.30312060909082122</v>
      </c>
      <c r="K106" s="345">
        <v>0.34342081463763169</v>
      </c>
      <c r="L106" s="380">
        <v>0.41569779781886035</v>
      </c>
      <c r="M106" s="296">
        <f t="shared" si="80"/>
        <v>4.5523000440449907E-2</v>
      </c>
      <c r="N106" s="298">
        <f t="shared" si="81"/>
        <v>4.4433178255864562E-2</v>
      </c>
      <c r="O106" s="344">
        <v>0.26417550911024656</v>
      </c>
      <c r="P106" s="345">
        <v>0.26417550911024656</v>
      </c>
      <c r="Q106" s="345">
        <v>0.23686723148329214</v>
      </c>
      <c r="R106" s="345">
        <v>0.16144603579490241</v>
      </c>
      <c r="S106" s="345">
        <v>0.15316509278259813</v>
      </c>
      <c r="T106" s="345">
        <v>0.12930166950225594</v>
      </c>
      <c r="U106" s="345">
        <v>0.18874720357246011</v>
      </c>
      <c r="V106" s="345">
        <v>0.2581556194373188</v>
      </c>
      <c r="W106" s="345">
        <v>0.3152218430937308</v>
      </c>
      <c r="X106" s="345">
        <v>0.35962216702032512</v>
      </c>
      <c r="Y106" s="380">
        <v>0.40139259279462725</v>
      </c>
      <c r="Z106" s="296">
        <f t="shared" si="82"/>
        <v>0.15877612847648073</v>
      </c>
      <c r="AA106" s="298">
        <f t="shared" si="83"/>
        <v>0.14842145027512002</v>
      </c>
      <c r="AB106" s="948">
        <f t="array" ref="AB106">IF(AND($AD$72=TRUE,SUM(B106:L106)&gt;0),SUMPRODUCT((((TRANSPOSE(Cls1CentDailyRng)&lt;INDEX(CDRANGE_CLS1,$A106-$A$76+1,AD$73))*TRANSPOSE(Cls1CentDailyRng)+(TRANSPOSE(Cls1CentDailyRng)&gt;INDEX(CDRANGE_CLS1,$A106-$A$76+1,AD$73))*INDEX(CDRANGE_CLS1,$A106-$A$76+1,AD$73))/TRANSPOSE(Cls1CentDailyRng)),B106:L106,TRANSPOSE(Cls1CentVMTShr))/SUMPRODUCT(B106:L106,TRANSPOSE(Cls1CentVMTShr)),0)</f>
        <v>0</v>
      </c>
      <c r="AC106" s="949">
        <f t="array" ref="AC106">IF(AND($AD$72=TRUE,SUM(O106:Y106)&gt;0),SUMPRODUCT((((TRANSPOSE(Cls1NCentDailyRng)&lt;INDEX(CDRANGE_CLS1,$A106-$A$76+1,AD$73))*TRANSPOSE(Cls1NCentDailyRng)+(TRANSPOSE(Cls1NCentDailyRng)&gt;INDEX(CDRANGE_CLS1,$A106-$A$76+1,AD$73))*INDEX(CDRANGE_CLS1,$A106-$A$76+1,AD$73))/TRANSPOSE(Cls1NCentDailyRng)),O106:Y106,TRANSPOSE(Cls1NCentVMTShr))/SUMPRODUCT(O106:Y106,TRANSPOSE(Cls1NCentVMTShr)),0)</f>
        <v>0</v>
      </c>
      <c r="AD106" s="1226">
        <f t="shared" si="93"/>
        <v>0</v>
      </c>
      <c r="AE106" s="937">
        <f t="shared" si="90"/>
        <v>4.5523000440449907E-2</v>
      </c>
      <c r="AF106" s="937">
        <f t="shared" si="91"/>
        <v>0.15877612847648073</v>
      </c>
      <c r="AG106" s="937">
        <f t="shared" si="92"/>
        <v>0.20429912891693064</v>
      </c>
      <c r="AH106" s="1172">
        <f t="shared" si="88"/>
        <v>0.22282523024833775</v>
      </c>
      <c r="AI106" s="937">
        <f t="shared" si="89"/>
        <v>0.77717476975166222</v>
      </c>
      <c r="AJ106" s="1169"/>
      <c r="AK106" s="1171"/>
      <c r="AL106" s="1171"/>
      <c r="AM106" s="1171"/>
      <c r="AN106" s="1169"/>
      <c r="AO106" s="1171"/>
      <c r="AP106" s="1169"/>
      <c r="AQ106" s="1169"/>
      <c r="AR106" s="1169"/>
      <c r="AS106" s="1169"/>
    </row>
    <row r="107" spans="1:45" x14ac:dyDescent="0.2">
      <c r="A107" s="330">
        <v>2038</v>
      </c>
      <c r="B107" s="344">
        <v>0.10820765401552511</v>
      </c>
      <c r="C107" s="345">
        <v>0.10820765401552511</v>
      </c>
      <c r="D107" s="345">
        <v>8.9010822332871969E-2</v>
      </c>
      <c r="E107" s="345">
        <v>7.0568619080314934E-2</v>
      </c>
      <c r="F107" s="345">
        <v>8.764426018042433E-2</v>
      </c>
      <c r="G107" s="345">
        <v>0.1689409617025614</v>
      </c>
      <c r="H107" s="345">
        <v>0.23816211151398739</v>
      </c>
      <c r="I107" s="345">
        <v>0.31025355983684183</v>
      </c>
      <c r="J107" s="345">
        <v>0.35450679478313013</v>
      </c>
      <c r="K107" s="345">
        <v>0.39649919597159244</v>
      </c>
      <c r="L107" s="380">
        <v>0.44234695660845003</v>
      </c>
      <c r="M107" s="296">
        <f t="shared" si="80"/>
        <v>5.1532191829858347E-2</v>
      </c>
      <c r="N107" s="298">
        <f t="shared" si="81"/>
        <v>4.4660921152666441E-2</v>
      </c>
      <c r="O107" s="344">
        <v>0.10820765401552511</v>
      </c>
      <c r="P107" s="345">
        <v>0.10820765401552511</v>
      </c>
      <c r="Q107" s="345">
        <v>7.3814241681633738E-2</v>
      </c>
      <c r="R107" s="345">
        <v>7.2766803683174452E-2</v>
      </c>
      <c r="S107" s="345">
        <v>0.11454708003043397</v>
      </c>
      <c r="T107" s="345">
        <v>0.1966844085655948</v>
      </c>
      <c r="U107" s="345">
        <v>0.26573882572040919</v>
      </c>
      <c r="V107" s="345">
        <v>0.3216446090845228</v>
      </c>
      <c r="W107" s="345">
        <v>0.36532474321053182</v>
      </c>
      <c r="X107" s="345">
        <v>0.39649919597159244</v>
      </c>
      <c r="Y107" s="380">
        <v>0.43404412483501931</v>
      </c>
      <c r="Z107" s="296">
        <f t="shared" si="82"/>
        <v>0.19029108468224618</v>
      </c>
      <c r="AA107" s="298">
        <f t="shared" si="83"/>
        <v>0.16554636338680198</v>
      </c>
      <c r="AB107" s="948">
        <f t="array" ref="AB107">IF(AND($AD$72=TRUE,SUM(B107:L107)&gt;0),SUMPRODUCT((((TRANSPOSE(Cls1CentDailyRng)&lt;INDEX(CDRANGE_CLS1,$A107-$A$76+1,AD$73))*TRANSPOSE(Cls1CentDailyRng)+(TRANSPOSE(Cls1CentDailyRng)&gt;INDEX(CDRANGE_CLS1,$A107-$A$76+1,AD$73))*INDEX(CDRANGE_CLS1,$A107-$A$76+1,AD$73))/TRANSPOSE(Cls1CentDailyRng)),B107:L107,TRANSPOSE(Cls1CentVMTShr))/SUMPRODUCT(B107:L107,TRANSPOSE(Cls1CentVMTShr)),0)</f>
        <v>0</v>
      </c>
      <c r="AC107" s="949">
        <f t="array" ref="AC107">IF(AND($AD$72=TRUE,SUM(O107:Y107)&gt;0),SUMPRODUCT((((TRANSPOSE(Cls1NCentDailyRng)&lt;INDEX(CDRANGE_CLS1,$A107-$A$76+1,AD$73))*TRANSPOSE(Cls1NCentDailyRng)+(TRANSPOSE(Cls1NCentDailyRng)&gt;INDEX(CDRANGE_CLS1,$A107-$A$76+1,AD$73))*INDEX(CDRANGE_CLS1,$A107-$A$76+1,AD$73))/TRANSPOSE(Cls1NCentDailyRng)),O107:Y107,TRANSPOSE(Cls1NCentVMTShr))/SUMPRODUCT(O107:Y107,TRANSPOSE(Cls1NCentVMTShr)),0)</f>
        <v>0</v>
      </c>
      <c r="AD107" s="1226">
        <f t="shared" si="93"/>
        <v>0</v>
      </c>
      <c r="AE107" s="937">
        <f t="shared" si="90"/>
        <v>5.1532191829858347E-2</v>
      </c>
      <c r="AF107" s="937">
        <f t="shared" si="91"/>
        <v>0.19029108468224618</v>
      </c>
      <c r="AG107" s="937">
        <f t="shared" si="92"/>
        <v>0.24182327651210453</v>
      </c>
      <c r="AH107" s="1172">
        <f t="shared" si="88"/>
        <v>0.21309855929968299</v>
      </c>
      <c r="AI107" s="937">
        <f t="shared" si="89"/>
        <v>0.78690144070031698</v>
      </c>
      <c r="AJ107" s="1169"/>
      <c r="AK107" s="1171"/>
      <c r="AL107" s="1171"/>
      <c r="AM107" s="1171"/>
      <c r="AN107" s="1169"/>
      <c r="AO107" s="1171"/>
      <c r="AP107" s="1169"/>
      <c r="AQ107" s="1169"/>
      <c r="AR107" s="1169"/>
      <c r="AS107" s="1169"/>
    </row>
    <row r="108" spans="1:45" x14ac:dyDescent="0.2">
      <c r="A108" s="330">
        <v>2039</v>
      </c>
      <c r="B108" s="344">
        <v>0</v>
      </c>
      <c r="C108" s="345">
        <v>0</v>
      </c>
      <c r="D108" s="345">
        <v>2.3345688631124378E-3</v>
      </c>
      <c r="E108" s="345">
        <v>5.6868953121877674E-2</v>
      </c>
      <c r="F108" s="345">
        <v>0.15275994705376059</v>
      </c>
      <c r="G108" s="345">
        <v>0.23984269108938303</v>
      </c>
      <c r="H108" s="345">
        <v>0.29915996711490611</v>
      </c>
      <c r="I108" s="345">
        <v>0.35922859757820952</v>
      </c>
      <c r="J108" s="345">
        <v>0.40036799781045795</v>
      </c>
      <c r="K108" s="345">
        <v>0.42893524685705386</v>
      </c>
      <c r="L108" s="380">
        <v>0.46075947403221246</v>
      </c>
      <c r="M108" s="296">
        <f t="shared" si="80"/>
        <v>6.2146456895033744E-2</v>
      </c>
      <c r="N108" s="298">
        <f t="shared" si="81"/>
        <v>5.2896488551629733E-2</v>
      </c>
      <c r="O108" s="344">
        <v>0</v>
      </c>
      <c r="P108" s="345">
        <v>0</v>
      </c>
      <c r="Q108" s="345">
        <v>7.9137503128981351E-3</v>
      </c>
      <c r="R108" s="345">
        <v>7.645651580027979E-2</v>
      </c>
      <c r="S108" s="345">
        <v>0.17535077345955699</v>
      </c>
      <c r="T108" s="345">
        <v>0.27184182439525523</v>
      </c>
      <c r="U108" s="345">
        <v>0.31574463328393459</v>
      </c>
      <c r="V108" s="345">
        <v>0.37526086091211286</v>
      </c>
      <c r="W108" s="345">
        <v>0.405868165115365</v>
      </c>
      <c r="X108" s="345">
        <v>0.42893524685705386</v>
      </c>
      <c r="Y108" s="380">
        <v>0.46075947403221246</v>
      </c>
      <c r="Z108" s="296">
        <f t="shared" si="82"/>
        <v>0.22826917105469216</v>
      </c>
      <c r="AA108" s="298">
        <f t="shared" si="83"/>
        <v>0.19706878009786932</v>
      </c>
      <c r="AB108" s="948">
        <f t="array" ref="AB108">IF(AND($AD$72=TRUE,SUM(B108:L108)&gt;0),SUMPRODUCT((((TRANSPOSE(Cls1CentDailyRng)&lt;INDEX(CDRANGE_CLS1,$A108-$A$76+1,AD$73))*TRANSPOSE(Cls1CentDailyRng)+(TRANSPOSE(Cls1CentDailyRng)&gt;INDEX(CDRANGE_CLS1,$A108-$A$76+1,AD$73))*INDEX(CDRANGE_CLS1,$A108-$A$76+1,AD$73))/TRANSPOSE(Cls1CentDailyRng)),B108:L108,TRANSPOSE(Cls1CentVMTShr))/SUMPRODUCT(B108:L108,TRANSPOSE(Cls1CentVMTShr)),0)</f>
        <v>0</v>
      </c>
      <c r="AC108" s="949">
        <f t="array" ref="AC108">IF(AND($AD$72=TRUE,SUM(O108:Y108)&gt;0),SUMPRODUCT((((TRANSPOSE(Cls1NCentDailyRng)&lt;INDEX(CDRANGE_CLS1,$A108-$A$76+1,AD$73))*TRANSPOSE(Cls1NCentDailyRng)+(TRANSPOSE(Cls1NCentDailyRng)&gt;INDEX(CDRANGE_CLS1,$A108-$A$76+1,AD$73))*INDEX(CDRANGE_CLS1,$A108-$A$76+1,AD$73))/TRANSPOSE(Cls1NCentDailyRng)),O108:Y108,TRANSPOSE(Cls1NCentVMTShr))/SUMPRODUCT(O108:Y108,TRANSPOSE(Cls1NCentVMTShr)),0)</f>
        <v>0</v>
      </c>
      <c r="AD108" s="1226">
        <f t="shared" si="93"/>
        <v>0</v>
      </c>
      <c r="AE108" s="937">
        <f t="shared" si="90"/>
        <v>6.2146456895033744E-2</v>
      </c>
      <c r="AF108" s="937">
        <f t="shared" si="91"/>
        <v>0.22826917105469216</v>
      </c>
      <c r="AG108" s="937">
        <f t="shared" si="92"/>
        <v>0.29041562794972592</v>
      </c>
      <c r="AH108" s="1172">
        <f t="shared" si="88"/>
        <v>0.21399143473708643</v>
      </c>
      <c r="AI108" s="937">
        <f t="shared" si="89"/>
        <v>0.78600856526291352</v>
      </c>
      <c r="AJ108" s="1169"/>
      <c r="AK108" s="1171"/>
      <c r="AL108" s="1171"/>
      <c r="AM108" s="1171"/>
      <c r="AN108" s="1169"/>
      <c r="AO108" s="1171"/>
      <c r="AP108" s="1169"/>
      <c r="AQ108" s="1169"/>
      <c r="AR108" s="1169"/>
      <c r="AS108" s="1169"/>
    </row>
    <row r="109" spans="1:45" ht="15" thickBot="1" x14ac:dyDescent="0.25">
      <c r="A109" s="328">
        <v>2040</v>
      </c>
      <c r="B109" s="346">
        <v>0</v>
      </c>
      <c r="C109" s="347">
        <v>0</v>
      </c>
      <c r="D109" s="347">
        <v>1.1524168178517456E-2</v>
      </c>
      <c r="E109" s="347">
        <v>0.10526553365883906</v>
      </c>
      <c r="F109" s="347">
        <v>0.20901119503766433</v>
      </c>
      <c r="G109" s="347">
        <v>0.29267189603997262</v>
      </c>
      <c r="H109" s="347">
        <v>0.34230009458604105</v>
      </c>
      <c r="I109" s="347">
        <v>0.38438039481999159</v>
      </c>
      <c r="J109" s="347">
        <v>0.42286580551876496</v>
      </c>
      <c r="K109" s="347">
        <v>0.44870254095874479</v>
      </c>
      <c r="L109" s="381">
        <v>0.47544064202636821</v>
      </c>
      <c r="M109" s="310">
        <f t="shared" si="80"/>
        <v>7.1251426103255966E-2</v>
      </c>
      <c r="N109" s="312">
        <f t="shared" si="81"/>
        <v>6.2357122366218543E-2</v>
      </c>
      <c r="O109" s="346">
        <v>0</v>
      </c>
      <c r="P109" s="347">
        <v>0</v>
      </c>
      <c r="Q109" s="347">
        <v>2.5035737569881266E-2</v>
      </c>
      <c r="R109" s="347">
        <v>0.11530481683228001</v>
      </c>
      <c r="S109" s="347">
        <v>0.23418459584173426</v>
      </c>
      <c r="T109" s="347">
        <v>0.30921878121272856</v>
      </c>
      <c r="U109" s="347">
        <v>0.35861445680599724</v>
      </c>
      <c r="V109" s="347">
        <v>0.39967684510286366</v>
      </c>
      <c r="W109" s="347">
        <v>0.42819239539024379</v>
      </c>
      <c r="X109" s="347">
        <v>0.44870254095874479</v>
      </c>
      <c r="Y109" s="381">
        <v>0.46988562976963238</v>
      </c>
      <c r="Z109" s="310">
        <f t="shared" si="82"/>
        <v>0.25593520821933641</v>
      </c>
      <c r="AA109" s="312">
        <f t="shared" si="83"/>
        <v>0.22478970716340818</v>
      </c>
      <c r="AB109" s="948">
        <f t="array" ref="AB109">IF(AND($AD$72=TRUE,SUM(B109:L109)&gt;0),SUMPRODUCT((((TRANSPOSE(Cls1CentDailyRng)&lt;INDEX(CDRANGE_CLS1,$A109-$A$76+1,AD$73))*TRANSPOSE(Cls1CentDailyRng)+(TRANSPOSE(Cls1CentDailyRng)&gt;INDEX(CDRANGE_CLS1,$A109-$A$76+1,AD$73))*INDEX(CDRANGE_CLS1,$A109-$A$76+1,AD$73))/TRANSPOSE(Cls1CentDailyRng)),B109:L109,TRANSPOSE(Cls1CentVMTShr))/SUMPRODUCT(B109:L109,TRANSPOSE(Cls1CentVMTShr)),0)</f>
        <v>0</v>
      </c>
      <c r="AC109" s="949">
        <f t="array" ref="AC109">IF(AND($AD$72=TRUE,SUM(O109:Y109)&gt;0),SUMPRODUCT((((TRANSPOSE(Cls1NCentDailyRng)&lt;INDEX(CDRANGE_CLS1,$A109-$A$76+1,AD$73))*TRANSPOSE(Cls1NCentDailyRng)+(TRANSPOSE(Cls1NCentDailyRng)&gt;INDEX(CDRANGE_CLS1,$A109-$A$76+1,AD$73))*INDEX(CDRANGE_CLS1,$A109-$A$76+1,AD$73))/TRANSPOSE(Cls1NCentDailyRng)),O109:Y109,TRANSPOSE(Cls1NCentVMTShr))/SUMPRODUCT(O109:Y109,TRANSPOSE(Cls1NCentVMTShr)),0)</f>
        <v>0</v>
      </c>
      <c r="AD109" s="1226">
        <f t="shared" si="93"/>
        <v>0</v>
      </c>
      <c r="AE109" s="937">
        <f t="shared" si="90"/>
        <v>7.1251426103255966E-2</v>
      </c>
      <c r="AF109" s="937">
        <f t="shared" si="91"/>
        <v>0.25593520821933641</v>
      </c>
      <c r="AG109" s="937">
        <f t="shared" si="92"/>
        <v>0.32718663432259237</v>
      </c>
      <c r="AH109" s="1172">
        <f t="shared" si="88"/>
        <v>0.21776997783168928</v>
      </c>
      <c r="AI109" s="937">
        <f t="shared" si="89"/>
        <v>0.78223002216831072</v>
      </c>
      <c r="AJ109" s="1169"/>
      <c r="AK109" s="1171"/>
      <c r="AL109" s="1171"/>
      <c r="AM109" s="1171"/>
      <c r="AN109" s="1169"/>
      <c r="AO109" s="1171"/>
      <c r="AP109" s="1169"/>
      <c r="AQ109" s="1169"/>
      <c r="AR109" s="1169"/>
      <c r="AS109" s="1169"/>
    </row>
    <row r="110" spans="1:45" x14ac:dyDescent="0.2">
      <c r="A110" s="329">
        <v>2041</v>
      </c>
      <c r="B110" s="342">
        <v>0</v>
      </c>
      <c r="C110" s="343">
        <v>0</v>
      </c>
      <c r="D110" s="343">
        <v>2.449425940196516E-2</v>
      </c>
      <c r="E110" s="343">
        <v>0.1418193743653231</v>
      </c>
      <c r="F110" s="343">
        <v>0.24350652846424786</v>
      </c>
      <c r="G110" s="343">
        <v>0.32493352851010127</v>
      </c>
      <c r="H110" s="343">
        <v>0.36759118449118866</v>
      </c>
      <c r="I110" s="343">
        <v>0.40748526603168039</v>
      </c>
      <c r="J110" s="343">
        <v>0.43511018258683243</v>
      </c>
      <c r="K110" s="343">
        <v>0.45433505232377253</v>
      </c>
      <c r="L110" s="379">
        <v>0.48157149718209102</v>
      </c>
      <c r="M110" s="282">
        <f t="shared" si="80"/>
        <v>7.705347093798702E-2</v>
      </c>
      <c r="N110" s="284">
        <f t="shared" si="81"/>
        <v>6.8488916524842638E-2</v>
      </c>
      <c r="O110" s="342">
        <v>0</v>
      </c>
      <c r="P110" s="343">
        <v>0</v>
      </c>
      <c r="Q110" s="343">
        <v>4.3559574724277537E-2</v>
      </c>
      <c r="R110" s="343">
        <v>0.15396150316439774</v>
      </c>
      <c r="S110" s="343">
        <v>0.26520058405700292</v>
      </c>
      <c r="T110" s="343">
        <v>0.34139161691129727</v>
      </c>
      <c r="U110" s="343">
        <v>0.38335137302040273</v>
      </c>
      <c r="V110" s="343">
        <v>0.42172567001682798</v>
      </c>
      <c r="W110" s="343">
        <v>0.44250167289677955</v>
      </c>
      <c r="X110" s="343">
        <v>0.45870987452842099</v>
      </c>
      <c r="Y110" s="379">
        <v>0.47413821054841471</v>
      </c>
      <c r="Z110" s="282">
        <f t="shared" si="82"/>
        <v>0.27498063451144866</v>
      </c>
      <c r="AA110" s="284">
        <f t="shared" si="83"/>
        <v>0.24417080048761333</v>
      </c>
      <c r="AB110" s="948">
        <f t="array" ref="AB110">IF(AND($AD$72=TRUE,SUM(B110:L110)&gt;0),SUMPRODUCT((((TRANSPOSE(Cls1CentDailyRng)&lt;INDEX(CDRANGE_CLS1,$A110-$A$76+1,AD$73))*TRANSPOSE(Cls1CentDailyRng)+(TRANSPOSE(Cls1CentDailyRng)&gt;INDEX(CDRANGE_CLS1,$A110-$A$76+1,AD$73))*INDEX(CDRANGE_CLS1,$A110-$A$76+1,AD$73))/TRANSPOSE(Cls1CentDailyRng)),B110:L110,TRANSPOSE(Cls1CentVMTShr))/SUMPRODUCT(B110:L110,TRANSPOSE(Cls1CentVMTShr)),0)</f>
        <v>0</v>
      </c>
      <c r="AC110" s="949">
        <f t="array" ref="AC110">IF(AND($AD$72=TRUE,SUM(O110:Y110)&gt;0),SUMPRODUCT((((TRANSPOSE(Cls1NCentDailyRng)&lt;INDEX(CDRANGE_CLS1,$A110-$A$76+1,AD$73))*TRANSPOSE(Cls1NCentDailyRng)+(TRANSPOSE(Cls1NCentDailyRng)&gt;INDEX(CDRANGE_CLS1,$A110-$A$76+1,AD$73))*INDEX(CDRANGE_CLS1,$A110-$A$76+1,AD$73))/TRANSPOSE(Cls1NCentDailyRng)),O110:Y110,TRANSPOSE(Cls1NCentVMTShr))/SUMPRODUCT(O110:Y110,TRANSPOSE(Cls1NCentVMTShr)),0)</f>
        <v>0</v>
      </c>
      <c r="AD110" s="1226">
        <f t="shared" si="93"/>
        <v>0</v>
      </c>
      <c r="AE110" s="937">
        <f t="shared" si="90"/>
        <v>7.705347093798702E-2</v>
      </c>
      <c r="AF110" s="937">
        <f t="shared" si="91"/>
        <v>0.27498063451144866</v>
      </c>
      <c r="AG110" s="937">
        <f t="shared" si="92"/>
        <v>0.3520341054494357</v>
      </c>
      <c r="AH110" s="1172">
        <f t="shared" si="88"/>
        <v>0.21888069861757917</v>
      </c>
      <c r="AI110" s="937">
        <f t="shared" si="89"/>
        <v>0.78111930138242081</v>
      </c>
      <c r="AJ110" s="1169"/>
      <c r="AK110" s="1171"/>
      <c r="AL110" s="1171"/>
      <c r="AM110" s="1171"/>
      <c r="AN110" s="1169"/>
      <c r="AO110" s="1171"/>
      <c r="AP110" s="1169"/>
      <c r="AQ110" s="1169"/>
      <c r="AR110" s="1169"/>
      <c r="AS110" s="1169"/>
    </row>
    <row r="111" spans="1:45" x14ac:dyDescent="0.2">
      <c r="A111" s="330">
        <v>2042</v>
      </c>
      <c r="B111" s="344">
        <v>0</v>
      </c>
      <c r="C111" s="345">
        <v>0</v>
      </c>
      <c r="D111" s="345">
        <v>3.7795606530312886E-2</v>
      </c>
      <c r="E111" s="345">
        <v>0.16611407135667247</v>
      </c>
      <c r="F111" s="345">
        <v>0.26421866698022084</v>
      </c>
      <c r="G111" s="345">
        <v>0.34011313333913562</v>
      </c>
      <c r="H111" s="345">
        <v>0.38190542988470932</v>
      </c>
      <c r="I111" s="345">
        <v>0.42004606319379612</v>
      </c>
      <c r="J111" s="345">
        <v>0.4450509310270388</v>
      </c>
      <c r="K111" s="345">
        <v>0.46072409757678023</v>
      </c>
      <c r="L111" s="380">
        <v>0.46446404832384569</v>
      </c>
      <c r="M111" s="296">
        <f t="shared" si="80"/>
        <v>8.0099288150058914E-2</v>
      </c>
      <c r="N111" s="298">
        <f t="shared" si="81"/>
        <v>7.1958400418561247E-2</v>
      </c>
      <c r="O111" s="344">
        <v>0</v>
      </c>
      <c r="P111" s="345">
        <v>0</v>
      </c>
      <c r="Q111" s="345">
        <v>6.3955814807029748E-2</v>
      </c>
      <c r="R111" s="345">
        <v>0.17942211785244827</v>
      </c>
      <c r="S111" s="345">
        <v>0.29080989154086551</v>
      </c>
      <c r="T111" s="345">
        <v>0.35967433119870673</v>
      </c>
      <c r="U111" s="345">
        <v>0.39709873708598503</v>
      </c>
      <c r="V111" s="345">
        <v>0.43344728562817419</v>
      </c>
      <c r="W111" s="345">
        <v>0.45256670954105094</v>
      </c>
      <c r="X111" s="345">
        <v>0.46308885549563095</v>
      </c>
      <c r="Y111" s="380">
        <v>0.47976025362515146</v>
      </c>
      <c r="Z111" s="296">
        <f t="shared" si="82"/>
        <v>0.28673641934527933</v>
      </c>
      <c r="AA111" s="298">
        <f t="shared" si="83"/>
        <v>0.25643284337311451</v>
      </c>
      <c r="AB111" s="948">
        <f t="array" ref="AB111">IF(AND($AD$72=TRUE,SUM(B111:L111)&gt;0),SUMPRODUCT((((TRANSPOSE(Cls1CentDailyRng)&lt;INDEX(CDRANGE_CLS1,$A111-$A$76+1,AD$73))*TRANSPOSE(Cls1CentDailyRng)+(TRANSPOSE(Cls1CentDailyRng)&gt;INDEX(CDRANGE_CLS1,$A111-$A$76+1,AD$73))*INDEX(CDRANGE_CLS1,$A111-$A$76+1,AD$73))/TRANSPOSE(Cls1CentDailyRng)),B111:L111,TRANSPOSE(Cls1CentVMTShr))/SUMPRODUCT(B111:L111,TRANSPOSE(Cls1CentVMTShr)),0)</f>
        <v>0</v>
      </c>
      <c r="AC111" s="949">
        <f t="array" ref="AC111">IF(AND($AD$72=TRUE,SUM(O111:Y111)&gt;0),SUMPRODUCT((((TRANSPOSE(Cls1NCentDailyRng)&lt;INDEX(CDRANGE_CLS1,$A111-$A$76+1,AD$73))*TRANSPOSE(Cls1NCentDailyRng)+(TRANSPOSE(Cls1NCentDailyRng)&gt;INDEX(CDRANGE_CLS1,$A111-$A$76+1,AD$73))*INDEX(CDRANGE_CLS1,$A111-$A$76+1,AD$73))/TRANSPOSE(Cls1NCentDailyRng)),O111:Y111,TRANSPOSE(Cls1NCentVMTShr))/SUMPRODUCT(O111:Y111,TRANSPOSE(Cls1NCentVMTShr)),0)</f>
        <v>0</v>
      </c>
      <c r="AD111" s="1226">
        <f t="shared" si="93"/>
        <v>0</v>
      </c>
      <c r="AE111" s="937">
        <f t="shared" si="90"/>
        <v>8.0099288150058914E-2</v>
      </c>
      <c r="AF111" s="937">
        <f t="shared" si="91"/>
        <v>0.28673641934527933</v>
      </c>
      <c r="AG111" s="937">
        <f t="shared" si="92"/>
        <v>0.36683570749533823</v>
      </c>
      <c r="AH111" s="1172">
        <f t="shared" si="88"/>
        <v>0.21835193933806682</v>
      </c>
      <c r="AI111" s="937">
        <f t="shared" si="89"/>
        <v>0.78164806066193326</v>
      </c>
      <c r="AJ111" s="1169"/>
      <c r="AK111" s="1171"/>
      <c r="AL111" s="1171"/>
      <c r="AM111" s="1171"/>
      <c r="AN111" s="1169"/>
      <c r="AO111" s="1171"/>
      <c r="AP111" s="1169"/>
      <c r="AQ111" s="1169"/>
      <c r="AR111" s="1169"/>
      <c r="AS111" s="1169"/>
    </row>
    <row r="112" spans="1:45" x14ac:dyDescent="0.2">
      <c r="A112" s="330">
        <v>2043</v>
      </c>
      <c r="B112" s="344">
        <v>0</v>
      </c>
      <c r="C112" s="345">
        <v>0</v>
      </c>
      <c r="D112" s="345">
        <v>4.2213324148404147E-2</v>
      </c>
      <c r="E112" s="345">
        <v>0.17860531841338409</v>
      </c>
      <c r="F112" s="345">
        <v>0.27322751813827867</v>
      </c>
      <c r="G112" s="345">
        <v>0.34844218966165991</v>
      </c>
      <c r="H112" s="345">
        <v>0.38874078081502433</v>
      </c>
      <c r="I112" s="345">
        <v>0.42261621161723872</v>
      </c>
      <c r="J112" s="345">
        <v>0.43453035560812359</v>
      </c>
      <c r="K112" s="345">
        <v>0.44326181753936655</v>
      </c>
      <c r="L112" s="380">
        <v>0.43461607951860964</v>
      </c>
      <c r="M112" s="296">
        <f t="shared" si="80"/>
        <v>8.0801511747850677E-2</v>
      </c>
      <c r="N112" s="298">
        <f t="shared" si="81"/>
        <v>7.3174131358047498E-2</v>
      </c>
      <c r="O112" s="344">
        <v>0</v>
      </c>
      <c r="P112" s="345">
        <v>0</v>
      </c>
      <c r="Q112" s="345">
        <v>7.0601182251557773E-2</v>
      </c>
      <c r="R112" s="345">
        <v>0.19241750187050294</v>
      </c>
      <c r="S112" s="345">
        <v>0.29946907484567553</v>
      </c>
      <c r="T112" s="345">
        <v>0.3644849841260791</v>
      </c>
      <c r="U112" s="345">
        <v>0.4039905183163971</v>
      </c>
      <c r="V112" s="345">
        <v>0.43128429764601467</v>
      </c>
      <c r="W112" s="345">
        <v>0.45020932759864712</v>
      </c>
      <c r="X112" s="345">
        <v>0.46056115311733803</v>
      </c>
      <c r="Y112" s="380">
        <v>0.47700303633127622</v>
      </c>
      <c r="Z112" s="296">
        <f t="shared" si="82"/>
        <v>0.29002316145834134</v>
      </c>
      <c r="AA112" s="298">
        <f t="shared" si="83"/>
        <v>0.26028086137997652</v>
      </c>
      <c r="AB112" s="948">
        <f t="array" ref="AB112">IF(AND($AD$72=TRUE,SUM(B112:L112)&gt;0),SUMPRODUCT((((TRANSPOSE(Cls1CentDailyRng)&lt;INDEX(CDRANGE_CLS1,$A112-$A$76+1,AD$73))*TRANSPOSE(Cls1CentDailyRng)+(TRANSPOSE(Cls1CentDailyRng)&gt;INDEX(CDRANGE_CLS1,$A112-$A$76+1,AD$73))*INDEX(CDRANGE_CLS1,$A112-$A$76+1,AD$73))/TRANSPOSE(Cls1CentDailyRng)),B112:L112,TRANSPOSE(Cls1CentVMTShr))/SUMPRODUCT(B112:L112,TRANSPOSE(Cls1CentVMTShr)),0)</f>
        <v>0</v>
      </c>
      <c r="AC112" s="949">
        <f t="array" ref="AC112">IF(AND($AD$72=TRUE,SUM(O112:Y112)&gt;0),SUMPRODUCT((((TRANSPOSE(Cls1NCentDailyRng)&lt;INDEX(CDRANGE_CLS1,$A112-$A$76+1,AD$73))*TRANSPOSE(Cls1NCentDailyRng)+(TRANSPOSE(Cls1NCentDailyRng)&gt;INDEX(CDRANGE_CLS1,$A112-$A$76+1,AD$73))*INDEX(CDRANGE_CLS1,$A112-$A$76+1,AD$73))/TRANSPOSE(Cls1NCentDailyRng)),O112:Y112,TRANSPOSE(Cls1NCentVMTShr))/SUMPRODUCT(O112:Y112,TRANSPOSE(Cls1NCentVMTShr)),0)</f>
        <v>0</v>
      </c>
      <c r="AD112" s="1226">
        <f t="shared" si="93"/>
        <v>0</v>
      </c>
      <c r="AE112" s="937">
        <f t="shared" si="90"/>
        <v>8.0801511747850677E-2</v>
      </c>
      <c r="AF112" s="937">
        <f t="shared" si="91"/>
        <v>0.29002316145834134</v>
      </c>
      <c r="AG112" s="937">
        <f t="shared" si="92"/>
        <v>0.370824673206192</v>
      </c>
      <c r="AH112" s="1172">
        <f t="shared" si="88"/>
        <v>0.21789680565004393</v>
      </c>
      <c r="AI112" s="937">
        <f t="shared" si="89"/>
        <v>0.78210319434995612</v>
      </c>
      <c r="AJ112" s="1169"/>
      <c r="AK112" s="1171"/>
      <c r="AL112" s="1171"/>
      <c r="AM112" s="1171"/>
      <c r="AN112" s="1169"/>
      <c r="AO112" s="1171"/>
      <c r="AP112" s="1169"/>
      <c r="AQ112" s="1169"/>
      <c r="AR112" s="1169"/>
      <c r="AS112" s="1169"/>
    </row>
    <row r="113" spans="1:45" x14ac:dyDescent="0.2">
      <c r="A113" s="330">
        <v>2044</v>
      </c>
      <c r="B113" s="344">
        <v>0</v>
      </c>
      <c r="C113" s="345">
        <v>0</v>
      </c>
      <c r="D113" s="345">
        <v>4.7018385296158281E-2</v>
      </c>
      <c r="E113" s="345">
        <v>0.18680066987207794</v>
      </c>
      <c r="F113" s="345">
        <v>0.28794035893778663</v>
      </c>
      <c r="G113" s="345">
        <v>0.34507603580003759</v>
      </c>
      <c r="H113" s="345">
        <v>0.38146345070260984</v>
      </c>
      <c r="I113" s="345">
        <v>0.41280538366668351</v>
      </c>
      <c r="J113" s="345">
        <v>0.4188045535569308</v>
      </c>
      <c r="K113" s="345">
        <v>0.4144192801314045</v>
      </c>
      <c r="L113" s="380">
        <v>0.41020729279638601</v>
      </c>
      <c r="M113" s="296">
        <f t="shared" si="80"/>
        <v>7.9774112709835587E-2</v>
      </c>
      <c r="N113" s="298">
        <f t="shared" si="81"/>
        <v>7.2855194220419792E-2</v>
      </c>
      <c r="O113" s="344">
        <v>0</v>
      </c>
      <c r="P113" s="345">
        <v>0</v>
      </c>
      <c r="Q113" s="345">
        <v>7.7720124347311556E-2</v>
      </c>
      <c r="R113" s="345">
        <v>0.20088051624314746</v>
      </c>
      <c r="S113" s="345">
        <v>0.30428931093845901</v>
      </c>
      <c r="T113" s="345">
        <v>0.36257458628868849</v>
      </c>
      <c r="U113" s="345">
        <v>0.40178033329295892</v>
      </c>
      <c r="V113" s="345">
        <v>0.42878806268753361</v>
      </c>
      <c r="W113" s="345">
        <v>0.44747774836810777</v>
      </c>
      <c r="X113" s="345">
        <v>0.46675616897078004</v>
      </c>
      <c r="Y113" s="380">
        <v>0.47391078364964523</v>
      </c>
      <c r="Z113" s="296">
        <f t="shared" si="82"/>
        <v>0.28968879473120618</v>
      </c>
      <c r="AA113" s="298">
        <f t="shared" si="83"/>
        <v>0.26044087724041376</v>
      </c>
      <c r="AB113" s="948">
        <f t="array" ref="AB113">IF(AND($AD$72=TRUE,SUM(B113:L113)&gt;0),SUMPRODUCT((((TRANSPOSE(Cls1CentDailyRng)&lt;INDEX(CDRANGE_CLS1,$A113-$A$76+1,AD$73))*TRANSPOSE(Cls1CentDailyRng)+(TRANSPOSE(Cls1CentDailyRng)&gt;INDEX(CDRANGE_CLS1,$A113-$A$76+1,AD$73))*INDEX(CDRANGE_CLS1,$A113-$A$76+1,AD$73))/TRANSPOSE(Cls1CentDailyRng)),B113:L113,TRANSPOSE(Cls1CentVMTShr))/SUMPRODUCT(B113:L113,TRANSPOSE(Cls1CentVMTShr)),0)</f>
        <v>0</v>
      </c>
      <c r="AC113" s="949">
        <f t="array" ref="AC113">IF(AND($AD$72=TRUE,SUM(O113:Y113)&gt;0),SUMPRODUCT((((TRANSPOSE(Cls1NCentDailyRng)&lt;INDEX(CDRANGE_CLS1,$A113-$A$76+1,AD$73))*TRANSPOSE(Cls1NCentDailyRng)+(TRANSPOSE(Cls1NCentDailyRng)&gt;INDEX(CDRANGE_CLS1,$A113-$A$76+1,AD$73))*INDEX(CDRANGE_CLS1,$A113-$A$76+1,AD$73))/TRANSPOSE(Cls1NCentDailyRng)),O113:Y113,TRANSPOSE(Cls1NCentVMTShr))/SUMPRODUCT(O113:Y113,TRANSPOSE(Cls1NCentVMTShr)),0)</f>
        <v>0</v>
      </c>
      <c r="AD113" s="1226">
        <f t="shared" si="93"/>
        <v>0</v>
      </c>
      <c r="AE113" s="937">
        <f t="shared" si="90"/>
        <v>7.9774112709835587E-2</v>
      </c>
      <c r="AF113" s="937">
        <f t="shared" si="91"/>
        <v>0.28968879473120618</v>
      </c>
      <c r="AG113" s="937">
        <f t="shared" si="92"/>
        <v>0.36946290744104177</v>
      </c>
      <c r="AH113" s="1172">
        <f t="shared" si="88"/>
        <v>0.21591913857432576</v>
      </c>
      <c r="AI113" s="937">
        <f t="shared" si="89"/>
        <v>0.78408086142567424</v>
      </c>
      <c r="AJ113" s="1169"/>
      <c r="AK113" s="1171"/>
      <c r="AL113" s="1171"/>
      <c r="AM113" s="1171"/>
      <c r="AN113" s="1169"/>
      <c r="AO113" s="1171"/>
      <c r="AP113" s="1169"/>
      <c r="AQ113" s="1169"/>
      <c r="AR113" s="1169"/>
      <c r="AS113" s="1169"/>
    </row>
    <row r="114" spans="1:45" ht="15" thickBot="1" x14ac:dyDescent="0.25">
      <c r="A114" s="328">
        <v>2045</v>
      </c>
      <c r="B114" s="346">
        <v>0</v>
      </c>
      <c r="C114" s="347">
        <v>0</v>
      </c>
      <c r="D114" s="347">
        <v>5.2262523367888281E-2</v>
      </c>
      <c r="E114" s="347">
        <v>0.1859015365776456</v>
      </c>
      <c r="F114" s="347">
        <v>0.28521631464349184</v>
      </c>
      <c r="G114" s="347">
        <v>0.35236880261781384</v>
      </c>
      <c r="H114" s="347">
        <v>0.37270811788933994</v>
      </c>
      <c r="I114" s="347">
        <v>0.39139606452290115</v>
      </c>
      <c r="J114" s="347">
        <v>0.39359186008167152</v>
      </c>
      <c r="K114" s="347">
        <v>0.38876801841579128</v>
      </c>
      <c r="L114" s="381">
        <v>0.38643564260887925</v>
      </c>
      <c r="M114" s="310">
        <f t="shared" si="80"/>
        <v>7.7687608804683228E-2</v>
      </c>
      <c r="N114" s="312">
        <f t="shared" si="81"/>
        <v>7.1355806115030909E-2</v>
      </c>
      <c r="O114" s="346">
        <v>0</v>
      </c>
      <c r="P114" s="347">
        <v>0</v>
      </c>
      <c r="Q114" s="347">
        <v>7.7372367513150228E-2</v>
      </c>
      <c r="R114" s="347">
        <v>0.19995495408234637</v>
      </c>
      <c r="S114" s="347">
        <v>0.30276233369112104</v>
      </c>
      <c r="T114" s="347">
        <v>0.36970481563239266</v>
      </c>
      <c r="U114" s="347">
        <v>0.39919944474635927</v>
      </c>
      <c r="V114" s="347">
        <v>0.43309084387002561</v>
      </c>
      <c r="W114" s="347">
        <v>0.44854120273456266</v>
      </c>
      <c r="X114" s="347">
        <v>0.46328515406398174</v>
      </c>
      <c r="Y114" s="381">
        <v>0.47023805073665814</v>
      </c>
      <c r="Z114" s="310">
        <f t="shared" si="82"/>
        <v>0.29033674707315044</v>
      </c>
      <c r="AA114" s="312">
        <f t="shared" si="83"/>
        <v>0.26116143402990255</v>
      </c>
      <c r="AB114" s="948">
        <f t="array" ref="AB114">IF(AND($AD$72=TRUE,SUM(B114:L114)&gt;0),SUMPRODUCT((((TRANSPOSE(Cls1CentDailyRng)&lt;INDEX(CDRANGE_CLS1,$A114-$A$76+1,AD$73))*TRANSPOSE(Cls1CentDailyRng)+(TRANSPOSE(Cls1CentDailyRng)&gt;INDEX(CDRANGE_CLS1,$A114-$A$76+1,AD$73))*INDEX(CDRANGE_CLS1,$A114-$A$76+1,AD$73))/TRANSPOSE(Cls1CentDailyRng)),B114:L114,TRANSPOSE(Cls1CentVMTShr))/SUMPRODUCT(B114:L114,TRANSPOSE(Cls1CentVMTShr)),0)</f>
        <v>0</v>
      </c>
      <c r="AC114" s="949">
        <f t="array" ref="AC114">IF(AND($AD$72=TRUE,SUM(O114:Y114)&gt;0),SUMPRODUCT((((TRANSPOSE(Cls1NCentDailyRng)&lt;INDEX(CDRANGE_CLS1,$A114-$A$76+1,AD$73))*TRANSPOSE(Cls1NCentDailyRng)+(TRANSPOSE(Cls1NCentDailyRng)&gt;INDEX(CDRANGE_CLS1,$A114-$A$76+1,AD$73))*INDEX(CDRANGE_CLS1,$A114-$A$76+1,AD$73))/TRANSPOSE(Cls1NCentDailyRng)),O114:Y114,TRANSPOSE(Cls1NCentVMTShr))/SUMPRODUCT(O114:Y114,TRANSPOSE(Cls1NCentVMTShr)),0)</f>
        <v>0</v>
      </c>
      <c r="AD114" s="1226">
        <f t="shared" si="93"/>
        <v>0</v>
      </c>
      <c r="AE114" s="937">
        <f t="shared" si="90"/>
        <v>7.7687608804683228E-2</v>
      </c>
      <c r="AF114" s="937">
        <f t="shared" si="91"/>
        <v>0.29033674707315044</v>
      </c>
      <c r="AG114" s="937">
        <f t="shared" si="92"/>
        <v>0.36802435587783366</v>
      </c>
      <c r="AH114" s="1172">
        <f t="shared" si="88"/>
        <v>0.2110936615034027</v>
      </c>
      <c r="AI114" s="937">
        <f t="shared" si="89"/>
        <v>0.7889063384965973</v>
      </c>
      <c r="AJ114" s="1169"/>
      <c r="AK114" s="1171"/>
      <c r="AL114" s="1171"/>
      <c r="AM114" s="1171"/>
      <c r="AN114" s="1169"/>
      <c r="AO114" s="1171"/>
      <c r="AP114" s="1169"/>
      <c r="AQ114" s="1169"/>
      <c r="AR114" s="1169"/>
      <c r="AS114" s="1169"/>
    </row>
    <row r="115" spans="1:45" x14ac:dyDescent="0.2">
      <c r="A115" s="329">
        <v>2046</v>
      </c>
      <c r="B115" s="342">
        <v>0</v>
      </c>
      <c r="C115" s="343">
        <v>0</v>
      </c>
      <c r="D115" s="343">
        <v>4.7746683914971146E-2</v>
      </c>
      <c r="E115" s="343">
        <v>0.18495961331645216</v>
      </c>
      <c r="F115" s="343">
        <v>0.28091071591619982</v>
      </c>
      <c r="G115" s="343">
        <v>0.33248528126104782</v>
      </c>
      <c r="H115" s="343">
        <v>0.35820548818005599</v>
      </c>
      <c r="I115" s="343">
        <v>0.37531138950030463</v>
      </c>
      <c r="J115" s="343">
        <v>0.37475566897491319</v>
      </c>
      <c r="K115" s="343">
        <v>0.37283137281199064</v>
      </c>
      <c r="L115" s="379">
        <v>0.37437285998954195</v>
      </c>
      <c r="M115" s="282">
        <f t="shared" si="80"/>
        <v>7.4816801409603534E-2</v>
      </c>
      <c r="N115" s="284">
        <f t="shared" si="81"/>
        <v>6.884074635701419E-2</v>
      </c>
      <c r="O115" s="342">
        <v>0</v>
      </c>
      <c r="P115" s="343">
        <v>0</v>
      </c>
      <c r="Q115" s="343">
        <v>7.7090158868595951E-2</v>
      </c>
      <c r="R115" s="343">
        <v>0.2040002584963943</v>
      </c>
      <c r="S115" s="343">
        <v>0.30127167984752556</v>
      </c>
      <c r="T115" s="343">
        <v>0.36695939979828235</v>
      </c>
      <c r="U115" s="343">
        <v>0.39446658842474852</v>
      </c>
      <c r="V115" s="343">
        <v>0.43004499584031197</v>
      </c>
      <c r="W115" s="343">
        <v>0.44529221167451349</v>
      </c>
      <c r="X115" s="343">
        <v>0.45971631456348627</v>
      </c>
      <c r="Y115" s="379">
        <v>0.46631413911945885</v>
      </c>
      <c r="Z115" s="282">
        <f t="shared" si="82"/>
        <v>0.2880201557380091</v>
      </c>
      <c r="AA115" s="284">
        <f t="shared" si="83"/>
        <v>0.25925162812365493</v>
      </c>
      <c r="AB115" s="948">
        <f t="array" ref="AB115">IF(AND($AD$72=TRUE,SUM(B115:L115)&gt;0),SUMPRODUCT((((TRANSPOSE(Cls1CentDailyRng)&lt;INDEX(CDRANGE_CLS1,$A115-$A$76+1,AD$73))*TRANSPOSE(Cls1CentDailyRng)+(TRANSPOSE(Cls1CentDailyRng)&gt;INDEX(CDRANGE_CLS1,$A115-$A$76+1,AD$73))*INDEX(CDRANGE_CLS1,$A115-$A$76+1,AD$73))/TRANSPOSE(Cls1CentDailyRng)),B115:L115,TRANSPOSE(Cls1CentVMTShr))/SUMPRODUCT(B115:L115,TRANSPOSE(Cls1CentVMTShr)),0)</f>
        <v>0</v>
      </c>
      <c r="AC115" s="949">
        <f t="array" ref="AC115">IF(AND($AD$72=TRUE,SUM(O115:Y115)&gt;0),SUMPRODUCT((((TRANSPOSE(Cls1NCentDailyRng)&lt;INDEX(CDRANGE_CLS1,$A115-$A$76+1,AD$73))*TRANSPOSE(Cls1NCentDailyRng)+(TRANSPOSE(Cls1NCentDailyRng)&gt;INDEX(CDRANGE_CLS1,$A115-$A$76+1,AD$73))*INDEX(CDRANGE_CLS1,$A115-$A$76+1,AD$73))/TRANSPOSE(Cls1NCentDailyRng)),O115:Y115,TRANSPOSE(Cls1NCentVMTShr))/SUMPRODUCT(O115:Y115,TRANSPOSE(Cls1NCentVMTShr)),0)</f>
        <v>0</v>
      </c>
      <c r="AD115" s="1226">
        <f t="shared" si="93"/>
        <v>0</v>
      </c>
      <c r="AE115" s="937">
        <f t="shared" si="90"/>
        <v>7.4816801409603534E-2</v>
      </c>
      <c r="AF115" s="937">
        <f t="shared" si="91"/>
        <v>0.2880201557380091</v>
      </c>
      <c r="AG115" s="937">
        <f t="shared" si="92"/>
        <v>0.36283695714761266</v>
      </c>
      <c r="AH115" s="1172">
        <f t="shared" si="88"/>
        <v>0.20619950624039071</v>
      </c>
      <c r="AI115" s="937">
        <f t="shared" si="89"/>
        <v>0.79380049375960926</v>
      </c>
      <c r="AJ115" s="1169"/>
      <c r="AK115" s="1171"/>
      <c r="AL115" s="1171"/>
      <c r="AM115" s="1171"/>
      <c r="AN115" s="1169"/>
      <c r="AO115" s="1171"/>
      <c r="AP115" s="1169"/>
      <c r="AQ115" s="1169"/>
      <c r="AR115" s="1169"/>
      <c r="AS115" s="1169"/>
    </row>
    <row r="116" spans="1:45" x14ac:dyDescent="0.2">
      <c r="A116" s="330">
        <v>2047</v>
      </c>
      <c r="B116" s="344">
        <v>0</v>
      </c>
      <c r="C116" s="345">
        <v>0</v>
      </c>
      <c r="D116" s="345">
        <v>5.1934068338024032E-2</v>
      </c>
      <c r="E116" s="345">
        <v>0.18785636069155789</v>
      </c>
      <c r="F116" s="345">
        <v>0.27309782012614842</v>
      </c>
      <c r="G116" s="345">
        <v>0.32727686346452017</v>
      </c>
      <c r="H116" s="345">
        <v>0.335762966340243</v>
      </c>
      <c r="I116" s="345">
        <v>0.35706236395776508</v>
      </c>
      <c r="J116" s="345">
        <v>0.35898764231245933</v>
      </c>
      <c r="K116" s="345">
        <v>0.36032812024674088</v>
      </c>
      <c r="L116" s="380">
        <v>0.36269613678049917</v>
      </c>
      <c r="M116" s="296">
        <f t="shared" si="80"/>
        <v>7.172244511971955E-2</v>
      </c>
      <c r="N116" s="298">
        <f t="shared" si="81"/>
        <v>6.6223855486516658E-2</v>
      </c>
      <c r="O116" s="344">
        <v>0</v>
      </c>
      <c r="P116" s="345">
        <v>0</v>
      </c>
      <c r="Q116" s="345">
        <v>8.4833302835278304E-2</v>
      </c>
      <c r="R116" s="345">
        <v>0.20322119651816242</v>
      </c>
      <c r="S116" s="345">
        <v>0.29873583127176234</v>
      </c>
      <c r="T116" s="345">
        <v>0.36594683125788818</v>
      </c>
      <c r="U116" s="345">
        <v>0.3876133011303764</v>
      </c>
      <c r="V116" s="345">
        <v>0.4263563143797936</v>
      </c>
      <c r="W116" s="345">
        <v>0.4411678041007579</v>
      </c>
      <c r="X116" s="345">
        <v>0.45518303372898705</v>
      </c>
      <c r="Y116" s="380">
        <v>0.46166787387345842</v>
      </c>
      <c r="Z116" s="296">
        <f t="shared" si="82"/>
        <v>0.28518894804381184</v>
      </c>
      <c r="AA116" s="298">
        <f t="shared" si="83"/>
        <v>0.25692702381697907</v>
      </c>
      <c r="AB116" s="948">
        <f t="array" ref="AB116">IF(AND($AD$72=TRUE,SUM(B116:L116)&gt;0),SUMPRODUCT((((TRANSPOSE(Cls1CentDailyRng)&lt;INDEX(CDRANGE_CLS1,$A116-$A$76+1,AD$73))*TRANSPOSE(Cls1CentDailyRng)+(TRANSPOSE(Cls1CentDailyRng)&gt;INDEX(CDRANGE_CLS1,$A116-$A$76+1,AD$73))*INDEX(CDRANGE_CLS1,$A116-$A$76+1,AD$73))/TRANSPOSE(Cls1CentDailyRng)),B116:L116,TRANSPOSE(Cls1CentVMTShr))/SUMPRODUCT(B116:L116,TRANSPOSE(Cls1CentVMTShr)),0)</f>
        <v>0</v>
      </c>
      <c r="AC116" s="949">
        <f t="array" ref="AC116">IF(AND($AD$72=TRUE,SUM(O116:Y116)&gt;0),SUMPRODUCT((((TRANSPOSE(Cls1NCentDailyRng)&lt;INDEX(CDRANGE_CLS1,$A116-$A$76+1,AD$73))*TRANSPOSE(Cls1NCentDailyRng)+(TRANSPOSE(Cls1NCentDailyRng)&gt;INDEX(CDRANGE_CLS1,$A116-$A$76+1,AD$73))*INDEX(CDRANGE_CLS1,$A116-$A$76+1,AD$73))/TRANSPOSE(Cls1NCentDailyRng)),O116:Y116,TRANSPOSE(Cls1NCentVMTShr))/SUMPRODUCT(O116:Y116,TRANSPOSE(Cls1NCentVMTShr)),0)</f>
        <v>0</v>
      </c>
      <c r="AD116" s="1226">
        <f t="shared" si="93"/>
        <v>0</v>
      </c>
      <c r="AE116" s="937">
        <f t="shared" si="90"/>
        <v>7.172244511971955E-2</v>
      </c>
      <c r="AF116" s="937">
        <f t="shared" si="91"/>
        <v>0.28518894804381184</v>
      </c>
      <c r="AG116" s="937">
        <f t="shared" si="92"/>
        <v>0.35691139316353138</v>
      </c>
      <c r="AH116" s="1172">
        <f t="shared" si="88"/>
        <v>0.2009530838564669</v>
      </c>
      <c r="AI116" s="937">
        <f t="shared" si="89"/>
        <v>0.79904691614353318</v>
      </c>
      <c r="AJ116" s="1169"/>
      <c r="AK116" s="1171"/>
      <c r="AL116" s="1171"/>
      <c r="AM116" s="1171"/>
      <c r="AN116" s="1169"/>
      <c r="AO116" s="1171"/>
      <c r="AP116" s="1169"/>
      <c r="AQ116" s="1169"/>
      <c r="AR116" s="1169"/>
      <c r="AS116" s="1169"/>
    </row>
    <row r="117" spans="1:45" x14ac:dyDescent="0.2">
      <c r="A117" s="330">
        <v>2048</v>
      </c>
      <c r="B117" s="344">
        <v>0</v>
      </c>
      <c r="C117" s="345">
        <v>0</v>
      </c>
      <c r="D117" s="345">
        <v>5.3033082191140224E-2</v>
      </c>
      <c r="E117" s="345">
        <v>0.18399831964426422</v>
      </c>
      <c r="F117" s="345">
        <v>0.25931095306660756</v>
      </c>
      <c r="G117" s="345">
        <v>0.30343050665174809</v>
      </c>
      <c r="H117" s="345">
        <v>0.30868438378077756</v>
      </c>
      <c r="I117" s="345">
        <v>0.3417239923827205</v>
      </c>
      <c r="J117" s="345">
        <v>0.34735405926169577</v>
      </c>
      <c r="K117" s="345">
        <v>0.34869118404370264</v>
      </c>
      <c r="L117" s="380">
        <v>0.3521473146283256</v>
      </c>
      <c r="M117" s="296">
        <f t="shared" si="80"/>
        <v>6.7579636700372328E-2</v>
      </c>
      <c r="N117" s="298">
        <f t="shared" si="81"/>
        <v>6.2383897751280649E-2</v>
      </c>
      <c r="O117" s="344">
        <v>0</v>
      </c>
      <c r="P117" s="345">
        <v>0</v>
      </c>
      <c r="Q117" s="345">
        <v>8.4649255351508398E-2</v>
      </c>
      <c r="R117" s="345">
        <v>0.21128422157019125</v>
      </c>
      <c r="S117" s="345">
        <v>0.30099189110261743</v>
      </c>
      <c r="T117" s="345">
        <v>0.3513557759442939</v>
      </c>
      <c r="U117" s="345">
        <v>0.36712016632488692</v>
      </c>
      <c r="V117" s="345">
        <v>0.42785334340309877</v>
      </c>
      <c r="W117" s="345">
        <v>0.43750108953085221</v>
      </c>
      <c r="X117" s="345">
        <v>0.45168894961050893</v>
      </c>
      <c r="Y117" s="380">
        <v>0.4580123978325637</v>
      </c>
      <c r="Z117" s="296">
        <f t="shared" si="82"/>
        <v>0.27786391127624688</v>
      </c>
      <c r="AA117" s="298">
        <f t="shared" si="83"/>
        <v>0.25041647174232945</v>
      </c>
      <c r="AB117" s="948">
        <f t="array" ref="AB117">IF(AND($AD$72=TRUE,SUM(B117:L117)&gt;0),SUMPRODUCT((((TRANSPOSE(Cls1CentDailyRng)&lt;INDEX(CDRANGE_CLS1,$A117-$A$76+1,AD$73))*TRANSPOSE(Cls1CentDailyRng)+(TRANSPOSE(Cls1CentDailyRng)&gt;INDEX(CDRANGE_CLS1,$A117-$A$76+1,AD$73))*INDEX(CDRANGE_CLS1,$A117-$A$76+1,AD$73))/TRANSPOSE(Cls1CentDailyRng)),B117:L117,TRANSPOSE(Cls1CentVMTShr))/SUMPRODUCT(B117:L117,TRANSPOSE(Cls1CentVMTShr)),0)</f>
        <v>0</v>
      </c>
      <c r="AC117" s="949">
        <f t="array" ref="AC117">IF(AND($AD$72=TRUE,SUM(O117:Y117)&gt;0),SUMPRODUCT((((TRANSPOSE(Cls1NCentDailyRng)&lt;INDEX(CDRANGE_CLS1,$A117-$A$76+1,AD$73))*TRANSPOSE(Cls1NCentDailyRng)+(TRANSPOSE(Cls1NCentDailyRng)&gt;INDEX(CDRANGE_CLS1,$A117-$A$76+1,AD$73))*INDEX(CDRANGE_CLS1,$A117-$A$76+1,AD$73))/TRANSPOSE(Cls1NCentDailyRng)),O117:Y117,TRANSPOSE(Cls1NCentVMTShr))/SUMPRODUCT(O117:Y117,TRANSPOSE(Cls1NCentVMTShr)),0)</f>
        <v>0</v>
      </c>
      <c r="AD117" s="1226">
        <f t="shared" si="93"/>
        <v>0</v>
      </c>
      <c r="AE117" s="937">
        <f t="shared" si="90"/>
        <v>6.7579636700372328E-2</v>
      </c>
      <c r="AF117" s="937">
        <f t="shared" si="91"/>
        <v>0.27786391127624688</v>
      </c>
      <c r="AG117" s="937">
        <f t="shared" si="92"/>
        <v>0.34544354797661919</v>
      </c>
      <c r="AH117" s="1172">
        <f t="shared" si="88"/>
        <v>0.1956314920229639</v>
      </c>
      <c r="AI117" s="937">
        <f t="shared" si="89"/>
        <v>0.80436850797703618</v>
      </c>
      <c r="AJ117" s="1169"/>
      <c r="AK117" s="1171"/>
      <c r="AL117" s="1171"/>
      <c r="AM117" s="1171"/>
      <c r="AN117" s="1169"/>
      <c r="AO117" s="1171"/>
      <c r="AP117" s="1169"/>
      <c r="AQ117" s="1169"/>
      <c r="AR117" s="1169"/>
      <c r="AS117" s="1169"/>
    </row>
    <row r="118" spans="1:45" x14ac:dyDescent="0.2">
      <c r="A118" s="330">
        <v>2049</v>
      </c>
      <c r="B118" s="344">
        <v>0</v>
      </c>
      <c r="C118" s="345">
        <v>0</v>
      </c>
      <c r="D118" s="345">
        <v>5.2736642386349127E-2</v>
      </c>
      <c r="E118" s="345">
        <v>0.17464979895476726</v>
      </c>
      <c r="F118" s="345">
        <v>0.24322593676895043</v>
      </c>
      <c r="G118" s="345">
        <v>0.27300701133470195</v>
      </c>
      <c r="H118" s="345">
        <v>0.27996489761028964</v>
      </c>
      <c r="I118" s="345">
        <v>0.32628050187515434</v>
      </c>
      <c r="J118" s="345">
        <v>0.3360267399546078</v>
      </c>
      <c r="K118" s="345">
        <v>0.33766879869790739</v>
      </c>
      <c r="L118" s="380">
        <v>0.34231060534351421</v>
      </c>
      <c r="M118" s="296">
        <f t="shared" si="80"/>
        <v>6.2954347766320168E-2</v>
      </c>
      <c r="N118" s="298">
        <f t="shared" si="81"/>
        <v>5.7971301797009794E-2</v>
      </c>
      <c r="O118" s="344">
        <v>0</v>
      </c>
      <c r="P118" s="345">
        <v>0</v>
      </c>
      <c r="Q118" s="345">
        <v>8.6289154293880913E-2</v>
      </c>
      <c r="R118" s="345">
        <v>0.20496225112727529</v>
      </c>
      <c r="S118" s="345">
        <v>0.29032654772809818</v>
      </c>
      <c r="T118" s="345">
        <v>0.32423231563979688</v>
      </c>
      <c r="U118" s="345">
        <v>0.3392381277266287</v>
      </c>
      <c r="V118" s="345">
        <v>0.42242159000959628</v>
      </c>
      <c r="W118" s="345">
        <v>0.43152884483065179</v>
      </c>
      <c r="X118" s="345">
        <v>0.44540170345049734</v>
      </c>
      <c r="Y118" s="380">
        <v>0.45184136259953428</v>
      </c>
      <c r="Z118" s="296">
        <f t="shared" si="82"/>
        <v>0.26396919015108211</v>
      </c>
      <c r="AA118" s="298">
        <f t="shared" si="83"/>
        <v>0.23720848635814784</v>
      </c>
      <c r="AB118" s="948">
        <f t="array" ref="AB118">IF(AND($AD$72=TRUE,SUM(B118:L118)&gt;0),SUMPRODUCT((((TRANSPOSE(Cls1CentDailyRng)&lt;INDEX(CDRANGE_CLS1,$A118-$A$76+1,AD$73))*TRANSPOSE(Cls1CentDailyRng)+(TRANSPOSE(Cls1CentDailyRng)&gt;INDEX(CDRANGE_CLS1,$A118-$A$76+1,AD$73))*INDEX(CDRANGE_CLS1,$A118-$A$76+1,AD$73))/TRANSPOSE(Cls1CentDailyRng)),B118:L118,TRANSPOSE(Cls1CentVMTShr))/SUMPRODUCT(B118:L118,TRANSPOSE(Cls1CentVMTShr)),0)</f>
        <v>0</v>
      </c>
      <c r="AC118" s="949">
        <f t="array" ref="AC118">IF(AND($AD$72=TRUE,SUM(O118:Y118)&gt;0),SUMPRODUCT((((TRANSPOSE(Cls1NCentDailyRng)&lt;INDEX(CDRANGE_CLS1,$A118-$A$76+1,AD$73))*TRANSPOSE(Cls1NCentDailyRng)+(TRANSPOSE(Cls1NCentDailyRng)&gt;INDEX(CDRANGE_CLS1,$A118-$A$76+1,AD$73))*INDEX(CDRANGE_CLS1,$A118-$A$76+1,AD$73))/TRANSPOSE(Cls1NCentDailyRng)),O118:Y118,TRANSPOSE(Cls1NCentVMTShr))/SUMPRODUCT(O118:Y118,TRANSPOSE(Cls1NCentVMTShr)),0)</f>
        <v>0</v>
      </c>
      <c r="AD118" s="1226">
        <f t="shared" si="93"/>
        <v>0</v>
      </c>
      <c r="AE118" s="937">
        <f t="shared" si="90"/>
        <v>6.2954347766320168E-2</v>
      </c>
      <c r="AF118" s="937">
        <f t="shared" si="91"/>
        <v>0.26396919015108211</v>
      </c>
      <c r="AG118" s="937">
        <f t="shared" si="92"/>
        <v>0.32692353791740225</v>
      </c>
      <c r="AH118" s="1172">
        <f t="shared" si="88"/>
        <v>0.19256596868906295</v>
      </c>
      <c r="AI118" s="937">
        <f t="shared" si="89"/>
        <v>0.80743403131093716</v>
      </c>
      <c r="AJ118" s="1169"/>
      <c r="AK118" s="1171"/>
      <c r="AL118" s="1171"/>
      <c r="AM118" s="1171"/>
      <c r="AN118" s="1169"/>
      <c r="AO118" s="1171"/>
      <c r="AP118" s="1169"/>
      <c r="AQ118" s="1169"/>
      <c r="AR118" s="1169"/>
      <c r="AS118" s="1169"/>
    </row>
    <row r="119" spans="1:45" ht="15" thickBot="1" x14ac:dyDescent="0.25">
      <c r="A119" s="328">
        <v>2050</v>
      </c>
      <c r="B119" s="346">
        <v>0</v>
      </c>
      <c r="C119" s="347">
        <v>0</v>
      </c>
      <c r="D119" s="347">
        <v>5.0984108664855171E-2</v>
      </c>
      <c r="E119" s="347">
        <v>0.15421049002331833</v>
      </c>
      <c r="F119" s="347">
        <v>0.21188251148666784</v>
      </c>
      <c r="G119" s="347">
        <v>0.23891383398506694</v>
      </c>
      <c r="H119" s="347">
        <v>0.24712316218974814</v>
      </c>
      <c r="I119" s="347">
        <v>0.31110813344643512</v>
      </c>
      <c r="J119" s="347">
        <v>0.3250157525027102</v>
      </c>
      <c r="K119" s="347">
        <v>0.32718097055490741</v>
      </c>
      <c r="L119" s="381">
        <v>0.33571033350266821</v>
      </c>
      <c r="M119" s="310">
        <f t="shared" si="80"/>
        <v>5.7231027300802755E-2</v>
      </c>
      <c r="N119" s="312">
        <f t="shared" si="81"/>
        <v>5.2190830271963348E-2</v>
      </c>
      <c r="O119" s="346">
        <v>0</v>
      </c>
      <c r="P119" s="347">
        <v>0</v>
      </c>
      <c r="Q119" s="347">
        <v>8.2892481135190224E-2</v>
      </c>
      <c r="R119" s="347">
        <v>0.18714485773683295</v>
      </c>
      <c r="S119" s="347">
        <v>0.25935074755757054</v>
      </c>
      <c r="T119" s="347">
        <v>0.29065508165762155</v>
      </c>
      <c r="U119" s="347">
        <v>0.30628600674452605</v>
      </c>
      <c r="V119" s="347">
        <v>0.41667246596222962</v>
      </c>
      <c r="W119" s="347">
        <v>0.42621792204864289</v>
      </c>
      <c r="X119" s="347">
        <v>0.44054077065763708</v>
      </c>
      <c r="Y119" s="381">
        <v>0.45165804658791819</v>
      </c>
      <c r="Z119" s="310">
        <f t="shared" si="82"/>
        <v>0.24586763808525464</v>
      </c>
      <c r="AA119" s="312">
        <f t="shared" si="83"/>
        <v>0.21900728003469994</v>
      </c>
      <c r="AB119" s="950">
        <f t="array" ref="AB119">IF(AND($AD$72=TRUE,SUM(B119:L119)&gt;0),SUMPRODUCT((((TRANSPOSE(Cls1CentDailyRng)&lt;INDEX(CDRANGE_CLS1,$A119-$A$76+1,AD$73))*TRANSPOSE(Cls1CentDailyRng)+(TRANSPOSE(Cls1CentDailyRng)&gt;INDEX(CDRANGE_CLS1,$A119-$A$76+1,AD$73))*INDEX(CDRANGE_CLS1,$A119-$A$76+1,AD$73))/TRANSPOSE(Cls1CentDailyRng)),B119:L119,TRANSPOSE(Cls1CentVMTShr))/SUMPRODUCT(B119:L119,TRANSPOSE(Cls1CentVMTShr)),0)</f>
        <v>0</v>
      </c>
      <c r="AC119" s="951">
        <f t="array" ref="AC119">IF(AND($AD$72=TRUE,SUM(O119:Y119)&gt;0),SUMPRODUCT((((TRANSPOSE(Cls1NCentDailyRng)&lt;INDEX(CDRANGE_CLS1,$A119-$A$76+1,AD$73))*TRANSPOSE(Cls1NCentDailyRng)+(TRANSPOSE(Cls1NCentDailyRng)&gt;INDEX(CDRANGE_CLS1,$A119-$A$76+1,AD$73))*INDEX(CDRANGE_CLS1,$A119-$A$76+1,AD$73))/TRANSPOSE(Cls1NCentDailyRng)),O119:Y119,TRANSPOSE(Cls1NCentVMTShr))/SUMPRODUCT(O119:Y119,TRANSPOSE(Cls1NCentVMTShr)),0)</f>
        <v>0</v>
      </c>
      <c r="AD119" s="1227">
        <f t="shared" si="93"/>
        <v>0</v>
      </c>
      <c r="AE119" s="937">
        <f t="shared" si="90"/>
        <v>5.7231027300802755E-2</v>
      </c>
      <c r="AF119" s="937">
        <f t="shared" si="91"/>
        <v>0.24586763808525464</v>
      </c>
      <c r="AG119" s="937">
        <f t="shared" si="92"/>
        <v>0.3030986653860574</v>
      </c>
      <c r="AH119" s="1172">
        <f t="shared" si="88"/>
        <v>0.18881979314526995</v>
      </c>
      <c r="AI119" s="937">
        <f t="shared" si="89"/>
        <v>0.81118020685473002</v>
      </c>
      <c r="AJ119" s="1169"/>
      <c r="AK119" s="1171"/>
      <c r="AL119" s="1171"/>
      <c r="AM119" s="1171"/>
      <c r="AN119" s="1169"/>
      <c r="AO119" s="1171"/>
      <c r="AP119" s="1169"/>
      <c r="AQ119" s="1169"/>
      <c r="AR119" s="1169"/>
      <c r="AS119" s="1169"/>
    </row>
    <row r="120" spans="1:45" x14ac:dyDescent="0.2">
      <c r="B120" s="227" t="str">
        <f>"Output generated: "&amp; TEXT($P$4,"m/dd/yyyy hh:mm")</f>
        <v>Output generated: 7/21/2020 15:48</v>
      </c>
      <c r="U120" s="227" t="str">
        <f>"Output generated: "&amp; TEXT($P$5,"m/dd/yyyy hh:mm")</f>
        <v>Output generated: 7/21/2020 15:48</v>
      </c>
      <c r="AE120" s="937"/>
      <c r="AF120" s="937"/>
      <c r="AG120" s="937"/>
      <c r="AH120" s="937"/>
      <c r="AI120" s="937"/>
    </row>
    <row r="121" spans="1:45" ht="15" thickBot="1" x14ac:dyDescent="0.25">
      <c r="AE121" s="937"/>
      <c r="AF121" s="937"/>
      <c r="AG121" s="937"/>
      <c r="AH121" s="937"/>
      <c r="AI121" s="937"/>
    </row>
    <row r="122" spans="1:45" ht="15" x14ac:dyDescent="0.2">
      <c r="A122" s="333"/>
      <c r="B122" s="1555" t="s">
        <v>189</v>
      </c>
      <c r="C122" s="1556"/>
      <c r="D122" s="1556"/>
      <c r="E122" s="1556"/>
      <c r="F122" s="1556"/>
      <c r="G122" s="1556"/>
      <c r="H122" s="1556"/>
      <c r="I122" s="1556"/>
      <c r="J122" s="1556"/>
      <c r="K122" s="1556"/>
      <c r="L122" s="1556"/>
      <c r="M122" s="1556"/>
      <c r="N122" s="1557"/>
      <c r="O122" s="1555" t="s">
        <v>190</v>
      </c>
      <c r="P122" s="1556"/>
      <c r="Q122" s="1556"/>
      <c r="R122" s="1556"/>
      <c r="S122" s="1556"/>
      <c r="T122" s="1556"/>
      <c r="U122" s="1556"/>
      <c r="V122" s="1556"/>
      <c r="W122" s="1556"/>
      <c r="X122" s="1556"/>
      <c r="Y122" s="1556"/>
      <c r="Z122" s="1556"/>
      <c r="AA122" s="1557"/>
      <c r="AE122" s="937"/>
      <c r="AF122" s="937"/>
      <c r="AG122" s="937"/>
      <c r="AH122" s="937"/>
      <c r="AI122" s="937"/>
      <c r="AJ122" s="227"/>
      <c r="AK122" s="227"/>
      <c r="AL122" s="227"/>
      <c r="AM122" s="227"/>
    </row>
    <row r="123" spans="1:45" x14ac:dyDescent="0.2">
      <c r="A123" s="324"/>
      <c r="B123" s="1552" t="s">
        <v>121</v>
      </c>
      <c r="C123" s="1553"/>
      <c r="D123" s="1553"/>
      <c r="E123" s="1553"/>
      <c r="F123" s="1553"/>
      <c r="G123" s="1553"/>
      <c r="H123" s="1553"/>
      <c r="I123" s="1553"/>
      <c r="J123" s="1553"/>
      <c r="K123" s="1553"/>
      <c r="L123" s="1554"/>
      <c r="M123" s="382"/>
      <c r="N123" s="325"/>
      <c r="O123" s="1552" t="s">
        <v>121</v>
      </c>
      <c r="P123" s="1553"/>
      <c r="Q123" s="1553"/>
      <c r="R123" s="1553"/>
      <c r="S123" s="1553"/>
      <c r="T123" s="1553"/>
      <c r="U123" s="1553"/>
      <c r="V123" s="1553"/>
      <c r="W123" s="1553"/>
      <c r="X123" s="1553"/>
      <c r="Y123" s="1554"/>
      <c r="Z123" s="382"/>
      <c r="AA123" s="325"/>
      <c r="AE123" s="937"/>
      <c r="AF123" s="937"/>
      <c r="AG123" s="937"/>
      <c r="AH123" s="937"/>
      <c r="AI123" s="937"/>
      <c r="AJ123" s="227"/>
      <c r="AK123" s="227"/>
      <c r="AL123" s="227"/>
      <c r="AM123" s="227"/>
    </row>
    <row r="124" spans="1:45"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C124" s="903" t="s">
        <v>267</v>
      </c>
      <c r="AD124" s="234" t="b">
        <f>INDEX(TECH_OPT_FUEL2_Cls1,MATCH(RIGHT(O122),TECH_OPT_ROWS_Cls1,0))&lt;&gt;"N/A"</f>
        <v>0</v>
      </c>
      <c r="AE124" s="937"/>
      <c r="AF124" s="937"/>
      <c r="AG124" s="937"/>
      <c r="AH124" s="937"/>
      <c r="AI124" s="937"/>
      <c r="AJ124" s="227"/>
      <c r="AK124" s="227"/>
      <c r="AL124" s="227"/>
      <c r="AM124" s="227"/>
    </row>
    <row r="125" spans="1:45" ht="16" thickTop="1" thickBot="1" x14ac:dyDescent="0.25">
      <c r="A125" s="348" t="s">
        <v>124</v>
      </c>
      <c r="B125" s="340">
        <f t="array" ref="B125:L125">TRANSPOSE(Cls1CentTruckShr)</f>
        <v>7.9460669190030697E-3</v>
      </c>
      <c r="C125" s="341">
        <v>4.9615201402207001E-3</v>
      </c>
      <c r="D125" s="341">
        <v>9.2815995818941767E-3</v>
      </c>
      <c r="E125" s="341">
        <v>3.0833513121077051E-2</v>
      </c>
      <c r="F125" s="341">
        <v>4.3269302277925595E-2</v>
      </c>
      <c r="G125" s="341">
        <v>2.8144935330937017E-2</v>
      </c>
      <c r="H125" s="341">
        <v>6.8990329765143715E-2</v>
      </c>
      <c r="I125" s="341">
        <v>2.4926184998997059E-2</v>
      </c>
      <c r="J125" s="341">
        <v>7.8890239376675012E-3</v>
      </c>
      <c r="K125" s="341">
        <v>3.6046105934191604E-3</v>
      </c>
      <c r="L125" s="378">
        <v>7.5162351043371062E-3</v>
      </c>
      <c r="M125" s="385"/>
      <c r="N125" s="352"/>
      <c r="O125" s="340">
        <f t="array" ref="O125:Y125">TRANSPOSE(Cls1NCentTruckShr)</f>
        <v>1.2963682068270432E-2</v>
      </c>
      <c r="P125" s="341">
        <v>2.3837141813212878E-2</v>
      </c>
      <c r="Q125" s="341">
        <v>2.5768680683356839E-2</v>
      </c>
      <c r="R125" s="341">
        <v>5.7965433078982248E-2</v>
      </c>
      <c r="S125" s="341">
        <v>0.10312619102844889</v>
      </c>
      <c r="T125" s="341">
        <v>0.18550667796975542</v>
      </c>
      <c r="U125" s="341">
        <v>0.21310728355070049</v>
      </c>
      <c r="V125" s="341">
        <v>7.3364250696428643E-2</v>
      </c>
      <c r="W125" s="341">
        <v>1.9856733825595378E-2</v>
      </c>
      <c r="X125" s="341">
        <v>2.1261216059795113E-2</v>
      </c>
      <c r="Y125" s="378">
        <v>2.5879387454831333E-2</v>
      </c>
      <c r="Z125" s="385"/>
      <c r="AA125" s="352">
        <f>SUM(O125:Y125)</f>
        <v>0.76263667822937764</v>
      </c>
      <c r="AB125" s="936"/>
      <c r="AC125" s="903" t="s">
        <v>268</v>
      </c>
      <c r="AD125" s="234">
        <f>MATCH(RIGHT(O122),TECH_OPT_ROWS_Cls1,0)</f>
        <v>3</v>
      </c>
      <c r="AE125" s="937"/>
      <c r="AF125" s="937"/>
      <c r="AG125" s="937"/>
      <c r="AH125" s="937"/>
      <c r="AI125" s="937"/>
      <c r="AJ125" s="227"/>
      <c r="AK125" s="227"/>
      <c r="AL125" s="227"/>
      <c r="AM125" s="227"/>
    </row>
    <row r="126" spans="1:45" x14ac:dyDescent="0.2">
      <c r="A126" s="331" t="s">
        <v>125</v>
      </c>
      <c r="B126" s="938">
        <f t="array" ref="B126:L126">TRANSPOSE(Cls1CentVMTShr)</f>
        <v>8.9762242961142352E-4</v>
      </c>
      <c r="C126" s="939">
        <v>1.2044238150123706E-3</v>
      </c>
      <c r="D126" s="939">
        <v>4.1499109643594731E-3</v>
      </c>
      <c r="E126" s="939">
        <v>1.9575808105519295E-2</v>
      </c>
      <c r="F126" s="939">
        <v>3.4523467949689302E-2</v>
      </c>
      <c r="G126" s="939">
        <v>2.7311948935134379E-2</v>
      </c>
      <c r="H126" s="939">
        <v>7.6478458482655817E-2</v>
      </c>
      <c r="I126" s="939">
        <v>3.2480526319280681E-2</v>
      </c>
      <c r="J126" s="939">
        <v>1.1772940427842455E-2</v>
      </c>
      <c r="K126" s="939">
        <v>6.0339283082965706E-3</v>
      </c>
      <c r="L126" s="940">
        <v>1.5952440951210019E-2</v>
      </c>
      <c r="M126" s="386"/>
      <c r="N126" s="334"/>
      <c r="O126" s="938">
        <f t="array" ref="O126:Y126">TRANSPOSE(Cls1NCentVMTShr)</f>
        <v>1.3589913425833078E-3</v>
      </c>
      <c r="P126" s="939">
        <v>5.8692629772239642E-3</v>
      </c>
      <c r="Q126" s="939">
        <v>1.2100393581509007E-2</v>
      </c>
      <c r="R126" s="939">
        <v>3.6555003327388577E-2</v>
      </c>
      <c r="S126" s="939">
        <v>8.3148735051829181E-2</v>
      </c>
      <c r="T126" s="939">
        <v>0.18151138394047112</v>
      </c>
      <c r="U126" s="939">
        <v>0.2383386372324876</v>
      </c>
      <c r="V126" s="939">
        <v>9.5602564448196578E-2</v>
      </c>
      <c r="W126" s="939">
        <v>2.9193025028929166E-2</v>
      </c>
      <c r="X126" s="939">
        <v>3.5209492159336005E-2</v>
      </c>
      <c r="Y126" s="940">
        <v>5.0731034221433824E-2</v>
      </c>
      <c r="Z126" s="386">
        <f>SUM(O126:Y126)</f>
        <v>0.76961852331138836</v>
      </c>
      <c r="AA126" s="334"/>
      <c r="AB126" s="1568" t="str">
        <f>"% of miles on f2 for Tech "&amp; RIGHT(O122)&amp;" adopters"</f>
        <v>% of miles on f2 for Tech B adopters</v>
      </c>
      <c r="AC126" s="1569"/>
      <c r="AD126" s="1570"/>
      <c r="AE126" s="937" t="s">
        <v>305</v>
      </c>
      <c r="AF126" s="937"/>
      <c r="AG126" s="937"/>
      <c r="AH126" s="1172" t="s">
        <v>308</v>
      </c>
      <c r="AI126" s="937"/>
      <c r="AJ126" s="227"/>
      <c r="AK126" s="227"/>
      <c r="AL126" s="227"/>
      <c r="AM126" s="227"/>
    </row>
    <row r="127" spans="1:45" ht="15" thickBot="1" x14ac:dyDescent="0.25">
      <c r="A127" s="942" t="s">
        <v>266</v>
      </c>
      <c r="B127" s="933">
        <f t="array" ref="B127:L127">TRANSPOSE(Cls1CentVMT/OPDAYS_Cls1)</f>
        <v>51.642967609234425</v>
      </c>
      <c r="C127" s="934">
        <v>110.97733417848234</v>
      </c>
      <c r="D127" s="934">
        <v>204.40224583551472</v>
      </c>
      <c r="E127" s="934">
        <v>290.24610572847212</v>
      </c>
      <c r="F127" s="934">
        <v>364.75750419264841</v>
      </c>
      <c r="G127" s="934">
        <v>443.63126889109378</v>
      </c>
      <c r="H127" s="934">
        <v>506.78134229373978</v>
      </c>
      <c r="I127" s="934">
        <v>595.71283413609137</v>
      </c>
      <c r="J127" s="934">
        <v>682.23089916089702</v>
      </c>
      <c r="K127" s="934">
        <v>765.26438827532684</v>
      </c>
      <c r="L127" s="935">
        <v>970.27871027310334</v>
      </c>
      <c r="M127" s="931"/>
      <c r="N127" s="932"/>
      <c r="O127" s="933">
        <f t="array" ref="O127:Y127">TRANSPOSE(Cls1NCentVMT/OPDAYS_Cls1)</f>
        <v>47.924548633512046</v>
      </c>
      <c r="P127" s="934">
        <v>112.56389213862748</v>
      </c>
      <c r="Q127" s="934">
        <v>214.67280220238027</v>
      </c>
      <c r="R127" s="934">
        <v>288.30186744262801</v>
      </c>
      <c r="S127" s="934">
        <v>368.60089210549245</v>
      </c>
      <c r="T127" s="934">
        <v>447.31558789932524</v>
      </c>
      <c r="U127" s="934">
        <v>511.28831950097862</v>
      </c>
      <c r="V127" s="934">
        <v>595.73726658362273</v>
      </c>
      <c r="W127" s="934">
        <v>672.11099195240695</v>
      </c>
      <c r="X127" s="934">
        <v>757.0793017898726</v>
      </c>
      <c r="Y127" s="935">
        <v>896.16800791754974</v>
      </c>
      <c r="Z127" s="943"/>
      <c r="AA127" s="932"/>
      <c r="AB127" s="945" t="s">
        <v>186</v>
      </c>
      <c r="AC127" s="946" t="s">
        <v>15</v>
      </c>
      <c r="AD127" s="947" t="s">
        <v>18</v>
      </c>
      <c r="AE127" s="937" t="s">
        <v>186</v>
      </c>
      <c r="AF127" s="937" t="s">
        <v>15</v>
      </c>
      <c r="AG127" s="937" t="s">
        <v>18</v>
      </c>
      <c r="AH127" s="1172" t="s">
        <v>186</v>
      </c>
      <c r="AI127" s="937" t="s">
        <v>15</v>
      </c>
      <c r="AJ127" s="227"/>
      <c r="AK127" s="227"/>
      <c r="AL127" s="227"/>
      <c r="AM127" s="227"/>
    </row>
    <row r="128" spans="1:45" ht="15" thickTop="1" x14ac:dyDescent="0.2">
      <c r="A128" s="941">
        <v>2007</v>
      </c>
      <c r="B128" s="342">
        <v>0</v>
      </c>
      <c r="C128" s="343">
        <v>0</v>
      </c>
      <c r="D128" s="343">
        <v>0</v>
      </c>
      <c r="E128" s="343">
        <v>0</v>
      </c>
      <c r="F128" s="343">
        <v>0</v>
      </c>
      <c r="G128" s="343">
        <v>0</v>
      </c>
      <c r="H128" s="343">
        <v>0</v>
      </c>
      <c r="I128" s="343">
        <v>0</v>
      </c>
      <c r="J128" s="343">
        <v>0</v>
      </c>
      <c r="K128" s="343">
        <v>0</v>
      </c>
      <c r="L128" s="379">
        <v>0</v>
      </c>
      <c r="M128" s="282">
        <f t="shared" ref="M128:M171" si="94">SUMPRODUCT($B$126:$L$126,$B128:$L128)</f>
        <v>0</v>
      </c>
      <c r="N128" s="283">
        <f t="shared" ref="N128:N171" si="95">SUMPRODUCT($B$125:$L$125,$B128:$L128)</f>
        <v>0</v>
      </c>
      <c r="O128" s="342">
        <v>0</v>
      </c>
      <c r="P128" s="343">
        <v>0</v>
      </c>
      <c r="Q128" s="343">
        <v>0</v>
      </c>
      <c r="R128" s="343">
        <v>0</v>
      </c>
      <c r="S128" s="343">
        <v>0</v>
      </c>
      <c r="T128" s="343">
        <v>0</v>
      </c>
      <c r="U128" s="343">
        <v>0</v>
      </c>
      <c r="V128" s="343">
        <v>0</v>
      </c>
      <c r="W128" s="343">
        <v>0</v>
      </c>
      <c r="X128" s="343">
        <v>0</v>
      </c>
      <c r="Y128" s="379">
        <v>0</v>
      </c>
      <c r="Z128" s="282">
        <f t="shared" ref="Z128:Z171" si="96">SUMPRODUCT($O$126:$Y$126,O128:Y128)</f>
        <v>0</v>
      </c>
      <c r="AA128" s="284">
        <f t="shared" ref="AA128:AA171" si="97">SUMPRODUCT($O$125:$Y$125,$O128:$Y128)</f>
        <v>0</v>
      </c>
      <c r="AB128" s="948">
        <f t="array" ref="AB128">IF(AND($AD$124=TRUE,SUM(B128:L128)&gt;0),SUMPRODUCT((((TRANSPOSE(Cls1CentDailyRng)&lt;INDEX(CDRANGE_CLS1,$A128-$A$128+1,AD$125))*TRANSPOSE(Cls1CentDailyRng)+(TRANSPOSE(Cls1CentDailyRng)&gt;INDEX(CDRANGE_CLS1,$A128-$A$128+1,AD$125))*INDEX(CDRANGE_CLS1,$A128-$A$128+1,AD$125))/TRANSPOSE(Cls1CentDailyRng)),B128:L128,TRANSPOSE(Cls1CentVMTShr))/SUMPRODUCT(B128:L128,TRANSPOSE(Cls1CentVMTShr)),0)</f>
        <v>0</v>
      </c>
      <c r="AC128" s="949">
        <f t="array" ref="AC128">IF(AND($AD$124=TRUE,SUM(O128:Y128)&gt;0),SUMPRODUCT((((TRANSPOSE(Cls1NCentDailyRng)&lt;INDEX(CDRANGE_CLS1,$A128-$A$128+1,AD$125))*TRANSPOSE(Cls1NCentDailyRng)+(TRANSPOSE(Cls1NCentDailyRng)&gt;INDEX(CDRANGE_CLS1,$A128-$A$128+1,AD$125))*INDEX(CDRANGE_CLS1,$A128-$A$128+1,AD$125))/TRANSPOSE(Cls1NCentDailyRng)),O128:Y128,TRANSPOSE(Cls1NCentVMTShr))/SUMPRODUCT(O128:Y128,TRANSPOSE(Cls1NCentVMTShr)),0)</f>
        <v>0</v>
      </c>
      <c r="AD128" s="1226">
        <f t="shared" ref="AD128:AD153" si="98">AB128*AH128+AC128*AI128</f>
        <v>0</v>
      </c>
      <c r="AE128" s="937">
        <f t="shared" ref="AE128:AE142" si="99">SUMPRODUCT($B$74:$L$74,B128:L128)</f>
        <v>0</v>
      </c>
      <c r="AF128" s="937">
        <f t="shared" ref="AF128:AF142" si="100">SUMPRODUCT($O$74:$Y$74,O128:Y128)</f>
        <v>0</v>
      </c>
      <c r="AG128" s="937">
        <f t="shared" ref="AG128:AG142" si="101">SUM(AE128:AF128)</f>
        <v>0</v>
      </c>
      <c r="AH128" s="1172">
        <f>IF(AG128&gt;0,AE128/AG128,0)</f>
        <v>0</v>
      </c>
      <c r="AI128" s="937">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si="94"/>
        <v>0</v>
      </c>
      <c r="N129" s="298">
        <f t="shared" si="95"/>
        <v>0</v>
      </c>
      <c r="O129" s="344">
        <v>0</v>
      </c>
      <c r="P129" s="345">
        <v>0</v>
      </c>
      <c r="Q129" s="345">
        <v>0</v>
      </c>
      <c r="R129" s="345">
        <v>0</v>
      </c>
      <c r="S129" s="345">
        <v>0</v>
      </c>
      <c r="T129" s="345">
        <v>0</v>
      </c>
      <c r="U129" s="345">
        <v>0</v>
      </c>
      <c r="V129" s="345">
        <v>0</v>
      </c>
      <c r="W129" s="345">
        <v>0</v>
      </c>
      <c r="X129" s="345">
        <v>0</v>
      </c>
      <c r="Y129" s="380">
        <v>0</v>
      </c>
      <c r="Z129" s="296">
        <f t="shared" si="96"/>
        <v>0</v>
      </c>
      <c r="AA129" s="298">
        <f t="shared" si="97"/>
        <v>0</v>
      </c>
      <c r="AB129" s="948">
        <f t="array" ref="AB129">IF(AND($AD$124=TRUE,SUM(B129:L129)&gt;0),SUMPRODUCT((((TRANSPOSE(Cls1CentDailyRng)&lt;INDEX(CDRANGE_CLS1,$A129-$A$128+1,AD$125))*TRANSPOSE(Cls1CentDailyRng)+(TRANSPOSE(Cls1CentDailyRng)&gt;INDEX(CDRANGE_CLS1,$A129-$A$128+1,AD$125))*INDEX(CDRANGE_CLS1,$A129-$A$128+1,AD$125))/TRANSPOSE(Cls1CentDailyRng)),B129:L129,TRANSPOSE(Cls1CentVMTShr))/SUMPRODUCT(B129:L129,TRANSPOSE(Cls1CentVMTShr)),0)</f>
        <v>0</v>
      </c>
      <c r="AC129" s="949">
        <f t="array" ref="AC129">IF(AND($AD$124=TRUE,SUM(O129:Y129)&gt;0),SUMPRODUCT((((TRANSPOSE(Cls1NCentDailyRng)&lt;INDEX(CDRANGE_CLS1,$A129-$A$128+1,AD$125))*TRANSPOSE(Cls1NCentDailyRng)+(TRANSPOSE(Cls1NCentDailyRng)&gt;INDEX(CDRANGE_CLS1,$A129-$A$128+1,AD$125))*INDEX(CDRANGE_CLS1,$A129-$A$128+1,AD$125))/TRANSPOSE(Cls1NCentDailyRng)),O129:Y129,TRANSPOSE(Cls1NCentVMTShr))/SUMPRODUCT(O129:Y129,TRANSPOSE(Cls1NCentVMTShr)),0)</f>
        <v>0</v>
      </c>
      <c r="AD129" s="1226">
        <f t="shared" si="98"/>
        <v>0</v>
      </c>
      <c r="AE129" s="937">
        <f t="shared" si="99"/>
        <v>0</v>
      </c>
      <c r="AF129" s="937">
        <f t="shared" si="100"/>
        <v>0</v>
      </c>
      <c r="AG129" s="937">
        <f t="shared" si="101"/>
        <v>0</v>
      </c>
      <c r="AH129" s="1172">
        <f t="shared" ref="AH129:AH171" si="102">IF(AG129&gt;0,AE129/AG129,0)</f>
        <v>0</v>
      </c>
      <c r="AI129" s="937">
        <f t="shared" ref="AI129:AI171" si="103">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96"/>
        <v>0</v>
      </c>
      <c r="AA130" s="298">
        <f t="shared" si="97"/>
        <v>0</v>
      </c>
      <c r="AB130" s="948">
        <f t="array" ref="AB130">IF(AND($AD$124=TRUE,SUM(B130:L130)&gt;0),SUMPRODUCT((((TRANSPOSE(Cls1CentDailyRng)&lt;INDEX(CDRANGE_CLS1,$A130-$A$128+1,AD$125))*TRANSPOSE(Cls1CentDailyRng)+(TRANSPOSE(Cls1CentDailyRng)&gt;INDEX(CDRANGE_CLS1,$A130-$A$128+1,AD$125))*INDEX(CDRANGE_CLS1,$A130-$A$128+1,AD$125))/TRANSPOSE(Cls1CentDailyRng)),B130:L130,TRANSPOSE(Cls1CentVMTShr))/SUMPRODUCT(B130:L130,TRANSPOSE(Cls1CentVMTShr)),0)</f>
        <v>0</v>
      </c>
      <c r="AC130" s="949">
        <f t="array" ref="AC130">IF(AND($AD$124=TRUE,SUM(O130:Y130)&gt;0),SUMPRODUCT((((TRANSPOSE(Cls1NCentDailyRng)&lt;INDEX(CDRANGE_CLS1,$A130-$A$128+1,AD$125))*TRANSPOSE(Cls1NCentDailyRng)+(TRANSPOSE(Cls1NCentDailyRng)&gt;INDEX(CDRANGE_CLS1,$A130-$A$128+1,AD$125))*INDEX(CDRANGE_CLS1,$A130-$A$128+1,AD$125))/TRANSPOSE(Cls1NCentDailyRng)),O130:Y130,TRANSPOSE(Cls1NCentVMTShr))/SUMPRODUCT(O130:Y130,TRANSPOSE(Cls1NCentVMTShr)),0)</f>
        <v>0</v>
      </c>
      <c r="AD130" s="1226">
        <f t="shared" si="98"/>
        <v>0</v>
      </c>
      <c r="AE130" s="937">
        <f t="shared" si="99"/>
        <v>0</v>
      </c>
      <c r="AF130" s="937">
        <f t="shared" si="100"/>
        <v>0</v>
      </c>
      <c r="AG130" s="937">
        <f t="shared" si="101"/>
        <v>0</v>
      </c>
      <c r="AH130" s="1172">
        <f t="shared" si="102"/>
        <v>0</v>
      </c>
      <c r="AI130" s="937">
        <f t="shared" si="103"/>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96"/>
        <v>0</v>
      </c>
      <c r="AA131" s="312">
        <f t="shared" si="97"/>
        <v>0</v>
      </c>
      <c r="AB131" s="948">
        <f t="array" ref="AB131">IF(AND($AD$124=TRUE,SUM(B131:L131)&gt;0),SUMPRODUCT((((TRANSPOSE(Cls1CentDailyRng)&lt;INDEX(CDRANGE_CLS1,$A131-$A$128+1,AD$125))*TRANSPOSE(Cls1CentDailyRng)+(TRANSPOSE(Cls1CentDailyRng)&gt;INDEX(CDRANGE_CLS1,$A131-$A$128+1,AD$125))*INDEX(CDRANGE_CLS1,$A131-$A$128+1,AD$125))/TRANSPOSE(Cls1CentDailyRng)),B131:L131,TRANSPOSE(Cls1CentVMTShr))/SUMPRODUCT(B131:L131,TRANSPOSE(Cls1CentVMTShr)),0)</f>
        <v>0</v>
      </c>
      <c r="AC131" s="949">
        <f t="array" ref="AC131">IF(AND($AD$124=TRUE,SUM(O131:Y131)&gt;0),SUMPRODUCT((((TRANSPOSE(Cls1NCentDailyRng)&lt;INDEX(CDRANGE_CLS1,$A131-$A$128+1,AD$125))*TRANSPOSE(Cls1NCentDailyRng)+(TRANSPOSE(Cls1NCentDailyRng)&gt;INDEX(CDRANGE_CLS1,$A131-$A$128+1,AD$125))*INDEX(CDRANGE_CLS1,$A131-$A$128+1,AD$125))/TRANSPOSE(Cls1NCentDailyRng)),O131:Y131,TRANSPOSE(Cls1NCentVMTShr))/SUMPRODUCT(O131:Y131,TRANSPOSE(Cls1NCentVMTShr)),0)</f>
        <v>0</v>
      </c>
      <c r="AD131" s="1226">
        <f t="shared" si="98"/>
        <v>0</v>
      </c>
      <c r="AE131" s="937">
        <f t="shared" si="99"/>
        <v>0</v>
      </c>
      <c r="AF131" s="937">
        <f t="shared" si="100"/>
        <v>0</v>
      </c>
      <c r="AG131" s="937">
        <f t="shared" si="101"/>
        <v>0</v>
      </c>
      <c r="AH131" s="1172">
        <f t="shared" si="102"/>
        <v>0</v>
      </c>
      <c r="AI131" s="937">
        <f t="shared" si="103"/>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96"/>
        <v>0</v>
      </c>
      <c r="AA132" s="284">
        <f t="shared" si="97"/>
        <v>0</v>
      </c>
      <c r="AB132" s="948">
        <f t="array" ref="AB132">IF(AND($AD$124=TRUE,SUM(B132:L132)&gt;0),SUMPRODUCT((((TRANSPOSE(Cls1CentDailyRng)&lt;INDEX(CDRANGE_CLS1,$A132-$A$128+1,AD$125))*TRANSPOSE(Cls1CentDailyRng)+(TRANSPOSE(Cls1CentDailyRng)&gt;INDEX(CDRANGE_CLS1,$A132-$A$128+1,AD$125))*INDEX(CDRANGE_CLS1,$A132-$A$128+1,AD$125))/TRANSPOSE(Cls1CentDailyRng)),B132:L132,TRANSPOSE(Cls1CentVMTShr))/SUMPRODUCT(B132:L132,TRANSPOSE(Cls1CentVMTShr)),0)</f>
        <v>0</v>
      </c>
      <c r="AC132" s="949">
        <f t="array" ref="AC132">IF(AND($AD$124=TRUE,SUM(O132:Y132)&gt;0),SUMPRODUCT((((TRANSPOSE(Cls1NCentDailyRng)&lt;INDEX(CDRANGE_CLS1,$A132-$A$128+1,AD$125))*TRANSPOSE(Cls1NCentDailyRng)+(TRANSPOSE(Cls1NCentDailyRng)&gt;INDEX(CDRANGE_CLS1,$A132-$A$128+1,AD$125))*INDEX(CDRANGE_CLS1,$A132-$A$128+1,AD$125))/TRANSPOSE(Cls1NCentDailyRng)),O132:Y132,TRANSPOSE(Cls1NCentVMTShr))/SUMPRODUCT(O132:Y132,TRANSPOSE(Cls1NCentVMTShr)),0)</f>
        <v>0</v>
      </c>
      <c r="AD132" s="1226">
        <f t="shared" si="98"/>
        <v>0</v>
      </c>
      <c r="AE132" s="937">
        <f t="shared" si="99"/>
        <v>0</v>
      </c>
      <c r="AF132" s="937">
        <f t="shared" si="100"/>
        <v>0</v>
      </c>
      <c r="AG132" s="937">
        <f t="shared" si="101"/>
        <v>0</v>
      </c>
      <c r="AH132" s="1172">
        <f t="shared" si="102"/>
        <v>0</v>
      </c>
      <c r="AI132" s="937">
        <f t="shared" si="103"/>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96"/>
        <v>0</v>
      </c>
      <c r="AA133" s="298">
        <f t="shared" si="97"/>
        <v>0</v>
      </c>
      <c r="AB133" s="948">
        <f t="array" ref="AB133">IF(AND($AD$124=TRUE,SUM(B133:L133)&gt;0),SUMPRODUCT((((TRANSPOSE(Cls1CentDailyRng)&lt;INDEX(CDRANGE_CLS1,$A133-$A$128+1,AD$125))*TRANSPOSE(Cls1CentDailyRng)+(TRANSPOSE(Cls1CentDailyRng)&gt;INDEX(CDRANGE_CLS1,$A133-$A$128+1,AD$125))*INDEX(CDRANGE_CLS1,$A133-$A$128+1,AD$125))/TRANSPOSE(Cls1CentDailyRng)),B133:L133,TRANSPOSE(Cls1CentVMTShr))/SUMPRODUCT(B133:L133,TRANSPOSE(Cls1CentVMTShr)),0)</f>
        <v>0</v>
      </c>
      <c r="AC133" s="949">
        <f t="array" ref="AC133">IF(AND($AD$124=TRUE,SUM(O133:Y133)&gt;0),SUMPRODUCT((((TRANSPOSE(Cls1NCentDailyRng)&lt;INDEX(CDRANGE_CLS1,$A133-$A$128+1,AD$125))*TRANSPOSE(Cls1NCentDailyRng)+(TRANSPOSE(Cls1NCentDailyRng)&gt;INDEX(CDRANGE_CLS1,$A133-$A$128+1,AD$125))*INDEX(CDRANGE_CLS1,$A133-$A$128+1,AD$125))/TRANSPOSE(Cls1NCentDailyRng)),O133:Y133,TRANSPOSE(Cls1NCentVMTShr))/SUMPRODUCT(O133:Y133,TRANSPOSE(Cls1NCentVMTShr)),0)</f>
        <v>0</v>
      </c>
      <c r="AD133" s="1226">
        <f t="shared" si="98"/>
        <v>0</v>
      </c>
      <c r="AE133" s="937">
        <f t="shared" si="99"/>
        <v>0</v>
      </c>
      <c r="AF133" s="937">
        <f t="shared" si="100"/>
        <v>0</v>
      </c>
      <c r="AG133" s="937">
        <f t="shared" si="101"/>
        <v>0</v>
      </c>
      <c r="AH133" s="1172">
        <f t="shared" si="102"/>
        <v>0</v>
      </c>
      <c r="AI133" s="937">
        <f t="shared" si="103"/>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96"/>
        <v>0</v>
      </c>
      <c r="AA134" s="298">
        <f t="shared" si="97"/>
        <v>0</v>
      </c>
      <c r="AB134" s="948">
        <f t="array" ref="AB134">IF(AND($AD$124=TRUE,SUM(B134:L134)&gt;0),SUMPRODUCT((((TRANSPOSE(Cls1CentDailyRng)&lt;INDEX(CDRANGE_CLS1,$A134-$A$128+1,AD$125))*TRANSPOSE(Cls1CentDailyRng)+(TRANSPOSE(Cls1CentDailyRng)&gt;INDEX(CDRANGE_CLS1,$A134-$A$128+1,AD$125))*INDEX(CDRANGE_CLS1,$A134-$A$128+1,AD$125))/TRANSPOSE(Cls1CentDailyRng)),B134:L134,TRANSPOSE(Cls1CentVMTShr))/SUMPRODUCT(B134:L134,TRANSPOSE(Cls1CentVMTShr)),0)</f>
        <v>0</v>
      </c>
      <c r="AC134" s="949">
        <f t="array" ref="AC134">IF(AND($AD$124=TRUE,SUM(O134:Y134)&gt;0),SUMPRODUCT((((TRANSPOSE(Cls1NCentDailyRng)&lt;INDEX(CDRANGE_CLS1,$A134-$A$128+1,AD$125))*TRANSPOSE(Cls1NCentDailyRng)+(TRANSPOSE(Cls1NCentDailyRng)&gt;INDEX(CDRANGE_CLS1,$A134-$A$128+1,AD$125))*INDEX(CDRANGE_CLS1,$A134-$A$128+1,AD$125))/TRANSPOSE(Cls1NCentDailyRng)),O134:Y134,TRANSPOSE(Cls1NCentVMTShr))/SUMPRODUCT(O134:Y134,TRANSPOSE(Cls1NCentVMTShr)),0)</f>
        <v>0</v>
      </c>
      <c r="AD134" s="1226">
        <f t="shared" si="98"/>
        <v>0</v>
      </c>
      <c r="AE134" s="937">
        <f t="shared" si="99"/>
        <v>0</v>
      </c>
      <c r="AF134" s="937">
        <f t="shared" si="100"/>
        <v>0</v>
      </c>
      <c r="AG134" s="937">
        <f t="shared" si="101"/>
        <v>0</v>
      </c>
      <c r="AH134" s="1172">
        <f t="shared" si="102"/>
        <v>0</v>
      </c>
      <c r="AI134" s="937">
        <f t="shared" si="103"/>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96"/>
        <v>0</v>
      </c>
      <c r="AA135" s="298">
        <f t="shared" si="97"/>
        <v>0</v>
      </c>
      <c r="AB135" s="948">
        <f t="array" ref="AB135">IF(AND($AD$124=TRUE,SUM(B135:L135)&gt;0),SUMPRODUCT((((TRANSPOSE(Cls1CentDailyRng)&lt;INDEX(CDRANGE_CLS1,$A135-$A$128+1,AD$125))*TRANSPOSE(Cls1CentDailyRng)+(TRANSPOSE(Cls1CentDailyRng)&gt;INDEX(CDRANGE_CLS1,$A135-$A$128+1,AD$125))*INDEX(CDRANGE_CLS1,$A135-$A$128+1,AD$125))/TRANSPOSE(Cls1CentDailyRng)),B135:L135,TRANSPOSE(Cls1CentVMTShr))/SUMPRODUCT(B135:L135,TRANSPOSE(Cls1CentVMTShr)),0)</f>
        <v>0</v>
      </c>
      <c r="AC135" s="949">
        <f t="array" ref="AC135">IF(AND($AD$124=TRUE,SUM(O135:Y135)&gt;0),SUMPRODUCT((((TRANSPOSE(Cls1NCentDailyRng)&lt;INDEX(CDRANGE_CLS1,$A135-$A$128+1,AD$125))*TRANSPOSE(Cls1NCentDailyRng)+(TRANSPOSE(Cls1NCentDailyRng)&gt;INDEX(CDRANGE_CLS1,$A135-$A$128+1,AD$125))*INDEX(CDRANGE_CLS1,$A135-$A$128+1,AD$125))/TRANSPOSE(Cls1NCentDailyRng)),O135:Y135,TRANSPOSE(Cls1NCentVMTShr))/SUMPRODUCT(O135:Y135,TRANSPOSE(Cls1NCentVMTShr)),0)</f>
        <v>0</v>
      </c>
      <c r="AD135" s="1226">
        <f t="shared" si="98"/>
        <v>0</v>
      </c>
      <c r="AE135" s="937">
        <f t="shared" si="99"/>
        <v>0</v>
      </c>
      <c r="AF135" s="937">
        <f t="shared" si="100"/>
        <v>0</v>
      </c>
      <c r="AG135" s="937">
        <f t="shared" si="101"/>
        <v>0</v>
      </c>
      <c r="AH135" s="1172">
        <f t="shared" si="102"/>
        <v>0</v>
      </c>
      <c r="AI135" s="937">
        <f t="shared" si="103"/>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96"/>
        <v>0</v>
      </c>
      <c r="AA136" s="312">
        <f t="shared" si="97"/>
        <v>0</v>
      </c>
      <c r="AB136" s="948">
        <f t="array" ref="AB136">IF(AND($AD$124=TRUE,SUM(B136:L136)&gt;0),SUMPRODUCT((((TRANSPOSE(Cls1CentDailyRng)&lt;INDEX(CDRANGE_CLS1,$A136-$A$128+1,AD$125))*TRANSPOSE(Cls1CentDailyRng)+(TRANSPOSE(Cls1CentDailyRng)&gt;INDEX(CDRANGE_CLS1,$A136-$A$128+1,AD$125))*INDEX(CDRANGE_CLS1,$A136-$A$128+1,AD$125))/TRANSPOSE(Cls1CentDailyRng)),B136:L136,TRANSPOSE(Cls1CentVMTShr))/SUMPRODUCT(B136:L136,TRANSPOSE(Cls1CentVMTShr)),0)</f>
        <v>0</v>
      </c>
      <c r="AC136" s="949">
        <f t="array" ref="AC136">IF(AND($AD$124=TRUE,SUM(O136:Y136)&gt;0),SUMPRODUCT((((TRANSPOSE(Cls1NCentDailyRng)&lt;INDEX(CDRANGE_CLS1,$A136-$A$128+1,AD$125))*TRANSPOSE(Cls1NCentDailyRng)+(TRANSPOSE(Cls1NCentDailyRng)&gt;INDEX(CDRANGE_CLS1,$A136-$A$128+1,AD$125))*INDEX(CDRANGE_CLS1,$A136-$A$128+1,AD$125))/TRANSPOSE(Cls1NCentDailyRng)),O136:Y136,TRANSPOSE(Cls1NCentVMTShr))/SUMPRODUCT(O136:Y136,TRANSPOSE(Cls1NCentVMTShr)),0)</f>
        <v>0</v>
      </c>
      <c r="AD136" s="1226">
        <f t="shared" si="98"/>
        <v>0</v>
      </c>
      <c r="AE136" s="937">
        <f t="shared" si="99"/>
        <v>0</v>
      </c>
      <c r="AF136" s="937">
        <f t="shared" si="100"/>
        <v>0</v>
      </c>
      <c r="AG136" s="937">
        <f t="shared" si="101"/>
        <v>0</v>
      </c>
      <c r="AH136" s="1172">
        <f t="shared" si="102"/>
        <v>0</v>
      </c>
      <c r="AI136" s="937">
        <f t="shared" si="103"/>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96"/>
        <v>0</v>
      </c>
      <c r="AA137" s="284">
        <f t="shared" si="97"/>
        <v>0</v>
      </c>
      <c r="AB137" s="948">
        <f t="array" ref="AB137">IF(AND($AD$124=TRUE,SUM(B137:L137)&gt;0),SUMPRODUCT((((TRANSPOSE(Cls1CentDailyRng)&lt;INDEX(CDRANGE_CLS1,$A137-$A$128+1,AD$125))*TRANSPOSE(Cls1CentDailyRng)+(TRANSPOSE(Cls1CentDailyRng)&gt;INDEX(CDRANGE_CLS1,$A137-$A$128+1,AD$125))*INDEX(CDRANGE_CLS1,$A137-$A$128+1,AD$125))/TRANSPOSE(Cls1CentDailyRng)),B137:L137,TRANSPOSE(Cls1CentVMTShr))/SUMPRODUCT(B137:L137,TRANSPOSE(Cls1CentVMTShr)),0)</f>
        <v>0</v>
      </c>
      <c r="AC137" s="949">
        <f t="array" ref="AC137">IF(AND($AD$124=TRUE,SUM(O137:Y137)&gt;0),SUMPRODUCT((((TRANSPOSE(Cls1NCentDailyRng)&lt;INDEX(CDRANGE_CLS1,$A137-$A$128+1,AD$125))*TRANSPOSE(Cls1NCentDailyRng)+(TRANSPOSE(Cls1NCentDailyRng)&gt;INDEX(CDRANGE_CLS1,$A137-$A$128+1,AD$125))*INDEX(CDRANGE_CLS1,$A137-$A$128+1,AD$125))/TRANSPOSE(Cls1NCentDailyRng)),O137:Y137,TRANSPOSE(Cls1NCentVMTShr))/SUMPRODUCT(O137:Y137,TRANSPOSE(Cls1NCentVMTShr)),0)</f>
        <v>0</v>
      </c>
      <c r="AD137" s="1226">
        <f t="shared" si="98"/>
        <v>0</v>
      </c>
      <c r="AE137" s="937">
        <f t="shared" si="99"/>
        <v>0</v>
      </c>
      <c r="AF137" s="937">
        <f t="shared" si="100"/>
        <v>0</v>
      </c>
      <c r="AG137" s="937">
        <f t="shared" si="101"/>
        <v>0</v>
      </c>
      <c r="AH137" s="1172">
        <f t="shared" si="102"/>
        <v>0</v>
      </c>
      <c r="AI137" s="937">
        <f t="shared" si="103"/>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96"/>
        <v>0</v>
      </c>
      <c r="AA138" s="298">
        <f t="shared" si="97"/>
        <v>0</v>
      </c>
      <c r="AB138" s="948">
        <f t="array" ref="AB138">IF(AND($AD$124=TRUE,SUM(B138:L138)&gt;0),SUMPRODUCT((((TRANSPOSE(Cls1CentDailyRng)&lt;INDEX(CDRANGE_CLS1,$A138-$A$128+1,AD$125))*TRANSPOSE(Cls1CentDailyRng)+(TRANSPOSE(Cls1CentDailyRng)&gt;INDEX(CDRANGE_CLS1,$A138-$A$128+1,AD$125))*INDEX(CDRANGE_CLS1,$A138-$A$128+1,AD$125))/TRANSPOSE(Cls1CentDailyRng)),B138:L138,TRANSPOSE(Cls1CentVMTShr))/SUMPRODUCT(B138:L138,TRANSPOSE(Cls1CentVMTShr)),0)</f>
        <v>0</v>
      </c>
      <c r="AC138" s="949">
        <f t="array" ref="AC138">IF(AND($AD$124=TRUE,SUM(O138:Y138)&gt;0),SUMPRODUCT((((TRANSPOSE(Cls1NCentDailyRng)&lt;INDEX(CDRANGE_CLS1,$A138-$A$128+1,AD$125))*TRANSPOSE(Cls1NCentDailyRng)+(TRANSPOSE(Cls1NCentDailyRng)&gt;INDEX(CDRANGE_CLS1,$A138-$A$128+1,AD$125))*INDEX(CDRANGE_CLS1,$A138-$A$128+1,AD$125))/TRANSPOSE(Cls1NCentDailyRng)),O138:Y138,TRANSPOSE(Cls1NCentVMTShr))/SUMPRODUCT(O138:Y138,TRANSPOSE(Cls1NCentVMTShr)),0)</f>
        <v>0</v>
      </c>
      <c r="AD138" s="1226">
        <f t="shared" si="98"/>
        <v>0</v>
      </c>
      <c r="AE138" s="937">
        <f t="shared" si="99"/>
        <v>0</v>
      </c>
      <c r="AF138" s="937">
        <f t="shared" si="100"/>
        <v>0</v>
      </c>
      <c r="AG138" s="937">
        <f t="shared" si="101"/>
        <v>0</v>
      </c>
      <c r="AH138" s="1172">
        <f t="shared" si="102"/>
        <v>0</v>
      </c>
      <c r="AI138" s="937">
        <f t="shared" si="103"/>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96"/>
        <v>0</v>
      </c>
      <c r="AA139" s="298">
        <f t="shared" si="97"/>
        <v>0</v>
      </c>
      <c r="AB139" s="948">
        <f t="array" ref="AB139">IF(AND($AD$124=TRUE,SUM(B139:L139)&gt;0),SUMPRODUCT((((TRANSPOSE(Cls1CentDailyRng)&lt;INDEX(CDRANGE_CLS1,$A139-$A$128+1,AD$125))*TRANSPOSE(Cls1CentDailyRng)+(TRANSPOSE(Cls1CentDailyRng)&gt;INDEX(CDRANGE_CLS1,$A139-$A$128+1,AD$125))*INDEX(CDRANGE_CLS1,$A139-$A$128+1,AD$125))/TRANSPOSE(Cls1CentDailyRng)),B139:L139,TRANSPOSE(Cls1CentVMTShr))/SUMPRODUCT(B139:L139,TRANSPOSE(Cls1CentVMTShr)),0)</f>
        <v>0</v>
      </c>
      <c r="AC139" s="949">
        <f t="array" ref="AC139">IF(AND($AD$124=TRUE,SUM(O139:Y139)&gt;0),SUMPRODUCT((((TRANSPOSE(Cls1NCentDailyRng)&lt;INDEX(CDRANGE_CLS1,$A139-$A$128+1,AD$125))*TRANSPOSE(Cls1NCentDailyRng)+(TRANSPOSE(Cls1NCentDailyRng)&gt;INDEX(CDRANGE_CLS1,$A139-$A$128+1,AD$125))*INDEX(CDRANGE_CLS1,$A139-$A$128+1,AD$125))/TRANSPOSE(Cls1NCentDailyRng)),O139:Y139,TRANSPOSE(Cls1NCentVMTShr))/SUMPRODUCT(O139:Y139,TRANSPOSE(Cls1NCentVMTShr)),0)</f>
        <v>0</v>
      </c>
      <c r="AD139" s="1226">
        <f t="shared" si="98"/>
        <v>0</v>
      </c>
      <c r="AE139" s="937">
        <f t="shared" si="99"/>
        <v>0</v>
      </c>
      <c r="AF139" s="937">
        <f t="shared" si="100"/>
        <v>0</v>
      </c>
      <c r="AG139" s="937">
        <f t="shared" si="101"/>
        <v>0</v>
      </c>
      <c r="AH139" s="1172">
        <f t="shared" si="102"/>
        <v>0</v>
      </c>
      <c r="AI139" s="937">
        <f t="shared" si="103"/>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96"/>
        <v>0</v>
      </c>
      <c r="AA140" s="298">
        <f t="shared" si="97"/>
        <v>0</v>
      </c>
      <c r="AB140" s="948">
        <f t="array" ref="AB140">IF(AND($AD$124=TRUE,SUM(B140:L140)&gt;0),SUMPRODUCT((((TRANSPOSE(Cls1CentDailyRng)&lt;INDEX(CDRANGE_CLS1,$A140-$A$128+1,AD$125))*TRANSPOSE(Cls1CentDailyRng)+(TRANSPOSE(Cls1CentDailyRng)&gt;INDEX(CDRANGE_CLS1,$A140-$A$128+1,AD$125))*INDEX(CDRANGE_CLS1,$A140-$A$128+1,AD$125))/TRANSPOSE(Cls1CentDailyRng)),B140:L140,TRANSPOSE(Cls1CentVMTShr))/SUMPRODUCT(B140:L140,TRANSPOSE(Cls1CentVMTShr)),0)</f>
        <v>0</v>
      </c>
      <c r="AC140" s="949">
        <f t="array" ref="AC140">IF(AND($AD$124=TRUE,SUM(O140:Y140)&gt;0),SUMPRODUCT((((TRANSPOSE(Cls1NCentDailyRng)&lt;INDEX(CDRANGE_CLS1,$A140-$A$128+1,AD$125))*TRANSPOSE(Cls1NCentDailyRng)+(TRANSPOSE(Cls1NCentDailyRng)&gt;INDEX(CDRANGE_CLS1,$A140-$A$128+1,AD$125))*INDEX(CDRANGE_CLS1,$A140-$A$128+1,AD$125))/TRANSPOSE(Cls1NCentDailyRng)),O140:Y140,TRANSPOSE(Cls1NCentVMTShr))/SUMPRODUCT(O140:Y140,TRANSPOSE(Cls1NCentVMTShr)),0)</f>
        <v>0</v>
      </c>
      <c r="AD140" s="1226">
        <f t="shared" si="98"/>
        <v>0</v>
      </c>
      <c r="AE140" s="937">
        <f t="shared" si="99"/>
        <v>0</v>
      </c>
      <c r="AF140" s="937">
        <f t="shared" si="100"/>
        <v>0</v>
      </c>
      <c r="AG140" s="937">
        <f t="shared" si="101"/>
        <v>0</v>
      </c>
      <c r="AH140" s="1172">
        <f t="shared" si="102"/>
        <v>0</v>
      </c>
      <c r="AI140" s="937">
        <f t="shared" si="103"/>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96"/>
        <v>0</v>
      </c>
      <c r="AA141" s="312">
        <f t="shared" si="97"/>
        <v>0</v>
      </c>
      <c r="AB141" s="948">
        <f t="array" ref="AB141">IF(AND($AD$124=TRUE,SUM(B141:L141)&gt;0),SUMPRODUCT((((TRANSPOSE(Cls1CentDailyRng)&lt;INDEX(CDRANGE_CLS1,$A141-$A$128+1,AD$125))*TRANSPOSE(Cls1CentDailyRng)+(TRANSPOSE(Cls1CentDailyRng)&gt;INDEX(CDRANGE_CLS1,$A141-$A$128+1,AD$125))*INDEX(CDRANGE_CLS1,$A141-$A$128+1,AD$125))/TRANSPOSE(Cls1CentDailyRng)),B141:L141,TRANSPOSE(Cls1CentVMTShr))/SUMPRODUCT(B141:L141,TRANSPOSE(Cls1CentVMTShr)),0)</f>
        <v>0</v>
      </c>
      <c r="AC141" s="949">
        <f t="array" ref="AC141">IF(AND($AD$124=TRUE,SUM(O141:Y141)&gt;0),SUMPRODUCT((((TRANSPOSE(Cls1NCentDailyRng)&lt;INDEX(CDRANGE_CLS1,$A141-$A$128+1,AD$125))*TRANSPOSE(Cls1NCentDailyRng)+(TRANSPOSE(Cls1NCentDailyRng)&gt;INDEX(CDRANGE_CLS1,$A141-$A$128+1,AD$125))*INDEX(CDRANGE_CLS1,$A141-$A$128+1,AD$125))/TRANSPOSE(Cls1NCentDailyRng)),O141:Y141,TRANSPOSE(Cls1NCentVMTShr))/SUMPRODUCT(O141:Y141,TRANSPOSE(Cls1NCentVMTShr)),0)</f>
        <v>0</v>
      </c>
      <c r="AD141" s="1226">
        <f t="shared" si="98"/>
        <v>0</v>
      </c>
      <c r="AE141" s="937">
        <f t="shared" si="99"/>
        <v>0</v>
      </c>
      <c r="AF141" s="937">
        <f t="shared" si="100"/>
        <v>0</v>
      </c>
      <c r="AG141" s="937">
        <f t="shared" si="101"/>
        <v>0</v>
      </c>
      <c r="AH141" s="1172">
        <f t="shared" si="102"/>
        <v>0</v>
      </c>
      <c r="AI141" s="937">
        <f t="shared" si="103"/>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4"/>
        <v>0</v>
      </c>
      <c r="N142" s="284">
        <f t="shared" si="95"/>
        <v>0</v>
      </c>
      <c r="O142" s="342">
        <v>0</v>
      </c>
      <c r="P142" s="343">
        <v>0</v>
      </c>
      <c r="Q142" s="343">
        <v>0</v>
      </c>
      <c r="R142" s="343">
        <v>0</v>
      </c>
      <c r="S142" s="343">
        <v>0</v>
      </c>
      <c r="T142" s="343">
        <v>0</v>
      </c>
      <c r="U142" s="343">
        <v>0</v>
      </c>
      <c r="V142" s="343">
        <v>0</v>
      </c>
      <c r="W142" s="343">
        <v>0</v>
      </c>
      <c r="X142" s="343">
        <v>0</v>
      </c>
      <c r="Y142" s="379">
        <v>0</v>
      </c>
      <c r="Z142" s="282">
        <f t="shared" si="96"/>
        <v>0</v>
      </c>
      <c r="AA142" s="284">
        <f t="shared" si="97"/>
        <v>0</v>
      </c>
      <c r="AB142" s="948">
        <f t="array" ref="AB142">IF(AND($AD$124=TRUE,SUM(B142:L142)&gt;0),SUMPRODUCT((((TRANSPOSE(Cls1CentDailyRng)&lt;INDEX(CDRANGE_CLS1,$A142-$A$128+1,AD$125))*TRANSPOSE(Cls1CentDailyRng)+(TRANSPOSE(Cls1CentDailyRng)&gt;INDEX(CDRANGE_CLS1,$A142-$A$128+1,AD$125))*INDEX(CDRANGE_CLS1,$A142-$A$128+1,AD$125))/TRANSPOSE(Cls1CentDailyRng)),B142:L142,TRANSPOSE(Cls1CentVMTShr))/SUMPRODUCT(B142:L142,TRANSPOSE(Cls1CentVMTShr)),0)</f>
        <v>0</v>
      </c>
      <c r="AC142" s="949">
        <f t="array" ref="AC142">IF(AND($AD$124=TRUE,SUM(O142:Y142)&gt;0),SUMPRODUCT((((TRANSPOSE(Cls1NCentDailyRng)&lt;INDEX(CDRANGE_CLS1,$A142-$A$128+1,AD$125))*TRANSPOSE(Cls1NCentDailyRng)+(TRANSPOSE(Cls1NCentDailyRng)&gt;INDEX(CDRANGE_CLS1,$A142-$A$128+1,AD$125))*INDEX(CDRANGE_CLS1,$A142-$A$128+1,AD$125))/TRANSPOSE(Cls1NCentDailyRng)),O142:Y142,TRANSPOSE(Cls1NCentVMTShr))/SUMPRODUCT(O142:Y142,TRANSPOSE(Cls1NCentVMTShr)),0)</f>
        <v>0</v>
      </c>
      <c r="AD142" s="1226">
        <f t="shared" si="98"/>
        <v>0</v>
      </c>
      <c r="AE142" s="937">
        <f t="shared" si="99"/>
        <v>0</v>
      </c>
      <c r="AF142" s="937">
        <f t="shared" si="100"/>
        <v>0</v>
      </c>
      <c r="AG142" s="937">
        <f t="shared" si="101"/>
        <v>0</v>
      </c>
      <c r="AH142" s="1172">
        <f t="shared" si="102"/>
        <v>0</v>
      </c>
      <c r="AI142" s="937">
        <f t="shared" si="103"/>
        <v>0</v>
      </c>
      <c r="AJ142" s="227"/>
      <c r="AK142" s="227"/>
      <c r="AL142" s="227"/>
      <c r="AM142" s="227"/>
    </row>
    <row r="143" spans="1:39" x14ac:dyDescent="0.2">
      <c r="A143" s="330">
        <v>2022</v>
      </c>
      <c r="B143" s="344">
        <v>0</v>
      </c>
      <c r="C143" s="345">
        <v>0</v>
      </c>
      <c r="D143" s="345">
        <v>0</v>
      </c>
      <c r="E143" s="345">
        <v>4.0176117039101238E-4</v>
      </c>
      <c r="F143" s="345">
        <v>2.6937124382727467E-3</v>
      </c>
      <c r="G143" s="345">
        <v>5.9653608165918335E-3</v>
      </c>
      <c r="H143" s="345">
        <v>8.6619888785056352E-3</v>
      </c>
      <c r="I143" s="345">
        <v>1.0842908767646606E-2</v>
      </c>
      <c r="J143" s="345">
        <v>1.3515062693545393E-2</v>
      </c>
      <c r="K143" s="345">
        <v>1.7231147343094631E-2</v>
      </c>
      <c r="L143" s="380">
        <v>2.2339559230816021E-2</v>
      </c>
      <c r="M143" s="296">
        <f t="shared" si="94"/>
        <v>1.897879700246989E-3</v>
      </c>
      <c r="N143" s="298">
        <f t="shared" si="95"/>
        <v>1.5013448881528418E-3</v>
      </c>
      <c r="O143" s="344">
        <v>0</v>
      </c>
      <c r="P143" s="345">
        <v>0</v>
      </c>
      <c r="Q143" s="345">
        <v>0</v>
      </c>
      <c r="R143" s="345">
        <v>6.1802142976870983E-4</v>
      </c>
      <c r="S143" s="345">
        <v>3.6240559155531057E-3</v>
      </c>
      <c r="T143" s="345">
        <v>7.297825728543381E-3</v>
      </c>
      <c r="U143" s="345">
        <v>9.5585262864423398E-3</v>
      </c>
      <c r="V143" s="345">
        <v>1.1248088492467263E-2</v>
      </c>
      <c r="W143" s="345">
        <v>1.4724013754627119E-2</v>
      </c>
      <c r="X143" s="345">
        <v>1.7231147343094631E-2</v>
      </c>
      <c r="Y143" s="380">
        <v>2.2339559230816021E-2</v>
      </c>
      <c r="Z143" s="296">
        <f t="shared" si="96"/>
        <v>7.1719255155513716E-3</v>
      </c>
      <c r="AA143" s="298">
        <f t="shared" si="97"/>
        <v>5.8624136029408885E-3</v>
      </c>
      <c r="AB143" s="948">
        <f t="array" ref="AB143">IF(AND($AD$124=TRUE,SUM(B143:L143)&gt;0),SUMPRODUCT((((TRANSPOSE(Cls1CentDailyRng)&lt;INDEX(CDRANGE_CLS1,$A143-$A$128+1,AD$125))*TRANSPOSE(Cls1CentDailyRng)+(TRANSPOSE(Cls1CentDailyRng)&gt;INDEX(CDRANGE_CLS1,$A143-$A$128+1,AD$125))*INDEX(CDRANGE_CLS1,$A143-$A$128+1,AD$125))/TRANSPOSE(Cls1CentDailyRng)),B143:L143,TRANSPOSE(Cls1CentVMTShr))/SUMPRODUCT(B143:L143,TRANSPOSE(Cls1CentVMTShr)),0)</f>
        <v>0</v>
      </c>
      <c r="AC143" s="949">
        <f t="array" ref="AC143">IF(AND($AD$124=TRUE,SUM(O143:Y143)&gt;0),SUMPRODUCT((((TRANSPOSE(Cls1NCentDailyRng)&lt;INDEX(CDRANGE_CLS1,$A143-$A$128+1,AD$125))*TRANSPOSE(Cls1NCentDailyRng)+(TRANSPOSE(Cls1NCentDailyRng)&gt;INDEX(CDRANGE_CLS1,$A143-$A$128+1,AD$125))*INDEX(CDRANGE_CLS1,$A143-$A$128+1,AD$125))/TRANSPOSE(Cls1NCentDailyRng)),O143:Y143,TRANSPOSE(Cls1NCentVMTShr))/SUMPRODUCT(O143:Y143,TRANSPOSE(Cls1NCentVMTShr)),0)</f>
        <v>0</v>
      </c>
      <c r="AD143" s="1226">
        <f t="shared" si="98"/>
        <v>0</v>
      </c>
      <c r="AE143" s="937">
        <f>SUMPRODUCT($B$74:$L$74,B143:L143)</f>
        <v>1.897879700246989E-3</v>
      </c>
      <c r="AF143" s="937">
        <f>SUMPRODUCT($O$74:$Y$74,O143:Y143)</f>
        <v>7.1719255155513716E-3</v>
      </c>
      <c r="AG143" s="937">
        <f>SUM(AE143:AF143)</f>
        <v>9.0698052157983603E-3</v>
      </c>
      <c r="AH143" s="1172">
        <f t="shared" si="102"/>
        <v>0.20925253134886979</v>
      </c>
      <c r="AI143" s="937">
        <f t="shared" si="103"/>
        <v>0.79074746865113021</v>
      </c>
      <c r="AJ143" s="227"/>
      <c r="AK143" s="227"/>
      <c r="AL143" s="227"/>
      <c r="AM143" s="227"/>
    </row>
    <row r="144" spans="1:39" x14ac:dyDescent="0.2">
      <c r="A144" s="330">
        <v>2023</v>
      </c>
      <c r="B144" s="344">
        <v>0</v>
      </c>
      <c r="C144" s="345">
        <v>0</v>
      </c>
      <c r="D144" s="345">
        <v>0</v>
      </c>
      <c r="E144" s="345">
        <v>2.3351038527984974E-3</v>
      </c>
      <c r="F144" s="345">
        <v>9.9887987919391793E-3</v>
      </c>
      <c r="G144" s="345">
        <v>1.9488919264872485E-2</v>
      </c>
      <c r="H144" s="345">
        <v>2.5130590270538787E-2</v>
      </c>
      <c r="I144" s="345">
        <v>2.9260072839310529E-2</v>
      </c>
      <c r="J144" s="345">
        <v>4.0148405319575829E-2</v>
      </c>
      <c r="K144" s="345">
        <v>4.6551316438953994E-2</v>
      </c>
      <c r="L144" s="380">
        <v>5.4245275469621476E-2</v>
      </c>
      <c r="M144" s="296">
        <f t="shared" si="94"/>
        <v>5.4140679022137072E-3</v>
      </c>
      <c r="N144" s="298">
        <f t="shared" si="95"/>
        <v>4.4080832233477666E-3</v>
      </c>
      <c r="O144" s="344">
        <v>0</v>
      </c>
      <c r="P144" s="345">
        <v>0</v>
      </c>
      <c r="Q144" s="345">
        <v>8.591597341751835E-5</v>
      </c>
      <c r="R144" s="345">
        <v>3.0217158762364995E-3</v>
      </c>
      <c r="S144" s="345">
        <v>1.2883921491068442E-2</v>
      </c>
      <c r="T144" s="345">
        <v>2.1776033657982172E-2</v>
      </c>
      <c r="U144" s="345">
        <v>2.6208102169670924E-2</v>
      </c>
      <c r="V144" s="345">
        <v>3.3986691676508224E-2</v>
      </c>
      <c r="W144" s="345">
        <v>4.0148405319575829E-2</v>
      </c>
      <c r="X144" s="345">
        <v>4.9784091349000227E-2</v>
      </c>
      <c r="Y144" s="380">
        <v>5.9275800250172671E-2</v>
      </c>
      <c r="Z144" s="296">
        <f t="shared" si="96"/>
        <v>2.056304509481376E-2</v>
      </c>
      <c r="AA144" s="298">
        <f t="shared" si="97"/>
        <v>1.7013891973554976E-2</v>
      </c>
      <c r="AB144" s="948">
        <f t="array" ref="AB144">IF(AND($AD$124=TRUE,SUM(B144:L144)&gt;0),SUMPRODUCT((((TRANSPOSE(Cls1CentDailyRng)&lt;INDEX(CDRANGE_CLS1,$A144-$A$128+1,AD$125))*TRANSPOSE(Cls1CentDailyRng)+(TRANSPOSE(Cls1CentDailyRng)&gt;INDEX(CDRANGE_CLS1,$A144-$A$128+1,AD$125))*INDEX(CDRANGE_CLS1,$A144-$A$128+1,AD$125))/TRANSPOSE(Cls1CentDailyRng)),B144:L144,TRANSPOSE(Cls1CentVMTShr))/SUMPRODUCT(B144:L144,TRANSPOSE(Cls1CentVMTShr)),0)</f>
        <v>0</v>
      </c>
      <c r="AC144" s="949">
        <f t="array" ref="AC144">IF(AND($AD$124=TRUE,SUM(O144:Y144)&gt;0),SUMPRODUCT((((TRANSPOSE(Cls1NCentDailyRng)&lt;INDEX(CDRANGE_CLS1,$A144-$A$128+1,AD$125))*TRANSPOSE(Cls1NCentDailyRng)+(TRANSPOSE(Cls1NCentDailyRng)&gt;INDEX(CDRANGE_CLS1,$A144-$A$128+1,AD$125))*INDEX(CDRANGE_CLS1,$A144-$A$128+1,AD$125))/TRANSPOSE(Cls1NCentDailyRng)),O144:Y144,TRANSPOSE(Cls1NCentVMTShr))/SUMPRODUCT(O144:Y144,TRANSPOSE(Cls1NCentVMTShr)),0)</f>
        <v>0</v>
      </c>
      <c r="AD144" s="1226">
        <f t="shared" si="98"/>
        <v>0</v>
      </c>
      <c r="AE144" s="937">
        <f t="shared" ref="AE144:AE171" si="104">SUMPRODUCT($B$74:$L$74,B144:L144)</f>
        <v>5.4140679022137072E-3</v>
      </c>
      <c r="AF144" s="937">
        <f t="shared" ref="AF144:AF171" si="105">SUMPRODUCT($O$74:$Y$74,O144:Y144)</f>
        <v>2.056304509481376E-2</v>
      </c>
      <c r="AG144" s="937">
        <f t="shared" ref="AG144:AG171" si="106">SUM(AE144:AF144)</f>
        <v>2.5977112997027468E-2</v>
      </c>
      <c r="AH144" s="1172">
        <f t="shared" si="102"/>
        <v>0.20841684381298387</v>
      </c>
      <c r="AI144" s="937">
        <f t="shared" si="103"/>
        <v>0.79158315618701613</v>
      </c>
      <c r="AJ144" s="227"/>
      <c r="AK144" s="227"/>
      <c r="AL144" s="227"/>
      <c r="AM144" s="227"/>
    </row>
    <row r="145" spans="1:39" x14ac:dyDescent="0.2">
      <c r="A145" s="330">
        <v>2024</v>
      </c>
      <c r="B145" s="344">
        <v>0</v>
      </c>
      <c r="C145" s="345">
        <v>0</v>
      </c>
      <c r="D145" s="345">
        <v>1.9397642751708567E-4</v>
      </c>
      <c r="E145" s="345">
        <v>1.1025860178465343E-2</v>
      </c>
      <c r="F145" s="345">
        <v>3.3853917827414232E-2</v>
      </c>
      <c r="G145" s="345">
        <v>5.1709481729131722E-2</v>
      </c>
      <c r="H145" s="345">
        <v>6.3818140728185507E-2</v>
      </c>
      <c r="I145" s="345">
        <v>8.3625963627164623E-2</v>
      </c>
      <c r="J145" s="345">
        <v>0.10823909418555204</v>
      </c>
      <c r="K145" s="345">
        <v>0.11457775158154933</v>
      </c>
      <c r="L145" s="380">
        <v>0.12461389590532244</v>
      </c>
      <c r="M145" s="296">
        <f t="shared" si="94"/>
        <v>1.434815698088682E-2</v>
      </c>
      <c r="N145" s="298">
        <f t="shared" si="95"/>
        <v>1.1952808974001569E-2</v>
      </c>
      <c r="O145" s="344">
        <v>0</v>
      </c>
      <c r="P145" s="345">
        <v>0</v>
      </c>
      <c r="Q145" s="345">
        <v>9.0325908646835798E-4</v>
      </c>
      <c r="R145" s="345">
        <v>1.3756007428692868E-2</v>
      </c>
      <c r="S145" s="345">
        <v>3.8856036237997243E-2</v>
      </c>
      <c r="T145" s="345">
        <v>5.6720612037164629E-2</v>
      </c>
      <c r="U145" s="345">
        <v>6.6037567256984467E-2</v>
      </c>
      <c r="V145" s="345">
        <v>9.0675537212292545E-2</v>
      </c>
      <c r="W145" s="345">
        <v>0.11128933126202331</v>
      </c>
      <c r="X145" s="345">
        <v>0.11731671461298701</v>
      </c>
      <c r="Y145" s="380">
        <v>0.12461389590532244</v>
      </c>
      <c r="Z145" s="296">
        <f t="shared" si="96"/>
        <v>5.214949140925422E-2</v>
      </c>
      <c r="AA145" s="298">
        <f t="shared" si="97"/>
        <v>4.4004275404338218E-2</v>
      </c>
      <c r="AB145" s="948">
        <f t="array" ref="AB145">IF(AND($AD$124=TRUE,SUM(B145:L145)&gt;0),SUMPRODUCT((((TRANSPOSE(Cls1CentDailyRng)&lt;INDEX(CDRANGE_CLS1,$A145-$A$128+1,AD$125))*TRANSPOSE(Cls1CentDailyRng)+(TRANSPOSE(Cls1CentDailyRng)&gt;INDEX(CDRANGE_CLS1,$A145-$A$128+1,AD$125))*INDEX(CDRANGE_CLS1,$A145-$A$128+1,AD$125))/TRANSPOSE(Cls1CentDailyRng)),B145:L145,TRANSPOSE(Cls1CentVMTShr))/SUMPRODUCT(B145:L145,TRANSPOSE(Cls1CentVMTShr)),0)</f>
        <v>0</v>
      </c>
      <c r="AC145" s="949">
        <f t="array" ref="AC145">IF(AND($AD$124=TRUE,SUM(O145:Y145)&gt;0),SUMPRODUCT((((TRANSPOSE(Cls1NCentDailyRng)&lt;INDEX(CDRANGE_CLS1,$A145-$A$128+1,AD$125))*TRANSPOSE(Cls1NCentDailyRng)+(TRANSPOSE(Cls1NCentDailyRng)&gt;INDEX(CDRANGE_CLS1,$A145-$A$128+1,AD$125))*INDEX(CDRANGE_CLS1,$A145-$A$128+1,AD$125))/TRANSPOSE(Cls1NCentDailyRng)),O145:Y145,TRANSPOSE(Cls1NCentVMTShr))/SUMPRODUCT(O145:Y145,TRANSPOSE(Cls1NCentVMTShr)),0)</f>
        <v>0</v>
      </c>
      <c r="AD145" s="1226">
        <f t="shared" si="98"/>
        <v>0</v>
      </c>
      <c r="AE145" s="937">
        <f t="shared" si="104"/>
        <v>1.434815698088682E-2</v>
      </c>
      <c r="AF145" s="937">
        <f t="shared" si="105"/>
        <v>5.214949140925422E-2</v>
      </c>
      <c r="AG145" s="937">
        <f t="shared" si="106"/>
        <v>6.6497648390141037E-2</v>
      </c>
      <c r="AH145" s="1172">
        <f t="shared" si="102"/>
        <v>0.21576938926781783</v>
      </c>
      <c r="AI145" s="937">
        <f t="shared" si="103"/>
        <v>0.78423061073218225</v>
      </c>
      <c r="AJ145" s="227"/>
      <c r="AK145" s="227"/>
      <c r="AL145" s="227"/>
      <c r="AM145" s="227"/>
    </row>
    <row r="146" spans="1:39" ht="15" thickBot="1" x14ac:dyDescent="0.25">
      <c r="A146" s="328">
        <v>2025</v>
      </c>
      <c r="B146" s="346">
        <v>0</v>
      </c>
      <c r="C146" s="347">
        <v>0</v>
      </c>
      <c r="D146" s="347">
        <v>7.2989360634314465E-4</v>
      </c>
      <c r="E146" s="347">
        <v>2.5577906368576118E-2</v>
      </c>
      <c r="F146" s="347">
        <v>7.2243890797774934E-2</v>
      </c>
      <c r="G146" s="347">
        <v>0.10545379619307793</v>
      </c>
      <c r="H146" s="347">
        <v>0.12277254433987586</v>
      </c>
      <c r="I146" s="347">
        <v>0.1855988318681342</v>
      </c>
      <c r="J146" s="347">
        <v>0.20445849881985739</v>
      </c>
      <c r="K146" s="347">
        <v>0.21617336975421053</v>
      </c>
      <c r="L146" s="381">
        <v>0.23500688379710788</v>
      </c>
      <c r="M146" s="310">
        <f t="shared" si="94"/>
        <v>2.875618398261242E-2</v>
      </c>
      <c r="N146" s="312">
        <f t="shared" si="95"/>
        <v>2.4144319253428879E-2</v>
      </c>
      <c r="O146" s="346">
        <v>0</v>
      </c>
      <c r="P146" s="347">
        <v>0</v>
      </c>
      <c r="Q146" s="347">
        <v>2.6968460820315449E-3</v>
      </c>
      <c r="R146" s="347">
        <v>3.4764726779132331E-2</v>
      </c>
      <c r="S146" s="347">
        <v>8.178869841817106E-2</v>
      </c>
      <c r="T146" s="347">
        <v>0.10997306134270603</v>
      </c>
      <c r="U146" s="347">
        <v>0.1304134936260965</v>
      </c>
      <c r="V146" s="347">
        <v>0.19157687427096681</v>
      </c>
      <c r="W146" s="347">
        <v>0.20445849881985739</v>
      </c>
      <c r="X146" s="347">
        <v>0.22084606453068556</v>
      </c>
      <c r="Y146" s="381">
        <v>0.23133808986525559</v>
      </c>
      <c r="Z146" s="310">
        <f t="shared" si="96"/>
        <v>0.10294392219905951</v>
      </c>
      <c r="AA146" s="312">
        <f t="shared" si="97"/>
        <v>8.7509121962794992E-2</v>
      </c>
      <c r="AB146" s="948">
        <f t="array" ref="AB146">IF(AND($AD$124=TRUE,SUM(B146:L146)&gt;0),SUMPRODUCT((((TRANSPOSE(Cls1CentDailyRng)&lt;INDEX(CDRANGE_CLS1,$A146-$A$128+1,AD$125))*TRANSPOSE(Cls1CentDailyRng)+(TRANSPOSE(Cls1CentDailyRng)&gt;INDEX(CDRANGE_CLS1,$A146-$A$128+1,AD$125))*INDEX(CDRANGE_CLS1,$A146-$A$128+1,AD$125))/TRANSPOSE(Cls1CentDailyRng)),B146:L146,TRANSPOSE(Cls1CentVMTShr))/SUMPRODUCT(B146:L146,TRANSPOSE(Cls1CentVMTShr)),0)</f>
        <v>0</v>
      </c>
      <c r="AC146" s="949">
        <f t="array" ref="AC146">IF(AND($AD$124=TRUE,SUM(O146:Y146)&gt;0),SUMPRODUCT((((TRANSPOSE(Cls1NCentDailyRng)&lt;INDEX(CDRANGE_CLS1,$A146-$A$128+1,AD$125))*TRANSPOSE(Cls1NCentDailyRng)+(TRANSPOSE(Cls1NCentDailyRng)&gt;INDEX(CDRANGE_CLS1,$A146-$A$128+1,AD$125))*INDEX(CDRANGE_CLS1,$A146-$A$128+1,AD$125))/TRANSPOSE(Cls1NCentDailyRng)),O146:Y146,TRANSPOSE(Cls1NCentVMTShr))/SUMPRODUCT(O146:Y146,TRANSPOSE(Cls1NCentVMTShr)),0)</f>
        <v>0</v>
      </c>
      <c r="AD146" s="1226">
        <f t="shared" si="98"/>
        <v>0</v>
      </c>
      <c r="AE146" s="937">
        <f t="shared" si="104"/>
        <v>2.875618398261242E-2</v>
      </c>
      <c r="AF146" s="937">
        <f t="shared" si="105"/>
        <v>0.10294392219905951</v>
      </c>
      <c r="AG146" s="937">
        <f t="shared" si="106"/>
        <v>0.13170010618167194</v>
      </c>
      <c r="AH146" s="1172">
        <f t="shared" si="102"/>
        <v>0.21834594379859565</v>
      </c>
      <c r="AI146" s="937">
        <f t="shared" si="103"/>
        <v>0.78165405620140427</v>
      </c>
      <c r="AJ146" s="227"/>
      <c r="AK146" s="227"/>
      <c r="AL146" s="227"/>
      <c r="AM146" s="227"/>
    </row>
    <row r="147" spans="1:39" x14ac:dyDescent="0.2">
      <c r="A147" s="329">
        <v>2026</v>
      </c>
      <c r="B147" s="342">
        <v>0</v>
      </c>
      <c r="C147" s="343">
        <v>0</v>
      </c>
      <c r="D147" s="343">
        <v>3.0429724749668252E-4</v>
      </c>
      <c r="E147" s="343">
        <v>2.373005792662768E-2</v>
      </c>
      <c r="F147" s="343">
        <v>7.9083319311443037E-2</v>
      </c>
      <c r="G147" s="343">
        <v>0.13363109876486504</v>
      </c>
      <c r="H147" s="343">
        <v>0.16724570513798612</v>
      </c>
      <c r="I147" s="343">
        <v>0.20885658783784747</v>
      </c>
      <c r="J147" s="343">
        <v>0.2662612854573016</v>
      </c>
      <c r="K147" s="343">
        <v>0.32566953443291496</v>
      </c>
      <c r="L147" s="379">
        <v>0.40011800040275064</v>
      </c>
      <c r="M147" s="282">
        <f t="shared" si="94"/>
        <v>3.7902823316859402E-2</v>
      </c>
      <c r="N147" s="284">
        <f t="shared" si="95"/>
        <v>3.0943592863918439E-2</v>
      </c>
      <c r="O147" s="342">
        <v>0</v>
      </c>
      <c r="P147" s="343">
        <v>0</v>
      </c>
      <c r="Q147" s="343">
        <v>1.4995996926434132E-3</v>
      </c>
      <c r="R147" s="343">
        <v>2.9984562455225922E-2</v>
      </c>
      <c r="S147" s="343">
        <v>9.8786913255055467E-2</v>
      </c>
      <c r="T147" s="343">
        <v>0.14745097913961439</v>
      </c>
      <c r="U147" s="343">
        <v>0.17348937993850561</v>
      </c>
      <c r="V147" s="343">
        <v>0.22753258004422527</v>
      </c>
      <c r="W147" s="343">
        <v>0.28604372953007823</v>
      </c>
      <c r="X147" s="343">
        <v>0.32566953443291496</v>
      </c>
      <c r="Y147" s="379">
        <v>0.38259164456132499</v>
      </c>
      <c r="Z147" s="282">
        <f t="shared" si="96"/>
        <v>0.13842060071501891</v>
      </c>
      <c r="AA147" s="284">
        <f t="shared" si="97"/>
        <v>0.11548723991463697</v>
      </c>
      <c r="AB147" s="948">
        <f t="array" ref="AB147">IF(AND($AD$124=TRUE,SUM(B147:L147)&gt;0),SUMPRODUCT((((TRANSPOSE(Cls1CentDailyRng)&lt;INDEX(CDRANGE_CLS1,$A147-$A$128+1,AD$125))*TRANSPOSE(Cls1CentDailyRng)+(TRANSPOSE(Cls1CentDailyRng)&gt;INDEX(CDRANGE_CLS1,$A147-$A$128+1,AD$125))*INDEX(CDRANGE_CLS1,$A147-$A$128+1,AD$125))/TRANSPOSE(Cls1CentDailyRng)),B147:L147,TRANSPOSE(Cls1CentVMTShr))/SUMPRODUCT(B147:L147,TRANSPOSE(Cls1CentVMTShr)),0)</f>
        <v>0</v>
      </c>
      <c r="AC147" s="949">
        <f t="array" ref="AC147">IF(AND($AD$124=TRUE,SUM(O147:Y147)&gt;0),SUMPRODUCT((((TRANSPOSE(Cls1NCentDailyRng)&lt;INDEX(CDRANGE_CLS1,$A147-$A$128+1,AD$125))*TRANSPOSE(Cls1NCentDailyRng)+(TRANSPOSE(Cls1NCentDailyRng)&gt;INDEX(CDRANGE_CLS1,$A147-$A$128+1,AD$125))*INDEX(CDRANGE_CLS1,$A147-$A$128+1,AD$125))/TRANSPOSE(Cls1NCentDailyRng)),O147:Y147,TRANSPOSE(Cls1NCentVMTShr))/SUMPRODUCT(O147:Y147,TRANSPOSE(Cls1NCentVMTShr)),0)</f>
        <v>0</v>
      </c>
      <c r="AD147" s="1226">
        <f t="shared" si="98"/>
        <v>0</v>
      </c>
      <c r="AE147" s="937">
        <f t="shared" si="104"/>
        <v>3.7902823316859402E-2</v>
      </c>
      <c r="AF147" s="937">
        <f t="shared" si="105"/>
        <v>0.13842060071501891</v>
      </c>
      <c r="AG147" s="937">
        <f t="shared" si="106"/>
        <v>0.17632342403187831</v>
      </c>
      <c r="AH147" s="1172">
        <f t="shared" si="102"/>
        <v>0.21496192876793715</v>
      </c>
      <c r="AI147" s="937">
        <f t="shared" si="103"/>
        <v>0.78503807123206282</v>
      </c>
      <c r="AJ147" s="227"/>
      <c r="AK147" s="227"/>
      <c r="AL147" s="227"/>
      <c r="AM147" s="227"/>
    </row>
    <row r="148" spans="1:39" x14ac:dyDescent="0.2">
      <c r="A148" s="330">
        <v>2027</v>
      </c>
      <c r="B148" s="344">
        <v>0</v>
      </c>
      <c r="C148" s="345">
        <v>0</v>
      </c>
      <c r="D148" s="345">
        <v>0</v>
      </c>
      <c r="E148" s="345">
        <v>1.7282894904314994E-2</v>
      </c>
      <c r="F148" s="345">
        <v>7.3901487148461897E-2</v>
      </c>
      <c r="G148" s="345">
        <v>0.14411735539125448</v>
      </c>
      <c r="H148" s="345">
        <v>0.18578289838156184</v>
      </c>
      <c r="I148" s="345">
        <v>0.21626519029497457</v>
      </c>
      <c r="J148" s="345">
        <v>0.29759514788454167</v>
      </c>
      <c r="K148" s="345">
        <v>0.34502928468199323</v>
      </c>
      <c r="L148" s="380">
        <v>0.4614547022481898</v>
      </c>
      <c r="M148" s="296">
        <f t="shared" si="94"/>
        <v>4.1005365799219609E-2</v>
      </c>
      <c r="N148" s="298">
        <f t="shared" si="95"/>
        <v>3.3054454858872595E-2</v>
      </c>
      <c r="O148" s="344">
        <v>0</v>
      </c>
      <c r="P148" s="345">
        <v>0</v>
      </c>
      <c r="Q148" s="345">
        <v>6.3596656603093042E-4</v>
      </c>
      <c r="R148" s="345">
        <v>2.5329987105153027E-2</v>
      </c>
      <c r="S148" s="345">
        <v>9.5306726466772934E-2</v>
      </c>
      <c r="T148" s="345">
        <v>0.16101132795624068</v>
      </c>
      <c r="U148" s="345">
        <v>0.19373793016246976</v>
      </c>
      <c r="V148" s="345">
        <v>0.25194394806443882</v>
      </c>
      <c r="W148" s="345">
        <v>0.32117292888576371</v>
      </c>
      <c r="X148" s="345">
        <v>0.36897701902935881</v>
      </c>
      <c r="Y148" s="380">
        <v>0.43928518498385638</v>
      </c>
      <c r="Z148" s="296">
        <f t="shared" si="96"/>
        <v>0.15299827227351881</v>
      </c>
      <c r="AA148" s="298">
        <f t="shared" si="97"/>
        <v>0.12654336791019516</v>
      </c>
      <c r="AB148" s="948">
        <f t="array" ref="AB148">IF(AND($AD$124=TRUE,SUM(B148:L148)&gt;0),SUMPRODUCT((((TRANSPOSE(Cls1CentDailyRng)&lt;INDEX(CDRANGE_CLS1,$A148-$A$128+1,AD$125))*TRANSPOSE(Cls1CentDailyRng)+(TRANSPOSE(Cls1CentDailyRng)&gt;INDEX(CDRANGE_CLS1,$A148-$A$128+1,AD$125))*INDEX(CDRANGE_CLS1,$A148-$A$128+1,AD$125))/TRANSPOSE(Cls1CentDailyRng)),B148:L148,TRANSPOSE(Cls1CentVMTShr))/SUMPRODUCT(B148:L148,TRANSPOSE(Cls1CentVMTShr)),0)</f>
        <v>0</v>
      </c>
      <c r="AC148" s="949">
        <f t="array" ref="AC148">IF(AND($AD$124=TRUE,SUM(O148:Y148)&gt;0),SUMPRODUCT((((TRANSPOSE(Cls1NCentDailyRng)&lt;INDEX(CDRANGE_CLS1,$A148-$A$128+1,AD$125))*TRANSPOSE(Cls1NCentDailyRng)+(TRANSPOSE(Cls1NCentDailyRng)&gt;INDEX(CDRANGE_CLS1,$A148-$A$128+1,AD$125))*INDEX(CDRANGE_CLS1,$A148-$A$128+1,AD$125))/TRANSPOSE(Cls1NCentDailyRng)),O148:Y148,TRANSPOSE(Cls1NCentVMTShr))/SUMPRODUCT(O148:Y148,TRANSPOSE(Cls1NCentVMTShr)),0)</f>
        <v>0</v>
      </c>
      <c r="AD148" s="1226">
        <f t="shared" si="98"/>
        <v>0</v>
      </c>
      <c r="AE148" s="937">
        <f t="shared" si="104"/>
        <v>4.1005365799219609E-2</v>
      </c>
      <c r="AF148" s="937">
        <f t="shared" si="105"/>
        <v>0.15299827227351881</v>
      </c>
      <c r="AG148" s="937">
        <f t="shared" si="106"/>
        <v>0.1940036380727384</v>
      </c>
      <c r="AH148" s="1172">
        <f t="shared" si="102"/>
        <v>0.21136390124728144</v>
      </c>
      <c r="AI148" s="937">
        <f t="shared" si="103"/>
        <v>0.78863609875271867</v>
      </c>
      <c r="AJ148" s="227"/>
      <c r="AK148" s="227"/>
      <c r="AL148" s="227"/>
      <c r="AM148" s="227"/>
    </row>
    <row r="149" spans="1:39" x14ac:dyDescent="0.2">
      <c r="A149" s="330">
        <v>2028</v>
      </c>
      <c r="B149" s="344">
        <v>0</v>
      </c>
      <c r="C149" s="345">
        <v>0</v>
      </c>
      <c r="D149" s="345">
        <v>3.287903300546277E-4</v>
      </c>
      <c r="E149" s="345">
        <v>2.7378609621961501E-2</v>
      </c>
      <c r="F149" s="345">
        <v>0.10295455916855119</v>
      </c>
      <c r="G149" s="345">
        <v>0.17383600726014764</v>
      </c>
      <c r="H149" s="345">
        <v>0.20911207218515293</v>
      </c>
      <c r="I149" s="345">
        <v>0.27285606689110725</v>
      </c>
      <c r="J149" s="345">
        <v>0.34777842247227819</v>
      </c>
      <c r="K149" s="345">
        <v>0.39950759528898711</v>
      </c>
      <c r="L149" s="380">
        <v>0.49956695568862269</v>
      </c>
      <c r="M149" s="296">
        <f t="shared" si="94"/>
        <v>4.8168836228971522E-2</v>
      </c>
      <c r="N149" s="298">
        <f t="shared" si="95"/>
        <v>3.9361141461969812E-2</v>
      </c>
      <c r="O149" s="344">
        <v>0</v>
      </c>
      <c r="P149" s="345">
        <v>0</v>
      </c>
      <c r="Q149" s="345">
        <v>1.6507211742329403E-3</v>
      </c>
      <c r="R149" s="345">
        <v>3.9061984434682465E-2</v>
      </c>
      <c r="S149" s="345">
        <v>0.1198144165784171</v>
      </c>
      <c r="T149" s="345">
        <v>0.19177706766597338</v>
      </c>
      <c r="U149" s="345">
        <v>0.22556162685003028</v>
      </c>
      <c r="V149" s="345">
        <v>0.29723308044568619</v>
      </c>
      <c r="W149" s="345">
        <v>0.37359414042000177</v>
      </c>
      <c r="X149" s="345">
        <v>0.42530047478373062</v>
      </c>
      <c r="Y149" s="380">
        <v>0.49956695568862269</v>
      </c>
      <c r="Z149" s="296">
        <f t="shared" si="96"/>
        <v>0.17962082412041314</v>
      </c>
      <c r="AA149" s="298">
        <f t="shared" si="97"/>
        <v>0.14950307219314521</v>
      </c>
      <c r="AB149" s="948">
        <f t="array" ref="AB149">IF(AND($AD$124=TRUE,SUM(B149:L149)&gt;0),SUMPRODUCT((((TRANSPOSE(Cls1CentDailyRng)&lt;INDEX(CDRANGE_CLS1,$A149-$A$128+1,AD$125))*TRANSPOSE(Cls1CentDailyRng)+(TRANSPOSE(Cls1CentDailyRng)&gt;INDEX(CDRANGE_CLS1,$A149-$A$128+1,AD$125))*INDEX(CDRANGE_CLS1,$A149-$A$128+1,AD$125))/TRANSPOSE(Cls1CentDailyRng)),B149:L149,TRANSPOSE(Cls1CentVMTShr))/SUMPRODUCT(B149:L149,TRANSPOSE(Cls1CentVMTShr)),0)</f>
        <v>0</v>
      </c>
      <c r="AC149" s="949">
        <f t="array" ref="AC149">IF(AND($AD$124=TRUE,SUM(O149:Y149)&gt;0),SUMPRODUCT((((TRANSPOSE(Cls1NCentDailyRng)&lt;INDEX(CDRANGE_CLS1,$A149-$A$128+1,AD$125))*TRANSPOSE(Cls1NCentDailyRng)+(TRANSPOSE(Cls1NCentDailyRng)&gt;INDEX(CDRANGE_CLS1,$A149-$A$128+1,AD$125))*INDEX(CDRANGE_CLS1,$A149-$A$128+1,AD$125))/TRANSPOSE(Cls1NCentDailyRng)),O149:Y149,TRANSPOSE(Cls1NCentVMTShr))/SUMPRODUCT(O149:Y149,TRANSPOSE(Cls1NCentVMTShr)),0)</f>
        <v>0</v>
      </c>
      <c r="AD149" s="1226">
        <f t="shared" si="98"/>
        <v>0</v>
      </c>
      <c r="AE149" s="937">
        <f t="shared" si="104"/>
        <v>4.8168836228971522E-2</v>
      </c>
      <c r="AF149" s="937">
        <f t="shared" si="105"/>
        <v>0.17962082412041314</v>
      </c>
      <c r="AG149" s="937">
        <f t="shared" si="106"/>
        <v>0.22778966034938467</v>
      </c>
      <c r="AH149" s="1172">
        <f t="shared" si="102"/>
        <v>0.2114619081265145</v>
      </c>
      <c r="AI149" s="937">
        <f t="shared" si="103"/>
        <v>0.78853809187348545</v>
      </c>
      <c r="AJ149" s="227"/>
      <c r="AK149" s="227"/>
      <c r="AL149" s="227"/>
      <c r="AM149" s="227"/>
    </row>
    <row r="150" spans="1:39" x14ac:dyDescent="0.2">
      <c r="A150" s="330">
        <v>2029</v>
      </c>
      <c r="B150" s="344">
        <v>0</v>
      </c>
      <c r="C150" s="345">
        <v>0</v>
      </c>
      <c r="D150" s="345">
        <v>0</v>
      </c>
      <c r="E150" s="345">
        <v>2.1927123227326265E-2</v>
      </c>
      <c r="F150" s="345">
        <v>8.9777732854900733E-2</v>
      </c>
      <c r="G150" s="345">
        <v>0.16003075159864377</v>
      </c>
      <c r="H150" s="345">
        <v>0.2060915025534247</v>
      </c>
      <c r="I150" s="345">
        <v>0.25778736207130032</v>
      </c>
      <c r="J150" s="345">
        <v>0.33316197861417124</v>
      </c>
      <c r="K150" s="345">
        <v>0.41291530869373189</v>
      </c>
      <c r="L150" s="380">
        <v>0.51619797221912223</v>
      </c>
      <c r="M150" s="296">
        <f t="shared" si="94"/>
        <v>4.6682476343387319E-2</v>
      </c>
      <c r="N150" s="298">
        <f t="shared" si="95"/>
        <v>3.7705328497406494E-2</v>
      </c>
      <c r="O150" s="344">
        <v>0</v>
      </c>
      <c r="P150" s="345">
        <v>0</v>
      </c>
      <c r="Q150" s="345">
        <v>8.4780321766813422E-4</v>
      </c>
      <c r="R150" s="345">
        <v>2.820709950817149E-2</v>
      </c>
      <c r="S150" s="345">
        <v>0.10595422846752282</v>
      </c>
      <c r="T150" s="345">
        <v>0.1787178994008829</v>
      </c>
      <c r="U150" s="345">
        <v>0.22342917485854144</v>
      </c>
      <c r="V150" s="345">
        <v>0.28213862931699352</v>
      </c>
      <c r="W150" s="345">
        <v>0.35950841878725831</v>
      </c>
      <c r="X150" s="345">
        <v>0.41291530869373189</v>
      </c>
      <c r="Y150" s="380">
        <v>0.49144175298724974</v>
      </c>
      <c r="Z150" s="296">
        <f t="shared" si="96"/>
        <v>0.17248066922134003</v>
      </c>
      <c r="AA150" s="298">
        <f t="shared" si="97"/>
        <v>0.14268613308802508</v>
      </c>
      <c r="AB150" s="948">
        <f t="array" ref="AB150">IF(AND($AD$124=TRUE,SUM(B150:L150)&gt;0),SUMPRODUCT((((TRANSPOSE(Cls1CentDailyRng)&lt;INDEX(CDRANGE_CLS1,$A150-$A$128+1,AD$125))*TRANSPOSE(Cls1CentDailyRng)+(TRANSPOSE(Cls1CentDailyRng)&gt;INDEX(CDRANGE_CLS1,$A150-$A$128+1,AD$125))*INDEX(CDRANGE_CLS1,$A150-$A$128+1,AD$125))/TRANSPOSE(Cls1CentDailyRng)),B150:L150,TRANSPOSE(Cls1CentVMTShr))/SUMPRODUCT(B150:L150,TRANSPOSE(Cls1CentVMTShr)),0)</f>
        <v>0</v>
      </c>
      <c r="AC150" s="949">
        <f t="array" ref="AC150">IF(AND($AD$124=TRUE,SUM(O150:Y150)&gt;0),SUMPRODUCT((((TRANSPOSE(Cls1NCentDailyRng)&lt;INDEX(CDRANGE_CLS1,$A150-$A$128+1,AD$125))*TRANSPOSE(Cls1NCentDailyRng)+(TRANSPOSE(Cls1NCentDailyRng)&gt;INDEX(CDRANGE_CLS1,$A150-$A$128+1,AD$125))*INDEX(CDRANGE_CLS1,$A150-$A$128+1,AD$125))/TRANSPOSE(Cls1NCentDailyRng)),O150:Y150,TRANSPOSE(Cls1NCentVMTShr))/SUMPRODUCT(O150:Y150,TRANSPOSE(Cls1NCentVMTShr)),0)</f>
        <v>0</v>
      </c>
      <c r="AD150" s="1226">
        <f t="shared" si="98"/>
        <v>0</v>
      </c>
      <c r="AE150" s="937">
        <f t="shared" si="104"/>
        <v>4.6682476343387319E-2</v>
      </c>
      <c r="AF150" s="937">
        <f t="shared" si="105"/>
        <v>0.17248066922134003</v>
      </c>
      <c r="AG150" s="937">
        <f t="shared" si="106"/>
        <v>0.21916314556472735</v>
      </c>
      <c r="AH150" s="1172">
        <f t="shared" si="102"/>
        <v>0.21300331414343648</v>
      </c>
      <c r="AI150" s="937">
        <f t="shared" si="103"/>
        <v>0.78699668585656346</v>
      </c>
      <c r="AJ150" s="227"/>
      <c r="AK150" s="227"/>
      <c r="AL150" s="227"/>
      <c r="AM150" s="227"/>
    </row>
    <row r="151" spans="1:39" ht="15" thickBot="1" x14ac:dyDescent="0.25">
      <c r="A151" s="328">
        <v>2030</v>
      </c>
      <c r="B151" s="346">
        <v>0</v>
      </c>
      <c r="C151" s="347">
        <v>0</v>
      </c>
      <c r="D151" s="347">
        <v>2.8352714383789212E-4</v>
      </c>
      <c r="E151" s="347">
        <v>2.8500553675767256E-2</v>
      </c>
      <c r="F151" s="347">
        <v>9.8524272123401577E-2</v>
      </c>
      <c r="G151" s="347">
        <v>0.17045571728858722</v>
      </c>
      <c r="H151" s="347">
        <v>0.2159468713381448</v>
      </c>
      <c r="I151" s="347">
        <v>0.28718949898692042</v>
      </c>
      <c r="J151" s="347">
        <v>0.36573429716384859</v>
      </c>
      <c r="K151" s="347">
        <v>0.4199274030268797</v>
      </c>
      <c r="L151" s="381">
        <v>0.52468552071936581</v>
      </c>
      <c r="M151" s="310">
        <f t="shared" si="94"/>
        <v>4.9668920018539259E-2</v>
      </c>
      <c r="N151" s="312">
        <f t="shared" si="95"/>
        <v>4.0341351000259762E-2</v>
      </c>
      <c r="O151" s="346">
        <v>0</v>
      </c>
      <c r="P151" s="347">
        <v>0</v>
      </c>
      <c r="Q151" s="347">
        <v>1.4499722750732167E-3</v>
      </c>
      <c r="R151" s="347">
        <v>3.6220141819237599E-2</v>
      </c>
      <c r="S151" s="347">
        <v>0.12421683767151333</v>
      </c>
      <c r="T151" s="347">
        <v>0.18905712909565667</v>
      </c>
      <c r="U151" s="347">
        <v>0.23276621212650558</v>
      </c>
      <c r="V151" s="347">
        <v>0.3127530021684784</v>
      </c>
      <c r="W151" s="347">
        <v>0.36573429716384859</v>
      </c>
      <c r="X151" s="347">
        <v>0.44693931981357771</v>
      </c>
      <c r="Y151" s="381">
        <v>0.52468552071936581</v>
      </c>
      <c r="Z151" s="310">
        <f t="shared" si="96"/>
        <v>0.1843944736234216</v>
      </c>
      <c r="AA151" s="312">
        <f t="shared" si="97"/>
        <v>0.15291061611728626</v>
      </c>
      <c r="AB151" s="948">
        <f t="array" ref="AB151">IF(AND($AD$124=TRUE,SUM(B151:L151)&gt;0),SUMPRODUCT((((TRANSPOSE(Cls1CentDailyRng)&lt;INDEX(CDRANGE_CLS1,$A151-$A$128+1,AD$125))*TRANSPOSE(Cls1CentDailyRng)+(TRANSPOSE(Cls1CentDailyRng)&gt;INDEX(CDRANGE_CLS1,$A151-$A$128+1,AD$125))*INDEX(CDRANGE_CLS1,$A151-$A$128+1,AD$125))/TRANSPOSE(Cls1CentDailyRng)),B151:L151,TRANSPOSE(Cls1CentVMTShr))/SUMPRODUCT(B151:L151,TRANSPOSE(Cls1CentVMTShr)),0)</f>
        <v>0</v>
      </c>
      <c r="AC151" s="949">
        <f t="array" ref="AC151">IF(AND($AD$124=TRUE,SUM(O151:Y151)&gt;0),SUMPRODUCT((((TRANSPOSE(Cls1NCentDailyRng)&lt;INDEX(CDRANGE_CLS1,$A151-$A$128+1,AD$125))*TRANSPOSE(Cls1NCentDailyRng)+(TRANSPOSE(Cls1NCentDailyRng)&gt;INDEX(CDRANGE_CLS1,$A151-$A$128+1,AD$125))*INDEX(CDRANGE_CLS1,$A151-$A$128+1,AD$125))/TRANSPOSE(Cls1NCentDailyRng)),O151:Y151,TRANSPOSE(Cls1NCentVMTShr))/SUMPRODUCT(O151:Y151,TRANSPOSE(Cls1NCentVMTShr)),0)</f>
        <v>0</v>
      </c>
      <c r="AD151" s="1226">
        <f t="shared" si="98"/>
        <v>0</v>
      </c>
      <c r="AE151" s="937">
        <f t="shared" si="104"/>
        <v>4.9668920018539259E-2</v>
      </c>
      <c r="AF151" s="937">
        <f t="shared" si="105"/>
        <v>0.1843944736234216</v>
      </c>
      <c r="AG151" s="937">
        <f t="shared" si="106"/>
        <v>0.23406339364196085</v>
      </c>
      <c r="AH151" s="1172">
        <f t="shared" si="102"/>
        <v>0.21220285344796883</v>
      </c>
      <c r="AI151" s="937">
        <f t="shared" si="103"/>
        <v>0.78779714655203115</v>
      </c>
      <c r="AJ151" s="227"/>
      <c r="AK151" s="227"/>
      <c r="AL151" s="227"/>
      <c r="AM151" s="227"/>
    </row>
    <row r="152" spans="1:39" x14ac:dyDescent="0.2">
      <c r="A152" s="329">
        <v>2031</v>
      </c>
      <c r="B152" s="342">
        <v>0</v>
      </c>
      <c r="C152" s="343">
        <v>0</v>
      </c>
      <c r="D152" s="343">
        <v>3.4406006807294592E-4</v>
      </c>
      <c r="E152" s="343">
        <v>3.2284985396473322E-2</v>
      </c>
      <c r="F152" s="343">
        <v>0.10698496323090295</v>
      </c>
      <c r="G152" s="343">
        <v>0.17977566407016804</v>
      </c>
      <c r="H152" s="343">
        <v>0.21574256576662806</v>
      </c>
      <c r="I152" s="343">
        <v>0.28986753057972281</v>
      </c>
      <c r="J152" s="343">
        <v>0.36897520686002083</v>
      </c>
      <c r="K152" s="343">
        <v>0.42353673423788446</v>
      </c>
      <c r="L152" s="379">
        <v>0.52897100722886115</v>
      </c>
      <c r="M152" s="282">
        <f t="shared" si="94"/>
        <v>5.0489549196304925E-2</v>
      </c>
      <c r="N152" s="284">
        <f t="shared" si="95"/>
        <v>4.1210444242202909E-2</v>
      </c>
      <c r="O152" s="342">
        <v>0</v>
      </c>
      <c r="P152" s="343">
        <v>0</v>
      </c>
      <c r="Q152" s="343">
        <v>2.0448932081384924E-3</v>
      </c>
      <c r="R152" s="343">
        <v>4.0768093564130053E-2</v>
      </c>
      <c r="S152" s="343">
        <v>0.13337166200038045</v>
      </c>
      <c r="T152" s="343">
        <v>0.19808948755845474</v>
      </c>
      <c r="U152" s="343">
        <v>0.23245582259641329</v>
      </c>
      <c r="V152" s="343">
        <v>0.31561846724051129</v>
      </c>
      <c r="W152" s="343">
        <v>0.39620961615928757</v>
      </c>
      <c r="X152" s="343">
        <v>0.45072718356046837</v>
      </c>
      <c r="Y152" s="379">
        <v>0.52897100722886115</v>
      </c>
      <c r="Z152" s="282">
        <f t="shared" si="96"/>
        <v>0.18840902140289845</v>
      </c>
      <c r="AA152" s="284">
        <f t="shared" si="97"/>
        <v>0.15674989249378143</v>
      </c>
      <c r="AB152" s="948">
        <f t="array" ref="AB152">IF(AND($AD$124=TRUE,SUM(B152:L152)&gt;0),SUMPRODUCT((((TRANSPOSE(Cls1CentDailyRng)&lt;INDEX(CDRANGE_CLS1,$A152-$A$128+1,AD$125))*TRANSPOSE(Cls1CentDailyRng)+(TRANSPOSE(Cls1CentDailyRng)&gt;INDEX(CDRANGE_CLS1,$A152-$A$128+1,AD$125))*INDEX(CDRANGE_CLS1,$A152-$A$128+1,AD$125))/TRANSPOSE(Cls1CentDailyRng)),B152:L152,TRANSPOSE(Cls1CentVMTShr))/SUMPRODUCT(B152:L152,TRANSPOSE(Cls1CentVMTShr)),0)</f>
        <v>0</v>
      </c>
      <c r="AC152" s="949">
        <f t="array" ref="AC152">IF(AND($AD$124=TRUE,SUM(O152:Y152)&gt;0),SUMPRODUCT((((TRANSPOSE(Cls1NCentDailyRng)&lt;INDEX(CDRANGE_CLS1,$A152-$A$128+1,AD$125))*TRANSPOSE(Cls1NCentDailyRng)+(TRANSPOSE(Cls1NCentDailyRng)&gt;INDEX(CDRANGE_CLS1,$A152-$A$128+1,AD$125))*INDEX(CDRANGE_CLS1,$A152-$A$128+1,AD$125))/TRANSPOSE(Cls1NCentDailyRng)),O152:Y152,TRANSPOSE(Cls1NCentVMTShr))/SUMPRODUCT(O152:Y152,TRANSPOSE(Cls1NCentVMTShr)),0)</f>
        <v>0</v>
      </c>
      <c r="AD152" s="1226">
        <f t="shared" si="98"/>
        <v>0</v>
      </c>
      <c r="AE152" s="937">
        <f t="shared" si="104"/>
        <v>5.0489549196304925E-2</v>
      </c>
      <c r="AF152" s="937">
        <f t="shared" si="105"/>
        <v>0.18840902140289845</v>
      </c>
      <c r="AG152" s="937">
        <f t="shared" si="106"/>
        <v>0.23889857059920339</v>
      </c>
      <c r="AH152" s="1172">
        <f t="shared" si="102"/>
        <v>0.2113430359573415</v>
      </c>
      <c r="AI152" s="937">
        <f t="shared" si="103"/>
        <v>0.7886569640426585</v>
      </c>
      <c r="AJ152" s="227"/>
      <c r="AK152" s="227"/>
      <c r="AL152" s="227"/>
      <c r="AM152" s="227"/>
    </row>
    <row r="153" spans="1:39" x14ac:dyDescent="0.2">
      <c r="A153" s="330">
        <v>2032</v>
      </c>
      <c r="B153" s="344">
        <v>0</v>
      </c>
      <c r="C153" s="345">
        <v>0</v>
      </c>
      <c r="D153" s="345">
        <v>4.1562094925809559E-4</v>
      </c>
      <c r="E153" s="345">
        <v>3.2300594669379665E-2</v>
      </c>
      <c r="F153" s="345">
        <v>0.11530296878413795</v>
      </c>
      <c r="G153" s="345">
        <v>0.17902227710236746</v>
      </c>
      <c r="H153" s="345">
        <v>0.22297805271836113</v>
      </c>
      <c r="I153" s="345">
        <v>0.2923688110300674</v>
      </c>
      <c r="J153" s="345">
        <v>0.37192664841901119</v>
      </c>
      <c r="K153" s="345">
        <v>0.45409623004538874</v>
      </c>
      <c r="L153" s="380">
        <v>0.55688755647186172</v>
      </c>
      <c r="M153" s="296">
        <f t="shared" si="94"/>
        <v>5.2055821513241105E-2</v>
      </c>
      <c r="N153" s="298">
        <f t="shared" si="95"/>
        <v>4.2455092432403335E-2</v>
      </c>
      <c r="O153" s="344">
        <v>0</v>
      </c>
      <c r="P153" s="345">
        <v>0</v>
      </c>
      <c r="Q153" s="345">
        <v>2.047852703415118E-3</v>
      </c>
      <c r="R153" s="345">
        <v>4.5596218157827488E-2</v>
      </c>
      <c r="S153" s="345">
        <v>0.13300824917365678</v>
      </c>
      <c r="T153" s="345">
        <v>0.19714498681860063</v>
      </c>
      <c r="U153" s="345">
        <v>0.23109603800949227</v>
      </c>
      <c r="V153" s="345">
        <v>0.31827205543685894</v>
      </c>
      <c r="W153" s="345">
        <v>0.39930494067894906</v>
      </c>
      <c r="X153" s="345">
        <v>0.45409623004538874</v>
      </c>
      <c r="Y153" s="380">
        <v>0.53270438059729897</v>
      </c>
      <c r="Z153" s="296">
        <f t="shared" si="96"/>
        <v>0.18871187719654609</v>
      </c>
      <c r="AA153" s="298">
        <f t="shared" si="97"/>
        <v>0.15695175350030854</v>
      </c>
      <c r="AB153" s="948">
        <f t="array" ref="AB153">IF(AND($AD$124=TRUE,SUM(B153:L153)&gt;0),SUMPRODUCT((((TRANSPOSE(Cls1CentDailyRng)&lt;INDEX(CDRANGE_CLS1,$A153-$A$128+1,AD$125))*TRANSPOSE(Cls1CentDailyRng)+(TRANSPOSE(Cls1CentDailyRng)&gt;INDEX(CDRANGE_CLS1,$A153-$A$128+1,AD$125))*INDEX(CDRANGE_CLS1,$A153-$A$128+1,AD$125))/TRANSPOSE(Cls1CentDailyRng)),B153:L153,TRANSPOSE(Cls1CentVMTShr))/SUMPRODUCT(B153:L153,TRANSPOSE(Cls1CentVMTShr)),0)</f>
        <v>0</v>
      </c>
      <c r="AC153" s="949">
        <f t="array" ref="AC153">IF(AND($AD$124=TRUE,SUM(O153:Y153)&gt;0),SUMPRODUCT((((TRANSPOSE(Cls1NCentDailyRng)&lt;INDEX(CDRANGE_CLS1,$A153-$A$128+1,AD$125))*TRANSPOSE(Cls1NCentDailyRng)+(TRANSPOSE(Cls1NCentDailyRng)&gt;INDEX(CDRANGE_CLS1,$A153-$A$128+1,AD$125))*INDEX(CDRANGE_CLS1,$A153-$A$128+1,AD$125))/TRANSPOSE(Cls1NCentDailyRng)),O153:Y153,TRANSPOSE(Cls1NCentVMTShr))/SUMPRODUCT(O153:Y153,TRANSPOSE(Cls1NCentVMTShr)),0)</f>
        <v>0</v>
      </c>
      <c r="AD153" s="1226">
        <f t="shared" si="98"/>
        <v>0</v>
      </c>
      <c r="AE153" s="937">
        <f t="shared" si="104"/>
        <v>5.2055821513241105E-2</v>
      </c>
      <c r="AF153" s="937">
        <f t="shared" si="105"/>
        <v>0.18871187719654609</v>
      </c>
      <c r="AG153" s="937">
        <f t="shared" si="106"/>
        <v>0.2407676987097872</v>
      </c>
      <c r="AH153" s="1172">
        <f t="shared" si="102"/>
        <v>0.21620766320480281</v>
      </c>
      <c r="AI153" s="937">
        <f t="shared" si="103"/>
        <v>0.78379233679519711</v>
      </c>
      <c r="AJ153" s="227"/>
      <c r="AK153" s="227"/>
      <c r="AL153" s="227"/>
      <c r="AM153" s="227"/>
    </row>
    <row r="154" spans="1:39" x14ac:dyDescent="0.2">
      <c r="A154" s="330">
        <v>2033</v>
      </c>
      <c r="B154" s="344">
        <v>0</v>
      </c>
      <c r="C154" s="345">
        <v>0</v>
      </c>
      <c r="D154" s="345">
        <v>1.0298181343320579E-3</v>
      </c>
      <c r="E154" s="345">
        <v>4.5535475545073686E-2</v>
      </c>
      <c r="F154" s="345">
        <v>0.12347562666075673</v>
      </c>
      <c r="G154" s="345">
        <v>0.19560304445714474</v>
      </c>
      <c r="H154" s="345">
        <v>0.22895526392255705</v>
      </c>
      <c r="I154" s="345">
        <v>0.32137775020852744</v>
      </c>
      <c r="J154" s="345">
        <v>0.40288431860524077</v>
      </c>
      <c r="K154" s="345">
        <v>0.45796249612454559</v>
      </c>
      <c r="L154" s="380">
        <v>0.59192648302662776</v>
      </c>
      <c r="M154" s="296">
        <f t="shared" si="94"/>
        <v>5.5398556926252909E-2</v>
      </c>
      <c r="N154" s="298">
        <f t="shared" si="95"/>
        <v>4.5346135818140169E-2</v>
      </c>
      <c r="O154" s="344">
        <v>0</v>
      </c>
      <c r="P154" s="345">
        <v>0</v>
      </c>
      <c r="Q154" s="345">
        <v>3.9382217204661767E-3</v>
      </c>
      <c r="R154" s="345">
        <v>5.6345806399780748E-2</v>
      </c>
      <c r="S154" s="345">
        <v>0.15041533611356145</v>
      </c>
      <c r="T154" s="345">
        <v>0.21275637704985018</v>
      </c>
      <c r="U154" s="345">
        <v>0.27006831636924722</v>
      </c>
      <c r="V154" s="345">
        <v>0.34811872328504639</v>
      </c>
      <c r="W154" s="345">
        <v>0.43049770324933623</v>
      </c>
      <c r="X154" s="345">
        <v>0.48503302484856758</v>
      </c>
      <c r="Y154" s="380">
        <v>0.60545359821920763</v>
      </c>
      <c r="Z154" s="296">
        <f t="shared" si="96"/>
        <v>0.21124126562760379</v>
      </c>
      <c r="AA154" s="298">
        <f t="shared" si="97"/>
        <v>0.17596951431657318</v>
      </c>
      <c r="AB154" s="948">
        <f t="array" ref="AB154">IF(AND($AD$124=TRUE,SUM(B154:L154)&gt;0),SUMPRODUCT((((TRANSPOSE(Cls1CentDailyRng)&lt;INDEX(CDRANGE_CLS1,$A154-$A$128+1,AD$125))*TRANSPOSE(Cls1CentDailyRng)+(TRANSPOSE(Cls1CentDailyRng)&gt;INDEX(CDRANGE_CLS1,$A154-$A$128+1,AD$125))*INDEX(CDRANGE_CLS1,$A154-$A$128+1,AD$125))/TRANSPOSE(Cls1CentDailyRng)),B154:L154,TRANSPOSE(Cls1CentVMTShr))/SUMPRODUCT(B154:L154,TRANSPOSE(Cls1CentVMTShr)),0)</f>
        <v>0</v>
      </c>
      <c r="AC154" s="949">
        <f t="array" ref="AC154">IF(AND($AD$124=TRUE,SUM(O154:Y154)&gt;0),SUMPRODUCT((((TRANSPOSE(Cls1NCentDailyRng)&lt;INDEX(CDRANGE_CLS1,$A154-$A$128+1,AD$125))*TRANSPOSE(Cls1NCentDailyRng)+(TRANSPOSE(Cls1NCentDailyRng)&gt;INDEX(CDRANGE_CLS1,$A154-$A$128+1,AD$125))*INDEX(CDRANGE_CLS1,$A154-$A$128+1,AD$125))/TRANSPOSE(Cls1NCentDailyRng)),O154:Y154,TRANSPOSE(Cls1NCentVMTShr))/SUMPRODUCT(O154:Y154,TRANSPOSE(Cls1NCentVMTShr)),0)</f>
        <v>0</v>
      </c>
      <c r="AD154" s="1226">
        <f>AB154*AH154+AC154*AI154</f>
        <v>0</v>
      </c>
      <c r="AE154" s="937">
        <f t="shared" si="104"/>
        <v>5.5398556926252909E-2</v>
      </c>
      <c r="AF154" s="937">
        <f t="shared" si="105"/>
        <v>0.21124126562760379</v>
      </c>
      <c r="AG154" s="937">
        <f t="shared" si="106"/>
        <v>0.26663982255385671</v>
      </c>
      <c r="AH154" s="1172">
        <f t="shared" si="102"/>
        <v>0.20776550327572824</v>
      </c>
      <c r="AI154" s="937">
        <f t="shared" si="103"/>
        <v>0.79223449672427171</v>
      </c>
      <c r="AJ154" s="227"/>
      <c r="AK154" s="227"/>
      <c r="AL154" s="227"/>
      <c r="AM154" s="227"/>
    </row>
    <row r="155" spans="1:39" x14ac:dyDescent="0.2">
      <c r="A155" s="330">
        <v>2034</v>
      </c>
      <c r="B155" s="344">
        <v>0</v>
      </c>
      <c r="C155" s="345">
        <v>0</v>
      </c>
      <c r="D155" s="345">
        <v>1.2273722229967311E-3</v>
      </c>
      <c r="E155" s="345">
        <v>5.075488588403014E-2</v>
      </c>
      <c r="F155" s="345">
        <v>0.13237109306577369</v>
      </c>
      <c r="G155" s="345">
        <v>0.19565723545820823</v>
      </c>
      <c r="H155" s="345">
        <v>0.22901633920853112</v>
      </c>
      <c r="I155" s="345">
        <v>0.34825769444277543</v>
      </c>
      <c r="J155" s="345">
        <v>0.43066731357765842</v>
      </c>
      <c r="K155" s="345">
        <v>0.48522270443406607</v>
      </c>
      <c r="L155" s="380">
        <v>0.60568377938141238</v>
      </c>
      <c r="M155" s="296">
        <f t="shared" si="94"/>
        <v>5.7398915169493983E-2</v>
      </c>
      <c r="N155" s="298">
        <f t="shared" si="95"/>
        <v>4.6990402308976532E-2</v>
      </c>
      <c r="O155" s="344">
        <v>0</v>
      </c>
      <c r="P155" s="345">
        <v>0</v>
      </c>
      <c r="Q155" s="345">
        <v>4.6127331171150589E-3</v>
      </c>
      <c r="R155" s="345">
        <v>6.2378202446535594E-2</v>
      </c>
      <c r="S155" s="345">
        <v>0.15045910499646631</v>
      </c>
      <c r="T155" s="345">
        <v>0.21281419441521579</v>
      </c>
      <c r="U155" s="345">
        <v>0.27017780379739048</v>
      </c>
      <c r="V155" s="345">
        <v>0.37550231830203556</v>
      </c>
      <c r="W155" s="345">
        <v>0.43066731357765842</v>
      </c>
      <c r="X155" s="345">
        <v>0.48522270443406607</v>
      </c>
      <c r="Y155" s="380">
        <v>0.61925690424034641</v>
      </c>
      <c r="Z155" s="296">
        <f t="shared" si="96"/>
        <v>0.21483999851820956</v>
      </c>
      <c r="AA155" s="298">
        <f t="shared" si="97"/>
        <v>0.17874873658894433</v>
      </c>
      <c r="AB155" s="948">
        <f t="array" ref="AB155">IF(AND($AD$124=TRUE,SUM(B155:L155)&gt;0),SUMPRODUCT((((TRANSPOSE(Cls1CentDailyRng)&lt;INDEX(CDRANGE_CLS1,$A155-$A$128+1,AD$125))*TRANSPOSE(Cls1CentDailyRng)+(TRANSPOSE(Cls1CentDailyRng)&gt;INDEX(CDRANGE_CLS1,$A155-$A$128+1,AD$125))*INDEX(CDRANGE_CLS1,$A155-$A$128+1,AD$125))/TRANSPOSE(Cls1CentDailyRng)),B155:L155,TRANSPOSE(Cls1CentVMTShr))/SUMPRODUCT(B155:L155,TRANSPOSE(Cls1CentVMTShr)),0)</f>
        <v>0</v>
      </c>
      <c r="AC155" s="949">
        <f t="array" ref="AC155">IF(AND($AD$124=TRUE,SUM(O155:Y155)&gt;0),SUMPRODUCT((((TRANSPOSE(Cls1NCentDailyRng)&lt;INDEX(CDRANGE_CLS1,$A155-$A$128+1,AD$125))*TRANSPOSE(Cls1NCentDailyRng)+(TRANSPOSE(Cls1NCentDailyRng)&gt;INDEX(CDRANGE_CLS1,$A155-$A$128+1,AD$125))*INDEX(CDRANGE_CLS1,$A155-$A$128+1,AD$125))/TRANSPOSE(Cls1NCentDailyRng)),O155:Y155,TRANSPOSE(Cls1NCentVMTShr))/SUMPRODUCT(O155:Y155,TRANSPOSE(Cls1NCentVMTShr)),0)</f>
        <v>0</v>
      </c>
      <c r="AD155" s="1226">
        <f t="shared" ref="AD155:AD171" si="107">AB155*AH155+AC155*AI155</f>
        <v>0</v>
      </c>
      <c r="AE155" s="937">
        <f t="shared" si="104"/>
        <v>5.7398915169493983E-2</v>
      </c>
      <c r="AF155" s="937">
        <f t="shared" si="105"/>
        <v>0.21483999851820956</v>
      </c>
      <c r="AG155" s="937">
        <f t="shared" si="106"/>
        <v>0.27223891368770353</v>
      </c>
      <c r="AH155" s="1172">
        <f t="shared" si="102"/>
        <v>0.2108402299729224</v>
      </c>
      <c r="AI155" s="937">
        <f t="shared" si="103"/>
        <v>0.7891597700270776</v>
      </c>
      <c r="AJ155" s="227"/>
      <c r="AK155" s="227"/>
      <c r="AL155" s="227"/>
      <c r="AM155" s="227"/>
    </row>
    <row r="156" spans="1:39" ht="15" thickBot="1" x14ac:dyDescent="0.25">
      <c r="A156" s="328">
        <v>2035</v>
      </c>
      <c r="B156" s="346">
        <v>0</v>
      </c>
      <c r="C156" s="347">
        <v>0</v>
      </c>
      <c r="D156" s="347">
        <v>1.731669324489522E-3</v>
      </c>
      <c r="E156" s="347">
        <v>5.637485020044309E-2</v>
      </c>
      <c r="F156" s="347">
        <v>0.14139263682748859</v>
      </c>
      <c r="G156" s="347">
        <v>0.20437006807645358</v>
      </c>
      <c r="H156" s="347">
        <v>0.24596681996920605</v>
      </c>
      <c r="I156" s="347">
        <v>0.34835465279104616</v>
      </c>
      <c r="J156" s="347">
        <v>0.43078485892674567</v>
      </c>
      <c r="K156" s="347">
        <v>0.48535365397485125</v>
      </c>
      <c r="L156" s="381">
        <v>0.61572235643455031</v>
      </c>
      <c r="M156" s="310">
        <f t="shared" si="94"/>
        <v>5.9522252416553956E-2</v>
      </c>
      <c r="N156" s="312">
        <f t="shared" si="95"/>
        <v>4.9052631955363871E-2</v>
      </c>
      <c r="O156" s="346">
        <v>0</v>
      </c>
      <c r="P156" s="347">
        <v>0</v>
      </c>
      <c r="Q156" s="347">
        <v>6.281477231195807E-3</v>
      </c>
      <c r="R156" s="347">
        <v>6.8807387229909089E-2</v>
      </c>
      <c r="S156" s="347">
        <v>0.15961997986374266</v>
      </c>
      <c r="T156" s="347">
        <v>0.22108019806638374</v>
      </c>
      <c r="U156" s="347">
        <v>0.2702547801425853</v>
      </c>
      <c r="V156" s="347">
        <v>0.37560613316666064</v>
      </c>
      <c r="W156" s="347">
        <v>0.45826654852947019</v>
      </c>
      <c r="X156" s="347">
        <v>0.51178716327920981</v>
      </c>
      <c r="Y156" s="381">
        <v>0.60584032638968255</v>
      </c>
      <c r="Z156" s="310">
        <f t="shared" si="96"/>
        <v>0.21844595956606291</v>
      </c>
      <c r="AA156" s="312">
        <f t="shared" si="97"/>
        <v>0.18243216447674743</v>
      </c>
      <c r="AB156" s="948">
        <f t="array" ref="AB156">IF(AND($AD$124=TRUE,SUM(B156:L156)&gt;0),SUMPRODUCT((((TRANSPOSE(Cls1CentDailyRng)&lt;INDEX(CDRANGE_CLS1,$A156-$A$128+1,AD$125))*TRANSPOSE(Cls1CentDailyRng)+(TRANSPOSE(Cls1CentDailyRng)&gt;INDEX(CDRANGE_CLS1,$A156-$A$128+1,AD$125))*INDEX(CDRANGE_CLS1,$A156-$A$128+1,AD$125))/TRANSPOSE(Cls1CentDailyRng)),B156:L156,TRANSPOSE(Cls1CentVMTShr))/SUMPRODUCT(B156:L156,TRANSPOSE(Cls1CentVMTShr)),0)</f>
        <v>0</v>
      </c>
      <c r="AC156" s="949">
        <f t="array" ref="AC156">IF(AND($AD$124=TRUE,SUM(O156:Y156)&gt;0),SUMPRODUCT((((TRANSPOSE(Cls1NCentDailyRng)&lt;INDEX(CDRANGE_CLS1,$A156-$A$128+1,AD$125))*TRANSPOSE(Cls1NCentDailyRng)+(TRANSPOSE(Cls1NCentDailyRng)&gt;INDEX(CDRANGE_CLS1,$A156-$A$128+1,AD$125))*INDEX(CDRANGE_CLS1,$A156-$A$128+1,AD$125))/TRANSPOSE(Cls1NCentDailyRng)),O156:Y156,TRANSPOSE(Cls1NCentVMTShr))/SUMPRODUCT(O156:Y156,TRANSPOSE(Cls1NCentVMTShr)),0)</f>
        <v>0</v>
      </c>
      <c r="AD156" s="1226">
        <f t="shared" si="107"/>
        <v>0</v>
      </c>
      <c r="AE156" s="937">
        <f t="shared" si="104"/>
        <v>5.9522252416553956E-2</v>
      </c>
      <c r="AF156" s="937">
        <f t="shared" si="105"/>
        <v>0.21844595956606291</v>
      </c>
      <c r="AG156" s="937">
        <f t="shared" si="106"/>
        <v>0.2779682119826169</v>
      </c>
      <c r="AH156" s="1172">
        <f t="shared" si="102"/>
        <v>0.21413330679795953</v>
      </c>
      <c r="AI156" s="937">
        <f t="shared" si="103"/>
        <v>0.78586669320204039</v>
      </c>
      <c r="AJ156" s="227"/>
      <c r="AK156" s="227"/>
      <c r="AL156" s="227"/>
      <c r="AM156" s="227"/>
    </row>
    <row r="157" spans="1:39" x14ac:dyDescent="0.2">
      <c r="A157" s="329">
        <v>2036</v>
      </c>
      <c r="B157" s="342">
        <v>0</v>
      </c>
      <c r="C157" s="343">
        <v>0</v>
      </c>
      <c r="D157" s="343">
        <v>6.2547748898093411E-3</v>
      </c>
      <c r="E157" s="343">
        <v>8.5932116745167458E-2</v>
      </c>
      <c r="F157" s="343">
        <v>0.16159741050711093</v>
      </c>
      <c r="G157" s="343">
        <v>0.24863941910579984</v>
      </c>
      <c r="H157" s="343">
        <v>0.35389111407014096</v>
      </c>
      <c r="I157" s="343">
        <v>0.48694470574979914</v>
      </c>
      <c r="J157" s="343">
        <v>0.51342242621236489</v>
      </c>
      <c r="K157" s="343">
        <v>0.52801512572098908</v>
      </c>
      <c r="L157" s="379">
        <v>0.52179430575649433</v>
      </c>
      <c r="M157" s="282">
        <f t="shared" si="94"/>
        <v>7.4513534636279508E-2</v>
      </c>
      <c r="N157" s="284">
        <f t="shared" si="95"/>
        <v>6.3126148824011907E-2</v>
      </c>
      <c r="O157" s="342">
        <v>0</v>
      </c>
      <c r="P157" s="343">
        <v>0</v>
      </c>
      <c r="Q157" s="343">
        <v>1.6944149658639582E-2</v>
      </c>
      <c r="R157" s="343">
        <v>0.10034668422735452</v>
      </c>
      <c r="S157" s="343">
        <v>0.1762127893993187</v>
      </c>
      <c r="T157" s="343">
        <v>0.27349422261800005</v>
      </c>
      <c r="U157" s="343">
        <v>0.46917046628449471</v>
      </c>
      <c r="V157" s="343">
        <v>0.49318939518421995</v>
      </c>
      <c r="W157" s="343">
        <v>0.50092958683305056</v>
      </c>
      <c r="X157" s="343">
        <v>0.51557706114257174</v>
      </c>
      <c r="Y157" s="379">
        <v>0.53295171746936532</v>
      </c>
      <c r="Z157" s="282">
        <f t="shared" si="96"/>
        <v>0.2869530584187564</v>
      </c>
      <c r="AA157" s="284">
        <f t="shared" si="97"/>
        <v>0.24602762463018146</v>
      </c>
      <c r="AB157" s="948">
        <f t="array" ref="AB157">IF(AND($AD$124=TRUE,SUM(B157:L157)&gt;0),SUMPRODUCT((((TRANSPOSE(Cls1CentDailyRng)&lt;INDEX(CDRANGE_CLS1,$A157-$A$128+1,AD$125))*TRANSPOSE(Cls1CentDailyRng)+(TRANSPOSE(Cls1CentDailyRng)&gt;INDEX(CDRANGE_CLS1,$A157-$A$128+1,AD$125))*INDEX(CDRANGE_CLS1,$A157-$A$128+1,AD$125))/TRANSPOSE(Cls1CentDailyRng)),B157:L157,TRANSPOSE(Cls1CentVMTShr))/SUMPRODUCT(B157:L157,TRANSPOSE(Cls1CentVMTShr)),0)</f>
        <v>0</v>
      </c>
      <c r="AC157" s="949">
        <f t="array" ref="AC157">IF(AND($AD$124=TRUE,SUM(O157:Y157)&gt;0),SUMPRODUCT((((TRANSPOSE(Cls1NCentDailyRng)&lt;INDEX(CDRANGE_CLS1,$A157-$A$128+1,AD$125))*TRANSPOSE(Cls1NCentDailyRng)+(TRANSPOSE(Cls1NCentDailyRng)&gt;INDEX(CDRANGE_CLS1,$A157-$A$128+1,AD$125))*INDEX(CDRANGE_CLS1,$A157-$A$128+1,AD$125))/TRANSPOSE(Cls1NCentDailyRng)),O157:Y157,TRANSPOSE(Cls1NCentVMTShr))/SUMPRODUCT(O157:Y157,TRANSPOSE(Cls1NCentVMTShr)),0)</f>
        <v>0</v>
      </c>
      <c r="AD157" s="1226">
        <f t="shared" si="107"/>
        <v>0</v>
      </c>
      <c r="AE157" s="937">
        <f t="shared" si="104"/>
        <v>7.4513534636279508E-2</v>
      </c>
      <c r="AF157" s="937">
        <f t="shared" si="105"/>
        <v>0.2869530584187564</v>
      </c>
      <c r="AG157" s="937">
        <f t="shared" si="106"/>
        <v>0.36146659305503592</v>
      </c>
      <c r="AH157" s="1172">
        <f t="shared" si="102"/>
        <v>0.20614224403563147</v>
      </c>
      <c r="AI157" s="937">
        <f t="shared" si="103"/>
        <v>0.79385775596436847</v>
      </c>
      <c r="AJ157" s="227"/>
      <c r="AK157" s="227"/>
      <c r="AL157" s="227"/>
      <c r="AM157" s="227"/>
    </row>
    <row r="158" spans="1:39" x14ac:dyDescent="0.2">
      <c r="A158" s="330">
        <v>2037</v>
      </c>
      <c r="B158" s="344">
        <v>0</v>
      </c>
      <c r="C158" s="345">
        <v>0</v>
      </c>
      <c r="D158" s="345">
        <v>1.1095010039605941E-2</v>
      </c>
      <c r="E158" s="345">
        <v>9.0593475457216507E-2</v>
      </c>
      <c r="F158" s="345">
        <v>0.18950422518607943</v>
      </c>
      <c r="G158" s="345">
        <v>0.38263306774184319</v>
      </c>
      <c r="H158" s="345">
        <v>0.44784983620287427</v>
      </c>
      <c r="I158" s="345">
        <v>0.46888352448670445</v>
      </c>
      <c r="J158" s="345">
        <v>0.50254844942138244</v>
      </c>
      <c r="K158" s="345">
        <v>0.49155566644274185</v>
      </c>
      <c r="L158" s="380">
        <v>0.51795894402355802</v>
      </c>
      <c r="M158" s="296">
        <f t="shared" si="94"/>
        <v>8.5437924486532035E-2</v>
      </c>
      <c r="N158" s="298">
        <f t="shared" si="95"/>
        <v>7.4079563171083759E-2</v>
      </c>
      <c r="O158" s="344">
        <v>0</v>
      </c>
      <c r="P158" s="345">
        <v>0</v>
      </c>
      <c r="Q158" s="345">
        <v>2.7308277626954435E-2</v>
      </c>
      <c r="R158" s="345">
        <v>0.10272947331534417</v>
      </c>
      <c r="S158" s="345">
        <v>0.2113274269493845</v>
      </c>
      <c r="T158" s="345">
        <v>0.41673854100499352</v>
      </c>
      <c r="U158" s="345">
        <v>0.45633697455944028</v>
      </c>
      <c r="V158" s="345">
        <v>0.48531662963926869</v>
      </c>
      <c r="W158" s="345">
        <v>0.49044721541847297</v>
      </c>
      <c r="X158" s="345">
        <v>0.503098947227125</v>
      </c>
      <c r="Y158" s="380">
        <v>0.51096935581606828</v>
      </c>
      <c r="Z158" s="296">
        <f t="shared" si="96"/>
        <v>0.31041386184494668</v>
      </c>
      <c r="AA158" s="298">
        <f t="shared" si="97"/>
        <v>0.27227200470315155</v>
      </c>
      <c r="AB158" s="948">
        <f t="array" ref="AB158">IF(AND($AD$124=TRUE,SUM(B158:L158)&gt;0),SUMPRODUCT((((TRANSPOSE(Cls1CentDailyRng)&lt;INDEX(CDRANGE_CLS1,$A158-$A$128+1,AD$125))*TRANSPOSE(Cls1CentDailyRng)+(TRANSPOSE(Cls1CentDailyRng)&gt;INDEX(CDRANGE_CLS1,$A158-$A$128+1,AD$125))*INDEX(CDRANGE_CLS1,$A158-$A$128+1,AD$125))/TRANSPOSE(Cls1CentDailyRng)),B158:L158,TRANSPOSE(Cls1CentVMTShr))/SUMPRODUCT(B158:L158,TRANSPOSE(Cls1CentVMTShr)),0)</f>
        <v>0</v>
      </c>
      <c r="AC158" s="949">
        <f t="array" ref="AC158">IF(AND($AD$124=TRUE,SUM(O158:Y158)&gt;0),SUMPRODUCT((((TRANSPOSE(Cls1NCentDailyRng)&lt;INDEX(CDRANGE_CLS1,$A158-$A$128+1,AD$125))*TRANSPOSE(Cls1NCentDailyRng)+(TRANSPOSE(Cls1NCentDailyRng)&gt;INDEX(CDRANGE_CLS1,$A158-$A$128+1,AD$125))*INDEX(CDRANGE_CLS1,$A158-$A$128+1,AD$125))/TRANSPOSE(Cls1NCentDailyRng)),O158:Y158,TRANSPOSE(Cls1NCentVMTShr))/SUMPRODUCT(O158:Y158,TRANSPOSE(Cls1NCentVMTShr)),0)</f>
        <v>0</v>
      </c>
      <c r="AD158" s="1226">
        <f t="shared" si="107"/>
        <v>0</v>
      </c>
      <c r="AE158" s="937">
        <f t="shared" si="104"/>
        <v>8.5437924486532035E-2</v>
      </c>
      <c r="AF158" s="937">
        <f t="shared" si="105"/>
        <v>0.31041386184494668</v>
      </c>
      <c r="AG158" s="937">
        <f t="shared" si="106"/>
        <v>0.39585178633147872</v>
      </c>
      <c r="AH158" s="1172">
        <f t="shared" si="102"/>
        <v>0.21583311592028021</v>
      </c>
      <c r="AI158" s="937">
        <f t="shared" si="103"/>
        <v>0.78416688407971979</v>
      </c>
      <c r="AJ158" s="227"/>
      <c r="AK158" s="227"/>
      <c r="AL158" s="227"/>
      <c r="AM158" s="227"/>
    </row>
    <row r="159" spans="1:39" x14ac:dyDescent="0.2">
      <c r="A159" s="330">
        <v>2038</v>
      </c>
      <c r="B159" s="344">
        <v>0</v>
      </c>
      <c r="C159" s="345">
        <v>0</v>
      </c>
      <c r="D159" s="345">
        <v>1.919683168265315E-2</v>
      </c>
      <c r="E159" s="345">
        <v>0.13230758991230182</v>
      </c>
      <c r="F159" s="345">
        <v>0.30444679903295646</v>
      </c>
      <c r="G159" s="345">
        <v>0.37668528558731607</v>
      </c>
      <c r="H159" s="345">
        <v>0.43956045267491123</v>
      </c>
      <c r="I159" s="345">
        <v>0.46423676344573633</v>
      </c>
      <c r="J159" s="345">
        <v>0.47983667513087336</v>
      </c>
      <c r="K159" s="345">
        <v>0.49144215309577716</v>
      </c>
      <c r="L159" s="380">
        <v>0.49060196273053897</v>
      </c>
      <c r="M159" s="296">
        <f t="shared" si="94"/>
        <v>8.8604536122548594E-2</v>
      </c>
      <c r="N159" s="298">
        <f t="shared" si="95"/>
        <v>7.9174121025026856E-2</v>
      </c>
      <c r="O159" s="344">
        <v>0</v>
      </c>
      <c r="P159" s="345">
        <v>0</v>
      </c>
      <c r="Q159" s="345">
        <v>3.4393412333891371E-2</v>
      </c>
      <c r="R159" s="345">
        <v>0.14940408225567681</v>
      </c>
      <c r="S159" s="345">
        <v>0.33642261862879314</v>
      </c>
      <c r="T159" s="345">
        <v>0.4147209472256112</v>
      </c>
      <c r="U159" s="345">
        <v>0.44483209301575605</v>
      </c>
      <c r="V159" s="345">
        <v>0.45284571419805536</v>
      </c>
      <c r="W159" s="345">
        <v>0.46901872670347161</v>
      </c>
      <c r="X159" s="345">
        <v>0.49144215309577716</v>
      </c>
      <c r="Y159" s="380">
        <v>0.49890479450396974</v>
      </c>
      <c r="Z159" s="296">
        <f t="shared" si="96"/>
        <v>0.31474667550212665</v>
      </c>
      <c r="AA159" s="298">
        <f t="shared" si="97"/>
        <v>0.28186686740632028</v>
      </c>
      <c r="AB159" s="948">
        <f t="array" ref="AB159">IF(AND($AD$124=TRUE,SUM(B159:L159)&gt;0),SUMPRODUCT((((TRANSPOSE(Cls1CentDailyRng)&lt;INDEX(CDRANGE_CLS1,$A159-$A$128+1,AD$125))*TRANSPOSE(Cls1CentDailyRng)+(TRANSPOSE(Cls1CentDailyRng)&gt;INDEX(CDRANGE_CLS1,$A159-$A$128+1,AD$125))*INDEX(CDRANGE_CLS1,$A159-$A$128+1,AD$125))/TRANSPOSE(Cls1CentDailyRng)),B159:L159,TRANSPOSE(Cls1CentVMTShr))/SUMPRODUCT(B159:L159,TRANSPOSE(Cls1CentVMTShr)),0)</f>
        <v>0</v>
      </c>
      <c r="AC159" s="949">
        <f t="array" ref="AC159">IF(AND($AD$124=TRUE,SUM(O159:Y159)&gt;0),SUMPRODUCT((((TRANSPOSE(Cls1NCentDailyRng)&lt;INDEX(CDRANGE_CLS1,$A159-$A$128+1,AD$125))*TRANSPOSE(Cls1NCentDailyRng)+(TRANSPOSE(Cls1NCentDailyRng)&gt;INDEX(CDRANGE_CLS1,$A159-$A$128+1,AD$125))*INDEX(CDRANGE_CLS1,$A159-$A$128+1,AD$125))/TRANSPOSE(Cls1NCentDailyRng)),O159:Y159,TRANSPOSE(Cls1NCentVMTShr))/SUMPRODUCT(O159:Y159,TRANSPOSE(Cls1NCentVMTShr)),0)</f>
        <v>0</v>
      </c>
      <c r="AD159" s="1226">
        <f t="shared" si="107"/>
        <v>0</v>
      </c>
      <c r="AE159" s="937">
        <f t="shared" si="104"/>
        <v>8.8604536122548594E-2</v>
      </c>
      <c r="AF159" s="937">
        <f t="shared" si="105"/>
        <v>0.31474667550212665</v>
      </c>
      <c r="AG159" s="937">
        <f t="shared" si="106"/>
        <v>0.40335121162467524</v>
      </c>
      <c r="AH159" s="1172">
        <f t="shared" si="102"/>
        <v>0.21967093086358827</v>
      </c>
      <c r="AI159" s="937">
        <f t="shared" si="103"/>
        <v>0.78032906913641176</v>
      </c>
      <c r="AJ159" s="227"/>
      <c r="AK159" s="227"/>
      <c r="AL159" s="227"/>
      <c r="AM159" s="227"/>
    </row>
    <row r="160" spans="1:39" x14ac:dyDescent="0.2">
      <c r="A160" s="330">
        <v>2039</v>
      </c>
      <c r="B160" s="344">
        <v>0</v>
      </c>
      <c r="C160" s="345">
        <v>0</v>
      </c>
      <c r="D160" s="345">
        <v>4.8016009357464542E-2</v>
      </c>
      <c r="E160" s="345">
        <v>0.20730403021532381</v>
      </c>
      <c r="F160" s="345">
        <v>0.32837993347651845</v>
      </c>
      <c r="G160" s="345">
        <v>0.37073455488658252</v>
      </c>
      <c r="H160" s="345">
        <v>0.41044852833422657</v>
      </c>
      <c r="I160" s="345">
        <v>0.44473926785668738</v>
      </c>
      <c r="J160" s="345">
        <v>0.46053145632519088</v>
      </c>
      <c r="K160" s="345">
        <v>0.48150022361156086</v>
      </c>
      <c r="L160" s="380">
        <v>0.48941262713024186</v>
      </c>
      <c r="M160" s="296">
        <f t="shared" si="94"/>
        <v>8.7690012912492843E-2</v>
      </c>
      <c r="N160" s="298">
        <f t="shared" si="95"/>
        <v>7.9930585030514895E-2</v>
      </c>
      <c r="O160" s="344">
        <v>0</v>
      </c>
      <c r="P160" s="345">
        <v>0</v>
      </c>
      <c r="Q160" s="345">
        <v>8.2114235460097856E-2</v>
      </c>
      <c r="R160" s="345">
        <v>0.23504972608001493</v>
      </c>
      <c r="S160" s="345">
        <v>0.33734278308624133</v>
      </c>
      <c r="T160" s="345">
        <v>0.40496280752154468</v>
      </c>
      <c r="U160" s="345">
        <v>0.42615775304325748</v>
      </c>
      <c r="V160" s="345">
        <v>0.45795254363662491</v>
      </c>
      <c r="W160" s="345">
        <v>0.48087052365543426</v>
      </c>
      <c r="X160" s="345">
        <v>0.48150022361156086</v>
      </c>
      <c r="Y160" s="380">
        <v>0.48941262713024186</v>
      </c>
      <c r="Z160" s="296">
        <f t="shared" si="96"/>
        <v>0.31231199140649563</v>
      </c>
      <c r="AA160" s="298">
        <f t="shared" si="97"/>
        <v>0.28251907971188051</v>
      </c>
      <c r="AB160" s="948">
        <f t="array" ref="AB160">IF(AND($AD$124=TRUE,SUM(B160:L160)&gt;0),SUMPRODUCT((((TRANSPOSE(Cls1CentDailyRng)&lt;INDEX(CDRANGE_CLS1,$A160-$A$128+1,AD$125))*TRANSPOSE(Cls1CentDailyRng)+(TRANSPOSE(Cls1CentDailyRng)&gt;INDEX(CDRANGE_CLS1,$A160-$A$128+1,AD$125))*INDEX(CDRANGE_CLS1,$A160-$A$128+1,AD$125))/TRANSPOSE(Cls1CentDailyRng)),B160:L160,TRANSPOSE(Cls1CentVMTShr))/SUMPRODUCT(B160:L160,TRANSPOSE(Cls1CentVMTShr)),0)</f>
        <v>0</v>
      </c>
      <c r="AC160" s="949">
        <f t="array" ref="AC160">IF(AND($AD$124=TRUE,SUM(O160:Y160)&gt;0),SUMPRODUCT((((TRANSPOSE(Cls1NCentDailyRng)&lt;INDEX(CDRANGE_CLS1,$A160-$A$128+1,AD$125))*TRANSPOSE(Cls1NCentDailyRng)+(TRANSPOSE(Cls1NCentDailyRng)&gt;INDEX(CDRANGE_CLS1,$A160-$A$128+1,AD$125))*INDEX(CDRANGE_CLS1,$A160-$A$128+1,AD$125))/TRANSPOSE(Cls1NCentDailyRng)),O160:Y160,TRANSPOSE(Cls1NCentVMTShr))/SUMPRODUCT(O160:Y160,TRANSPOSE(Cls1NCentVMTShr)),0)</f>
        <v>0</v>
      </c>
      <c r="AD160" s="1226">
        <f t="shared" si="107"/>
        <v>0</v>
      </c>
      <c r="AE160" s="937">
        <f t="shared" si="104"/>
        <v>8.7690012912492843E-2</v>
      </c>
      <c r="AF160" s="937">
        <f t="shared" si="105"/>
        <v>0.31231199140649563</v>
      </c>
      <c r="AG160" s="937">
        <f t="shared" si="106"/>
        <v>0.40000200431898847</v>
      </c>
      <c r="AH160" s="1172">
        <f t="shared" si="102"/>
        <v>0.21922393379449903</v>
      </c>
      <c r="AI160" s="937">
        <f t="shared" si="103"/>
        <v>0.780776066205501</v>
      </c>
      <c r="AJ160" s="227"/>
      <c r="AK160" s="227"/>
      <c r="AL160" s="227"/>
      <c r="AM160" s="227"/>
    </row>
    <row r="161" spans="1:48" ht="15" thickBot="1" x14ac:dyDescent="0.25">
      <c r="A161" s="328">
        <v>2040</v>
      </c>
      <c r="B161" s="346">
        <v>0</v>
      </c>
      <c r="C161" s="347">
        <v>0</v>
      </c>
      <c r="D161" s="347">
        <v>6.8808242898136196E-2</v>
      </c>
      <c r="E161" s="347">
        <v>0.23100898560510311</v>
      </c>
      <c r="F161" s="347">
        <v>0.33466889702376784</v>
      </c>
      <c r="G161" s="347">
        <v>0.38263334801764087</v>
      </c>
      <c r="H161" s="347">
        <v>0.42942775456791293</v>
      </c>
      <c r="I161" s="347">
        <v>0.44698711505844269</v>
      </c>
      <c r="J161" s="347">
        <v>0.46190840907216885</v>
      </c>
      <c r="K161" s="347">
        <v>0.48091870962115829</v>
      </c>
      <c r="L161" s="381">
        <v>0.4879811819821393</v>
      </c>
      <c r="M161" s="310">
        <f t="shared" si="94"/>
        <v>9.0296818700620451E-2</v>
      </c>
      <c r="N161" s="312">
        <f t="shared" si="95"/>
        <v>8.2824908032798114E-2</v>
      </c>
      <c r="O161" s="346">
        <v>0</v>
      </c>
      <c r="P161" s="347">
        <v>0</v>
      </c>
      <c r="Q161" s="347">
        <v>0.11224307283065335</v>
      </c>
      <c r="R161" s="347">
        <v>0.24761227767894334</v>
      </c>
      <c r="S161" s="347">
        <v>0.34210674417786496</v>
      </c>
      <c r="T161" s="347">
        <v>0.39881765294622235</v>
      </c>
      <c r="U161" s="347">
        <v>0.4435723043046057</v>
      </c>
      <c r="V161" s="347">
        <v>0.45931537889776747</v>
      </c>
      <c r="W161" s="347">
        <v>0.48022610322767989</v>
      </c>
      <c r="X161" s="347">
        <v>0.48091870962115829</v>
      </c>
      <c r="Y161" s="381">
        <v>0.49353619423887529</v>
      </c>
      <c r="Z161" s="310">
        <f t="shared" si="96"/>
        <v>0.3168672445311127</v>
      </c>
      <c r="AA161" s="312">
        <f t="shared" si="97"/>
        <v>0.28726768250887991</v>
      </c>
      <c r="AB161" s="948">
        <f t="array" ref="AB161">IF(AND($AD$124=TRUE,SUM(B161:L161)&gt;0),SUMPRODUCT((((TRANSPOSE(Cls1CentDailyRng)&lt;INDEX(CDRANGE_CLS1,$A161-$A$128+1,AD$125))*TRANSPOSE(Cls1CentDailyRng)+(TRANSPOSE(Cls1CentDailyRng)&gt;INDEX(CDRANGE_CLS1,$A161-$A$128+1,AD$125))*INDEX(CDRANGE_CLS1,$A161-$A$128+1,AD$125))/TRANSPOSE(Cls1CentDailyRng)),B161:L161,TRANSPOSE(Cls1CentVMTShr))/SUMPRODUCT(B161:L161,TRANSPOSE(Cls1CentVMTShr)),0)</f>
        <v>0</v>
      </c>
      <c r="AC161" s="949">
        <f t="array" ref="AC161">IF(AND($AD$124=TRUE,SUM(O161:Y161)&gt;0),SUMPRODUCT((((TRANSPOSE(Cls1NCentDailyRng)&lt;INDEX(CDRANGE_CLS1,$A161-$A$128+1,AD$125))*TRANSPOSE(Cls1NCentDailyRng)+(TRANSPOSE(Cls1NCentDailyRng)&gt;INDEX(CDRANGE_CLS1,$A161-$A$128+1,AD$125))*INDEX(CDRANGE_CLS1,$A161-$A$128+1,AD$125))/TRANSPOSE(Cls1NCentDailyRng)),O161:Y161,TRANSPOSE(Cls1NCentVMTShr))/SUMPRODUCT(O161:Y161,TRANSPOSE(Cls1NCentVMTShr)),0)</f>
        <v>0</v>
      </c>
      <c r="AD161" s="1226">
        <f t="shared" si="107"/>
        <v>0</v>
      </c>
      <c r="AE161" s="937">
        <f t="shared" si="104"/>
        <v>9.0296818700620451E-2</v>
      </c>
      <c r="AF161" s="937">
        <f t="shared" si="105"/>
        <v>0.3168672445311127</v>
      </c>
      <c r="AG161" s="937">
        <f t="shared" si="106"/>
        <v>0.40716406323173315</v>
      </c>
      <c r="AH161" s="1172">
        <f t="shared" si="102"/>
        <v>0.22177010904134967</v>
      </c>
      <c r="AI161" s="937">
        <f t="shared" si="103"/>
        <v>0.77822989095865036</v>
      </c>
      <c r="AJ161" s="227"/>
      <c r="AK161" s="227"/>
      <c r="AL161" s="227"/>
      <c r="AM161" s="227"/>
    </row>
    <row r="162" spans="1:48" x14ac:dyDescent="0.2">
      <c r="A162" s="329">
        <v>2041</v>
      </c>
      <c r="B162" s="342">
        <v>0</v>
      </c>
      <c r="C162" s="343">
        <v>0</v>
      </c>
      <c r="D162" s="343">
        <v>9.8987072711258756E-2</v>
      </c>
      <c r="E162" s="343">
        <v>0.24756979233534562</v>
      </c>
      <c r="F162" s="343">
        <v>0.33086227317437616</v>
      </c>
      <c r="G162" s="343">
        <v>0.41285571045049779</v>
      </c>
      <c r="H162" s="343">
        <v>0.43191943916974718</v>
      </c>
      <c r="I162" s="343">
        <v>0.44864131449156591</v>
      </c>
      <c r="J162" s="343">
        <v>0.47027778388823216</v>
      </c>
      <c r="K162" s="343">
        <v>0.4721849326116575</v>
      </c>
      <c r="L162" s="379">
        <v>0.49003652892092014</v>
      </c>
      <c r="M162" s="282">
        <f t="shared" si="94"/>
        <v>9.1763173528046735E-2</v>
      </c>
      <c r="N162" s="284">
        <f t="shared" si="95"/>
        <v>8.4564668004207033E-2</v>
      </c>
      <c r="O162" s="342">
        <v>0</v>
      </c>
      <c r="P162" s="343">
        <v>3.4221879009875669E-4</v>
      </c>
      <c r="Q162" s="343">
        <v>0.13998452987254853</v>
      </c>
      <c r="R162" s="343">
        <v>0.26417347289002385</v>
      </c>
      <c r="S162" s="343">
        <v>0.37495265023060348</v>
      </c>
      <c r="T162" s="343">
        <v>0.42776170733375285</v>
      </c>
      <c r="U162" s="343">
        <v>0.44524265088758003</v>
      </c>
      <c r="V162" s="343">
        <v>0.46009689101292184</v>
      </c>
      <c r="W162" s="343">
        <v>0.46288589657578055</v>
      </c>
      <c r="X162" s="343">
        <v>0.48619109623523099</v>
      </c>
      <c r="Y162" s="379">
        <v>0.48604635233992932</v>
      </c>
      <c r="Z162" s="282">
        <f t="shared" si="96"/>
        <v>0.32556738133992397</v>
      </c>
      <c r="AA162" s="284">
        <f t="shared" si="97"/>
        <v>0.29769450922226509</v>
      </c>
      <c r="AB162" s="948">
        <f t="array" ref="AB162">IF(AND($AD$124=TRUE,SUM(B162:L162)&gt;0),SUMPRODUCT((((TRANSPOSE(Cls1CentDailyRng)&lt;INDEX(CDRANGE_CLS1,$A162-$A$128+1,AD$125))*TRANSPOSE(Cls1CentDailyRng)+(TRANSPOSE(Cls1CentDailyRng)&gt;INDEX(CDRANGE_CLS1,$A162-$A$128+1,AD$125))*INDEX(CDRANGE_CLS1,$A162-$A$128+1,AD$125))/TRANSPOSE(Cls1CentDailyRng)),B162:L162,TRANSPOSE(Cls1CentVMTShr))/SUMPRODUCT(B162:L162,TRANSPOSE(Cls1CentVMTShr)),0)</f>
        <v>0</v>
      </c>
      <c r="AC162" s="949">
        <f t="array" ref="AC162">IF(AND($AD$124=TRUE,SUM(O162:Y162)&gt;0),SUMPRODUCT((((TRANSPOSE(Cls1NCentDailyRng)&lt;INDEX(CDRANGE_CLS1,$A162-$A$128+1,AD$125))*TRANSPOSE(Cls1NCentDailyRng)+(TRANSPOSE(Cls1NCentDailyRng)&gt;INDEX(CDRANGE_CLS1,$A162-$A$128+1,AD$125))*INDEX(CDRANGE_CLS1,$A162-$A$128+1,AD$125))/TRANSPOSE(Cls1NCentDailyRng)),O162:Y162,TRANSPOSE(Cls1NCentVMTShr))/SUMPRODUCT(O162:Y162,TRANSPOSE(Cls1NCentVMTShr)),0)</f>
        <v>0</v>
      </c>
      <c r="AD162" s="1226">
        <f t="shared" si="107"/>
        <v>0</v>
      </c>
      <c r="AE162" s="937">
        <f t="shared" si="104"/>
        <v>9.1763173528046735E-2</v>
      </c>
      <c r="AF162" s="937">
        <f t="shared" si="105"/>
        <v>0.32556738133992397</v>
      </c>
      <c r="AG162" s="937">
        <f t="shared" si="106"/>
        <v>0.41733055486797072</v>
      </c>
      <c r="AH162" s="1172">
        <f t="shared" si="102"/>
        <v>0.2198812726690417</v>
      </c>
      <c r="AI162" s="937">
        <f t="shared" si="103"/>
        <v>0.78011872733095822</v>
      </c>
      <c r="AJ162" s="227"/>
      <c r="AK162" s="227"/>
      <c r="AL162" s="227"/>
      <c r="AM162" s="227"/>
    </row>
    <row r="163" spans="1:48" x14ac:dyDescent="0.2">
      <c r="A163" s="330">
        <v>2042</v>
      </c>
      <c r="B163" s="344">
        <v>0</v>
      </c>
      <c r="C163" s="345">
        <v>2.8183069825000188E-4</v>
      </c>
      <c r="D163" s="345">
        <v>0.1127679082344033</v>
      </c>
      <c r="E163" s="345">
        <v>0.27971426211673872</v>
      </c>
      <c r="F163" s="345">
        <v>0.37302763241953313</v>
      </c>
      <c r="G163" s="345">
        <v>0.4255474668008124</v>
      </c>
      <c r="H163" s="345">
        <v>0.44292594978912458</v>
      </c>
      <c r="I163" s="345">
        <v>0.45760602691976648</v>
      </c>
      <c r="J163" s="345">
        <v>0.47573420099229208</v>
      </c>
      <c r="K163" s="345">
        <v>0.47493249290069517</v>
      </c>
      <c r="L163" s="380">
        <v>0.47194929214265391</v>
      </c>
      <c r="M163" s="296">
        <f t="shared" si="94"/>
        <v>9.5177507836063907E-2</v>
      </c>
      <c r="N163" s="298">
        <f t="shared" si="95"/>
        <v>8.8766576421149601E-2</v>
      </c>
      <c r="O163" s="344">
        <v>0</v>
      </c>
      <c r="P163" s="345">
        <v>8.5318393978779195E-4</v>
      </c>
      <c r="Q163" s="345">
        <v>0.15568217000417606</v>
      </c>
      <c r="R163" s="345">
        <v>0.29687755436517493</v>
      </c>
      <c r="S163" s="345">
        <v>0.37918616861123827</v>
      </c>
      <c r="T163" s="345">
        <v>0.40598626894124118</v>
      </c>
      <c r="U163" s="345">
        <v>0.45513687192093299</v>
      </c>
      <c r="V163" s="345">
        <v>0.46780736933975597</v>
      </c>
      <c r="W163" s="345">
        <v>0.46967131870349155</v>
      </c>
      <c r="X163" s="345">
        <v>0.47737017822997041</v>
      </c>
      <c r="Y163" s="380">
        <v>0.48749200915266133</v>
      </c>
      <c r="Z163" s="296">
        <f t="shared" si="96"/>
        <v>0.32641151077806463</v>
      </c>
      <c r="AA163" s="298">
        <f t="shared" si="97"/>
        <v>0.29906280990344475</v>
      </c>
      <c r="AB163" s="948">
        <f t="array" ref="AB163">IF(AND($AD$124=TRUE,SUM(B163:L163)&gt;0),SUMPRODUCT((((TRANSPOSE(Cls1CentDailyRng)&lt;INDEX(CDRANGE_CLS1,$A163-$A$128+1,AD$125))*TRANSPOSE(Cls1CentDailyRng)+(TRANSPOSE(Cls1CentDailyRng)&gt;INDEX(CDRANGE_CLS1,$A163-$A$128+1,AD$125))*INDEX(CDRANGE_CLS1,$A163-$A$128+1,AD$125))/TRANSPOSE(Cls1CentDailyRng)),B163:L163,TRANSPOSE(Cls1CentVMTShr))/SUMPRODUCT(B163:L163,TRANSPOSE(Cls1CentVMTShr)),0)</f>
        <v>0</v>
      </c>
      <c r="AC163" s="949">
        <f t="array" ref="AC163">IF(AND($AD$124=TRUE,SUM(O163:Y163)&gt;0),SUMPRODUCT((((TRANSPOSE(Cls1NCentDailyRng)&lt;INDEX(CDRANGE_CLS1,$A163-$A$128+1,AD$125))*TRANSPOSE(Cls1NCentDailyRng)+(TRANSPOSE(Cls1NCentDailyRng)&gt;INDEX(CDRANGE_CLS1,$A163-$A$128+1,AD$125))*INDEX(CDRANGE_CLS1,$A163-$A$128+1,AD$125))/TRANSPOSE(Cls1NCentDailyRng)),O163:Y163,TRANSPOSE(Cls1NCentVMTShr))/SUMPRODUCT(O163:Y163,TRANSPOSE(Cls1NCentVMTShr)),0)</f>
        <v>0</v>
      </c>
      <c r="AD163" s="1226">
        <f t="shared" si="107"/>
        <v>0</v>
      </c>
      <c r="AE163" s="937">
        <f t="shared" si="104"/>
        <v>9.5177507836063907E-2</v>
      </c>
      <c r="AF163" s="937">
        <f t="shared" si="105"/>
        <v>0.32641151077806463</v>
      </c>
      <c r="AG163" s="937">
        <f t="shared" si="106"/>
        <v>0.42158901861412856</v>
      </c>
      <c r="AH163" s="1172">
        <f t="shared" si="102"/>
        <v>0.22575898240646028</v>
      </c>
      <c r="AI163" s="937">
        <f t="shared" si="103"/>
        <v>0.77424101759353969</v>
      </c>
      <c r="AJ163" s="227"/>
      <c r="AK163" s="227"/>
      <c r="AL163" s="227"/>
      <c r="AM163" s="227"/>
    </row>
    <row r="164" spans="1:48" x14ac:dyDescent="0.2">
      <c r="A164" s="330">
        <v>2043</v>
      </c>
      <c r="B164" s="344">
        <v>0</v>
      </c>
      <c r="C164" s="345">
        <v>4.9208926605150778E-4</v>
      </c>
      <c r="D164" s="345">
        <v>0.12293677107255718</v>
      </c>
      <c r="E164" s="345">
        <v>0.295099661301501</v>
      </c>
      <c r="F164" s="345">
        <v>0.36054731509868815</v>
      </c>
      <c r="G164" s="345">
        <v>0.41292435654202103</v>
      </c>
      <c r="H164" s="345">
        <v>0.43060629250283727</v>
      </c>
      <c r="I164" s="345">
        <v>0.44360491659659035</v>
      </c>
      <c r="J164" s="345">
        <v>0.46381812994944654</v>
      </c>
      <c r="K164" s="345">
        <v>0.45627241903355781</v>
      </c>
      <c r="L164" s="380">
        <v>0.44098311897806286</v>
      </c>
      <c r="M164" s="296">
        <f t="shared" si="94"/>
        <v>9.2601698374129085E-2</v>
      </c>
      <c r="N164" s="298">
        <f t="shared" si="95"/>
        <v>8.684814860707922E-2</v>
      </c>
      <c r="O164" s="344">
        <v>0</v>
      </c>
      <c r="P164" s="345">
        <v>1.4369128974861898E-3</v>
      </c>
      <c r="Q164" s="345">
        <v>0.16804405656649996</v>
      </c>
      <c r="R164" s="345">
        <v>0.31235356498807915</v>
      </c>
      <c r="S164" s="345">
        <v>0.36687613447547213</v>
      </c>
      <c r="T164" s="345">
        <v>0.42703728801875818</v>
      </c>
      <c r="U164" s="345">
        <v>0.44351368103798278</v>
      </c>
      <c r="V164" s="345">
        <v>0.46480132442835914</v>
      </c>
      <c r="W164" s="345">
        <v>0.46655071929030295</v>
      </c>
      <c r="X164" s="345">
        <v>0.47407952395328923</v>
      </c>
      <c r="Y164" s="380">
        <v>0.48399103631039392</v>
      </c>
      <c r="Z164" s="296">
        <f t="shared" si="96"/>
        <v>0.32648547093522823</v>
      </c>
      <c r="AA164" s="298">
        <f t="shared" si="97"/>
        <v>0.30000791106017249</v>
      </c>
      <c r="AB164" s="948">
        <f t="array" ref="AB164">IF(AND($AD$124=TRUE,SUM(B164:L164)&gt;0),SUMPRODUCT((((TRANSPOSE(Cls1CentDailyRng)&lt;INDEX(CDRANGE_CLS1,$A164-$A$128+1,AD$125))*TRANSPOSE(Cls1CentDailyRng)+(TRANSPOSE(Cls1CentDailyRng)&gt;INDEX(CDRANGE_CLS1,$A164-$A$128+1,AD$125))*INDEX(CDRANGE_CLS1,$A164-$A$128+1,AD$125))/TRANSPOSE(Cls1CentDailyRng)),B164:L164,TRANSPOSE(Cls1CentVMTShr))/SUMPRODUCT(B164:L164,TRANSPOSE(Cls1CentVMTShr)),0)</f>
        <v>0</v>
      </c>
      <c r="AC164" s="949">
        <f t="array" ref="AC164">IF(AND($AD$124=TRUE,SUM(O164:Y164)&gt;0),SUMPRODUCT((((TRANSPOSE(Cls1NCentDailyRng)&lt;INDEX(CDRANGE_CLS1,$A164-$A$128+1,AD$125))*TRANSPOSE(Cls1NCentDailyRng)+(TRANSPOSE(Cls1NCentDailyRng)&gt;INDEX(CDRANGE_CLS1,$A164-$A$128+1,AD$125))*INDEX(CDRANGE_CLS1,$A164-$A$128+1,AD$125))/TRANSPOSE(Cls1NCentDailyRng)),O164:Y164,TRANSPOSE(Cls1NCentVMTShr))/SUMPRODUCT(O164:Y164,TRANSPOSE(Cls1NCentVMTShr)),0)</f>
        <v>0</v>
      </c>
      <c r="AD164" s="1226">
        <f t="shared" si="107"/>
        <v>0</v>
      </c>
      <c r="AE164" s="937">
        <f t="shared" si="104"/>
        <v>9.2601698374129085E-2</v>
      </c>
      <c r="AF164" s="937">
        <f t="shared" si="105"/>
        <v>0.32648547093522823</v>
      </c>
      <c r="AG164" s="937">
        <f t="shared" si="106"/>
        <v>0.4190871693093573</v>
      </c>
      <c r="AH164" s="1172">
        <f t="shared" si="102"/>
        <v>0.22096047112760292</v>
      </c>
      <c r="AI164" s="937">
        <f t="shared" si="103"/>
        <v>0.77903952887239714</v>
      </c>
      <c r="AJ164" s="227"/>
      <c r="AK164" s="227"/>
      <c r="AL164" s="227"/>
      <c r="AM164" s="227"/>
    </row>
    <row r="165" spans="1:48" x14ac:dyDescent="0.2">
      <c r="A165" s="330">
        <v>2044</v>
      </c>
      <c r="B165" s="344">
        <v>0</v>
      </c>
      <c r="C165" s="345">
        <v>7.0502180676879631E-4</v>
      </c>
      <c r="D165" s="345">
        <v>0.13366923994682059</v>
      </c>
      <c r="E165" s="345">
        <v>0.28422532442070714</v>
      </c>
      <c r="F165" s="345">
        <v>0.37444474803966793</v>
      </c>
      <c r="G165" s="345">
        <v>0.40843553185953924</v>
      </c>
      <c r="H165" s="345">
        <v>0.42202886137165141</v>
      </c>
      <c r="I165" s="345">
        <v>0.44434266228413805</v>
      </c>
      <c r="J165" s="345">
        <v>0.43347566298327089</v>
      </c>
      <c r="K165" s="345">
        <v>0.42606199446384752</v>
      </c>
      <c r="L165" s="380">
        <v>0.40908268369757678</v>
      </c>
      <c r="M165" s="296">
        <f t="shared" si="94"/>
        <v>9.1110384978962886E-2</v>
      </c>
      <c r="N165" s="298">
        <f t="shared" si="95"/>
        <v>8.592710903935083E-2</v>
      </c>
      <c r="O165" s="344">
        <v>0</v>
      </c>
      <c r="P165" s="345">
        <v>2.0094183416750544E-3</v>
      </c>
      <c r="Q165" s="345">
        <v>0.18089976391586043</v>
      </c>
      <c r="R165" s="345">
        <v>0.30103587441923779</v>
      </c>
      <c r="S165" s="345">
        <v>0.39037195634649019</v>
      </c>
      <c r="T165" s="345">
        <v>0.42427990907847291</v>
      </c>
      <c r="U165" s="345">
        <v>0.44054824268620429</v>
      </c>
      <c r="V165" s="345">
        <v>0.46154637722476399</v>
      </c>
      <c r="W165" s="345">
        <v>0.46315330623013173</v>
      </c>
      <c r="X165" s="345">
        <v>0.47651902294316439</v>
      </c>
      <c r="Y165" s="380">
        <v>0.48026586008461264</v>
      </c>
      <c r="Z165" s="296">
        <f t="shared" si="96"/>
        <v>0.32646359510070794</v>
      </c>
      <c r="AA165" s="298">
        <f t="shared" si="97"/>
        <v>0.30062556677857966</v>
      </c>
      <c r="AB165" s="948">
        <f t="array" ref="AB165">IF(AND($AD$124=TRUE,SUM(B165:L165)&gt;0),SUMPRODUCT((((TRANSPOSE(Cls1CentDailyRng)&lt;INDEX(CDRANGE_CLS1,$A165-$A$128+1,AD$125))*TRANSPOSE(Cls1CentDailyRng)+(TRANSPOSE(Cls1CentDailyRng)&gt;INDEX(CDRANGE_CLS1,$A165-$A$128+1,AD$125))*INDEX(CDRANGE_CLS1,$A165-$A$128+1,AD$125))/TRANSPOSE(Cls1CentDailyRng)),B165:L165,TRANSPOSE(Cls1CentVMTShr))/SUMPRODUCT(B165:L165,TRANSPOSE(Cls1CentVMTShr)),0)</f>
        <v>0</v>
      </c>
      <c r="AC165" s="949">
        <f t="array" ref="AC165">IF(AND($AD$124=TRUE,SUM(O165:Y165)&gt;0),SUMPRODUCT((((TRANSPOSE(Cls1NCentDailyRng)&lt;INDEX(CDRANGE_CLS1,$A165-$A$128+1,AD$125))*TRANSPOSE(Cls1NCentDailyRng)+(TRANSPOSE(Cls1NCentDailyRng)&gt;INDEX(CDRANGE_CLS1,$A165-$A$128+1,AD$125))*INDEX(CDRANGE_CLS1,$A165-$A$128+1,AD$125))/TRANSPOSE(Cls1NCentDailyRng)),O165:Y165,TRANSPOSE(Cls1NCentVMTShr))/SUMPRODUCT(O165:Y165,TRANSPOSE(Cls1NCentVMTShr)),0)</f>
        <v>0</v>
      </c>
      <c r="AD165" s="1226">
        <f t="shared" si="107"/>
        <v>0</v>
      </c>
      <c r="AE165" s="937">
        <f t="shared" si="104"/>
        <v>9.1110384978962886E-2</v>
      </c>
      <c r="AF165" s="937">
        <f t="shared" si="105"/>
        <v>0.32646359510070794</v>
      </c>
      <c r="AG165" s="937">
        <f t="shared" si="106"/>
        <v>0.41757398007967084</v>
      </c>
      <c r="AH165" s="1172">
        <f t="shared" si="102"/>
        <v>0.21818980426313805</v>
      </c>
      <c r="AI165" s="937">
        <f t="shared" si="103"/>
        <v>0.78181019573686195</v>
      </c>
      <c r="AJ165" s="227"/>
      <c r="AK165" s="227"/>
      <c r="AL165" s="227"/>
      <c r="AM165" s="227"/>
    </row>
    <row r="166" spans="1:48" ht="15" thickBot="1" x14ac:dyDescent="0.25">
      <c r="A166" s="328">
        <v>2045</v>
      </c>
      <c r="B166" s="346">
        <v>0</v>
      </c>
      <c r="C166" s="347">
        <v>8.394642519079106E-4</v>
      </c>
      <c r="D166" s="347">
        <v>0.14507558433668719</v>
      </c>
      <c r="E166" s="347">
        <v>0.28261760138436115</v>
      </c>
      <c r="F166" s="347">
        <v>0.37058808411715988</v>
      </c>
      <c r="G166" s="347">
        <v>0.41198788265322667</v>
      </c>
      <c r="H166" s="347">
        <v>0.42568283730532941</v>
      </c>
      <c r="I166" s="347">
        <v>0.42094077841474603</v>
      </c>
      <c r="J166" s="347">
        <v>0.40703459038646916</v>
      </c>
      <c r="K166" s="347">
        <v>0.39935144490122093</v>
      </c>
      <c r="L166" s="381">
        <v>0.38504969239627718</v>
      </c>
      <c r="M166" s="310">
        <f t="shared" si="94"/>
        <v>8.9753787304319918E-2</v>
      </c>
      <c r="N166" s="312">
        <f t="shared" si="95"/>
        <v>8.5100435297068067E-2</v>
      </c>
      <c r="O166" s="346">
        <v>0</v>
      </c>
      <c r="P166" s="347">
        <v>2.3636753666238246E-3</v>
      </c>
      <c r="Q166" s="347">
        <v>0.1799377495083736</v>
      </c>
      <c r="R166" s="347">
        <v>0.29939496435842111</v>
      </c>
      <c r="S166" s="347">
        <v>0.38808391571937373</v>
      </c>
      <c r="T166" s="347">
        <v>0.41227463485591648</v>
      </c>
      <c r="U166" s="347">
        <v>0.43734746359958104</v>
      </c>
      <c r="V166" s="347">
        <v>0.45080358725797764</v>
      </c>
      <c r="W166" s="347">
        <v>0.47306474600871085</v>
      </c>
      <c r="X166" s="347">
        <v>0.47257467533281822</v>
      </c>
      <c r="Y166" s="381">
        <v>0.47614012133132955</v>
      </c>
      <c r="Z166" s="310">
        <f t="shared" si="96"/>
        <v>0.32217596432368706</v>
      </c>
      <c r="AA166" s="312">
        <f t="shared" si="97"/>
        <v>0.29658701942550919</v>
      </c>
      <c r="AB166" s="948">
        <f t="array" ref="AB166">IF(AND($AD$124=TRUE,SUM(B166:L166)&gt;0),SUMPRODUCT((((TRANSPOSE(Cls1CentDailyRng)&lt;INDEX(CDRANGE_CLS1,$A166-$A$128+1,AD$125))*TRANSPOSE(Cls1CentDailyRng)+(TRANSPOSE(Cls1CentDailyRng)&gt;INDEX(CDRANGE_CLS1,$A166-$A$128+1,AD$125))*INDEX(CDRANGE_CLS1,$A166-$A$128+1,AD$125))/TRANSPOSE(Cls1CentDailyRng)),B166:L166,TRANSPOSE(Cls1CentVMTShr))/SUMPRODUCT(B166:L166,TRANSPOSE(Cls1CentVMTShr)),0)</f>
        <v>0</v>
      </c>
      <c r="AC166" s="949">
        <f t="array" ref="AC166">IF(AND($AD$124=TRUE,SUM(O166:Y166)&gt;0),SUMPRODUCT((((TRANSPOSE(Cls1NCentDailyRng)&lt;INDEX(CDRANGE_CLS1,$A166-$A$128+1,AD$125))*TRANSPOSE(Cls1NCentDailyRng)+(TRANSPOSE(Cls1NCentDailyRng)&gt;INDEX(CDRANGE_CLS1,$A166-$A$128+1,AD$125))*INDEX(CDRANGE_CLS1,$A166-$A$128+1,AD$125))/TRANSPOSE(Cls1NCentDailyRng)),O166:Y166,TRANSPOSE(Cls1NCentVMTShr))/SUMPRODUCT(O166:Y166,TRANSPOSE(Cls1NCentVMTShr)),0)</f>
        <v>0</v>
      </c>
      <c r="AD166" s="1226">
        <f t="shared" si="107"/>
        <v>0</v>
      </c>
      <c r="AE166" s="937">
        <f t="shared" si="104"/>
        <v>8.9753787304319918E-2</v>
      </c>
      <c r="AF166" s="937">
        <f t="shared" si="105"/>
        <v>0.32217596432368706</v>
      </c>
      <c r="AG166" s="937">
        <f t="shared" si="106"/>
        <v>0.41192975162800699</v>
      </c>
      <c r="AH166" s="1172">
        <f t="shared" si="102"/>
        <v>0.21788614915431515</v>
      </c>
      <c r="AI166" s="937">
        <f t="shared" si="103"/>
        <v>0.78211385084568485</v>
      </c>
      <c r="AJ166" s="227"/>
      <c r="AK166" s="227"/>
      <c r="AL166" s="227"/>
      <c r="AM166" s="227"/>
    </row>
    <row r="167" spans="1:48" x14ac:dyDescent="0.2">
      <c r="A167" s="329">
        <v>2046</v>
      </c>
      <c r="B167" s="342">
        <v>0</v>
      </c>
      <c r="C167" s="343">
        <v>8.3614746647247737E-4</v>
      </c>
      <c r="D167" s="343">
        <v>0.14881172630992856</v>
      </c>
      <c r="E167" s="343">
        <v>0.28106308948983516</v>
      </c>
      <c r="F167" s="343">
        <v>0.36483464606411448</v>
      </c>
      <c r="G167" s="343">
        <v>0.40854041294138466</v>
      </c>
      <c r="H167" s="343">
        <v>0.40894057595822825</v>
      </c>
      <c r="I167" s="343">
        <v>0.40346602507364276</v>
      </c>
      <c r="J167" s="343">
        <v>0.38738616029149953</v>
      </c>
      <c r="K167" s="343">
        <v>0.38281404173614064</v>
      </c>
      <c r="L167" s="379">
        <v>0.37286759528116881</v>
      </c>
      <c r="M167" s="282">
        <f t="shared" si="94"/>
        <v>8.7072620376387064E-2</v>
      </c>
      <c r="N167" s="284">
        <f t="shared" si="95"/>
        <v>8.2844374683383404E-2</v>
      </c>
      <c r="O167" s="342">
        <v>0</v>
      </c>
      <c r="P167" s="343">
        <v>2.3543363101812282E-3</v>
      </c>
      <c r="Q167" s="343">
        <v>0.1792033068225265</v>
      </c>
      <c r="R167" s="343">
        <v>0.32449087782227148</v>
      </c>
      <c r="S167" s="343">
        <v>0.38600487434170005</v>
      </c>
      <c r="T167" s="343">
        <v>0.40903474972018067</v>
      </c>
      <c r="U167" s="343">
        <v>0.43197398018640554</v>
      </c>
      <c r="V167" s="343">
        <v>0.44743807694207632</v>
      </c>
      <c r="W167" s="343">
        <v>0.46943343736038956</v>
      </c>
      <c r="X167" s="343">
        <v>0.46872990007924764</v>
      </c>
      <c r="Y167" s="379">
        <v>0.47196117537456755</v>
      </c>
      <c r="Z167" s="282">
        <f t="shared" si="96"/>
        <v>0.32026761411994253</v>
      </c>
      <c r="AA167" s="284">
        <f t="shared" si="97"/>
        <v>0.29555310705155791</v>
      </c>
      <c r="AB167" s="948">
        <f t="array" ref="AB167">IF(AND($AD$124=TRUE,SUM(B167:L167)&gt;0),SUMPRODUCT((((TRANSPOSE(Cls1CentDailyRng)&lt;INDEX(CDRANGE_CLS1,$A167-$A$128+1,AD$125))*TRANSPOSE(Cls1CentDailyRng)+(TRANSPOSE(Cls1CentDailyRng)&gt;INDEX(CDRANGE_CLS1,$A167-$A$128+1,AD$125))*INDEX(CDRANGE_CLS1,$A167-$A$128+1,AD$125))/TRANSPOSE(Cls1CentDailyRng)),B167:L167,TRANSPOSE(Cls1CentVMTShr))/SUMPRODUCT(B167:L167,TRANSPOSE(Cls1CentVMTShr)),0)</f>
        <v>0</v>
      </c>
      <c r="AC167" s="949">
        <f t="array" ref="AC167">IF(AND($AD$124=TRUE,SUM(O167:Y167)&gt;0),SUMPRODUCT((((TRANSPOSE(Cls1NCentDailyRng)&lt;INDEX(CDRANGE_CLS1,$A167-$A$128+1,AD$125))*TRANSPOSE(Cls1NCentDailyRng)+(TRANSPOSE(Cls1NCentDailyRng)&gt;INDEX(CDRANGE_CLS1,$A167-$A$128+1,AD$125))*INDEX(CDRANGE_CLS1,$A167-$A$128+1,AD$125))/TRANSPOSE(Cls1NCentDailyRng)),O167:Y167,TRANSPOSE(Cls1NCentVMTShr))/SUMPRODUCT(O167:Y167,TRANSPOSE(Cls1NCentVMTShr)),0)</f>
        <v>0</v>
      </c>
      <c r="AD167" s="1226">
        <f t="shared" si="107"/>
        <v>0</v>
      </c>
      <c r="AE167" s="937">
        <f t="shared" si="104"/>
        <v>8.7072620376387064E-2</v>
      </c>
      <c r="AF167" s="937">
        <f t="shared" si="105"/>
        <v>0.32026761411994253</v>
      </c>
      <c r="AG167" s="937">
        <f t="shared" si="106"/>
        <v>0.40734023449632961</v>
      </c>
      <c r="AH167" s="1172">
        <f t="shared" si="102"/>
        <v>0.21375894891417027</v>
      </c>
      <c r="AI167" s="937">
        <f t="shared" si="103"/>
        <v>0.78624105108582965</v>
      </c>
      <c r="AJ167" s="227"/>
      <c r="AK167" s="227"/>
      <c r="AL167" s="227"/>
      <c r="AM167" s="227"/>
    </row>
    <row r="168" spans="1:48" x14ac:dyDescent="0.2">
      <c r="A168" s="330">
        <v>2047</v>
      </c>
      <c r="B168" s="344">
        <v>0</v>
      </c>
      <c r="C168" s="345">
        <v>9.9593483462790907E-4</v>
      </c>
      <c r="D168" s="345">
        <v>0.14408980757439596</v>
      </c>
      <c r="E168" s="345">
        <v>0.30416244956121563</v>
      </c>
      <c r="F168" s="345">
        <v>0.35466005992640076</v>
      </c>
      <c r="G168" s="345">
        <v>0.3824540453907696</v>
      </c>
      <c r="H168" s="345">
        <v>0.38328960759708047</v>
      </c>
      <c r="I168" s="345">
        <v>0.38381821715109948</v>
      </c>
      <c r="J168" s="345">
        <v>0.37105789026015507</v>
      </c>
      <c r="K168" s="345">
        <v>0.3759388886480885</v>
      </c>
      <c r="L168" s="380">
        <v>0.36120977671512772</v>
      </c>
      <c r="M168" s="296">
        <f t="shared" si="94"/>
        <v>8.3422070134312992E-2</v>
      </c>
      <c r="N168" s="298">
        <f t="shared" si="95"/>
        <v>7.9838495634570419E-2</v>
      </c>
      <c r="O168" s="344">
        <v>0</v>
      </c>
      <c r="P168" s="345">
        <v>2.7702488573058391E-3</v>
      </c>
      <c r="Q168" s="345">
        <v>0.1930398742390477</v>
      </c>
      <c r="R168" s="345">
        <v>0.323226575389785</v>
      </c>
      <c r="S168" s="345">
        <v>0.38272609860657564</v>
      </c>
      <c r="T168" s="345">
        <v>0.42271145749809597</v>
      </c>
      <c r="U168" s="345">
        <v>0.4371752254746451</v>
      </c>
      <c r="V168" s="345">
        <v>0.44356576861843905</v>
      </c>
      <c r="W168" s="345">
        <v>0.46504932082277806</v>
      </c>
      <c r="X168" s="345">
        <v>0.46407170491528915</v>
      </c>
      <c r="Y168" s="380">
        <v>0.46722236850962412</v>
      </c>
      <c r="Z168" s="296">
        <f t="shared" si="96"/>
        <v>0.3229381708783009</v>
      </c>
      <c r="AA168" s="298">
        <f t="shared" si="97"/>
        <v>0.29856088214795767</v>
      </c>
      <c r="AB168" s="948">
        <f t="array" ref="AB168">IF(AND($AD$124=TRUE,SUM(B168:L168)&gt;0),SUMPRODUCT((((TRANSPOSE(Cls1CentDailyRng)&lt;INDEX(CDRANGE_CLS1,$A168-$A$128+1,AD$125))*TRANSPOSE(Cls1CentDailyRng)+(TRANSPOSE(Cls1CentDailyRng)&gt;INDEX(CDRANGE_CLS1,$A168-$A$128+1,AD$125))*INDEX(CDRANGE_CLS1,$A168-$A$128+1,AD$125))/TRANSPOSE(Cls1CentDailyRng)),B168:L168,TRANSPOSE(Cls1CentVMTShr))/SUMPRODUCT(B168:L168,TRANSPOSE(Cls1CentVMTShr)),0)</f>
        <v>0</v>
      </c>
      <c r="AC168" s="949">
        <f t="array" ref="AC168">IF(AND($AD$124=TRUE,SUM(O168:Y168)&gt;0),SUMPRODUCT((((TRANSPOSE(Cls1NCentDailyRng)&lt;INDEX(CDRANGE_CLS1,$A168-$A$128+1,AD$125))*TRANSPOSE(Cls1NCentDailyRng)+(TRANSPOSE(Cls1NCentDailyRng)&gt;INDEX(CDRANGE_CLS1,$A168-$A$128+1,AD$125))*INDEX(CDRANGE_CLS1,$A168-$A$128+1,AD$125))/TRANSPOSE(Cls1NCentDailyRng)),O168:Y168,TRANSPOSE(Cls1NCentVMTShr))/SUMPRODUCT(O168:Y168,TRANSPOSE(Cls1NCentVMTShr)),0)</f>
        <v>0</v>
      </c>
      <c r="AD168" s="1226">
        <f t="shared" si="107"/>
        <v>0</v>
      </c>
      <c r="AE168" s="937">
        <f t="shared" si="104"/>
        <v>8.3422070134312992E-2</v>
      </c>
      <c r="AF168" s="937">
        <f t="shared" si="105"/>
        <v>0.3229381708783009</v>
      </c>
      <c r="AG168" s="937">
        <f t="shared" si="106"/>
        <v>0.40636024101261392</v>
      </c>
      <c r="AH168" s="1172">
        <f t="shared" si="102"/>
        <v>0.20529092591940723</v>
      </c>
      <c r="AI168" s="937">
        <f t="shared" si="103"/>
        <v>0.79470907408059266</v>
      </c>
      <c r="AJ168" s="227"/>
      <c r="AK168" s="227"/>
      <c r="AL168" s="227"/>
      <c r="AM168" s="227"/>
    </row>
    <row r="169" spans="1:48" x14ac:dyDescent="0.2">
      <c r="A169" s="330">
        <v>2048</v>
      </c>
      <c r="B169" s="344">
        <v>0</v>
      </c>
      <c r="C169" s="345">
        <v>1.1851344648882078E-3</v>
      </c>
      <c r="D169" s="345">
        <v>0.16116360084594669</v>
      </c>
      <c r="E169" s="345">
        <v>0.29797285425990405</v>
      </c>
      <c r="F169" s="345">
        <v>0.33682014814649686</v>
      </c>
      <c r="G169" s="345">
        <v>0.35465521360760366</v>
      </c>
      <c r="H169" s="345">
        <v>0.3524455746956951</v>
      </c>
      <c r="I169" s="345">
        <v>0.36740082833391452</v>
      </c>
      <c r="J169" s="345">
        <v>0.3662273158682034</v>
      </c>
      <c r="K169" s="345">
        <v>0.36386745739661108</v>
      </c>
      <c r="L169" s="380">
        <v>0.35363715954182434</v>
      </c>
      <c r="M169" s="296">
        <f t="shared" si="94"/>
        <v>7.8854191043349356E-2</v>
      </c>
      <c r="N169" s="298">
        <f t="shared" si="95"/>
        <v>7.5577040869652473E-2</v>
      </c>
      <c r="O169" s="344">
        <v>0</v>
      </c>
      <c r="P169" s="345">
        <v>3.2564309773730209E-3</v>
      </c>
      <c r="Q169" s="345">
        <v>0.19265795400098445</v>
      </c>
      <c r="R169" s="345">
        <v>0.31144030023995245</v>
      </c>
      <c r="S169" s="345">
        <v>0.36386480191053977</v>
      </c>
      <c r="T169" s="345">
        <v>0.40593479376219044</v>
      </c>
      <c r="U169" s="345">
        <v>0.41414103463631385</v>
      </c>
      <c r="V169" s="345">
        <v>0.4555997517432977</v>
      </c>
      <c r="W169" s="345">
        <v>0.46127242632159809</v>
      </c>
      <c r="X169" s="345">
        <v>0.46059756872206792</v>
      </c>
      <c r="Y169" s="380">
        <v>0.46361166843984536</v>
      </c>
      <c r="Z169" s="296">
        <f t="shared" si="96"/>
        <v>0.31313689317971899</v>
      </c>
      <c r="AA169" s="298">
        <f t="shared" si="97"/>
        <v>0.28855396283420037</v>
      </c>
      <c r="AB169" s="948">
        <f t="array" ref="AB169">IF(AND($AD$124=TRUE,SUM(B169:L169)&gt;0),SUMPRODUCT((((TRANSPOSE(Cls1CentDailyRng)&lt;INDEX(CDRANGE_CLS1,$A169-$A$128+1,AD$125))*TRANSPOSE(Cls1CentDailyRng)+(TRANSPOSE(Cls1CentDailyRng)&gt;INDEX(CDRANGE_CLS1,$A169-$A$128+1,AD$125))*INDEX(CDRANGE_CLS1,$A169-$A$128+1,AD$125))/TRANSPOSE(Cls1CentDailyRng)),B169:L169,TRANSPOSE(Cls1CentVMTShr))/SUMPRODUCT(B169:L169,TRANSPOSE(Cls1CentVMTShr)),0)</f>
        <v>0</v>
      </c>
      <c r="AC169" s="949">
        <f t="array" ref="AC169">IF(AND($AD$124=TRUE,SUM(O169:Y169)&gt;0),SUMPRODUCT((((TRANSPOSE(Cls1NCentDailyRng)&lt;INDEX(CDRANGE_CLS1,$A169-$A$128+1,AD$125))*TRANSPOSE(Cls1NCentDailyRng)+(TRANSPOSE(Cls1NCentDailyRng)&gt;INDEX(CDRANGE_CLS1,$A169-$A$128+1,AD$125))*INDEX(CDRANGE_CLS1,$A169-$A$128+1,AD$125))/TRANSPOSE(Cls1NCentDailyRng)),O169:Y169,TRANSPOSE(Cls1NCentVMTShr))/SUMPRODUCT(O169:Y169,TRANSPOSE(Cls1NCentVMTShr)),0)</f>
        <v>0</v>
      </c>
      <c r="AD169" s="1226">
        <f t="shared" si="107"/>
        <v>0</v>
      </c>
      <c r="AE169" s="937">
        <f t="shared" si="104"/>
        <v>7.8854191043349356E-2</v>
      </c>
      <c r="AF169" s="937">
        <f t="shared" si="105"/>
        <v>0.31313689317971899</v>
      </c>
      <c r="AG169" s="937">
        <f t="shared" si="106"/>
        <v>0.39199108422306833</v>
      </c>
      <c r="AH169" s="1172">
        <f t="shared" si="102"/>
        <v>0.20116322594336408</v>
      </c>
      <c r="AI169" s="937">
        <f t="shared" si="103"/>
        <v>0.798836774056636</v>
      </c>
      <c r="AJ169" s="227"/>
      <c r="AK169" s="227"/>
      <c r="AL169" s="227"/>
      <c r="AM169" s="227"/>
    </row>
    <row r="170" spans="1:48" x14ac:dyDescent="0.2">
      <c r="A170" s="330">
        <v>2049</v>
      </c>
      <c r="B170" s="344">
        <v>0</v>
      </c>
      <c r="C170" s="345">
        <v>1.4085597351178182E-3</v>
      </c>
      <c r="D170" s="345">
        <v>0.16032282230178441</v>
      </c>
      <c r="E170" s="345">
        <v>0.2829395861810392</v>
      </c>
      <c r="F170" s="345">
        <v>0.33136401949115618</v>
      </c>
      <c r="G170" s="345">
        <v>0.31921529107040697</v>
      </c>
      <c r="H170" s="345">
        <v>0.3197744530369625</v>
      </c>
      <c r="I170" s="345">
        <v>0.35092843606531871</v>
      </c>
      <c r="J170" s="345">
        <v>0.35441734983203449</v>
      </c>
      <c r="K170" s="345">
        <v>0.35249743517612614</v>
      </c>
      <c r="L170" s="380">
        <v>0.34388770353124165</v>
      </c>
      <c r="M170" s="296">
        <f t="shared" si="94"/>
        <v>7.4003544238656072E-2</v>
      </c>
      <c r="N170" s="298">
        <f t="shared" si="95"/>
        <v>7.1001261787369416E-2</v>
      </c>
      <c r="O170" s="344">
        <v>0</v>
      </c>
      <c r="P170" s="345">
        <v>3.8231361675613801E-3</v>
      </c>
      <c r="Q170" s="345">
        <v>0.21307952818141401</v>
      </c>
      <c r="R170" s="345">
        <v>0.30223475632736374</v>
      </c>
      <c r="S170" s="345">
        <v>0.367081706873919</v>
      </c>
      <c r="T170" s="345">
        <v>0.37473845155841845</v>
      </c>
      <c r="U170" s="345">
        <v>0.38283131937204395</v>
      </c>
      <c r="V170" s="345">
        <v>0.44998437659365864</v>
      </c>
      <c r="W170" s="345">
        <v>0.455146246937428</v>
      </c>
      <c r="X170" s="345">
        <v>0.45435658721354139</v>
      </c>
      <c r="Y170" s="380">
        <v>0.45753665050289338</v>
      </c>
      <c r="Z170" s="296">
        <f t="shared" si="96"/>
        <v>0.29894987547618501</v>
      </c>
      <c r="AA170" s="298">
        <f t="shared" si="97"/>
        <v>0.27560887182780591</v>
      </c>
      <c r="AB170" s="948">
        <f t="array" ref="AB170">IF(AND($AD$124=TRUE,SUM(B170:L170)&gt;0),SUMPRODUCT((((TRANSPOSE(Cls1CentDailyRng)&lt;INDEX(CDRANGE_CLS1,$A170-$A$128+1,AD$125))*TRANSPOSE(Cls1CentDailyRng)+(TRANSPOSE(Cls1CentDailyRng)&gt;INDEX(CDRANGE_CLS1,$A170-$A$128+1,AD$125))*INDEX(CDRANGE_CLS1,$A170-$A$128+1,AD$125))/TRANSPOSE(Cls1CentDailyRng)),B170:L170,TRANSPOSE(Cls1CentVMTShr))/SUMPRODUCT(B170:L170,TRANSPOSE(Cls1CentVMTShr)),0)</f>
        <v>0</v>
      </c>
      <c r="AC170" s="949">
        <f t="array" ref="AC170">IF(AND($AD$124=TRUE,SUM(O170:Y170)&gt;0),SUMPRODUCT((((TRANSPOSE(Cls1NCentDailyRng)&lt;INDEX(CDRANGE_CLS1,$A170-$A$128+1,AD$125))*TRANSPOSE(Cls1NCentDailyRng)+(TRANSPOSE(Cls1NCentDailyRng)&gt;INDEX(CDRANGE_CLS1,$A170-$A$128+1,AD$125))*INDEX(CDRANGE_CLS1,$A170-$A$128+1,AD$125))/TRANSPOSE(Cls1NCentDailyRng)),O170:Y170,TRANSPOSE(Cls1NCentVMTShr))/SUMPRODUCT(O170:Y170,TRANSPOSE(Cls1NCentVMTShr)),0)</f>
        <v>0</v>
      </c>
      <c r="AD170" s="1226">
        <f t="shared" si="107"/>
        <v>0</v>
      </c>
      <c r="AE170" s="937">
        <f t="shared" si="104"/>
        <v>7.4003544238656072E-2</v>
      </c>
      <c r="AF170" s="937">
        <f t="shared" si="105"/>
        <v>0.29894987547618501</v>
      </c>
      <c r="AG170" s="937">
        <f t="shared" si="106"/>
        <v>0.37295341971484108</v>
      </c>
      <c r="AH170" s="1172">
        <f t="shared" si="102"/>
        <v>0.19842570231756804</v>
      </c>
      <c r="AI170" s="937">
        <f t="shared" si="103"/>
        <v>0.80157429768243194</v>
      </c>
      <c r="AJ170" s="227"/>
      <c r="AK170" s="227"/>
      <c r="AL170" s="227"/>
      <c r="AM170" s="227"/>
    </row>
    <row r="171" spans="1:48" ht="15" thickBot="1" x14ac:dyDescent="0.25">
      <c r="A171" s="328">
        <v>2050</v>
      </c>
      <c r="B171" s="346">
        <v>0</v>
      </c>
      <c r="C171" s="347">
        <v>1.6690556861589142E-3</v>
      </c>
      <c r="D171" s="347">
        <v>0.15502882288920627</v>
      </c>
      <c r="E171" s="347">
        <v>0.2498816045041444</v>
      </c>
      <c r="F171" s="347">
        <v>0.28872561942104352</v>
      </c>
      <c r="G171" s="347">
        <v>0.27941256269006903</v>
      </c>
      <c r="H171" s="347">
        <v>0.28232437785218728</v>
      </c>
      <c r="I171" s="347">
        <v>0.33468291988476867</v>
      </c>
      <c r="J171" s="347">
        <v>0.34287852890238024</v>
      </c>
      <c r="K171" s="347">
        <v>0.34162355655425197</v>
      </c>
      <c r="L171" s="381">
        <v>0.33733060612275223</v>
      </c>
      <c r="M171" s="310">
        <f t="shared" si="94"/>
        <v>6.7077789430329632E-2</v>
      </c>
      <c r="N171" s="312">
        <f t="shared" si="95"/>
        <v>6.3800802114441085E-2</v>
      </c>
      <c r="O171" s="346">
        <v>0</v>
      </c>
      <c r="P171" s="347">
        <v>3.8161173675685099E-3</v>
      </c>
      <c r="Q171" s="347">
        <v>0.20473655802763541</v>
      </c>
      <c r="R171" s="347">
        <v>0.27602166197009931</v>
      </c>
      <c r="S171" s="347">
        <v>0.32798821660491378</v>
      </c>
      <c r="T171" s="347">
        <v>0.33600413731026124</v>
      </c>
      <c r="U171" s="347">
        <v>0.34572015809278267</v>
      </c>
      <c r="V171" s="347">
        <v>0.44395696736424722</v>
      </c>
      <c r="W171" s="347">
        <v>0.4496427418626408</v>
      </c>
      <c r="X171" s="347">
        <v>0.44949597485097909</v>
      </c>
      <c r="Y171" s="381">
        <v>0.45016009621323544</v>
      </c>
      <c r="Z171" s="310">
        <f t="shared" si="96"/>
        <v>0.2774820847901609</v>
      </c>
      <c r="AA171" s="312">
        <f t="shared" si="97"/>
        <v>0.25390284711107347</v>
      </c>
      <c r="AB171" s="950">
        <f t="array" ref="AB171">IF(AND($AD$124=TRUE,SUM(B171:L171)&gt;0),SUMPRODUCT((((TRANSPOSE(Cls1CentDailyRng)&lt;INDEX(CDRANGE_CLS1,$A171-$A$128+1,AD$125))*TRANSPOSE(Cls1CentDailyRng)+(TRANSPOSE(Cls1CentDailyRng)&gt;INDEX(CDRANGE_CLS1,$A171-$A$128+1,AD$125))*INDEX(CDRANGE_CLS1,$A171-$A$128+1,AD$125))/TRANSPOSE(Cls1CentDailyRng)),B171:L171,TRANSPOSE(Cls1CentVMTShr))/SUMPRODUCT(B171:L171,TRANSPOSE(Cls1CentVMTShr)),0)</f>
        <v>0</v>
      </c>
      <c r="AC171" s="951">
        <f t="array" ref="AC171">IF(AND($AD$124=TRUE,SUM(O171:Y171)&gt;0),SUMPRODUCT((((TRANSPOSE(Cls1NCentDailyRng)&lt;INDEX(CDRANGE_CLS1,$A171-$A$128+1,AD$125))*TRANSPOSE(Cls1NCentDailyRng)+(TRANSPOSE(Cls1NCentDailyRng)&gt;INDEX(CDRANGE_CLS1,$A171-$A$128+1,AD$125))*INDEX(CDRANGE_CLS1,$A171-$A$128+1,AD$125))/TRANSPOSE(Cls1NCentDailyRng)),O171:Y171,TRANSPOSE(Cls1NCentVMTShr))/SUMPRODUCT(O171:Y171,TRANSPOSE(Cls1NCentVMTShr)),0)</f>
        <v>0</v>
      </c>
      <c r="AD171" s="1227">
        <f t="shared" si="107"/>
        <v>0</v>
      </c>
      <c r="AE171" s="937">
        <f t="shared" si="104"/>
        <v>6.7077789430329632E-2</v>
      </c>
      <c r="AF171" s="937">
        <f t="shared" si="105"/>
        <v>0.2774820847901609</v>
      </c>
      <c r="AG171" s="937">
        <f t="shared" si="106"/>
        <v>0.3445598742204905</v>
      </c>
      <c r="AH171" s="1172">
        <f t="shared" si="102"/>
        <v>0.19467672950044457</v>
      </c>
      <c r="AI171" s="937">
        <f t="shared" si="103"/>
        <v>0.80532327049955554</v>
      </c>
      <c r="AJ171" s="227"/>
      <c r="AK171" s="227"/>
      <c r="AL171" s="227"/>
      <c r="AM171" s="227"/>
    </row>
    <row r="172" spans="1:48" x14ac:dyDescent="0.2">
      <c r="B172" s="227" t="str">
        <f>B$120</f>
        <v>Output generated: 7/21/2020 15:48</v>
      </c>
      <c r="O172" s="227" t="str">
        <f>U$120</f>
        <v>Output generated: 7/21/2020 15:48</v>
      </c>
      <c r="W172" s="323"/>
      <c r="X172" s="323"/>
      <c r="Y172" s="323"/>
      <c r="AE172" s="937"/>
      <c r="AF172" s="937"/>
      <c r="AG172" s="937"/>
      <c r="AH172" s="937"/>
      <c r="AI172" s="937"/>
      <c r="AJ172" s="227"/>
      <c r="AK172" s="227"/>
      <c r="AL172" s="227"/>
      <c r="AM172" s="227"/>
    </row>
    <row r="173" spans="1:48" ht="15" thickBot="1" x14ac:dyDescent="0.25">
      <c r="W173" s="323"/>
      <c r="X173" s="323"/>
      <c r="Y173" s="323"/>
      <c r="AE173" s="937"/>
      <c r="AF173" s="937"/>
      <c r="AG173" s="937"/>
      <c r="AH173" s="937"/>
      <c r="AI173" s="937"/>
      <c r="AJ173" s="227"/>
      <c r="AK173" s="227"/>
      <c r="AL173" s="227"/>
      <c r="AM173" s="227"/>
    </row>
    <row r="174" spans="1:48" ht="15" x14ac:dyDescent="0.2">
      <c r="A174" s="333"/>
      <c r="B174" s="1555" t="s">
        <v>191</v>
      </c>
      <c r="C174" s="1556"/>
      <c r="D174" s="1556"/>
      <c r="E174" s="1556"/>
      <c r="F174" s="1556"/>
      <c r="G174" s="1556"/>
      <c r="H174" s="1556"/>
      <c r="I174" s="1556"/>
      <c r="J174" s="1556"/>
      <c r="K174" s="1556"/>
      <c r="L174" s="1556"/>
      <c r="M174" s="1556"/>
      <c r="N174" s="1557"/>
      <c r="O174" s="1555" t="s">
        <v>192</v>
      </c>
      <c r="P174" s="1556"/>
      <c r="Q174" s="1556"/>
      <c r="R174" s="1556"/>
      <c r="S174" s="1556"/>
      <c r="T174" s="1556"/>
      <c r="U174" s="1556"/>
      <c r="V174" s="1556"/>
      <c r="W174" s="1556"/>
      <c r="X174" s="1556"/>
      <c r="Y174" s="1556"/>
      <c r="Z174" s="1556"/>
      <c r="AA174" s="1557"/>
      <c r="AE174" s="937"/>
      <c r="AF174" s="937"/>
      <c r="AG174" s="937"/>
      <c r="AH174" s="937"/>
      <c r="AI174" s="937"/>
      <c r="AJ174" s="227"/>
      <c r="AK174" s="227"/>
      <c r="AL174" s="227"/>
      <c r="AM174" s="227"/>
    </row>
    <row r="175" spans="1:48" x14ac:dyDescent="0.2">
      <c r="A175" s="324"/>
      <c r="B175" s="1552" t="s">
        <v>121</v>
      </c>
      <c r="C175" s="1553"/>
      <c r="D175" s="1553"/>
      <c r="E175" s="1553"/>
      <c r="F175" s="1553"/>
      <c r="G175" s="1553"/>
      <c r="H175" s="1553"/>
      <c r="I175" s="1553"/>
      <c r="J175" s="1553"/>
      <c r="K175" s="1553"/>
      <c r="L175" s="1554"/>
      <c r="M175" s="382"/>
      <c r="N175" s="325"/>
      <c r="O175" s="1552" t="s">
        <v>121</v>
      </c>
      <c r="P175" s="1553"/>
      <c r="Q175" s="1553"/>
      <c r="R175" s="1553"/>
      <c r="S175" s="1553"/>
      <c r="T175" s="1553"/>
      <c r="U175" s="1553"/>
      <c r="V175" s="1553"/>
      <c r="W175" s="1553"/>
      <c r="X175" s="1553"/>
      <c r="Y175" s="1554"/>
      <c r="Z175" s="382"/>
      <c r="AA175" s="325"/>
      <c r="AE175" s="937"/>
      <c r="AF175" s="937"/>
      <c r="AG175" s="937"/>
      <c r="AH175" s="937"/>
      <c r="AI175" s="937"/>
      <c r="AJ175" s="227"/>
      <c r="AK175" s="227"/>
      <c r="AL175" s="227"/>
      <c r="AM175" s="227"/>
    </row>
    <row r="176" spans="1:48"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C176" s="903" t="s">
        <v>267</v>
      </c>
      <c r="AD176" s="234" t="b">
        <f>INDEX(TECH_OPT_FUEL2_Cls1,MATCH(RIGHT(O174),TECH_OPT_ROWS_Cls1,0))&lt;&gt;"N/A"</f>
        <v>0</v>
      </c>
      <c r="AE176" s="937"/>
      <c r="AF176" s="937"/>
      <c r="AG176" s="937"/>
      <c r="AH176" s="937"/>
      <c r="AI176" s="937"/>
      <c r="AJ176" s="227"/>
      <c r="AK176"/>
      <c r="AL176"/>
      <c r="AM176"/>
      <c r="AN176"/>
      <c r="AO176"/>
      <c r="AP176"/>
      <c r="AQ176"/>
      <c r="AR176"/>
      <c r="AS176"/>
      <c r="AT176"/>
      <c r="AU176"/>
      <c r="AV176"/>
    </row>
    <row r="177" spans="1:48" ht="16" thickTop="1" thickBot="1" x14ac:dyDescent="0.25">
      <c r="A177" s="348" t="s">
        <v>124</v>
      </c>
      <c r="B177" s="340">
        <f t="array" ref="B177:L177">TRANSPOSE(Cls1CentTruckShr)</f>
        <v>7.9460669190030697E-3</v>
      </c>
      <c r="C177" s="341">
        <v>4.9615201402207001E-3</v>
      </c>
      <c r="D177" s="341">
        <v>9.2815995818941767E-3</v>
      </c>
      <c r="E177" s="341">
        <v>3.0833513121077051E-2</v>
      </c>
      <c r="F177" s="341">
        <v>4.3269302277925595E-2</v>
      </c>
      <c r="G177" s="341">
        <v>2.8144935330937017E-2</v>
      </c>
      <c r="H177" s="341">
        <v>6.8990329765143715E-2</v>
      </c>
      <c r="I177" s="341">
        <v>2.4926184998997059E-2</v>
      </c>
      <c r="J177" s="341">
        <v>7.8890239376675012E-3</v>
      </c>
      <c r="K177" s="341">
        <v>3.6046105934191604E-3</v>
      </c>
      <c r="L177" s="378">
        <v>7.5162351043371062E-3</v>
      </c>
      <c r="M177" s="385"/>
      <c r="N177" s="334"/>
      <c r="O177" s="340">
        <f t="array" ref="O177:Y177">TRANSPOSE(Cls1NCentTruckShr)</f>
        <v>1.2963682068270432E-2</v>
      </c>
      <c r="P177" s="341">
        <v>2.3837141813212878E-2</v>
      </c>
      <c r="Q177" s="341">
        <v>2.5768680683356839E-2</v>
      </c>
      <c r="R177" s="341">
        <v>5.7965433078982248E-2</v>
      </c>
      <c r="S177" s="341">
        <v>0.10312619102844889</v>
      </c>
      <c r="T177" s="341">
        <v>0.18550667796975542</v>
      </c>
      <c r="U177" s="341">
        <v>0.21310728355070049</v>
      </c>
      <c r="V177" s="341">
        <v>7.3364250696428643E-2</v>
      </c>
      <c r="W177" s="341">
        <v>1.9856733825595378E-2</v>
      </c>
      <c r="X177" s="341">
        <v>2.1261216059795113E-2</v>
      </c>
      <c r="Y177" s="378">
        <v>2.5879387454831333E-2</v>
      </c>
      <c r="Z177" s="385"/>
      <c r="AA177" s="334"/>
      <c r="AB177" s="936"/>
      <c r="AC177" s="903" t="s">
        <v>268</v>
      </c>
      <c r="AD177" s="234">
        <f>MATCH(RIGHT(O174),TECH_OPT_ROWS_Cls1,0)</f>
        <v>4</v>
      </c>
      <c r="AE177" s="937"/>
      <c r="AF177" s="937"/>
      <c r="AG177" s="937"/>
      <c r="AH177" s="937"/>
      <c r="AI177" s="937"/>
      <c r="AJ177" s="227"/>
      <c r="AK177"/>
      <c r="AL177"/>
      <c r="AM177"/>
      <c r="AN177"/>
      <c r="AO177"/>
      <c r="AP177"/>
      <c r="AQ177"/>
      <c r="AR177"/>
      <c r="AS177"/>
      <c r="AT177"/>
      <c r="AU177"/>
      <c r="AV177"/>
    </row>
    <row r="178" spans="1:48" x14ac:dyDescent="0.2">
      <c r="A178" s="331" t="s">
        <v>125</v>
      </c>
      <c r="B178" s="923">
        <f t="array" ref="B178:L178">TRANSPOSE(Cls1CentVMTShr)</f>
        <v>8.9762242961142352E-4</v>
      </c>
      <c r="C178" s="924">
        <v>1.2044238150123706E-3</v>
      </c>
      <c r="D178" s="924">
        <v>4.1499109643594731E-3</v>
      </c>
      <c r="E178" s="924">
        <v>1.9575808105519295E-2</v>
      </c>
      <c r="F178" s="924">
        <v>3.4523467949689302E-2</v>
      </c>
      <c r="G178" s="924">
        <v>2.7311948935134379E-2</v>
      </c>
      <c r="H178" s="924">
        <v>7.6478458482655817E-2</v>
      </c>
      <c r="I178" s="924">
        <v>3.2480526319280681E-2</v>
      </c>
      <c r="J178" s="924">
        <v>1.1772940427842455E-2</v>
      </c>
      <c r="K178" s="924">
        <v>6.0339283082965706E-3</v>
      </c>
      <c r="L178" s="925">
        <v>1.5952440951210019E-2</v>
      </c>
      <c r="M178" s="926"/>
      <c r="N178" s="927"/>
      <c r="O178" s="928">
        <f t="array" ref="O178:Y178">TRANSPOSE(Cls1NCentVMTShr)</f>
        <v>1.3589913425833078E-3</v>
      </c>
      <c r="P178" s="929">
        <v>5.8692629772239642E-3</v>
      </c>
      <c r="Q178" s="929">
        <v>1.2100393581509007E-2</v>
      </c>
      <c r="R178" s="929">
        <v>3.6555003327388577E-2</v>
      </c>
      <c r="S178" s="929">
        <v>8.3148735051829181E-2</v>
      </c>
      <c r="T178" s="929">
        <v>0.18151138394047112</v>
      </c>
      <c r="U178" s="929">
        <v>0.2383386372324876</v>
      </c>
      <c r="V178" s="929">
        <v>9.5602564448196578E-2</v>
      </c>
      <c r="W178" s="929">
        <v>2.9193025028929166E-2</v>
      </c>
      <c r="X178" s="929">
        <v>3.5209492159336005E-2</v>
      </c>
      <c r="Y178" s="930">
        <v>5.0731034221433824E-2</v>
      </c>
      <c r="Z178" s="926"/>
      <c r="AA178" s="927"/>
      <c r="AB178" s="1568" t="str">
        <f>"% of miles on f2 for Tech "&amp; RIGHT(O174)&amp;" adopters"</f>
        <v>% of miles on f2 for Tech C adopters</v>
      </c>
      <c r="AC178" s="1569"/>
      <c r="AD178" s="1570"/>
      <c r="AE178" s="937" t="s">
        <v>303</v>
      </c>
      <c r="AF178" s="937"/>
      <c r="AG178" s="937"/>
      <c r="AH178" s="1172" t="s">
        <v>309</v>
      </c>
      <c r="AI178" s="937"/>
      <c r="AJ178" s="828"/>
      <c r="AK178"/>
      <c r="AL178"/>
      <c r="AM178"/>
      <c r="AN178"/>
      <c r="AO178"/>
      <c r="AP178"/>
      <c r="AQ178"/>
      <c r="AR178"/>
      <c r="AS178"/>
      <c r="AT178"/>
      <c r="AU178"/>
      <c r="AV178"/>
    </row>
    <row r="179" spans="1:48" ht="15" thickBot="1" x14ac:dyDescent="0.25">
      <c r="A179" s="331" t="s">
        <v>266</v>
      </c>
      <c r="B179" s="933">
        <f t="array" ref="B179:L179">TRANSPOSE(Cls1CentVMT/OPDAYS_Cls1)</f>
        <v>51.642967609234425</v>
      </c>
      <c r="C179" s="934">
        <v>110.97733417848234</v>
      </c>
      <c r="D179" s="934">
        <v>204.40224583551472</v>
      </c>
      <c r="E179" s="934">
        <v>290.24610572847212</v>
      </c>
      <c r="F179" s="934">
        <v>364.75750419264841</v>
      </c>
      <c r="G179" s="934">
        <v>443.63126889109378</v>
      </c>
      <c r="H179" s="934">
        <v>506.78134229373978</v>
      </c>
      <c r="I179" s="934">
        <v>595.71283413609137</v>
      </c>
      <c r="J179" s="934">
        <v>682.23089916089702</v>
      </c>
      <c r="K179" s="934">
        <v>765.26438827532684</v>
      </c>
      <c r="L179" s="935">
        <v>970.27871027310334</v>
      </c>
      <c r="M179" s="931"/>
      <c r="N179" s="932"/>
      <c r="O179" s="933">
        <f t="array" ref="O179:Y179">TRANSPOSE(Cls1NCentVMT/OPDAYS_Cls1)</f>
        <v>47.924548633512046</v>
      </c>
      <c r="P179" s="934">
        <v>112.56389213862748</v>
      </c>
      <c r="Q179" s="934">
        <v>214.67280220238027</v>
      </c>
      <c r="R179" s="934">
        <v>288.30186744262801</v>
      </c>
      <c r="S179" s="934">
        <v>368.60089210549245</v>
      </c>
      <c r="T179" s="934">
        <v>447.31558789932524</v>
      </c>
      <c r="U179" s="934">
        <v>511.28831950097862</v>
      </c>
      <c r="V179" s="934">
        <v>595.73726658362273</v>
      </c>
      <c r="W179" s="934">
        <v>672.11099195240695</v>
      </c>
      <c r="X179" s="934">
        <v>757.0793017898726</v>
      </c>
      <c r="Y179" s="935">
        <v>896.16800791754974</v>
      </c>
      <c r="Z179" s="931"/>
      <c r="AA179" s="932"/>
      <c r="AB179" s="945" t="s">
        <v>186</v>
      </c>
      <c r="AC179" s="946" t="s">
        <v>15</v>
      </c>
      <c r="AD179" s="947" t="s">
        <v>18</v>
      </c>
      <c r="AE179" s="937" t="s">
        <v>186</v>
      </c>
      <c r="AF179" s="937" t="s">
        <v>15</v>
      </c>
      <c r="AG179" s="937" t="s">
        <v>18</v>
      </c>
      <c r="AH179" s="1172" t="s">
        <v>186</v>
      </c>
      <c r="AI179" s="937" t="s">
        <v>15</v>
      </c>
      <c r="AJ179" s="227"/>
      <c r="AK179"/>
      <c r="AL179"/>
      <c r="AM179"/>
      <c r="AN179"/>
      <c r="AO179"/>
      <c r="AP179"/>
      <c r="AQ179"/>
      <c r="AR179"/>
      <c r="AS179"/>
      <c r="AT179"/>
      <c r="AU179"/>
      <c r="AV179"/>
    </row>
    <row r="180" spans="1:48" ht="15" thickTop="1" x14ac:dyDescent="0.2">
      <c r="A180" s="326">
        <v>2007</v>
      </c>
      <c r="B180" s="342">
        <v>0</v>
      </c>
      <c r="C180" s="343">
        <v>0</v>
      </c>
      <c r="D180" s="343">
        <v>0</v>
      </c>
      <c r="E180" s="343">
        <v>0</v>
      </c>
      <c r="F180" s="343">
        <v>0</v>
      </c>
      <c r="G180" s="343">
        <v>0</v>
      </c>
      <c r="H180" s="343">
        <v>0</v>
      </c>
      <c r="I180" s="343">
        <v>0</v>
      </c>
      <c r="J180" s="343">
        <v>0</v>
      </c>
      <c r="K180" s="343">
        <v>0</v>
      </c>
      <c r="L180" s="379">
        <v>0</v>
      </c>
      <c r="M180" s="282">
        <f t="shared" ref="M180:M223" si="108">SUMPRODUCT($B$178:$L$178,$B180:$L180)</f>
        <v>0</v>
      </c>
      <c r="N180" s="284">
        <f t="shared" ref="N180:N223" si="109">SUMPRODUCT($B$177:$L$177,$B180:$L180)</f>
        <v>0</v>
      </c>
      <c r="O180" s="342">
        <v>0</v>
      </c>
      <c r="P180" s="343">
        <v>0</v>
      </c>
      <c r="Q180" s="343">
        <v>0</v>
      </c>
      <c r="R180" s="343">
        <v>0</v>
      </c>
      <c r="S180" s="343">
        <v>0</v>
      </c>
      <c r="T180" s="343">
        <v>0</v>
      </c>
      <c r="U180" s="343">
        <v>0</v>
      </c>
      <c r="V180" s="343">
        <v>0</v>
      </c>
      <c r="W180" s="343">
        <v>0</v>
      </c>
      <c r="X180" s="343">
        <v>0</v>
      </c>
      <c r="Y180" s="379">
        <v>0</v>
      </c>
      <c r="Z180" s="282">
        <f t="shared" ref="Z180:Z223" si="110">SUMPRODUCT($O$178:$Y$178,$O180:$Y180)</f>
        <v>0</v>
      </c>
      <c r="AA180" s="284">
        <f t="shared" ref="AA180:AA223" si="111">SUMPRODUCT($O$177:$Y$177,$O180:$Y180)</f>
        <v>0</v>
      </c>
      <c r="AB180" s="948">
        <f t="array" ref="AB180">IF(AND($AD$176=TRUE,SUM(B180:L180)&gt;0),SUMPRODUCT((((TRANSPOSE(Cls1CentDailyRng)&lt;INDEX(CDRANGE_CLS1,$A180-$A$180+1,AD$177))*TRANSPOSE(Cls1CentDailyRng)+(TRANSPOSE(Cls1CentDailyRng)&gt;INDEX(CDRANGE_CLS1,$A180-$A$180+1,AD$177))*INDEX(CDRANGE_CLS1,$A180-$A$180+1,AD$177))/TRANSPOSE(Cls1CentDailyRng)),B180:L180,TRANSPOSE(Cls1CentVMTShr))/SUMPRODUCT(B180:L180,TRANSPOSE(Cls1CentVMTShr)),0)</f>
        <v>0</v>
      </c>
      <c r="AC180" s="949">
        <f t="array" ref="AC180">IF(AND($AD$176=TRUE,SUM(O180:Y180)&gt;0),SUMPRODUCT((((TRANSPOSE(Cls1NCentDailyRng)&lt;INDEX(CDRANGE_CLS1,$A180-$A$180+1,AD$177))*TRANSPOSE(Cls1NCentDailyRng)+(TRANSPOSE(Cls1NCentDailyRng)&gt;INDEX(CDRANGE_CLS1,$A180-$A$180+1,AD$177))*INDEX(CDRANGE_CLS1,$A180-$A$180+1,AD$177))/TRANSPOSE(Cls1NCentDailyRng)),O180:Y180,TRANSPOSE(Cls1NCentVMTShr))/SUMPRODUCT(O180:Y180,TRANSPOSE(Cls1NCentVMTShr)),0)</f>
        <v>0</v>
      </c>
      <c r="AD180" s="1226">
        <f t="shared" ref="AD180:AD205" si="112">AB180*AH180+AC180*AI180</f>
        <v>0</v>
      </c>
      <c r="AE180" s="937">
        <f t="shared" ref="AE180:AE194" si="113">SUMPRODUCT($B$74:$L$74,B180:L180)</f>
        <v>0</v>
      </c>
      <c r="AF180" s="937">
        <f t="shared" ref="AF180:AF194" si="114">SUMPRODUCT($O$74:$Y$74,O180:Y180)</f>
        <v>0</v>
      </c>
      <c r="AG180" s="937">
        <f t="shared" ref="AG180:AG194" si="115">SUM(AE180:AF180)</f>
        <v>0</v>
      </c>
      <c r="AH180" s="1172">
        <f>IF(AG180&gt;0,AE180/AG180,0)</f>
        <v>0</v>
      </c>
      <c r="AI180" s="937">
        <f>IF(AG180&gt;0,AF180/AG180,0)</f>
        <v>0</v>
      </c>
      <c r="AJ180" s="227"/>
      <c r="AK180"/>
      <c r="AL180"/>
      <c r="AM180"/>
      <c r="AN180"/>
      <c r="AO180"/>
      <c r="AP180"/>
      <c r="AQ180"/>
      <c r="AR180"/>
      <c r="AS180"/>
      <c r="AT180"/>
      <c r="AU180"/>
      <c r="AV180"/>
    </row>
    <row r="181" spans="1:48" x14ac:dyDescent="0.2">
      <c r="A181" s="327">
        <v>2008</v>
      </c>
      <c r="B181" s="344">
        <v>0</v>
      </c>
      <c r="C181" s="345">
        <v>0</v>
      </c>
      <c r="D181" s="345">
        <v>0</v>
      </c>
      <c r="E181" s="345">
        <v>0</v>
      </c>
      <c r="F181" s="345">
        <v>0</v>
      </c>
      <c r="G181" s="345">
        <v>0</v>
      </c>
      <c r="H181" s="345">
        <v>0</v>
      </c>
      <c r="I181" s="345">
        <v>0</v>
      </c>
      <c r="J181" s="345">
        <v>0</v>
      </c>
      <c r="K181" s="345">
        <v>0</v>
      </c>
      <c r="L181" s="380">
        <v>0</v>
      </c>
      <c r="M181" s="296">
        <f t="shared" si="108"/>
        <v>0</v>
      </c>
      <c r="N181" s="298">
        <f t="shared" si="109"/>
        <v>0</v>
      </c>
      <c r="O181" s="344">
        <v>0</v>
      </c>
      <c r="P181" s="345">
        <v>0</v>
      </c>
      <c r="Q181" s="345">
        <v>0</v>
      </c>
      <c r="R181" s="345">
        <v>0</v>
      </c>
      <c r="S181" s="345">
        <v>0</v>
      </c>
      <c r="T181" s="345">
        <v>0</v>
      </c>
      <c r="U181" s="345">
        <v>0</v>
      </c>
      <c r="V181" s="345">
        <v>0</v>
      </c>
      <c r="W181" s="345">
        <v>0</v>
      </c>
      <c r="X181" s="345">
        <v>0</v>
      </c>
      <c r="Y181" s="380">
        <v>0</v>
      </c>
      <c r="Z181" s="296">
        <f t="shared" si="110"/>
        <v>0</v>
      </c>
      <c r="AA181" s="298">
        <f t="shared" si="111"/>
        <v>0</v>
      </c>
      <c r="AB181" s="948">
        <f t="array" ref="AB181">IF(AND($AD$176=TRUE,SUM(B181:L181)&gt;0),SUMPRODUCT((((TRANSPOSE(Cls1CentDailyRng)&lt;INDEX(CDRANGE_CLS1,$A181-$A$180+1,AD$177))*TRANSPOSE(Cls1CentDailyRng)+(TRANSPOSE(Cls1CentDailyRng)&gt;INDEX(CDRANGE_CLS1,$A181-$A$180+1,AD$177))*INDEX(CDRANGE_CLS1,$A181-$A$180+1,AD$177))/TRANSPOSE(Cls1CentDailyRng)),B181:L181,TRANSPOSE(Cls1CentVMTShr))/SUMPRODUCT(B181:L181,TRANSPOSE(Cls1CentVMTShr)),0)</f>
        <v>0</v>
      </c>
      <c r="AC181" s="949">
        <f t="array" ref="AC181">IF(AND($AD$176=TRUE,SUM(O181:Y181)&gt;0),SUMPRODUCT((((TRANSPOSE(Cls1NCentDailyRng)&lt;INDEX(CDRANGE_CLS1,$A181-$A$180+1,AD$177))*TRANSPOSE(Cls1NCentDailyRng)+(TRANSPOSE(Cls1NCentDailyRng)&gt;INDEX(CDRANGE_CLS1,$A181-$A$180+1,AD$177))*INDEX(CDRANGE_CLS1,$A181-$A$180+1,AD$177))/TRANSPOSE(Cls1NCentDailyRng)),O181:Y181,TRANSPOSE(Cls1NCentVMTShr))/SUMPRODUCT(O181:Y181,TRANSPOSE(Cls1NCentVMTShr)),0)</f>
        <v>0</v>
      </c>
      <c r="AD181" s="1226">
        <f t="shared" si="112"/>
        <v>0</v>
      </c>
      <c r="AE181" s="937">
        <f t="shared" si="113"/>
        <v>0</v>
      </c>
      <c r="AF181" s="937">
        <f t="shared" si="114"/>
        <v>0</v>
      </c>
      <c r="AG181" s="937">
        <f t="shared" si="115"/>
        <v>0</v>
      </c>
      <c r="AH181" s="1172">
        <f t="shared" ref="AH181:AH223" si="116">IF(AG181&gt;0,AE181/AG181,0)</f>
        <v>0</v>
      </c>
      <c r="AI181" s="937">
        <f t="shared" ref="AI181:AI223" si="117">IF(AG181&gt;0,AF181/AG181,0)</f>
        <v>0</v>
      </c>
      <c r="AJ181" s="227"/>
      <c r="AK181"/>
      <c r="AL181"/>
      <c r="AM181"/>
      <c r="AN181"/>
      <c r="AO181"/>
      <c r="AP181"/>
      <c r="AQ181"/>
      <c r="AR181"/>
      <c r="AS181"/>
      <c r="AT181"/>
      <c r="AU181"/>
      <c r="AV181"/>
    </row>
    <row r="182" spans="1:48" x14ac:dyDescent="0.2">
      <c r="A182" s="327">
        <v>2009</v>
      </c>
      <c r="B182" s="344">
        <v>0</v>
      </c>
      <c r="C182" s="345">
        <v>0</v>
      </c>
      <c r="D182" s="345">
        <v>0</v>
      </c>
      <c r="E182" s="345">
        <v>0</v>
      </c>
      <c r="F182" s="345">
        <v>0</v>
      </c>
      <c r="G182" s="345">
        <v>0</v>
      </c>
      <c r="H182" s="345">
        <v>0</v>
      </c>
      <c r="I182" s="345">
        <v>0</v>
      </c>
      <c r="J182" s="345">
        <v>0</v>
      </c>
      <c r="K182" s="345">
        <v>0</v>
      </c>
      <c r="L182" s="380">
        <v>0</v>
      </c>
      <c r="M182" s="296">
        <f t="shared" si="108"/>
        <v>0</v>
      </c>
      <c r="N182" s="298">
        <f t="shared" si="109"/>
        <v>0</v>
      </c>
      <c r="O182" s="344">
        <v>0</v>
      </c>
      <c r="P182" s="345">
        <v>0</v>
      </c>
      <c r="Q182" s="345">
        <v>0</v>
      </c>
      <c r="R182" s="345">
        <v>0</v>
      </c>
      <c r="S182" s="345">
        <v>0</v>
      </c>
      <c r="T182" s="345">
        <v>0</v>
      </c>
      <c r="U182" s="345">
        <v>0</v>
      </c>
      <c r="V182" s="345">
        <v>0</v>
      </c>
      <c r="W182" s="345">
        <v>0</v>
      </c>
      <c r="X182" s="345">
        <v>0</v>
      </c>
      <c r="Y182" s="380">
        <v>0</v>
      </c>
      <c r="Z182" s="296">
        <f t="shared" si="110"/>
        <v>0</v>
      </c>
      <c r="AA182" s="298">
        <f t="shared" si="111"/>
        <v>0</v>
      </c>
      <c r="AB182" s="948">
        <f t="array" ref="AB182">IF(AND($AD$176=TRUE,SUM(B182:L182)&gt;0),SUMPRODUCT((((TRANSPOSE(Cls1CentDailyRng)&lt;INDEX(CDRANGE_CLS1,$A182-$A$180+1,AD$177))*TRANSPOSE(Cls1CentDailyRng)+(TRANSPOSE(Cls1CentDailyRng)&gt;INDEX(CDRANGE_CLS1,$A182-$A$180+1,AD$177))*INDEX(CDRANGE_CLS1,$A182-$A$180+1,AD$177))/TRANSPOSE(Cls1CentDailyRng)),B182:L182,TRANSPOSE(Cls1CentVMTShr))/SUMPRODUCT(B182:L182,TRANSPOSE(Cls1CentVMTShr)),0)</f>
        <v>0</v>
      </c>
      <c r="AC182" s="949">
        <f t="array" ref="AC182">IF(AND($AD$176=TRUE,SUM(O182:Y182)&gt;0),SUMPRODUCT((((TRANSPOSE(Cls1NCentDailyRng)&lt;INDEX(CDRANGE_CLS1,$A182-$A$180+1,AD$177))*TRANSPOSE(Cls1NCentDailyRng)+(TRANSPOSE(Cls1NCentDailyRng)&gt;INDEX(CDRANGE_CLS1,$A182-$A$180+1,AD$177))*INDEX(CDRANGE_CLS1,$A182-$A$180+1,AD$177))/TRANSPOSE(Cls1NCentDailyRng)),O182:Y182,TRANSPOSE(Cls1NCentVMTShr))/SUMPRODUCT(O182:Y182,TRANSPOSE(Cls1NCentVMTShr)),0)</f>
        <v>0</v>
      </c>
      <c r="AD182" s="1226">
        <f t="shared" si="112"/>
        <v>0</v>
      </c>
      <c r="AE182" s="937">
        <f t="shared" si="113"/>
        <v>0</v>
      </c>
      <c r="AF182" s="937">
        <f t="shared" si="114"/>
        <v>0</v>
      </c>
      <c r="AG182" s="937">
        <f t="shared" si="115"/>
        <v>0</v>
      </c>
      <c r="AH182" s="1172">
        <f t="shared" si="116"/>
        <v>0</v>
      </c>
      <c r="AI182" s="937">
        <f t="shared" si="117"/>
        <v>0</v>
      </c>
      <c r="AJ182" s="227"/>
      <c r="AK182"/>
      <c r="AL182"/>
      <c r="AM182"/>
      <c r="AN182"/>
      <c r="AO182"/>
      <c r="AP182"/>
      <c r="AQ182"/>
      <c r="AR182"/>
      <c r="AS182"/>
      <c r="AT182"/>
      <c r="AU182"/>
      <c r="AV182"/>
    </row>
    <row r="183" spans="1:48"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8"/>
        <v>0</v>
      </c>
      <c r="N183" s="312">
        <f t="shared" si="109"/>
        <v>0</v>
      </c>
      <c r="O183" s="346">
        <v>0</v>
      </c>
      <c r="P183" s="347">
        <v>0</v>
      </c>
      <c r="Q183" s="347">
        <v>0</v>
      </c>
      <c r="R183" s="347">
        <v>0</v>
      </c>
      <c r="S183" s="347">
        <v>0</v>
      </c>
      <c r="T183" s="347">
        <v>0</v>
      </c>
      <c r="U183" s="347">
        <v>0</v>
      </c>
      <c r="V183" s="347">
        <v>0</v>
      </c>
      <c r="W183" s="347">
        <v>0</v>
      </c>
      <c r="X183" s="347">
        <v>0</v>
      </c>
      <c r="Y183" s="381">
        <v>0</v>
      </c>
      <c r="Z183" s="310">
        <f t="shared" si="110"/>
        <v>0</v>
      </c>
      <c r="AA183" s="312">
        <f t="shared" si="111"/>
        <v>0</v>
      </c>
      <c r="AB183" s="948">
        <f t="array" ref="AB183">IF(AND($AD$176=TRUE,SUM(B183:L183)&gt;0),SUMPRODUCT((((TRANSPOSE(Cls1CentDailyRng)&lt;INDEX(CDRANGE_CLS1,$A183-$A$180+1,AD$177))*TRANSPOSE(Cls1CentDailyRng)+(TRANSPOSE(Cls1CentDailyRng)&gt;INDEX(CDRANGE_CLS1,$A183-$A$180+1,AD$177))*INDEX(CDRANGE_CLS1,$A183-$A$180+1,AD$177))/TRANSPOSE(Cls1CentDailyRng)),B183:L183,TRANSPOSE(Cls1CentVMTShr))/SUMPRODUCT(B183:L183,TRANSPOSE(Cls1CentVMTShr)),0)</f>
        <v>0</v>
      </c>
      <c r="AC183" s="949">
        <f t="array" ref="AC183">IF(AND($AD$176=TRUE,SUM(O183:Y183)&gt;0),SUMPRODUCT((((TRANSPOSE(Cls1NCentDailyRng)&lt;INDEX(CDRANGE_CLS1,$A183-$A$180+1,AD$177))*TRANSPOSE(Cls1NCentDailyRng)+(TRANSPOSE(Cls1NCentDailyRng)&gt;INDEX(CDRANGE_CLS1,$A183-$A$180+1,AD$177))*INDEX(CDRANGE_CLS1,$A183-$A$180+1,AD$177))/TRANSPOSE(Cls1NCentDailyRng)),O183:Y183,TRANSPOSE(Cls1NCentVMTShr))/SUMPRODUCT(O183:Y183,TRANSPOSE(Cls1NCentVMTShr)),0)</f>
        <v>0</v>
      </c>
      <c r="AD183" s="1226">
        <f t="shared" si="112"/>
        <v>0</v>
      </c>
      <c r="AE183" s="937">
        <f t="shared" si="113"/>
        <v>0</v>
      </c>
      <c r="AF183" s="937">
        <f t="shared" si="114"/>
        <v>0</v>
      </c>
      <c r="AG183" s="937">
        <f t="shared" si="115"/>
        <v>0</v>
      </c>
      <c r="AH183" s="1172">
        <f t="shared" si="116"/>
        <v>0</v>
      </c>
      <c r="AI183" s="937">
        <f t="shared" si="117"/>
        <v>0</v>
      </c>
      <c r="AJ183" s="227"/>
      <c r="AK183"/>
      <c r="AL183"/>
      <c r="AM183"/>
      <c r="AN183"/>
      <c r="AO183"/>
      <c r="AP183"/>
      <c r="AQ183"/>
      <c r="AR183"/>
      <c r="AS183"/>
      <c r="AT183"/>
      <c r="AU183"/>
      <c r="AV183"/>
    </row>
    <row r="184" spans="1:48" x14ac:dyDescent="0.2">
      <c r="A184" s="329">
        <v>2011</v>
      </c>
      <c r="B184" s="342">
        <v>0</v>
      </c>
      <c r="C184" s="343">
        <v>0</v>
      </c>
      <c r="D184" s="343">
        <v>0</v>
      </c>
      <c r="E184" s="343">
        <v>0</v>
      </c>
      <c r="F184" s="343">
        <v>0</v>
      </c>
      <c r="G184" s="343">
        <v>0</v>
      </c>
      <c r="H184" s="343">
        <v>0</v>
      </c>
      <c r="I184" s="343">
        <v>0</v>
      </c>
      <c r="J184" s="343">
        <v>0</v>
      </c>
      <c r="K184" s="343">
        <v>0</v>
      </c>
      <c r="L184" s="379">
        <v>0</v>
      </c>
      <c r="M184" s="282">
        <f t="shared" si="108"/>
        <v>0</v>
      </c>
      <c r="N184" s="284">
        <f t="shared" si="109"/>
        <v>0</v>
      </c>
      <c r="O184" s="342">
        <v>0</v>
      </c>
      <c r="P184" s="343">
        <v>0</v>
      </c>
      <c r="Q184" s="343">
        <v>0</v>
      </c>
      <c r="R184" s="343">
        <v>0</v>
      </c>
      <c r="S184" s="343">
        <v>0</v>
      </c>
      <c r="T184" s="343">
        <v>0</v>
      </c>
      <c r="U184" s="343">
        <v>0</v>
      </c>
      <c r="V184" s="343">
        <v>0</v>
      </c>
      <c r="W184" s="343">
        <v>0</v>
      </c>
      <c r="X184" s="343">
        <v>0</v>
      </c>
      <c r="Y184" s="379">
        <v>0</v>
      </c>
      <c r="Z184" s="282">
        <f t="shared" si="110"/>
        <v>0</v>
      </c>
      <c r="AA184" s="284">
        <f t="shared" si="111"/>
        <v>0</v>
      </c>
      <c r="AB184" s="948">
        <f t="array" ref="AB184">IF(AND($AD$176=TRUE,SUM(B184:L184)&gt;0),SUMPRODUCT((((TRANSPOSE(Cls1CentDailyRng)&lt;INDEX(CDRANGE_CLS1,$A184-$A$180+1,AD$177))*TRANSPOSE(Cls1CentDailyRng)+(TRANSPOSE(Cls1CentDailyRng)&gt;INDEX(CDRANGE_CLS1,$A184-$A$180+1,AD$177))*INDEX(CDRANGE_CLS1,$A184-$A$180+1,AD$177))/TRANSPOSE(Cls1CentDailyRng)),B184:L184,TRANSPOSE(Cls1CentVMTShr))/SUMPRODUCT(B184:L184,TRANSPOSE(Cls1CentVMTShr)),0)</f>
        <v>0</v>
      </c>
      <c r="AC184" s="949">
        <f t="array" ref="AC184">IF(AND($AD$176=TRUE,SUM(O184:Y184)&gt;0),SUMPRODUCT((((TRANSPOSE(Cls1NCentDailyRng)&lt;INDEX(CDRANGE_CLS1,$A184-$A$180+1,AD$177))*TRANSPOSE(Cls1NCentDailyRng)+(TRANSPOSE(Cls1NCentDailyRng)&gt;INDEX(CDRANGE_CLS1,$A184-$A$180+1,AD$177))*INDEX(CDRANGE_CLS1,$A184-$A$180+1,AD$177))/TRANSPOSE(Cls1NCentDailyRng)),O184:Y184,TRANSPOSE(Cls1NCentVMTShr))/SUMPRODUCT(O184:Y184,TRANSPOSE(Cls1NCentVMTShr)),0)</f>
        <v>0</v>
      </c>
      <c r="AD184" s="1226">
        <f t="shared" si="112"/>
        <v>0</v>
      </c>
      <c r="AE184" s="937">
        <f t="shared" si="113"/>
        <v>0</v>
      </c>
      <c r="AF184" s="937">
        <f t="shared" si="114"/>
        <v>0</v>
      </c>
      <c r="AG184" s="937">
        <f t="shared" si="115"/>
        <v>0</v>
      </c>
      <c r="AH184" s="1172">
        <f t="shared" si="116"/>
        <v>0</v>
      </c>
      <c r="AI184" s="937">
        <f t="shared" si="117"/>
        <v>0</v>
      </c>
      <c r="AJ184" s="227"/>
      <c r="AK184"/>
      <c r="AL184"/>
      <c r="AM184"/>
      <c r="AN184"/>
      <c r="AO184"/>
      <c r="AP184"/>
      <c r="AQ184"/>
      <c r="AR184"/>
      <c r="AS184"/>
      <c r="AT184"/>
      <c r="AU184"/>
      <c r="AV184"/>
    </row>
    <row r="185" spans="1:48" x14ac:dyDescent="0.2">
      <c r="A185" s="330">
        <v>2012</v>
      </c>
      <c r="B185" s="344">
        <v>0</v>
      </c>
      <c r="C185" s="345">
        <v>0</v>
      </c>
      <c r="D185" s="345">
        <v>0</v>
      </c>
      <c r="E185" s="345">
        <v>0</v>
      </c>
      <c r="F185" s="345">
        <v>0</v>
      </c>
      <c r="G185" s="345">
        <v>0</v>
      </c>
      <c r="H185" s="345">
        <v>0</v>
      </c>
      <c r="I185" s="345">
        <v>0</v>
      </c>
      <c r="J185" s="345">
        <v>0</v>
      </c>
      <c r="K185" s="345">
        <v>0</v>
      </c>
      <c r="L185" s="380">
        <v>0</v>
      </c>
      <c r="M185" s="296">
        <f t="shared" si="108"/>
        <v>0</v>
      </c>
      <c r="N185" s="298">
        <f t="shared" si="109"/>
        <v>0</v>
      </c>
      <c r="O185" s="344">
        <v>0</v>
      </c>
      <c r="P185" s="345">
        <v>0</v>
      </c>
      <c r="Q185" s="345">
        <v>0</v>
      </c>
      <c r="R185" s="345">
        <v>0</v>
      </c>
      <c r="S185" s="345">
        <v>0</v>
      </c>
      <c r="T185" s="345">
        <v>0</v>
      </c>
      <c r="U185" s="345">
        <v>0</v>
      </c>
      <c r="V185" s="345">
        <v>0</v>
      </c>
      <c r="W185" s="345">
        <v>0</v>
      </c>
      <c r="X185" s="345">
        <v>0</v>
      </c>
      <c r="Y185" s="380">
        <v>0</v>
      </c>
      <c r="Z185" s="296">
        <f t="shared" si="110"/>
        <v>0</v>
      </c>
      <c r="AA185" s="298">
        <f t="shared" si="111"/>
        <v>0</v>
      </c>
      <c r="AB185" s="948">
        <f t="array" ref="AB185">IF(AND($AD$176=TRUE,SUM(B185:L185)&gt;0),SUMPRODUCT((((TRANSPOSE(Cls1CentDailyRng)&lt;INDEX(CDRANGE_CLS1,$A185-$A$180+1,AD$177))*TRANSPOSE(Cls1CentDailyRng)+(TRANSPOSE(Cls1CentDailyRng)&gt;INDEX(CDRANGE_CLS1,$A185-$A$180+1,AD$177))*INDEX(CDRANGE_CLS1,$A185-$A$180+1,AD$177))/TRANSPOSE(Cls1CentDailyRng)),B185:L185,TRANSPOSE(Cls1CentVMTShr))/SUMPRODUCT(B185:L185,TRANSPOSE(Cls1CentVMTShr)),0)</f>
        <v>0</v>
      </c>
      <c r="AC185" s="949">
        <f t="array" ref="AC185">IF(AND($AD$176=TRUE,SUM(O185:Y185)&gt;0),SUMPRODUCT((((TRANSPOSE(Cls1NCentDailyRng)&lt;INDEX(CDRANGE_CLS1,$A185-$A$180+1,AD$177))*TRANSPOSE(Cls1NCentDailyRng)+(TRANSPOSE(Cls1NCentDailyRng)&gt;INDEX(CDRANGE_CLS1,$A185-$A$180+1,AD$177))*INDEX(CDRANGE_CLS1,$A185-$A$180+1,AD$177))/TRANSPOSE(Cls1NCentDailyRng)),O185:Y185,TRANSPOSE(Cls1NCentVMTShr))/SUMPRODUCT(O185:Y185,TRANSPOSE(Cls1NCentVMTShr)),0)</f>
        <v>0</v>
      </c>
      <c r="AD185" s="1226">
        <f t="shared" si="112"/>
        <v>0</v>
      </c>
      <c r="AE185" s="937">
        <f t="shared" si="113"/>
        <v>0</v>
      </c>
      <c r="AF185" s="937">
        <f t="shared" si="114"/>
        <v>0</v>
      </c>
      <c r="AG185" s="937">
        <f t="shared" si="115"/>
        <v>0</v>
      </c>
      <c r="AH185" s="1172">
        <f t="shared" si="116"/>
        <v>0</v>
      </c>
      <c r="AI185" s="937">
        <f t="shared" si="117"/>
        <v>0</v>
      </c>
      <c r="AJ185" s="227"/>
      <c r="AK185"/>
      <c r="AL185"/>
      <c r="AM185"/>
      <c r="AN185"/>
      <c r="AO185"/>
      <c r="AP185"/>
      <c r="AQ185"/>
      <c r="AR185"/>
      <c r="AS185"/>
      <c r="AT185"/>
      <c r="AU185"/>
      <c r="AV185"/>
    </row>
    <row r="186" spans="1:48" x14ac:dyDescent="0.2">
      <c r="A186" s="330">
        <v>2013</v>
      </c>
      <c r="B186" s="344">
        <v>0</v>
      </c>
      <c r="C186" s="345">
        <v>0</v>
      </c>
      <c r="D186" s="345">
        <v>0</v>
      </c>
      <c r="E186" s="345">
        <v>0</v>
      </c>
      <c r="F186" s="345">
        <v>0</v>
      </c>
      <c r="G186" s="345">
        <v>0</v>
      </c>
      <c r="H186" s="345">
        <v>0</v>
      </c>
      <c r="I186" s="345">
        <v>0</v>
      </c>
      <c r="J186" s="345">
        <v>0</v>
      </c>
      <c r="K186" s="345">
        <v>0</v>
      </c>
      <c r="L186" s="380">
        <v>0</v>
      </c>
      <c r="M186" s="296">
        <f t="shared" si="108"/>
        <v>0</v>
      </c>
      <c r="N186" s="298">
        <f t="shared" si="109"/>
        <v>0</v>
      </c>
      <c r="O186" s="344">
        <v>0</v>
      </c>
      <c r="P186" s="345">
        <v>0</v>
      </c>
      <c r="Q186" s="345">
        <v>0</v>
      </c>
      <c r="R186" s="345">
        <v>0</v>
      </c>
      <c r="S186" s="345">
        <v>0</v>
      </c>
      <c r="T186" s="345">
        <v>0</v>
      </c>
      <c r="U186" s="345">
        <v>0</v>
      </c>
      <c r="V186" s="345">
        <v>0</v>
      </c>
      <c r="W186" s="345">
        <v>0</v>
      </c>
      <c r="X186" s="345">
        <v>0</v>
      </c>
      <c r="Y186" s="380">
        <v>0</v>
      </c>
      <c r="Z186" s="296">
        <f t="shared" si="110"/>
        <v>0</v>
      </c>
      <c r="AA186" s="298">
        <f t="shared" si="111"/>
        <v>0</v>
      </c>
      <c r="AB186" s="948">
        <f t="array" ref="AB186">IF(AND($AD$176=TRUE,SUM(B186:L186)&gt;0),SUMPRODUCT((((TRANSPOSE(Cls1CentDailyRng)&lt;INDEX(CDRANGE_CLS1,$A186-$A$180+1,AD$177))*TRANSPOSE(Cls1CentDailyRng)+(TRANSPOSE(Cls1CentDailyRng)&gt;INDEX(CDRANGE_CLS1,$A186-$A$180+1,AD$177))*INDEX(CDRANGE_CLS1,$A186-$A$180+1,AD$177))/TRANSPOSE(Cls1CentDailyRng)),B186:L186,TRANSPOSE(Cls1CentVMTShr))/SUMPRODUCT(B186:L186,TRANSPOSE(Cls1CentVMTShr)),0)</f>
        <v>0</v>
      </c>
      <c r="AC186" s="949">
        <f t="array" ref="AC186">IF(AND($AD$176=TRUE,SUM(O186:Y186)&gt;0),SUMPRODUCT((((TRANSPOSE(Cls1NCentDailyRng)&lt;INDEX(CDRANGE_CLS1,$A186-$A$180+1,AD$177))*TRANSPOSE(Cls1NCentDailyRng)+(TRANSPOSE(Cls1NCentDailyRng)&gt;INDEX(CDRANGE_CLS1,$A186-$A$180+1,AD$177))*INDEX(CDRANGE_CLS1,$A186-$A$180+1,AD$177))/TRANSPOSE(Cls1NCentDailyRng)),O186:Y186,TRANSPOSE(Cls1NCentVMTShr))/SUMPRODUCT(O186:Y186,TRANSPOSE(Cls1NCentVMTShr)),0)</f>
        <v>0</v>
      </c>
      <c r="AD186" s="1226">
        <f t="shared" si="112"/>
        <v>0</v>
      </c>
      <c r="AE186" s="937">
        <f t="shared" si="113"/>
        <v>0</v>
      </c>
      <c r="AF186" s="937">
        <f t="shared" si="114"/>
        <v>0</v>
      </c>
      <c r="AG186" s="937">
        <f t="shared" si="115"/>
        <v>0</v>
      </c>
      <c r="AH186" s="1172">
        <f t="shared" si="116"/>
        <v>0</v>
      </c>
      <c r="AI186" s="937">
        <f t="shared" si="117"/>
        <v>0</v>
      </c>
      <c r="AJ186" s="227"/>
      <c r="AK186"/>
      <c r="AL186"/>
      <c r="AM186"/>
      <c r="AN186"/>
      <c r="AO186"/>
      <c r="AP186"/>
      <c r="AQ186"/>
      <c r="AR186"/>
      <c r="AS186"/>
      <c r="AT186"/>
      <c r="AU186"/>
      <c r="AV186"/>
    </row>
    <row r="187" spans="1:48" x14ac:dyDescent="0.2">
      <c r="A187" s="330">
        <v>2014</v>
      </c>
      <c r="B187" s="344">
        <v>0</v>
      </c>
      <c r="C187" s="345">
        <v>0</v>
      </c>
      <c r="D187" s="345">
        <v>0</v>
      </c>
      <c r="E187" s="345">
        <v>0</v>
      </c>
      <c r="F187" s="345">
        <v>0</v>
      </c>
      <c r="G187" s="345">
        <v>0</v>
      </c>
      <c r="H187" s="345">
        <v>0</v>
      </c>
      <c r="I187" s="345">
        <v>0</v>
      </c>
      <c r="J187" s="345">
        <v>0</v>
      </c>
      <c r="K187" s="345">
        <v>0</v>
      </c>
      <c r="L187" s="380">
        <v>0</v>
      </c>
      <c r="M187" s="296">
        <f t="shared" si="108"/>
        <v>0</v>
      </c>
      <c r="N187" s="298">
        <f t="shared" si="109"/>
        <v>0</v>
      </c>
      <c r="O187" s="344">
        <v>0</v>
      </c>
      <c r="P187" s="345">
        <v>0</v>
      </c>
      <c r="Q187" s="345">
        <v>0</v>
      </c>
      <c r="R187" s="345">
        <v>0</v>
      </c>
      <c r="S187" s="345">
        <v>0</v>
      </c>
      <c r="T187" s="345">
        <v>0</v>
      </c>
      <c r="U187" s="345">
        <v>0</v>
      </c>
      <c r="V187" s="345">
        <v>0</v>
      </c>
      <c r="W187" s="345">
        <v>0</v>
      </c>
      <c r="X187" s="345">
        <v>0</v>
      </c>
      <c r="Y187" s="380">
        <v>0</v>
      </c>
      <c r="Z187" s="296">
        <f t="shared" si="110"/>
        <v>0</v>
      </c>
      <c r="AA187" s="298">
        <f t="shared" si="111"/>
        <v>0</v>
      </c>
      <c r="AB187" s="948">
        <f t="array" ref="AB187">IF(AND($AD$176=TRUE,SUM(B187:L187)&gt;0),SUMPRODUCT((((TRANSPOSE(Cls1CentDailyRng)&lt;INDEX(CDRANGE_CLS1,$A187-$A$180+1,AD$177))*TRANSPOSE(Cls1CentDailyRng)+(TRANSPOSE(Cls1CentDailyRng)&gt;INDEX(CDRANGE_CLS1,$A187-$A$180+1,AD$177))*INDEX(CDRANGE_CLS1,$A187-$A$180+1,AD$177))/TRANSPOSE(Cls1CentDailyRng)),B187:L187,TRANSPOSE(Cls1CentVMTShr))/SUMPRODUCT(B187:L187,TRANSPOSE(Cls1CentVMTShr)),0)</f>
        <v>0</v>
      </c>
      <c r="AC187" s="949">
        <f t="array" ref="AC187">IF(AND($AD$176=TRUE,SUM(O187:Y187)&gt;0),SUMPRODUCT((((TRANSPOSE(Cls1NCentDailyRng)&lt;INDEX(CDRANGE_CLS1,$A187-$A$180+1,AD$177))*TRANSPOSE(Cls1NCentDailyRng)+(TRANSPOSE(Cls1NCentDailyRng)&gt;INDEX(CDRANGE_CLS1,$A187-$A$180+1,AD$177))*INDEX(CDRANGE_CLS1,$A187-$A$180+1,AD$177))/TRANSPOSE(Cls1NCentDailyRng)),O187:Y187,TRANSPOSE(Cls1NCentVMTShr))/SUMPRODUCT(O187:Y187,TRANSPOSE(Cls1NCentVMTShr)),0)</f>
        <v>0</v>
      </c>
      <c r="AD187" s="1226">
        <f t="shared" si="112"/>
        <v>0</v>
      </c>
      <c r="AE187" s="937">
        <f t="shared" si="113"/>
        <v>0</v>
      </c>
      <c r="AF187" s="937">
        <f t="shared" si="114"/>
        <v>0</v>
      </c>
      <c r="AG187" s="937">
        <f t="shared" si="115"/>
        <v>0</v>
      </c>
      <c r="AH187" s="1172">
        <f t="shared" si="116"/>
        <v>0</v>
      </c>
      <c r="AI187" s="937">
        <f t="shared" si="117"/>
        <v>0</v>
      </c>
      <c r="AJ187" s="227"/>
      <c r="AK187"/>
      <c r="AL187"/>
      <c r="AM187"/>
      <c r="AN187"/>
      <c r="AO187"/>
      <c r="AP187"/>
      <c r="AQ187"/>
      <c r="AR187"/>
      <c r="AS187"/>
      <c r="AT187"/>
      <c r="AU187"/>
      <c r="AV187"/>
    </row>
    <row r="188" spans="1:48"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8"/>
        <v>0</v>
      </c>
      <c r="N188" s="312">
        <f t="shared" si="109"/>
        <v>0</v>
      </c>
      <c r="O188" s="346">
        <v>0</v>
      </c>
      <c r="P188" s="347">
        <v>0</v>
      </c>
      <c r="Q188" s="347">
        <v>0</v>
      </c>
      <c r="R188" s="347">
        <v>0</v>
      </c>
      <c r="S188" s="347">
        <v>0</v>
      </c>
      <c r="T188" s="347">
        <v>0</v>
      </c>
      <c r="U188" s="347">
        <v>0</v>
      </c>
      <c r="V188" s="347">
        <v>0</v>
      </c>
      <c r="W188" s="347">
        <v>0</v>
      </c>
      <c r="X188" s="347">
        <v>0</v>
      </c>
      <c r="Y188" s="381">
        <v>0</v>
      </c>
      <c r="Z188" s="310">
        <f t="shared" si="110"/>
        <v>0</v>
      </c>
      <c r="AA188" s="312">
        <f t="shared" si="111"/>
        <v>0</v>
      </c>
      <c r="AB188" s="948">
        <f t="array" ref="AB188">IF(AND($AD$176=TRUE,SUM(B188:L188)&gt;0),SUMPRODUCT((((TRANSPOSE(Cls1CentDailyRng)&lt;INDEX(CDRANGE_CLS1,$A188-$A$180+1,AD$177))*TRANSPOSE(Cls1CentDailyRng)+(TRANSPOSE(Cls1CentDailyRng)&gt;INDEX(CDRANGE_CLS1,$A188-$A$180+1,AD$177))*INDEX(CDRANGE_CLS1,$A188-$A$180+1,AD$177))/TRANSPOSE(Cls1CentDailyRng)),B188:L188,TRANSPOSE(Cls1CentVMTShr))/SUMPRODUCT(B188:L188,TRANSPOSE(Cls1CentVMTShr)),0)</f>
        <v>0</v>
      </c>
      <c r="AC188" s="949">
        <f t="array" ref="AC188">IF(AND($AD$176=TRUE,SUM(O188:Y188)&gt;0),SUMPRODUCT((((TRANSPOSE(Cls1NCentDailyRng)&lt;INDEX(CDRANGE_CLS1,$A188-$A$180+1,AD$177))*TRANSPOSE(Cls1NCentDailyRng)+(TRANSPOSE(Cls1NCentDailyRng)&gt;INDEX(CDRANGE_CLS1,$A188-$A$180+1,AD$177))*INDEX(CDRANGE_CLS1,$A188-$A$180+1,AD$177))/TRANSPOSE(Cls1NCentDailyRng)),O188:Y188,TRANSPOSE(Cls1NCentVMTShr))/SUMPRODUCT(O188:Y188,TRANSPOSE(Cls1NCentVMTShr)),0)</f>
        <v>0</v>
      </c>
      <c r="AD188" s="1226">
        <f t="shared" si="112"/>
        <v>0</v>
      </c>
      <c r="AE188" s="937">
        <f t="shared" si="113"/>
        <v>0</v>
      </c>
      <c r="AF188" s="937">
        <f t="shared" si="114"/>
        <v>0</v>
      </c>
      <c r="AG188" s="937">
        <f t="shared" si="115"/>
        <v>0</v>
      </c>
      <c r="AH188" s="1172">
        <f t="shared" si="116"/>
        <v>0</v>
      </c>
      <c r="AI188" s="937">
        <f t="shared" si="117"/>
        <v>0</v>
      </c>
      <c r="AJ188" s="227"/>
      <c r="AK188"/>
      <c r="AL188"/>
      <c r="AM188"/>
      <c r="AN188"/>
      <c r="AO188"/>
      <c r="AP188"/>
      <c r="AQ188"/>
      <c r="AR188"/>
      <c r="AS188"/>
      <c r="AT188"/>
      <c r="AU188"/>
      <c r="AV188"/>
    </row>
    <row r="189" spans="1:48" x14ac:dyDescent="0.2">
      <c r="A189" s="329">
        <v>2016</v>
      </c>
      <c r="B189" s="342">
        <v>0</v>
      </c>
      <c r="C189" s="343">
        <v>0</v>
      </c>
      <c r="D189" s="343">
        <v>0</v>
      </c>
      <c r="E189" s="343">
        <v>0</v>
      </c>
      <c r="F189" s="343">
        <v>0</v>
      </c>
      <c r="G189" s="343">
        <v>0</v>
      </c>
      <c r="H189" s="343">
        <v>0</v>
      </c>
      <c r="I189" s="343">
        <v>0</v>
      </c>
      <c r="J189" s="343">
        <v>0</v>
      </c>
      <c r="K189" s="343">
        <v>0</v>
      </c>
      <c r="L189" s="379">
        <v>0</v>
      </c>
      <c r="M189" s="282">
        <f t="shared" si="108"/>
        <v>0</v>
      </c>
      <c r="N189" s="284">
        <f t="shared" si="109"/>
        <v>0</v>
      </c>
      <c r="O189" s="342">
        <v>0</v>
      </c>
      <c r="P189" s="343">
        <v>0</v>
      </c>
      <c r="Q189" s="343">
        <v>0</v>
      </c>
      <c r="R189" s="343">
        <v>0</v>
      </c>
      <c r="S189" s="343">
        <v>0</v>
      </c>
      <c r="T189" s="343">
        <v>0</v>
      </c>
      <c r="U189" s="343">
        <v>0</v>
      </c>
      <c r="V189" s="343">
        <v>0</v>
      </c>
      <c r="W189" s="343">
        <v>0</v>
      </c>
      <c r="X189" s="343">
        <v>0</v>
      </c>
      <c r="Y189" s="379">
        <v>0</v>
      </c>
      <c r="Z189" s="282">
        <f t="shared" si="110"/>
        <v>0</v>
      </c>
      <c r="AA189" s="284">
        <f t="shared" si="111"/>
        <v>0</v>
      </c>
      <c r="AB189" s="948">
        <f t="array" ref="AB189">IF(AND($AD$176=TRUE,SUM(B189:L189)&gt;0),SUMPRODUCT((((TRANSPOSE(Cls1CentDailyRng)&lt;INDEX(CDRANGE_CLS1,$A189-$A$180+1,AD$177))*TRANSPOSE(Cls1CentDailyRng)+(TRANSPOSE(Cls1CentDailyRng)&gt;INDEX(CDRANGE_CLS1,$A189-$A$180+1,AD$177))*INDEX(CDRANGE_CLS1,$A189-$A$180+1,AD$177))/TRANSPOSE(Cls1CentDailyRng)),B189:L189,TRANSPOSE(Cls1CentVMTShr))/SUMPRODUCT(B189:L189,TRANSPOSE(Cls1CentVMTShr)),0)</f>
        <v>0</v>
      </c>
      <c r="AC189" s="949">
        <f t="array" ref="AC189">IF(AND($AD$176=TRUE,SUM(O189:Y189)&gt;0),SUMPRODUCT((((TRANSPOSE(Cls1NCentDailyRng)&lt;INDEX(CDRANGE_CLS1,$A189-$A$180+1,AD$177))*TRANSPOSE(Cls1NCentDailyRng)+(TRANSPOSE(Cls1NCentDailyRng)&gt;INDEX(CDRANGE_CLS1,$A189-$A$180+1,AD$177))*INDEX(CDRANGE_CLS1,$A189-$A$180+1,AD$177))/TRANSPOSE(Cls1NCentDailyRng)),O189:Y189,TRANSPOSE(Cls1NCentVMTShr))/SUMPRODUCT(O189:Y189,TRANSPOSE(Cls1NCentVMTShr)),0)</f>
        <v>0</v>
      </c>
      <c r="AD189" s="1226">
        <f t="shared" si="112"/>
        <v>0</v>
      </c>
      <c r="AE189" s="937">
        <f t="shared" si="113"/>
        <v>0</v>
      </c>
      <c r="AF189" s="937">
        <f t="shared" si="114"/>
        <v>0</v>
      </c>
      <c r="AG189" s="937">
        <f t="shared" si="115"/>
        <v>0</v>
      </c>
      <c r="AH189" s="1172">
        <f t="shared" si="116"/>
        <v>0</v>
      </c>
      <c r="AI189" s="937">
        <f t="shared" si="117"/>
        <v>0</v>
      </c>
      <c r="AJ189" s="227"/>
      <c r="AK189"/>
      <c r="AL189"/>
      <c r="AM189"/>
      <c r="AN189"/>
      <c r="AO189"/>
      <c r="AP189"/>
      <c r="AQ189"/>
      <c r="AR189"/>
      <c r="AS189"/>
      <c r="AT189"/>
      <c r="AU189"/>
      <c r="AV189"/>
    </row>
    <row r="190" spans="1:48" x14ac:dyDescent="0.2">
      <c r="A190" s="330">
        <v>2017</v>
      </c>
      <c r="B190" s="344">
        <v>0</v>
      </c>
      <c r="C190" s="345">
        <v>0</v>
      </c>
      <c r="D190" s="345">
        <v>0</v>
      </c>
      <c r="E190" s="345">
        <v>0</v>
      </c>
      <c r="F190" s="345">
        <v>0</v>
      </c>
      <c r="G190" s="345">
        <v>0</v>
      </c>
      <c r="H190" s="345">
        <v>0</v>
      </c>
      <c r="I190" s="345">
        <v>0</v>
      </c>
      <c r="J190" s="345">
        <v>0</v>
      </c>
      <c r="K190" s="345">
        <v>0</v>
      </c>
      <c r="L190" s="380">
        <v>0</v>
      </c>
      <c r="M190" s="296">
        <f t="shared" si="108"/>
        <v>0</v>
      </c>
      <c r="N190" s="298">
        <f t="shared" si="109"/>
        <v>0</v>
      </c>
      <c r="O190" s="344">
        <v>0</v>
      </c>
      <c r="P190" s="345">
        <v>0</v>
      </c>
      <c r="Q190" s="345">
        <v>0</v>
      </c>
      <c r="R190" s="345">
        <v>0</v>
      </c>
      <c r="S190" s="345">
        <v>0</v>
      </c>
      <c r="T190" s="345">
        <v>0</v>
      </c>
      <c r="U190" s="345">
        <v>0</v>
      </c>
      <c r="V190" s="345">
        <v>0</v>
      </c>
      <c r="W190" s="345">
        <v>0</v>
      </c>
      <c r="X190" s="345">
        <v>0</v>
      </c>
      <c r="Y190" s="380">
        <v>0</v>
      </c>
      <c r="Z190" s="296">
        <f t="shared" si="110"/>
        <v>0</v>
      </c>
      <c r="AA190" s="298">
        <f t="shared" si="111"/>
        <v>0</v>
      </c>
      <c r="AB190" s="948">
        <f t="array" ref="AB190">IF(AND($AD$176=TRUE,SUM(B190:L190)&gt;0),SUMPRODUCT((((TRANSPOSE(Cls1CentDailyRng)&lt;INDEX(CDRANGE_CLS1,$A190-$A$180+1,AD$177))*TRANSPOSE(Cls1CentDailyRng)+(TRANSPOSE(Cls1CentDailyRng)&gt;INDEX(CDRANGE_CLS1,$A190-$A$180+1,AD$177))*INDEX(CDRANGE_CLS1,$A190-$A$180+1,AD$177))/TRANSPOSE(Cls1CentDailyRng)),B190:L190,TRANSPOSE(Cls1CentVMTShr))/SUMPRODUCT(B190:L190,TRANSPOSE(Cls1CentVMTShr)),0)</f>
        <v>0</v>
      </c>
      <c r="AC190" s="949">
        <f t="array" ref="AC190">IF(AND($AD$176=TRUE,SUM(O190:Y190)&gt;0),SUMPRODUCT((((TRANSPOSE(Cls1NCentDailyRng)&lt;INDEX(CDRANGE_CLS1,$A190-$A$180+1,AD$177))*TRANSPOSE(Cls1NCentDailyRng)+(TRANSPOSE(Cls1NCentDailyRng)&gt;INDEX(CDRANGE_CLS1,$A190-$A$180+1,AD$177))*INDEX(CDRANGE_CLS1,$A190-$A$180+1,AD$177))/TRANSPOSE(Cls1NCentDailyRng)),O190:Y190,TRANSPOSE(Cls1NCentVMTShr))/SUMPRODUCT(O190:Y190,TRANSPOSE(Cls1NCentVMTShr)),0)</f>
        <v>0</v>
      </c>
      <c r="AD190" s="1226">
        <f t="shared" si="112"/>
        <v>0</v>
      </c>
      <c r="AE190" s="937">
        <f t="shared" si="113"/>
        <v>0</v>
      </c>
      <c r="AF190" s="937">
        <f t="shared" si="114"/>
        <v>0</v>
      </c>
      <c r="AG190" s="937">
        <f t="shared" si="115"/>
        <v>0</v>
      </c>
      <c r="AH190" s="1172">
        <f t="shared" si="116"/>
        <v>0</v>
      </c>
      <c r="AI190" s="937">
        <f t="shared" si="117"/>
        <v>0</v>
      </c>
      <c r="AJ190" s="227"/>
      <c r="AK190"/>
      <c r="AL190"/>
      <c r="AM190"/>
      <c r="AN190"/>
      <c r="AO190"/>
      <c r="AP190"/>
      <c r="AQ190"/>
      <c r="AR190"/>
      <c r="AS190"/>
      <c r="AT190"/>
      <c r="AU190"/>
      <c r="AV190"/>
    </row>
    <row r="191" spans="1:48" x14ac:dyDescent="0.2">
      <c r="A191" s="330">
        <v>2018</v>
      </c>
      <c r="B191" s="344">
        <v>0</v>
      </c>
      <c r="C191" s="345">
        <v>0</v>
      </c>
      <c r="D191" s="345">
        <v>0</v>
      </c>
      <c r="E191" s="345">
        <v>0</v>
      </c>
      <c r="F191" s="345">
        <v>0</v>
      </c>
      <c r="G191" s="345">
        <v>0</v>
      </c>
      <c r="H191" s="345">
        <v>0</v>
      </c>
      <c r="I191" s="345">
        <v>0</v>
      </c>
      <c r="J191" s="345">
        <v>0</v>
      </c>
      <c r="K191" s="345">
        <v>0</v>
      </c>
      <c r="L191" s="380">
        <v>0</v>
      </c>
      <c r="M191" s="296">
        <f t="shared" si="108"/>
        <v>0</v>
      </c>
      <c r="N191" s="298">
        <f t="shared" si="109"/>
        <v>0</v>
      </c>
      <c r="O191" s="344">
        <v>0</v>
      </c>
      <c r="P191" s="345">
        <v>0</v>
      </c>
      <c r="Q191" s="345">
        <v>0</v>
      </c>
      <c r="R191" s="345">
        <v>0</v>
      </c>
      <c r="S191" s="345">
        <v>0</v>
      </c>
      <c r="T191" s="345">
        <v>0</v>
      </c>
      <c r="U191" s="345">
        <v>0</v>
      </c>
      <c r="V191" s="345">
        <v>0</v>
      </c>
      <c r="W191" s="345">
        <v>0</v>
      </c>
      <c r="X191" s="345">
        <v>0</v>
      </c>
      <c r="Y191" s="380">
        <v>0</v>
      </c>
      <c r="Z191" s="296">
        <f t="shared" si="110"/>
        <v>0</v>
      </c>
      <c r="AA191" s="298">
        <f t="shared" si="111"/>
        <v>0</v>
      </c>
      <c r="AB191" s="948">
        <f t="array" ref="AB191">IF(AND($AD$176=TRUE,SUM(B191:L191)&gt;0),SUMPRODUCT((((TRANSPOSE(Cls1CentDailyRng)&lt;INDEX(CDRANGE_CLS1,$A191-$A$180+1,AD$177))*TRANSPOSE(Cls1CentDailyRng)+(TRANSPOSE(Cls1CentDailyRng)&gt;INDEX(CDRANGE_CLS1,$A191-$A$180+1,AD$177))*INDEX(CDRANGE_CLS1,$A191-$A$180+1,AD$177))/TRANSPOSE(Cls1CentDailyRng)),B191:L191,TRANSPOSE(Cls1CentVMTShr))/SUMPRODUCT(B191:L191,TRANSPOSE(Cls1CentVMTShr)),0)</f>
        <v>0</v>
      </c>
      <c r="AC191" s="949">
        <f t="array" ref="AC191">IF(AND($AD$176=TRUE,SUM(O191:Y191)&gt;0),SUMPRODUCT((((TRANSPOSE(Cls1NCentDailyRng)&lt;INDEX(CDRANGE_CLS1,$A191-$A$180+1,AD$177))*TRANSPOSE(Cls1NCentDailyRng)+(TRANSPOSE(Cls1NCentDailyRng)&gt;INDEX(CDRANGE_CLS1,$A191-$A$180+1,AD$177))*INDEX(CDRANGE_CLS1,$A191-$A$180+1,AD$177))/TRANSPOSE(Cls1NCentDailyRng)),O191:Y191,TRANSPOSE(Cls1NCentVMTShr))/SUMPRODUCT(O191:Y191,TRANSPOSE(Cls1NCentVMTShr)),0)</f>
        <v>0</v>
      </c>
      <c r="AD191" s="1226">
        <f t="shared" si="112"/>
        <v>0</v>
      </c>
      <c r="AE191" s="937">
        <f t="shared" si="113"/>
        <v>0</v>
      </c>
      <c r="AF191" s="937">
        <f t="shared" si="114"/>
        <v>0</v>
      </c>
      <c r="AG191" s="937">
        <f t="shared" si="115"/>
        <v>0</v>
      </c>
      <c r="AH191" s="1172">
        <f t="shared" si="116"/>
        <v>0</v>
      </c>
      <c r="AI191" s="937">
        <f t="shared" si="117"/>
        <v>0</v>
      </c>
      <c r="AJ191" s="227"/>
      <c r="AK191"/>
      <c r="AL191"/>
      <c r="AM191"/>
      <c r="AN191"/>
      <c r="AO191"/>
      <c r="AP191"/>
      <c r="AQ191"/>
      <c r="AR191"/>
      <c r="AS191"/>
      <c r="AT191"/>
      <c r="AU191"/>
      <c r="AV191"/>
    </row>
    <row r="192" spans="1:48" x14ac:dyDescent="0.2">
      <c r="A192" s="330">
        <v>2019</v>
      </c>
      <c r="B192" s="344">
        <v>0</v>
      </c>
      <c r="C192" s="345">
        <v>0</v>
      </c>
      <c r="D192" s="345">
        <v>0</v>
      </c>
      <c r="E192" s="345">
        <v>0</v>
      </c>
      <c r="F192" s="345">
        <v>0</v>
      </c>
      <c r="G192" s="345">
        <v>0</v>
      </c>
      <c r="H192" s="345">
        <v>0</v>
      </c>
      <c r="I192" s="345">
        <v>0</v>
      </c>
      <c r="J192" s="345">
        <v>0</v>
      </c>
      <c r="K192" s="345">
        <v>0</v>
      </c>
      <c r="L192" s="380">
        <v>0</v>
      </c>
      <c r="M192" s="296">
        <f t="shared" si="108"/>
        <v>0</v>
      </c>
      <c r="N192" s="298">
        <f t="shared" si="109"/>
        <v>0</v>
      </c>
      <c r="O192" s="344">
        <v>0</v>
      </c>
      <c r="P192" s="345">
        <v>0</v>
      </c>
      <c r="Q192" s="345">
        <v>0</v>
      </c>
      <c r="R192" s="345">
        <v>0</v>
      </c>
      <c r="S192" s="345">
        <v>0</v>
      </c>
      <c r="T192" s="345">
        <v>0</v>
      </c>
      <c r="U192" s="345">
        <v>0</v>
      </c>
      <c r="V192" s="345">
        <v>0</v>
      </c>
      <c r="W192" s="345">
        <v>0</v>
      </c>
      <c r="X192" s="345">
        <v>0</v>
      </c>
      <c r="Y192" s="380">
        <v>0</v>
      </c>
      <c r="Z192" s="296">
        <f t="shared" si="110"/>
        <v>0</v>
      </c>
      <c r="AA192" s="298">
        <f t="shared" si="111"/>
        <v>0</v>
      </c>
      <c r="AB192" s="948">
        <f t="array" ref="AB192">IF(AND($AD$176=TRUE,SUM(B192:L192)&gt;0),SUMPRODUCT((((TRANSPOSE(Cls1CentDailyRng)&lt;INDEX(CDRANGE_CLS1,$A192-$A$180+1,AD$177))*TRANSPOSE(Cls1CentDailyRng)+(TRANSPOSE(Cls1CentDailyRng)&gt;INDEX(CDRANGE_CLS1,$A192-$A$180+1,AD$177))*INDEX(CDRANGE_CLS1,$A192-$A$180+1,AD$177))/TRANSPOSE(Cls1CentDailyRng)),B192:L192,TRANSPOSE(Cls1CentVMTShr))/SUMPRODUCT(B192:L192,TRANSPOSE(Cls1CentVMTShr)),0)</f>
        <v>0</v>
      </c>
      <c r="AC192" s="949">
        <f t="array" ref="AC192">IF(AND($AD$176=TRUE,SUM(O192:Y192)&gt;0),SUMPRODUCT((((TRANSPOSE(Cls1NCentDailyRng)&lt;INDEX(CDRANGE_CLS1,$A192-$A$180+1,AD$177))*TRANSPOSE(Cls1NCentDailyRng)+(TRANSPOSE(Cls1NCentDailyRng)&gt;INDEX(CDRANGE_CLS1,$A192-$A$180+1,AD$177))*INDEX(CDRANGE_CLS1,$A192-$A$180+1,AD$177))/TRANSPOSE(Cls1NCentDailyRng)),O192:Y192,TRANSPOSE(Cls1NCentVMTShr))/SUMPRODUCT(O192:Y192,TRANSPOSE(Cls1NCentVMTShr)),0)</f>
        <v>0</v>
      </c>
      <c r="AD192" s="1226">
        <f t="shared" si="112"/>
        <v>0</v>
      </c>
      <c r="AE192" s="937">
        <f t="shared" si="113"/>
        <v>0</v>
      </c>
      <c r="AF192" s="937">
        <f t="shared" si="114"/>
        <v>0</v>
      </c>
      <c r="AG192" s="937">
        <f t="shared" si="115"/>
        <v>0</v>
      </c>
      <c r="AH192" s="1172">
        <f t="shared" si="116"/>
        <v>0</v>
      </c>
      <c r="AI192" s="937">
        <f t="shared" si="117"/>
        <v>0</v>
      </c>
      <c r="AJ192" s="227"/>
      <c r="AK192"/>
      <c r="AL192"/>
      <c r="AM192"/>
      <c r="AN192"/>
      <c r="AO192"/>
      <c r="AP192"/>
      <c r="AQ192"/>
      <c r="AR192"/>
      <c r="AS192"/>
      <c r="AT192"/>
      <c r="AU192"/>
      <c r="AV192"/>
    </row>
    <row r="193" spans="1:48"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8"/>
        <v>0</v>
      </c>
      <c r="N193" s="312">
        <f t="shared" si="109"/>
        <v>0</v>
      </c>
      <c r="O193" s="346">
        <v>0</v>
      </c>
      <c r="P193" s="347">
        <v>0</v>
      </c>
      <c r="Q193" s="347">
        <v>0</v>
      </c>
      <c r="R193" s="347">
        <v>0</v>
      </c>
      <c r="S193" s="347">
        <v>0</v>
      </c>
      <c r="T193" s="347">
        <v>0</v>
      </c>
      <c r="U193" s="347">
        <v>0</v>
      </c>
      <c r="V193" s="347">
        <v>0</v>
      </c>
      <c r="W193" s="347">
        <v>0</v>
      </c>
      <c r="X193" s="347">
        <v>0</v>
      </c>
      <c r="Y193" s="381">
        <v>0</v>
      </c>
      <c r="Z193" s="310">
        <f t="shared" si="110"/>
        <v>0</v>
      </c>
      <c r="AA193" s="312">
        <f t="shared" si="111"/>
        <v>0</v>
      </c>
      <c r="AB193" s="948">
        <f t="array" ref="AB193">IF(AND($AD$176=TRUE,SUM(B193:L193)&gt;0),SUMPRODUCT((((TRANSPOSE(Cls1CentDailyRng)&lt;INDEX(CDRANGE_CLS1,$A193-$A$180+1,AD$177))*TRANSPOSE(Cls1CentDailyRng)+(TRANSPOSE(Cls1CentDailyRng)&gt;INDEX(CDRANGE_CLS1,$A193-$A$180+1,AD$177))*INDEX(CDRANGE_CLS1,$A193-$A$180+1,AD$177))/TRANSPOSE(Cls1CentDailyRng)),B193:L193,TRANSPOSE(Cls1CentVMTShr))/SUMPRODUCT(B193:L193,TRANSPOSE(Cls1CentVMTShr)),0)</f>
        <v>0</v>
      </c>
      <c r="AC193" s="949">
        <f t="array" ref="AC193">IF(AND($AD$176=TRUE,SUM(O193:Y193)&gt;0),SUMPRODUCT((((TRANSPOSE(Cls1NCentDailyRng)&lt;INDEX(CDRANGE_CLS1,$A193-$A$180+1,AD$177))*TRANSPOSE(Cls1NCentDailyRng)+(TRANSPOSE(Cls1NCentDailyRng)&gt;INDEX(CDRANGE_CLS1,$A193-$A$180+1,AD$177))*INDEX(CDRANGE_CLS1,$A193-$A$180+1,AD$177))/TRANSPOSE(Cls1NCentDailyRng)),O193:Y193,TRANSPOSE(Cls1NCentVMTShr))/SUMPRODUCT(O193:Y193,TRANSPOSE(Cls1NCentVMTShr)),0)</f>
        <v>0</v>
      </c>
      <c r="AD193" s="1226">
        <f t="shared" si="112"/>
        <v>0</v>
      </c>
      <c r="AE193" s="937">
        <f t="shared" si="113"/>
        <v>0</v>
      </c>
      <c r="AF193" s="937">
        <f t="shared" si="114"/>
        <v>0</v>
      </c>
      <c r="AG193" s="937">
        <f t="shared" si="115"/>
        <v>0</v>
      </c>
      <c r="AH193" s="1172">
        <f t="shared" si="116"/>
        <v>0</v>
      </c>
      <c r="AI193" s="937">
        <f t="shared" si="117"/>
        <v>0</v>
      </c>
      <c r="AJ193" s="227"/>
      <c r="AK193"/>
      <c r="AL193"/>
      <c r="AM193"/>
      <c r="AN193"/>
      <c r="AO193"/>
      <c r="AP193"/>
      <c r="AQ193"/>
      <c r="AR193"/>
      <c r="AS193"/>
      <c r="AT193"/>
      <c r="AU193"/>
      <c r="AV193"/>
    </row>
    <row r="194" spans="1:48" x14ac:dyDescent="0.2">
      <c r="A194" s="329">
        <v>2021</v>
      </c>
      <c r="B194" s="342">
        <v>0</v>
      </c>
      <c r="C194" s="343">
        <v>0</v>
      </c>
      <c r="D194" s="343">
        <v>0</v>
      </c>
      <c r="E194" s="343">
        <v>0</v>
      </c>
      <c r="F194" s="343">
        <v>0</v>
      </c>
      <c r="G194" s="343">
        <v>0</v>
      </c>
      <c r="H194" s="343">
        <v>0</v>
      </c>
      <c r="I194" s="343">
        <v>0</v>
      </c>
      <c r="J194" s="343">
        <v>0</v>
      </c>
      <c r="K194" s="343">
        <v>0</v>
      </c>
      <c r="L194" s="379">
        <v>0</v>
      </c>
      <c r="M194" s="282">
        <f t="shared" si="108"/>
        <v>0</v>
      </c>
      <c r="N194" s="284">
        <f t="shared" si="109"/>
        <v>0</v>
      </c>
      <c r="O194" s="342">
        <v>0</v>
      </c>
      <c r="P194" s="343">
        <v>0</v>
      </c>
      <c r="Q194" s="343">
        <v>0</v>
      </c>
      <c r="R194" s="343">
        <v>0</v>
      </c>
      <c r="S194" s="343">
        <v>0</v>
      </c>
      <c r="T194" s="343">
        <v>0</v>
      </c>
      <c r="U194" s="343">
        <v>0</v>
      </c>
      <c r="V194" s="343">
        <v>0</v>
      </c>
      <c r="W194" s="343">
        <v>0</v>
      </c>
      <c r="X194" s="343">
        <v>0</v>
      </c>
      <c r="Y194" s="379">
        <v>0</v>
      </c>
      <c r="Z194" s="282">
        <f t="shared" si="110"/>
        <v>0</v>
      </c>
      <c r="AA194" s="284">
        <f t="shared" si="111"/>
        <v>0</v>
      </c>
      <c r="AB194" s="948">
        <f t="array" ref="AB194">IF(AND($AD$176=TRUE,SUM(B194:L194)&gt;0),SUMPRODUCT((((TRANSPOSE(Cls1CentDailyRng)&lt;INDEX(CDRANGE_CLS1,$A194-$A$180+1,AD$177))*TRANSPOSE(Cls1CentDailyRng)+(TRANSPOSE(Cls1CentDailyRng)&gt;INDEX(CDRANGE_CLS1,$A194-$A$180+1,AD$177))*INDEX(CDRANGE_CLS1,$A194-$A$180+1,AD$177))/TRANSPOSE(Cls1CentDailyRng)),B194:L194,TRANSPOSE(Cls1CentVMTShr))/SUMPRODUCT(B194:L194,TRANSPOSE(Cls1CentVMTShr)),0)</f>
        <v>0</v>
      </c>
      <c r="AC194" s="949">
        <f t="array" ref="AC194">IF(AND($AD$176=TRUE,SUM(O194:Y194)&gt;0),SUMPRODUCT((((TRANSPOSE(Cls1NCentDailyRng)&lt;INDEX(CDRANGE_CLS1,$A194-$A$180+1,AD$177))*TRANSPOSE(Cls1NCentDailyRng)+(TRANSPOSE(Cls1NCentDailyRng)&gt;INDEX(CDRANGE_CLS1,$A194-$A$180+1,AD$177))*INDEX(CDRANGE_CLS1,$A194-$A$180+1,AD$177))/TRANSPOSE(Cls1NCentDailyRng)),O194:Y194,TRANSPOSE(Cls1NCentVMTShr))/SUMPRODUCT(O194:Y194,TRANSPOSE(Cls1NCentVMTShr)),0)</f>
        <v>0</v>
      </c>
      <c r="AD194" s="1226">
        <f t="shared" si="112"/>
        <v>0</v>
      </c>
      <c r="AE194" s="937">
        <f t="shared" si="113"/>
        <v>0</v>
      </c>
      <c r="AF194" s="937">
        <f t="shared" si="114"/>
        <v>0</v>
      </c>
      <c r="AG194" s="937">
        <f t="shared" si="115"/>
        <v>0</v>
      </c>
      <c r="AH194" s="1172">
        <f t="shared" si="116"/>
        <v>0</v>
      </c>
      <c r="AI194" s="937">
        <f t="shared" si="117"/>
        <v>0</v>
      </c>
      <c r="AJ194" s="227"/>
      <c r="AK194" s="227"/>
      <c r="AL194" s="227"/>
      <c r="AM194" s="227"/>
    </row>
    <row r="195" spans="1:48" x14ac:dyDescent="0.2">
      <c r="A195" s="330">
        <v>2022</v>
      </c>
      <c r="B195" s="344">
        <v>0</v>
      </c>
      <c r="C195" s="345">
        <v>0</v>
      </c>
      <c r="D195" s="345">
        <v>0</v>
      </c>
      <c r="E195" s="345">
        <v>0</v>
      </c>
      <c r="F195" s="345">
        <v>0</v>
      </c>
      <c r="G195" s="345">
        <v>0</v>
      </c>
      <c r="H195" s="345">
        <v>0</v>
      </c>
      <c r="I195" s="345">
        <v>0</v>
      </c>
      <c r="J195" s="345">
        <v>0</v>
      </c>
      <c r="K195" s="345">
        <v>0</v>
      </c>
      <c r="L195" s="380">
        <v>0</v>
      </c>
      <c r="M195" s="296">
        <f t="shared" si="108"/>
        <v>0</v>
      </c>
      <c r="N195" s="298">
        <f t="shared" si="109"/>
        <v>0</v>
      </c>
      <c r="O195" s="344">
        <v>0</v>
      </c>
      <c r="P195" s="345">
        <v>0</v>
      </c>
      <c r="Q195" s="345">
        <v>0</v>
      </c>
      <c r="R195" s="345">
        <v>0</v>
      </c>
      <c r="S195" s="345">
        <v>0</v>
      </c>
      <c r="T195" s="345">
        <v>0</v>
      </c>
      <c r="U195" s="345">
        <v>0</v>
      </c>
      <c r="V195" s="345">
        <v>0</v>
      </c>
      <c r="W195" s="345">
        <v>0</v>
      </c>
      <c r="X195" s="345">
        <v>0</v>
      </c>
      <c r="Y195" s="380">
        <v>0</v>
      </c>
      <c r="Z195" s="296">
        <f t="shared" si="110"/>
        <v>0</v>
      </c>
      <c r="AA195" s="298">
        <f t="shared" si="111"/>
        <v>0</v>
      </c>
      <c r="AB195" s="948">
        <f t="array" ref="AB195">IF(AND($AD$176=TRUE,SUM(B195:L195)&gt;0),SUMPRODUCT((((TRANSPOSE(Cls1CentDailyRng)&lt;INDEX(CDRANGE_CLS1,$A195-$A$180+1,AD$177))*TRANSPOSE(Cls1CentDailyRng)+(TRANSPOSE(Cls1CentDailyRng)&gt;INDEX(CDRANGE_CLS1,$A195-$A$180+1,AD$177))*INDEX(CDRANGE_CLS1,$A195-$A$180+1,AD$177))/TRANSPOSE(Cls1CentDailyRng)),B195:L195,TRANSPOSE(Cls1CentVMTShr))/SUMPRODUCT(B195:L195,TRANSPOSE(Cls1CentVMTShr)),0)</f>
        <v>0</v>
      </c>
      <c r="AC195" s="949">
        <f t="array" ref="AC195">IF(AND($AD$176=TRUE,SUM(O195:Y195)&gt;0),SUMPRODUCT((((TRANSPOSE(Cls1NCentDailyRng)&lt;INDEX(CDRANGE_CLS1,$A195-$A$180+1,AD$177))*TRANSPOSE(Cls1NCentDailyRng)+(TRANSPOSE(Cls1NCentDailyRng)&gt;INDEX(CDRANGE_CLS1,$A195-$A$180+1,AD$177))*INDEX(CDRANGE_CLS1,$A195-$A$180+1,AD$177))/TRANSPOSE(Cls1NCentDailyRng)),O195:Y195,TRANSPOSE(Cls1NCentVMTShr))/SUMPRODUCT(O195:Y195,TRANSPOSE(Cls1NCentVMTShr)),0)</f>
        <v>0</v>
      </c>
      <c r="AD195" s="1226">
        <f t="shared" si="112"/>
        <v>0</v>
      </c>
      <c r="AE195" s="937">
        <f>SUMPRODUCT($B$74:$L$74,B195:L195)</f>
        <v>0</v>
      </c>
      <c r="AF195" s="937">
        <f>SUMPRODUCT($O$74:$Y$74,O195:Y195)</f>
        <v>0</v>
      </c>
      <c r="AG195" s="937">
        <f>SUM(AE195:AF195)</f>
        <v>0</v>
      </c>
      <c r="AH195" s="1172">
        <f t="shared" si="116"/>
        <v>0</v>
      </c>
      <c r="AI195" s="937">
        <f t="shared" si="117"/>
        <v>0</v>
      </c>
      <c r="AJ195" s="227"/>
      <c r="AK195" s="227"/>
      <c r="AL195" s="227"/>
      <c r="AM195" s="227"/>
    </row>
    <row r="196" spans="1:48" x14ac:dyDescent="0.2">
      <c r="A196" s="330">
        <v>2023</v>
      </c>
      <c r="B196" s="344">
        <v>0</v>
      </c>
      <c r="C196" s="345">
        <v>0</v>
      </c>
      <c r="D196" s="345">
        <v>0</v>
      </c>
      <c r="E196" s="345">
        <v>0</v>
      </c>
      <c r="F196" s="345">
        <v>0</v>
      </c>
      <c r="G196" s="345">
        <v>0</v>
      </c>
      <c r="H196" s="345">
        <v>0</v>
      </c>
      <c r="I196" s="345">
        <v>0</v>
      </c>
      <c r="J196" s="345">
        <v>0</v>
      </c>
      <c r="K196" s="345">
        <v>0</v>
      </c>
      <c r="L196" s="380">
        <v>0</v>
      </c>
      <c r="M196" s="296">
        <f t="shared" si="108"/>
        <v>0</v>
      </c>
      <c r="N196" s="298">
        <f t="shared" si="109"/>
        <v>0</v>
      </c>
      <c r="O196" s="344">
        <v>0</v>
      </c>
      <c r="P196" s="345">
        <v>0</v>
      </c>
      <c r="Q196" s="345">
        <v>0</v>
      </c>
      <c r="R196" s="345">
        <v>0</v>
      </c>
      <c r="S196" s="345">
        <v>0</v>
      </c>
      <c r="T196" s="345">
        <v>0</v>
      </c>
      <c r="U196" s="345">
        <v>0</v>
      </c>
      <c r="V196" s="345">
        <v>0</v>
      </c>
      <c r="W196" s="345">
        <v>0</v>
      </c>
      <c r="X196" s="345">
        <v>0</v>
      </c>
      <c r="Y196" s="380">
        <v>0</v>
      </c>
      <c r="Z196" s="296">
        <f t="shared" si="110"/>
        <v>0</v>
      </c>
      <c r="AA196" s="298">
        <f t="shared" si="111"/>
        <v>0</v>
      </c>
      <c r="AB196" s="948">
        <f t="array" ref="AB196">IF(AND($AD$176=TRUE,SUM(B196:L196)&gt;0),SUMPRODUCT((((TRANSPOSE(Cls1CentDailyRng)&lt;INDEX(CDRANGE_CLS1,$A196-$A$180+1,AD$177))*TRANSPOSE(Cls1CentDailyRng)+(TRANSPOSE(Cls1CentDailyRng)&gt;INDEX(CDRANGE_CLS1,$A196-$A$180+1,AD$177))*INDEX(CDRANGE_CLS1,$A196-$A$180+1,AD$177))/TRANSPOSE(Cls1CentDailyRng)),B196:L196,TRANSPOSE(Cls1CentVMTShr))/SUMPRODUCT(B196:L196,TRANSPOSE(Cls1CentVMTShr)),0)</f>
        <v>0</v>
      </c>
      <c r="AC196" s="949">
        <f t="array" ref="AC196">IF(AND($AD$176=TRUE,SUM(O196:Y196)&gt;0),SUMPRODUCT((((TRANSPOSE(Cls1NCentDailyRng)&lt;INDEX(CDRANGE_CLS1,$A196-$A$180+1,AD$177))*TRANSPOSE(Cls1NCentDailyRng)+(TRANSPOSE(Cls1NCentDailyRng)&gt;INDEX(CDRANGE_CLS1,$A196-$A$180+1,AD$177))*INDEX(CDRANGE_CLS1,$A196-$A$180+1,AD$177))/TRANSPOSE(Cls1NCentDailyRng)),O196:Y196,TRANSPOSE(Cls1NCentVMTShr))/SUMPRODUCT(O196:Y196,TRANSPOSE(Cls1NCentVMTShr)),0)</f>
        <v>0</v>
      </c>
      <c r="AD196" s="1226">
        <f t="shared" si="112"/>
        <v>0</v>
      </c>
      <c r="AE196" s="937">
        <f t="shared" ref="AE196:AE223" si="118">SUMPRODUCT($B$74:$L$74,B196:L196)</f>
        <v>0</v>
      </c>
      <c r="AF196" s="937">
        <f t="shared" ref="AF196:AF223" si="119">SUMPRODUCT($O$74:$Y$74,O196:Y196)</f>
        <v>0</v>
      </c>
      <c r="AG196" s="937">
        <f t="shared" ref="AG196:AG223" si="120">SUM(AE196:AF196)</f>
        <v>0</v>
      </c>
      <c r="AH196" s="1172">
        <f t="shared" si="116"/>
        <v>0</v>
      </c>
      <c r="AI196" s="937">
        <f t="shared" si="117"/>
        <v>0</v>
      </c>
      <c r="AJ196" s="227"/>
      <c r="AK196" s="227"/>
      <c r="AL196" s="227"/>
      <c r="AM196" s="227"/>
    </row>
    <row r="197" spans="1:48" x14ac:dyDescent="0.2">
      <c r="A197" s="330">
        <v>2024</v>
      </c>
      <c r="B197" s="344">
        <v>0</v>
      </c>
      <c r="C197" s="345">
        <v>0</v>
      </c>
      <c r="D197" s="345">
        <v>0</v>
      </c>
      <c r="E197" s="345">
        <v>0</v>
      </c>
      <c r="F197" s="345">
        <v>0</v>
      </c>
      <c r="G197" s="345">
        <v>0</v>
      </c>
      <c r="H197" s="345">
        <v>0</v>
      </c>
      <c r="I197" s="345">
        <v>0</v>
      </c>
      <c r="J197" s="345">
        <v>0</v>
      </c>
      <c r="K197" s="345">
        <v>0</v>
      </c>
      <c r="L197" s="380">
        <v>0</v>
      </c>
      <c r="M197" s="296">
        <f t="shared" si="108"/>
        <v>0</v>
      </c>
      <c r="N197" s="298">
        <f t="shared" si="109"/>
        <v>0</v>
      </c>
      <c r="O197" s="344">
        <v>0</v>
      </c>
      <c r="P197" s="345">
        <v>0</v>
      </c>
      <c r="Q197" s="345">
        <v>0</v>
      </c>
      <c r="R197" s="345">
        <v>0</v>
      </c>
      <c r="S197" s="345">
        <v>0</v>
      </c>
      <c r="T197" s="345">
        <v>0</v>
      </c>
      <c r="U197" s="345">
        <v>0</v>
      </c>
      <c r="V197" s="345">
        <v>0</v>
      </c>
      <c r="W197" s="345">
        <v>0</v>
      </c>
      <c r="X197" s="345">
        <v>0</v>
      </c>
      <c r="Y197" s="380">
        <v>0</v>
      </c>
      <c r="Z197" s="296">
        <f t="shared" si="110"/>
        <v>0</v>
      </c>
      <c r="AA197" s="298">
        <f t="shared" si="111"/>
        <v>0</v>
      </c>
      <c r="AB197" s="948">
        <f t="array" ref="AB197">IF(AND($AD$176=TRUE,SUM(B197:L197)&gt;0),SUMPRODUCT((((TRANSPOSE(Cls1CentDailyRng)&lt;INDEX(CDRANGE_CLS1,$A197-$A$180+1,AD$177))*TRANSPOSE(Cls1CentDailyRng)+(TRANSPOSE(Cls1CentDailyRng)&gt;INDEX(CDRANGE_CLS1,$A197-$A$180+1,AD$177))*INDEX(CDRANGE_CLS1,$A197-$A$180+1,AD$177))/TRANSPOSE(Cls1CentDailyRng)),B197:L197,TRANSPOSE(Cls1CentVMTShr))/SUMPRODUCT(B197:L197,TRANSPOSE(Cls1CentVMTShr)),0)</f>
        <v>0</v>
      </c>
      <c r="AC197" s="949">
        <f t="array" ref="AC197">IF(AND($AD$176=TRUE,SUM(O197:Y197)&gt;0),SUMPRODUCT((((TRANSPOSE(Cls1NCentDailyRng)&lt;INDEX(CDRANGE_CLS1,$A197-$A$180+1,AD$177))*TRANSPOSE(Cls1NCentDailyRng)+(TRANSPOSE(Cls1NCentDailyRng)&gt;INDEX(CDRANGE_CLS1,$A197-$A$180+1,AD$177))*INDEX(CDRANGE_CLS1,$A197-$A$180+1,AD$177))/TRANSPOSE(Cls1NCentDailyRng)),O197:Y197,TRANSPOSE(Cls1NCentVMTShr))/SUMPRODUCT(O197:Y197,TRANSPOSE(Cls1NCentVMTShr)),0)</f>
        <v>0</v>
      </c>
      <c r="AD197" s="1226">
        <f t="shared" si="112"/>
        <v>0</v>
      </c>
      <c r="AE197" s="937">
        <f t="shared" si="118"/>
        <v>0</v>
      </c>
      <c r="AF197" s="937">
        <f t="shared" si="119"/>
        <v>0</v>
      </c>
      <c r="AG197" s="937">
        <f t="shared" si="120"/>
        <v>0</v>
      </c>
      <c r="AH197" s="1172">
        <f t="shared" si="116"/>
        <v>0</v>
      </c>
      <c r="AI197" s="937">
        <f t="shared" si="117"/>
        <v>0</v>
      </c>
      <c r="AJ197" s="227"/>
      <c r="AK197" s="227"/>
      <c r="AL197" s="227"/>
      <c r="AM197" s="227"/>
    </row>
    <row r="198" spans="1:48"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8"/>
        <v>0</v>
      </c>
      <c r="N198" s="312">
        <f t="shared" si="109"/>
        <v>0</v>
      </c>
      <c r="O198" s="346">
        <v>0</v>
      </c>
      <c r="P198" s="347">
        <v>0</v>
      </c>
      <c r="Q198" s="347">
        <v>0</v>
      </c>
      <c r="R198" s="347">
        <v>0</v>
      </c>
      <c r="S198" s="347">
        <v>0</v>
      </c>
      <c r="T198" s="347">
        <v>0</v>
      </c>
      <c r="U198" s="347">
        <v>0</v>
      </c>
      <c r="V198" s="347">
        <v>0</v>
      </c>
      <c r="W198" s="347">
        <v>0</v>
      </c>
      <c r="X198" s="347">
        <v>0</v>
      </c>
      <c r="Y198" s="381">
        <v>0</v>
      </c>
      <c r="Z198" s="310">
        <f t="shared" si="110"/>
        <v>0</v>
      </c>
      <c r="AA198" s="312">
        <f t="shared" si="111"/>
        <v>0</v>
      </c>
      <c r="AB198" s="948">
        <f t="array" ref="AB198">IF(AND($AD$176=TRUE,SUM(B198:L198)&gt;0),SUMPRODUCT((((TRANSPOSE(Cls1CentDailyRng)&lt;INDEX(CDRANGE_CLS1,$A198-$A$180+1,AD$177))*TRANSPOSE(Cls1CentDailyRng)+(TRANSPOSE(Cls1CentDailyRng)&gt;INDEX(CDRANGE_CLS1,$A198-$A$180+1,AD$177))*INDEX(CDRANGE_CLS1,$A198-$A$180+1,AD$177))/TRANSPOSE(Cls1CentDailyRng)),B198:L198,TRANSPOSE(Cls1CentVMTShr))/SUMPRODUCT(B198:L198,TRANSPOSE(Cls1CentVMTShr)),0)</f>
        <v>0</v>
      </c>
      <c r="AC198" s="949">
        <f t="array" ref="AC198">IF(AND($AD$176=TRUE,SUM(O198:Y198)&gt;0),SUMPRODUCT((((TRANSPOSE(Cls1NCentDailyRng)&lt;INDEX(CDRANGE_CLS1,$A198-$A$180+1,AD$177))*TRANSPOSE(Cls1NCentDailyRng)+(TRANSPOSE(Cls1NCentDailyRng)&gt;INDEX(CDRANGE_CLS1,$A198-$A$180+1,AD$177))*INDEX(CDRANGE_CLS1,$A198-$A$180+1,AD$177))/TRANSPOSE(Cls1NCentDailyRng)),O198:Y198,TRANSPOSE(Cls1NCentVMTShr))/SUMPRODUCT(O198:Y198,TRANSPOSE(Cls1NCentVMTShr)),0)</f>
        <v>0</v>
      </c>
      <c r="AD198" s="1226">
        <f t="shared" si="112"/>
        <v>0</v>
      </c>
      <c r="AE198" s="937">
        <f t="shared" si="118"/>
        <v>0</v>
      </c>
      <c r="AF198" s="937">
        <f t="shared" si="119"/>
        <v>0</v>
      </c>
      <c r="AG198" s="937">
        <f t="shared" si="120"/>
        <v>0</v>
      </c>
      <c r="AH198" s="1172">
        <f t="shared" si="116"/>
        <v>0</v>
      </c>
      <c r="AI198" s="937">
        <f t="shared" si="117"/>
        <v>0</v>
      </c>
      <c r="AJ198" s="227"/>
      <c r="AK198" s="227"/>
      <c r="AL198" s="227"/>
      <c r="AM198" s="227"/>
    </row>
    <row r="199" spans="1:48" x14ac:dyDescent="0.2">
      <c r="A199" s="329">
        <v>2026</v>
      </c>
      <c r="B199" s="342">
        <v>0</v>
      </c>
      <c r="C199" s="343">
        <v>0</v>
      </c>
      <c r="D199" s="343">
        <v>0</v>
      </c>
      <c r="E199" s="343">
        <v>0</v>
      </c>
      <c r="F199" s="343">
        <v>0</v>
      </c>
      <c r="G199" s="343">
        <v>0</v>
      </c>
      <c r="H199" s="343">
        <v>0</v>
      </c>
      <c r="I199" s="343">
        <v>0</v>
      </c>
      <c r="J199" s="343">
        <v>0</v>
      </c>
      <c r="K199" s="343">
        <v>0</v>
      </c>
      <c r="L199" s="379">
        <v>0</v>
      </c>
      <c r="M199" s="282">
        <f t="shared" si="108"/>
        <v>0</v>
      </c>
      <c r="N199" s="284">
        <f t="shared" si="109"/>
        <v>0</v>
      </c>
      <c r="O199" s="342">
        <v>0</v>
      </c>
      <c r="P199" s="343">
        <v>0</v>
      </c>
      <c r="Q199" s="343">
        <v>0</v>
      </c>
      <c r="R199" s="343">
        <v>0</v>
      </c>
      <c r="S199" s="343">
        <v>0</v>
      </c>
      <c r="T199" s="343">
        <v>0</v>
      </c>
      <c r="U199" s="343">
        <v>0</v>
      </c>
      <c r="V199" s="343">
        <v>0</v>
      </c>
      <c r="W199" s="343">
        <v>0</v>
      </c>
      <c r="X199" s="343">
        <v>0</v>
      </c>
      <c r="Y199" s="379">
        <v>0</v>
      </c>
      <c r="Z199" s="282">
        <f t="shared" si="110"/>
        <v>0</v>
      </c>
      <c r="AA199" s="284">
        <f t="shared" si="111"/>
        <v>0</v>
      </c>
      <c r="AB199" s="948">
        <f t="array" ref="AB199">IF(AND($AD$176=TRUE,SUM(B199:L199)&gt;0),SUMPRODUCT((((TRANSPOSE(Cls1CentDailyRng)&lt;INDEX(CDRANGE_CLS1,$A199-$A$180+1,AD$177))*TRANSPOSE(Cls1CentDailyRng)+(TRANSPOSE(Cls1CentDailyRng)&gt;INDEX(CDRANGE_CLS1,$A199-$A$180+1,AD$177))*INDEX(CDRANGE_CLS1,$A199-$A$180+1,AD$177))/TRANSPOSE(Cls1CentDailyRng)),B199:L199,TRANSPOSE(Cls1CentVMTShr))/SUMPRODUCT(B199:L199,TRANSPOSE(Cls1CentVMTShr)),0)</f>
        <v>0</v>
      </c>
      <c r="AC199" s="949">
        <f t="array" ref="AC199">IF(AND($AD$176=TRUE,SUM(O199:Y199)&gt;0),SUMPRODUCT((((TRANSPOSE(Cls1NCentDailyRng)&lt;INDEX(CDRANGE_CLS1,$A199-$A$180+1,AD$177))*TRANSPOSE(Cls1NCentDailyRng)+(TRANSPOSE(Cls1NCentDailyRng)&gt;INDEX(CDRANGE_CLS1,$A199-$A$180+1,AD$177))*INDEX(CDRANGE_CLS1,$A199-$A$180+1,AD$177))/TRANSPOSE(Cls1NCentDailyRng)),O199:Y199,TRANSPOSE(Cls1NCentVMTShr))/SUMPRODUCT(O199:Y199,TRANSPOSE(Cls1NCentVMTShr)),0)</f>
        <v>0</v>
      </c>
      <c r="AD199" s="1226">
        <f t="shared" si="112"/>
        <v>0</v>
      </c>
      <c r="AE199" s="937">
        <f t="shared" si="118"/>
        <v>0</v>
      </c>
      <c r="AF199" s="937">
        <f t="shared" si="119"/>
        <v>0</v>
      </c>
      <c r="AG199" s="937">
        <f t="shared" si="120"/>
        <v>0</v>
      </c>
      <c r="AH199" s="1172">
        <f t="shared" si="116"/>
        <v>0</v>
      </c>
      <c r="AI199" s="937">
        <f t="shared" si="117"/>
        <v>0</v>
      </c>
      <c r="AJ199" s="227"/>
      <c r="AK199" s="227"/>
      <c r="AL199" s="227"/>
      <c r="AM199" s="227"/>
    </row>
    <row r="200" spans="1:48" x14ac:dyDescent="0.2">
      <c r="A200" s="330">
        <v>2027</v>
      </c>
      <c r="B200" s="344">
        <v>0</v>
      </c>
      <c r="C200" s="345">
        <v>0</v>
      </c>
      <c r="D200" s="345">
        <v>0</v>
      </c>
      <c r="E200" s="345">
        <v>0</v>
      </c>
      <c r="F200" s="345">
        <v>0</v>
      </c>
      <c r="G200" s="345">
        <v>0</v>
      </c>
      <c r="H200" s="345">
        <v>0</v>
      </c>
      <c r="I200" s="345">
        <v>0</v>
      </c>
      <c r="J200" s="345">
        <v>0</v>
      </c>
      <c r="K200" s="345">
        <v>0</v>
      </c>
      <c r="L200" s="380">
        <v>0</v>
      </c>
      <c r="M200" s="296">
        <f t="shared" si="108"/>
        <v>0</v>
      </c>
      <c r="N200" s="298">
        <f t="shared" si="109"/>
        <v>0</v>
      </c>
      <c r="O200" s="344">
        <v>0</v>
      </c>
      <c r="P200" s="345">
        <v>0</v>
      </c>
      <c r="Q200" s="345">
        <v>0</v>
      </c>
      <c r="R200" s="345">
        <v>0</v>
      </c>
      <c r="S200" s="345">
        <v>0</v>
      </c>
      <c r="T200" s="345">
        <v>0</v>
      </c>
      <c r="U200" s="345">
        <v>0</v>
      </c>
      <c r="V200" s="345">
        <v>0</v>
      </c>
      <c r="W200" s="345">
        <v>0</v>
      </c>
      <c r="X200" s="345">
        <v>0</v>
      </c>
      <c r="Y200" s="380">
        <v>0</v>
      </c>
      <c r="Z200" s="296">
        <f t="shared" si="110"/>
        <v>0</v>
      </c>
      <c r="AA200" s="298">
        <f t="shared" si="111"/>
        <v>0</v>
      </c>
      <c r="AB200" s="948">
        <f t="array" ref="AB200">IF(AND($AD$176=TRUE,SUM(B200:L200)&gt;0),SUMPRODUCT((((TRANSPOSE(Cls1CentDailyRng)&lt;INDEX(CDRANGE_CLS1,$A200-$A$180+1,AD$177))*TRANSPOSE(Cls1CentDailyRng)+(TRANSPOSE(Cls1CentDailyRng)&gt;INDEX(CDRANGE_CLS1,$A200-$A$180+1,AD$177))*INDEX(CDRANGE_CLS1,$A200-$A$180+1,AD$177))/TRANSPOSE(Cls1CentDailyRng)),B200:L200,TRANSPOSE(Cls1CentVMTShr))/SUMPRODUCT(B200:L200,TRANSPOSE(Cls1CentVMTShr)),0)</f>
        <v>0</v>
      </c>
      <c r="AC200" s="949">
        <f t="array" ref="AC200">IF(AND($AD$176=TRUE,SUM(O200:Y200)&gt;0),SUMPRODUCT((((TRANSPOSE(Cls1NCentDailyRng)&lt;INDEX(CDRANGE_CLS1,$A200-$A$180+1,AD$177))*TRANSPOSE(Cls1NCentDailyRng)+(TRANSPOSE(Cls1NCentDailyRng)&gt;INDEX(CDRANGE_CLS1,$A200-$A$180+1,AD$177))*INDEX(CDRANGE_CLS1,$A200-$A$180+1,AD$177))/TRANSPOSE(Cls1NCentDailyRng)),O200:Y200,TRANSPOSE(Cls1NCentVMTShr))/SUMPRODUCT(O200:Y200,TRANSPOSE(Cls1NCentVMTShr)),0)</f>
        <v>0</v>
      </c>
      <c r="AD200" s="1226">
        <f t="shared" si="112"/>
        <v>0</v>
      </c>
      <c r="AE200" s="937">
        <f t="shared" si="118"/>
        <v>0</v>
      </c>
      <c r="AF200" s="937">
        <f t="shared" si="119"/>
        <v>0</v>
      </c>
      <c r="AG200" s="937">
        <f t="shared" si="120"/>
        <v>0</v>
      </c>
      <c r="AH200" s="1172">
        <f t="shared" si="116"/>
        <v>0</v>
      </c>
      <c r="AI200" s="937">
        <f t="shared" si="117"/>
        <v>0</v>
      </c>
      <c r="AJ200" s="227"/>
      <c r="AK200" s="227"/>
      <c r="AL200" s="227"/>
      <c r="AM200" s="227"/>
    </row>
    <row r="201" spans="1:48" x14ac:dyDescent="0.2">
      <c r="A201" s="330">
        <v>2028</v>
      </c>
      <c r="B201" s="344">
        <v>0</v>
      </c>
      <c r="C201" s="345">
        <v>0</v>
      </c>
      <c r="D201" s="345">
        <v>0</v>
      </c>
      <c r="E201" s="345">
        <v>0</v>
      </c>
      <c r="F201" s="345">
        <v>0</v>
      </c>
      <c r="G201" s="345">
        <v>0</v>
      </c>
      <c r="H201" s="345">
        <v>0</v>
      </c>
      <c r="I201" s="345">
        <v>0</v>
      </c>
      <c r="J201" s="345">
        <v>0</v>
      </c>
      <c r="K201" s="345">
        <v>0</v>
      </c>
      <c r="L201" s="380">
        <v>0</v>
      </c>
      <c r="M201" s="296">
        <f t="shared" si="108"/>
        <v>0</v>
      </c>
      <c r="N201" s="298">
        <f t="shared" si="109"/>
        <v>0</v>
      </c>
      <c r="O201" s="344">
        <v>0</v>
      </c>
      <c r="P201" s="345">
        <v>0</v>
      </c>
      <c r="Q201" s="345">
        <v>0</v>
      </c>
      <c r="R201" s="345">
        <v>0</v>
      </c>
      <c r="S201" s="345">
        <v>0</v>
      </c>
      <c r="T201" s="345">
        <v>0</v>
      </c>
      <c r="U201" s="345">
        <v>0</v>
      </c>
      <c r="V201" s="345">
        <v>0</v>
      </c>
      <c r="W201" s="345">
        <v>0</v>
      </c>
      <c r="X201" s="345">
        <v>0</v>
      </c>
      <c r="Y201" s="380">
        <v>0</v>
      </c>
      <c r="Z201" s="296">
        <f t="shared" si="110"/>
        <v>0</v>
      </c>
      <c r="AA201" s="298">
        <f t="shared" si="111"/>
        <v>0</v>
      </c>
      <c r="AB201" s="948">
        <f t="array" ref="AB201">IF(AND($AD$176=TRUE,SUM(B201:L201)&gt;0),SUMPRODUCT((((TRANSPOSE(Cls1CentDailyRng)&lt;INDEX(CDRANGE_CLS1,$A201-$A$180+1,AD$177))*TRANSPOSE(Cls1CentDailyRng)+(TRANSPOSE(Cls1CentDailyRng)&gt;INDEX(CDRANGE_CLS1,$A201-$A$180+1,AD$177))*INDEX(CDRANGE_CLS1,$A201-$A$180+1,AD$177))/TRANSPOSE(Cls1CentDailyRng)),B201:L201,TRANSPOSE(Cls1CentVMTShr))/SUMPRODUCT(B201:L201,TRANSPOSE(Cls1CentVMTShr)),0)</f>
        <v>0</v>
      </c>
      <c r="AC201" s="949">
        <f t="array" ref="AC201">IF(AND($AD$176=TRUE,SUM(O201:Y201)&gt;0),SUMPRODUCT((((TRANSPOSE(Cls1NCentDailyRng)&lt;INDEX(CDRANGE_CLS1,$A201-$A$180+1,AD$177))*TRANSPOSE(Cls1NCentDailyRng)+(TRANSPOSE(Cls1NCentDailyRng)&gt;INDEX(CDRANGE_CLS1,$A201-$A$180+1,AD$177))*INDEX(CDRANGE_CLS1,$A201-$A$180+1,AD$177))/TRANSPOSE(Cls1NCentDailyRng)),O201:Y201,TRANSPOSE(Cls1NCentVMTShr))/SUMPRODUCT(O201:Y201,TRANSPOSE(Cls1NCentVMTShr)),0)</f>
        <v>0</v>
      </c>
      <c r="AD201" s="1226">
        <f t="shared" si="112"/>
        <v>0</v>
      </c>
      <c r="AE201" s="937">
        <f t="shared" si="118"/>
        <v>0</v>
      </c>
      <c r="AF201" s="937">
        <f t="shared" si="119"/>
        <v>0</v>
      </c>
      <c r="AG201" s="937">
        <f t="shared" si="120"/>
        <v>0</v>
      </c>
      <c r="AH201" s="1172">
        <f t="shared" si="116"/>
        <v>0</v>
      </c>
      <c r="AI201" s="937">
        <f t="shared" si="117"/>
        <v>0</v>
      </c>
      <c r="AJ201" s="227"/>
      <c r="AK201" s="227"/>
      <c r="AL201" s="227"/>
      <c r="AM201" s="227"/>
    </row>
    <row r="202" spans="1:48" x14ac:dyDescent="0.2">
      <c r="A202" s="330">
        <v>2029</v>
      </c>
      <c r="B202" s="344">
        <v>0</v>
      </c>
      <c r="C202" s="345">
        <v>0</v>
      </c>
      <c r="D202" s="345">
        <v>0</v>
      </c>
      <c r="E202" s="345">
        <v>0</v>
      </c>
      <c r="F202" s="345">
        <v>0</v>
      </c>
      <c r="G202" s="345">
        <v>0</v>
      </c>
      <c r="H202" s="345">
        <v>0</v>
      </c>
      <c r="I202" s="345">
        <v>0</v>
      </c>
      <c r="J202" s="345">
        <v>0</v>
      </c>
      <c r="K202" s="345">
        <v>0</v>
      </c>
      <c r="L202" s="380">
        <v>0</v>
      </c>
      <c r="M202" s="296">
        <f t="shared" si="108"/>
        <v>0</v>
      </c>
      <c r="N202" s="298">
        <f t="shared" si="109"/>
        <v>0</v>
      </c>
      <c r="O202" s="344">
        <v>0</v>
      </c>
      <c r="P202" s="345">
        <v>0</v>
      </c>
      <c r="Q202" s="345">
        <v>0</v>
      </c>
      <c r="R202" s="345">
        <v>0</v>
      </c>
      <c r="S202" s="345">
        <v>0</v>
      </c>
      <c r="T202" s="345">
        <v>0</v>
      </c>
      <c r="U202" s="345">
        <v>0</v>
      </c>
      <c r="V202" s="345">
        <v>0</v>
      </c>
      <c r="W202" s="345">
        <v>0</v>
      </c>
      <c r="X202" s="345">
        <v>0</v>
      </c>
      <c r="Y202" s="380">
        <v>0</v>
      </c>
      <c r="Z202" s="296">
        <f t="shared" si="110"/>
        <v>0</v>
      </c>
      <c r="AA202" s="298">
        <f t="shared" si="111"/>
        <v>0</v>
      </c>
      <c r="AB202" s="948">
        <f t="array" ref="AB202">IF(AND($AD$176=TRUE,SUM(B202:L202)&gt;0),SUMPRODUCT((((TRANSPOSE(Cls1CentDailyRng)&lt;INDEX(CDRANGE_CLS1,$A202-$A$180+1,AD$177))*TRANSPOSE(Cls1CentDailyRng)+(TRANSPOSE(Cls1CentDailyRng)&gt;INDEX(CDRANGE_CLS1,$A202-$A$180+1,AD$177))*INDEX(CDRANGE_CLS1,$A202-$A$180+1,AD$177))/TRANSPOSE(Cls1CentDailyRng)),B202:L202,TRANSPOSE(Cls1CentVMTShr))/SUMPRODUCT(B202:L202,TRANSPOSE(Cls1CentVMTShr)),0)</f>
        <v>0</v>
      </c>
      <c r="AC202" s="949">
        <f t="array" ref="AC202">IF(AND($AD$176=TRUE,SUM(O202:Y202)&gt;0),SUMPRODUCT((((TRANSPOSE(Cls1NCentDailyRng)&lt;INDEX(CDRANGE_CLS1,$A202-$A$180+1,AD$177))*TRANSPOSE(Cls1NCentDailyRng)+(TRANSPOSE(Cls1NCentDailyRng)&gt;INDEX(CDRANGE_CLS1,$A202-$A$180+1,AD$177))*INDEX(CDRANGE_CLS1,$A202-$A$180+1,AD$177))/TRANSPOSE(Cls1NCentDailyRng)),O202:Y202,TRANSPOSE(Cls1NCentVMTShr))/SUMPRODUCT(O202:Y202,TRANSPOSE(Cls1NCentVMTShr)),0)</f>
        <v>0</v>
      </c>
      <c r="AD202" s="1226">
        <f t="shared" si="112"/>
        <v>0</v>
      </c>
      <c r="AE202" s="937">
        <f t="shared" si="118"/>
        <v>0</v>
      </c>
      <c r="AF202" s="937">
        <f t="shared" si="119"/>
        <v>0</v>
      </c>
      <c r="AG202" s="937">
        <f t="shared" si="120"/>
        <v>0</v>
      </c>
      <c r="AH202" s="1172">
        <f t="shared" si="116"/>
        <v>0</v>
      </c>
      <c r="AI202" s="937">
        <f t="shared" si="117"/>
        <v>0</v>
      </c>
      <c r="AJ202" s="227"/>
      <c r="AK202" s="227"/>
      <c r="AL202" s="227"/>
      <c r="AM202" s="227"/>
    </row>
    <row r="203" spans="1:48"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8"/>
        <v>0</v>
      </c>
      <c r="N203" s="312">
        <f t="shared" si="109"/>
        <v>0</v>
      </c>
      <c r="O203" s="346">
        <v>0</v>
      </c>
      <c r="P203" s="347">
        <v>0</v>
      </c>
      <c r="Q203" s="347">
        <v>0</v>
      </c>
      <c r="R203" s="347">
        <v>0</v>
      </c>
      <c r="S203" s="347">
        <v>0</v>
      </c>
      <c r="T203" s="347">
        <v>0</v>
      </c>
      <c r="U203" s="347">
        <v>0</v>
      </c>
      <c r="V203" s="347">
        <v>0</v>
      </c>
      <c r="W203" s="347">
        <v>0</v>
      </c>
      <c r="X203" s="347">
        <v>0</v>
      </c>
      <c r="Y203" s="381">
        <v>0</v>
      </c>
      <c r="Z203" s="310">
        <f t="shared" si="110"/>
        <v>0</v>
      </c>
      <c r="AA203" s="312">
        <f t="shared" si="111"/>
        <v>0</v>
      </c>
      <c r="AB203" s="948">
        <f t="array" ref="AB203">IF(AND($AD$176=TRUE,SUM(B203:L203)&gt;0),SUMPRODUCT((((TRANSPOSE(Cls1CentDailyRng)&lt;INDEX(CDRANGE_CLS1,$A203-$A$180+1,AD$177))*TRANSPOSE(Cls1CentDailyRng)+(TRANSPOSE(Cls1CentDailyRng)&gt;INDEX(CDRANGE_CLS1,$A203-$A$180+1,AD$177))*INDEX(CDRANGE_CLS1,$A203-$A$180+1,AD$177))/TRANSPOSE(Cls1CentDailyRng)),B203:L203,TRANSPOSE(Cls1CentVMTShr))/SUMPRODUCT(B203:L203,TRANSPOSE(Cls1CentVMTShr)),0)</f>
        <v>0</v>
      </c>
      <c r="AC203" s="949">
        <f t="array" ref="AC203">IF(AND($AD$176=TRUE,SUM(O203:Y203)&gt;0),SUMPRODUCT((((TRANSPOSE(Cls1NCentDailyRng)&lt;INDEX(CDRANGE_CLS1,$A203-$A$180+1,AD$177))*TRANSPOSE(Cls1NCentDailyRng)+(TRANSPOSE(Cls1NCentDailyRng)&gt;INDEX(CDRANGE_CLS1,$A203-$A$180+1,AD$177))*INDEX(CDRANGE_CLS1,$A203-$A$180+1,AD$177))/TRANSPOSE(Cls1NCentDailyRng)),O203:Y203,TRANSPOSE(Cls1NCentVMTShr))/SUMPRODUCT(O203:Y203,TRANSPOSE(Cls1NCentVMTShr)),0)</f>
        <v>0</v>
      </c>
      <c r="AD203" s="1226">
        <f t="shared" si="112"/>
        <v>0</v>
      </c>
      <c r="AE203" s="937">
        <f t="shared" si="118"/>
        <v>0</v>
      </c>
      <c r="AF203" s="937">
        <f t="shared" si="119"/>
        <v>0</v>
      </c>
      <c r="AG203" s="937">
        <f t="shared" si="120"/>
        <v>0</v>
      </c>
      <c r="AH203" s="1172">
        <f t="shared" si="116"/>
        <v>0</v>
      </c>
      <c r="AI203" s="937">
        <f t="shared" si="117"/>
        <v>0</v>
      </c>
      <c r="AJ203" s="227"/>
      <c r="AK203" s="227"/>
      <c r="AL203" s="227"/>
      <c r="AM203" s="227"/>
    </row>
    <row r="204" spans="1:48" x14ac:dyDescent="0.2">
      <c r="A204" s="329">
        <v>2031</v>
      </c>
      <c r="B204" s="342">
        <v>0</v>
      </c>
      <c r="C204" s="343">
        <v>0</v>
      </c>
      <c r="D204" s="343">
        <v>0</v>
      </c>
      <c r="E204" s="343">
        <v>0</v>
      </c>
      <c r="F204" s="343">
        <v>0</v>
      </c>
      <c r="G204" s="343">
        <v>0</v>
      </c>
      <c r="H204" s="343">
        <v>0</v>
      </c>
      <c r="I204" s="343">
        <v>0</v>
      </c>
      <c r="J204" s="343">
        <v>0</v>
      </c>
      <c r="K204" s="343">
        <v>0</v>
      </c>
      <c r="L204" s="379">
        <v>0</v>
      </c>
      <c r="M204" s="282">
        <f t="shared" si="108"/>
        <v>0</v>
      </c>
      <c r="N204" s="284">
        <f t="shared" si="109"/>
        <v>0</v>
      </c>
      <c r="O204" s="342">
        <v>0</v>
      </c>
      <c r="P204" s="343">
        <v>0</v>
      </c>
      <c r="Q204" s="343">
        <v>0</v>
      </c>
      <c r="R204" s="343">
        <v>0</v>
      </c>
      <c r="S204" s="343">
        <v>0</v>
      </c>
      <c r="T204" s="343">
        <v>0</v>
      </c>
      <c r="U204" s="343">
        <v>0</v>
      </c>
      <c r="V204" s="343">
        <v>0</v>
      </c>
      <c r="W204" s="343">
        <v>0</v>
      </c>
      <c r="X204" s="343">
        <v>0</v>
      </c>
      <c r="Y204" s="379">
        <v>0</v>
      </c>
      <c r="Z204" s="282">
        <f t="shared" si="110"/>
        <v>0</v>
      </c>
      <c r="AA204" s="284">
        <f t="shared" si="111"/>
        <v>0</v>
      </c>
      <c r="AB204" s="948">
        <f t="array" ref="AB204">IF(AND($AD$176=TRUE,SUM(B204:L204)&gt;0),SUMPRODUCT((((TRANSPOSE(Cls1CentDailyRng)&lt;INDEX(CDRANGE_CLS1,$A204-$A$180+1,AD$177))*TRANSPOSE(Cls1CentDailyRng)+(TRANSPOSE(Cls1CentDailyRng)&gt;INDEX(CDRANGE_CLS1,$A204-$A$180+1,AD$177))*INDEX(CDRANGE_CLS1,$A204-$A$180+1,AD$177))/TRANSPOSE(Cls1CentDailyRng)),B204:L204,TRANSPOSE(Cls1CentVMTShr))/SUMPRODUCT(B204:L204,TRANSPOSE(Cls1CentVMTShr)),0)</f>
        <v>0</v>
      </c>
      <c r="AC204" s="949">
        <f t="array" ref="AC204">IF(AND($AD$176=TRUE,SUM(O204:Y204)&gt;0),SUMPRODUCT((((TRANSPOSE(Cls1NCentDailyRng)&lt;INDEX(CDRANGE_CLS1,$A204-$A$180+1,AD$177))*TRANSPOSE(Cls1NCentDailyRng)+(TRANSPOSE(Cls1NCentDailyRng)&gt;INDEX(CDRANGE_CLS1,$A204-$A$180+1,AD$177))*INDEX(CDRANGE_CLS1,$A204-$A$180+1,AD$177))/TRANSPOSE(Cls1NCentDailyRng)),O204:Y204,TRANSPOSE(Cls1NCentVMTShr))/SUMPRODUCT(O204:Y204,TRANSPOSE(Cls1NCentVMTShr)),0)</f>
        <v>0</v>
      </c>
      <c r="AD204" s="1226">
        <f t="shared" si="112"/>
        <v>0</v>
      </c>
      <c r="AE204" s="937">
        <f t="shared" si="118"/>
        <v>0</v>
      </c>
      <c r="AF204" s="937">
        <f t="shared" si="119"/>
        <v>0</v>
      </c>
      <c r="AG204" s="937">
        <f t="shared" si="120"/>
        <v>0</v>
      </c>
      <c r="AH204" s="1172">
        <f t="shared" si="116"/>
        <v>0</v>
      </c>
      <c r="AI204" s="937">
        <f t="shared" si="117"/>
        <v>0</v>
      </c>
      <c r="AJ204" s="227"/>
      <c r="AK204" s="227"/>
      <c r="AL204" s="227"/>
      <c r="AM204" s="227"/>
    </row>
    <row r="205" spans="1:48" x14ac:dyDescent="0.2">
      <c r="A205" s="330">
        <v>2032</v>
      </c>
      <c r="B205" s="344">
        <v>0</v>
      </c>
      <c r="C205" s="345">
        <v>0</v>
      </c>
      <c r="D205" s="345">
        <v>0</v>
      </c>
      <c r="E205" s="345">
        <v>0</v>
      </c>
      <c r="F205" s="345">
        <v>0</v>
      </c>
      <c r="G205" s="345">
        <v>0</v>
      </c>
      <c r="H205" s="345">
        <v>0</v>
      </c>
      <c r="I205" s="345">
        <v>0</v>
      </c>
      <c r="J205" s="345">
        <v>0</v>
      </c>
      <c r="K205" s="345">
        <v>0</v>
      </c>
      <c r="L205" s="380">
        <v>0</v>
      </c>
      <c r="M205" s="296">
        <f t="shared" si="108"/>
        <v>0</v>
      </c>
      <c r="N205" s="298">
        <f t="shared" si="109"/>
        <v>0</v>
      </c>
      <c r="O205" s="344">
        <v>0</v>
      </c>
      <c r="P205" s="345">
        <v>0</v>
      </c>
      <c r="Q205" s="345">
        <v>0</v>
      </c>
      <c r="R205" s="345">
        <v>0</v>
      </c>
      <c r="S205" s="345">
        <v>0</v>
      </c>
      <c r="T205" s="345">
        <v>0</v>
      </c>
      <c r="U205" s="345">
        <v>0</v>
      </c>
      <c r="V205" s="345">
        <v>0</v>
      </c>
      <c r="W205" s="345">
        <v>0</v>
      </c>
      <c r="X205" s="345">
        <v>0</v>
      </c>
      <c r="Y205" s="380">
        <v>0</v>
      </c>
      <c r="Z205" s="296">
        <f t="shared" si="110"/>
        <v>0</v>
      </c>
      <c r="AA205" s="298">
        <f t="shared" si="111"/>
        <v>0</v>
      </c>
      <c r="AB205" s="948">
        <f t="array" ref="AB205">IF(AND($AD$176=TRUE,SUM(B205:L205)&gt;0),SUMPRODUCT((((TRANSPOSE(Cls1CentDailyRng)&lt;INDEX(CDRANGE_CLS1,$A205-$A$180+1,AD$177))*TRANSPOSE(Cls1CentDailyRng)+(TRANSPOSE(Cls1CentDailyRng)&gt;INDEX(CDRANGE_CLS1,$A205-$A$180+1,AD$177))*INDEX(CDRANGE_CLS1,$A205-$A$180+1,AD$177))/TRANSPOSE(Cls1CentDailyRng)),B205:L205,TRANSPOSE(Cls1CentVMTShr))/SUMPRODUCT(B205:L205,TRANSPOSE(Cls1CentVMTShr)),0)</f>
        <v>0</v>
      </c>
      <c r="AC205" s="949">
        <f t="array" ref="AC205">IF(AND($AD$176=TRUE,SUM(O205:Y205)&gt;0),SUMPRODUCT((((TRANSPOSE(Cls1NCentDailyRng)&lt;INDEX(CDRANGE_CLS1,$A205-$A$180+1,AD$177))*TRANSPOSE(Cls1NCentDailyRng)+(TRANSPOSE(Cls1NCentDailyRng)&gt;INDEX(CDRANGE_CLS1,$A205-$A$180+1,AD$177))*INDEX(CDRANGE_CLS1,$A205-$A$180+1,AD$177))/TRANSPOSE(Cls1NCentDailyRng)),O205:Y205,TRANSPOSE(Cls1NCentVMTShr))/SUMPRODUCT(O205:Y205,TRANSPOSE(Cls1NCentVMTShr)),0)</f>
        <v>0</v>
      </c>
      <c r="AD205" s="1226">
        <f t="shared" si="112"/>
        <v>0</v>
      </c>
      <c r="AE205" s="937">
        <f t="shared" si="118"/>
        <v>0</v>
      </c>
      <c r="AF205" s="937">
        <f t="shared" si="119"/>
        <v>0</v>
      </c>
      <c r="AG205" s="937">
        <f t="shared" si="120"/>
        <v>0</v>
      </c>
      <c r="AH205" s="1172">
        <f t="shared" si="116"/>
        <v>0</v>
      </c>
      <c r="AI205" s="937">
        <f t="shared" si="117"/>
        <v>0</v>
      </c>
      <c r="AJ205" s="227"/>
      <c r="AK205" s="227"/>
      <c r="AL205" s="227"/>
      <c r="AM205" s="227"/>
    </row>
    <row r="206" spans="1:48" x14ac:dyDescent="0.2">
      <c r="A206" s="330">
        <v>2033</v>
      </c>
      <c r="B206" s="344">
        <v>0</v>
      </c>
      <c r="C206" s="345">
        <v>0</v>
      </c>
      <c r="D206" s="345">
        <v>0</v>
      </c>
      <c r="E206" s="345">
        <v>0</v>
      </c>
      <c r="F206" s="345">
        <v>0</v>
      </c>
      <c r="G206" s="345">
        <v>0</v>
      </c>
      <c r="H206" s="345">
        <v>0</v>
      </c>
      <c r="I206" s="345">
        <v>0</v>
      </c>
      <c r="J206" s="345">
        <v>0</v>
      </c>
      <c r="K206" s="345">
        <v>0</v>
      </c>
      <c r="L206" s="380">
        <v>0</v>
      </c>
      <c r="M206" s="296">
        <f t="shared" si="108"/>
        <v>0</v>
      </c>
      <c r="N206" s="298">
        <f t="shared" si="109"/>
        <v>0</v>
      </c>
      <c r="O206" s="344">
        <v>0</v>
      </c>
      <c r="P206" s="345">
        <v>0</v>
      </c>
      <c r="Q206" s="345">
        <v>0</v>
      </c>
      <c r="R206" s="345">
        <v>0</v>
      </c>
      <c r="S206" s="345">
        <v>0</v>
      </c>
      <c r="T206" s="345">
        <v>0</v>
      </c>
      <c r="U206" s="345">
        <v>0</v>
      </c>
      <c r="V206" s="345">
        <v>0</v>
      </c>
      <c r="W206" s="345">
        <v>0</v>
      </c>
      <c r="X206" s="345">
        <v>0</v>
      </c>
      <c r="Y206" s="380">
        <v>0</v>
      </c>
      <c r="Z206" s="296">
        <f t="shared" si="110"/>
        <v>0</v>
      </c>
      <c r="AA206" s="298">
        <f t="shared" si="111"/>
        <v>0</v>
      </c>
      <c r="AB206" s="948">
        <f t="array" ref="AB206">IF(AND($AD$176=TRUE,SUM(B206:L206)&gt;0),SUMPRODUCT((((TRANSPOSE(Cls1CentDailyRng)&lt;INDEX(CDRANGE_CLS1,$A206-$A$180+1,AD$177))*TRANSPOSE(Cls1CentDailyRng)+(TRANSPOSE(Cls1CentDailyRng)&gt;INDEX(CDRANGE_CLS1,$A206-$A$180+1,AD$177))*INDEX(CDRANGE_CLS1,$A206-$A$180+1,AD$177))/TRANSPOSE(Cls1CentDailyRng)),B206:L206,TRANSPOSE(Cls1CentVMTShr))/SUMPRODUCT(B206:L206,TRANSPOSE(Cls1CentVMTShr)),0)</f>
        <v>0</v>
      </c>
      <c r="AC206" s="949">
        <f t="array" ref="AC206">IF(AND($AD$176=TRUE,SUM(O206:Y206)&gt;0),SUMPRODUCT((((TRANSPOSE(Cls1NCentDailyRng)&lt;INDEX(CDRANGE_CLS1,$A206-$A$180+1,AD$177))*TRANSPOSE(Cls1NCentDailyRng)+(TRANSPOSE(Cls1NCentDailyRng)&gt;INDEX(CDRANGE_CLS1,$A206-$A$180+1,AD$177))*INDEX(CDRANGE_CLS1,$A206-$A$180+1,AD$177))/TRANSPOSE(Cls1NCentDailyRng)),O206:Y206,TRANSPOSE(Cls1NCentVMTShr))/SUMPRODUCT(O206:Y206,TRANSPOSE(Cls1NCentVMTShr)),0)</f>
        <v>0</v>
      </c>
      <c r="AD206" s="1226">
        <f>AB206*AH206+AC206*AI206</f>
        <v>0</v>
      </c>
      <c r="AE206" s="937">
        <f t="shared" si="118"/>
        <v>0</v>
      </c>
      <c r="AF206" s="937">
        <f t="shared" si="119"/>
        <v>0</v>
      </c>
      <c r="AG206" s="937">
        <f t="shared" si="120"/>
        <v>0</v>
      </c>
      <c r="AH206" s="1172">
        <f t="shared" si="116"/>
        <v>0</v>
      </c>
      <c r="AI206" s="937">
        <f t="shared" si="117"/>
        <v>0</v>
      </c>
      <c r="AJ206" s="227"/>
      <c r="AK206" s="227"/>
      <c r="AL206" s="227"/>
      <c r="AM206" s="227"/>
    </row>
    <row r="207" spans="1:48" x14ac:dyDescent="0.2">
      <c r="A207" s="330">
        <v>2034</v>
      </c>
      <c r="B207" s="344">
        <v>0</v>
      </c>
      <c r="C207" s="345">
        <v>0</v>
      </c>
      <c r="D207" s="345">
        <v>0</v>
      </c>
      <c r="E207" s="345">
        <v>0</v>
      </c>
      <c r="F207" s="345">
        <v>0</v>
      </c>
      <c r="G207" s="345">
        <v>0</v>
      </c>
      <c r="H207" s="345">
        <v>0</v>
      </c>
      <c r="I207" s="345">
        <v>0</v>
      </c>
      <c r="J207" s="345">
        <v>0</v>
      </c>
      <c r="K207" s="345">
        <v>0</v>
      </c>
      <c r="L207" s="380">
        <v>0</v>
      </c>
      <c r="M207" s="296">
        <f t="shared" si="108"/>
        <v>0</v>
      </c>
      <c r="N207" s="298">
        <f t="shared" si="109"/>
        <v>0</v>
      </c>
      <c r="O207" s="344">
        <v>0</v>
      </c>
      <c r="P207" s="345">
        <v>0</v>
      </c>
      <c r="Q207" s="345">
        <v>0</v>
      </c>
      <c r="R207" s="345">
        <v>0</v>
      </c>
      <c r="S207" s="345">
        <v>0</v>
      </c>
      <c r="T207" s="345">
        <v>0</v>
      </c>
      <c r="U207" s="345">
        <v>0</v>
      </c>
      <c r="V207" s="345">
        <v>0</v>
      </c>
      <c r="W207" s="345">
        <v>0</v>
      </c>
      <c r="X207" s="345">
        <v>0</v>
      </c>
      <c r="Y207" s="380">
        <v>0</v>
      </c>
      <c r="Z207" s="296">
        <f t="shared" si="110"/>
        <v>0</v>
      </c>
      <c r="AA207" s="298">
        <f t="shared" si="111"/>
        <v>0</v>
      </c>
      <c r="AB207" s="948">
        <f t="array" ref="AB207">IF(AND($AD$176=TRUE,SUM(B207:L207)&gt;0),SUMPRODUCT((((TRANSPOSE(Cls1CentDailyRng)&lt;INDEX(CDRANGE_CLS1,$A207-$A$180+1,AD$177))*TRANSPOSE(Cls1CentDailyRng)+(TRANSPOSE(Cls1CentDailyRng)&gt;INDEX(CDRANGE_CLS1,$A207-$A$180+1,AD$177))*INDEX(CDRANGE_CLS1,$A207-$A$180+1,AD$177))/TRANSPOSE(Cls1CentDailyRng)),B207:L207,TRANSPOSE(Cls1CentVMTShr))/SUMPRODUCT(B207:L207,TRANSPOSE(Cls1CentVMTShr)),0)</f>
        <v>0</v>
      </c>
      <c r="AC207" s="949">
        <f t="array" ref="AC207">IF(AND($AD$176=TRUE,SUM(O207:Y207)&gt;0),SUMPRODUCT((((TRANSPOSE(Cls1NCentDailyRng)&lt;INDEX(CDRANGE_CLS1,$A207-$A$180+1,AD$177))*TRANSPOSE(Cls1NCentDailyRng)+(TRANSPOSE(Cls1NCentDailyRng)&gt;INDEX(CDRANGE_CLS1,$A207-$A$180+1,AD$177))*INDEX(CDRANGE_CLS1,$A207-$A$180+1,AD$177))/TRANSPOSE(Cls1NCentDailyRng)),O207:Y207,TRANSPOSE(Cls1NCentVMTShr))/SUMPRODUCT(O207:Y207,TRANSPOSE(Cls1NCentVMTShr)),0)</f>
        <v>0</v>
      </c>
      <c r="AD207" s="1226">
        <f t="shared" ref="AD207:AD223" si="121">AB207*AH207+AC207*AI207</f>
        <v>0</v>
      </c>
      <c r="AE207" s="937">
        <f t="shared" si="118"/>
        <v>0</v>
      </c>
      <c r="AF207" s="937">
        <f t="shared" si="119"/>
        <v>0</v>
      </c>
      <c r="AG207" s="937">
        <f t="shared" si="120"/>
        <v>0</v>
      </c>
      <c r="AH207" s="1172">
        <f t="shared" si="116"/>
        <v>0</v>
      </c>
      <c r="AI207" s="937">
        <f t="shared" si="117"/>
        <v>0</v>
      </c>
      <c r="AJ207" s="227"/>
      <c r="AK207" s="227"/>
      <c r="AL207" s="227"/>
      <c r="AM207" s="227"/>
    </row>
    <row r="208" spans="1:48" ht="15" thickBot="1" x14ac:dyDescent="0.25">
      <c r="A208" s="328">
        <v>2035</v>
      </c>
      <c r="B208" s="346">
        <v>0</v>
      </c>
      <c r="C208" s="347">
        <v>0</v>
      </c>
      <c r="D208" s="347">
        <v>0</v>
      </c>
      <c r="E208" s="347">
        <v>0</v>
      </c>
      <c r="F208" s="347">
        <v>0</v>
      </c>
      <c r="G208" s="347">
        <v>0</v>
      </c>
      <c r="H208" s="347">
        <v>0</v>
      </c>
      <c r="I208" s="347">
        <v>0</v>
      </c>
      <c r="J208" s="347">
        <v>0</v>
      </c>
      <c r="K208" s="347">
        <v>0</v>
      </c>
      <c r="L208" s="381">
        <v>0</v>
      </c>
      <c r="M208" s="310">
        <f t="shared" si="108"/>
        <v>0</v>
      </c>
      <c r="N208" s="312">
        <f t="shared" si="109"/>
        <v>0</v>
      </c>
      <c r="O208" s="346">
        <v>0</v>
      </c>
      <c r="P208" s="347">
        <v>0</v>
      </c>
      <c r="Q208" s="347">
        <v>0</v>
      </c>
      <c r="R208" s="347">
        <v>0</v>
      </c>
      <c r="S208" s="347">
        <v>0</v>
      </c>
      <c r="T208" s="347">
        <v>0</v>
      </c>
      <c r="U208" s="347">
        <v>0</v>
      </c>
      <c r="V208" s="347">
        <v>0</v>
      </c>
      <c r="W208" s="347">
        <v>0</v>
      </c>
      <c r="X208" s="347">
        <v>0</v>
      </c>
      <c r="Y208" s="381">
        <v>0</v>
      </c>
      <c r="Z208" s="310">
        <f t="shared" si="110"/>
        <v>0</v>
      </c>
      <c r="AA208" s="312">
        <f t="shared" si="111"/>
        <v>0</v>
      </c>
      <c r="AB208" s="948">
        <f t="array" ref="AB208">IF(AND($AD$176=TRUE,SUM(B208:L208)&gt;0),SUMPRODUCT((((TRANSPOSE(Cls1CentDailyRng)&lt;INDEX(CDRANGE_CLS1,$A208-$A$180+1,AD$177))*TRANSPOSE(Cls1CentDailyRng)+(TRANSPOSE(Cls1CentDailyRng)&gt;INDEX(CDRANGE_CLS1,$A208-$A$180+1,AD$177))*INDEX(CDRANGE_CLS1,$A208-$A$180+1,AD$177))/TRANSPOSE(Cls1CentDailyRng)),B208:L208,TRANSPOSE(Cls1CentVMTShr))/SUMPRODUCT(B208:L208,TRANSPOSE(Cls1CentVMTShr)),0)</f>
        <v>0</v>
      </c>
      <c r="AC208" s="949">
        <f t="array" ref="AC208">IF(AND($AD$176=TRUE,SUM(O208:Y208)&gt;0),SUMPRODUCT((((TRANSPOSE(Cls1NCentDailyRng)&lt;INDEX(CDRANGE_CLS1,$A208-$A$180+1,AD$177))*TRANSPOSE(Cls1NCentDailyRng)+(TRANSPOSE(Cls1NCentDailyRng)&gt;INDEX(CDRANGE_CLS1,$A208-$A$180+1,AD$177))*INDEX(CDRANGE_CLS1,$A208-$A$180+1,AD$177))/TRANSPOSE(Cls1NCentDailyRng)),O208:Y208,TRANSPOSE(Cls1NCentVMTShr))/SUMPRODUCT(O208:Y208,TRANSPOSE(Cls1NCentVMTShr)),0)</f>
        <v>0</v>
      </c>
      <c r="AD208" s="1226">
        <f t="shared" si="121"/>
        <v>0</v>
      </c>
      <c r="AE208" s="937">
        <f t="shared" si="118"/>
        <v>0</v>
      </c>
      <c r="AF208" s="937">
        <f t="shared" si="119"/>
        <v>0</v>
      </c>
      <c r="AG208" s="937">
        <f t="shared" si="120"/>
        <v>0</v>
      </c>
      <c r="AH208" s="1172">
        <f t="shared" si="116"/>
        <v>0</v>
      </c>
      <c r="AI208" s="937">
        <f t="shared" si="117"/>
        <v>0</v>
      </c>
      <c r="AJ208" s="227"/>
      <c r="AK208" s="227"/>
      <c r="AL208" s="227"/>
      <c r="AM208" s="227"/>
    </row>
    <row r="209" spans="1:39" x14ac:dyDescent="0.2">
      <c r="A209" s="329">
        <v>2036</v>
      </c>
      <c r="B209" s="342">
        <v>0</v>
      </c>
      <c r="C209" s="343">
        <v>0</v>
      </c>
      <c r="D209" s="343">
        <v>0</v>
      </c>
      <c r="E209" s="343">
        <v>0</v>
      </c>
      <c r="F209" s="343">
        <v>0</v>
      </c>
      <c r="G209" s="343">
        <v>0</v>
      </c>
      <c r="H209" s="343">
        <v>0</v>
      </c>
      <c r="I209" s="343">
        <v>0</v>
      </c>
      <c r="J209" s="343">
        <v>0</v>
      </c>
      <c r="K209" s="343">
        <v>0</v>
      </c>
      <c r="L209" s="379">
        <v>0</v>
      </c>
      <c r="M209" s="282">
        <f t="shared" si="108"/>
        <v>0</v>
      </c>
      <c r="N209" s="284">
        <f t="shared" si="109"/>
        <v>0</v>
      </c>
      <c r="O209" s="342">
        <v>0</v>
      </c>
      <c r="P209" s="343">
        <v>0</v>
      </c>
      <c r="Q209" s="343">
        <v>0</v>
      </c>
      <c r="R209" s="343">
        <v>0</v>
      </c>
      <c r="S209" s="343">
        <v>0</v>
      </c>
      <c r="T209" s="343">
        <v>0</v>
      </c>
      <c r="U209" s="343">
        <v>0</v>
      </c>
      <c r="V209" s="343">
        <v>0</v>
      </c>
      <c r="W209" s="343">
        <v>0</v>
      </c>
      <c r="X209" s="343">
        <v>0</v>
      </c>
      <c r="Y209" s="379">
        <v>0</v>
      </c>
      <c r="Z209" s="282">
        <f t="shared" si="110"/>
        <v>0</v>
      </c>
      <c r="AA209" s="284">
        <f t="shared" si="111"/>
        <v>0</v>
      </c>
      <c r="AB209" s="948">
        <f t="array" ref="AB209">IF(AND($AD$176=TRUE,SUM(B209:L209)&gt;0),SUMPRODUCT((((TRANSPOSE(Cls1CentDailyRng)&lt;INDEX(CDRANGE_CLS1,$A209-$A$180+1,AD$177))*TRANSPOSE(Cls1CentDailyRng)+(TRANSPOSE(Cls1CentDailyRng)&gt;INDEX(CDRANGE_CLS1,$A209-$A$180+1,AD$177))*INDEX(CDRANGE_CLS1,$A209-$A$180+1,AD$177))/TRANSPOSE(Cls1CentDailyRng)),B209:L209,TRANSPOSE(Cls1CentVMTShr))/SUMPRODUCT(B209:L209,TRANSPOSE(Cls1CentVMTShr)),0)</f>
        <v>0</v>
      </c>
      <c r="AC209" s="949">
        <f t="array" ref="AC209">IF(AND($AD$176=TRUE,SUM(O209:Y209)&gt;0),SUMPRODUCT((((TRANSPOSE(Cls1NCentDailyRng)&lt;INDEX(CDRANGE_CLS1,$A209-$A$180+1,AD$177))*TRANSPOSE(Cls1NCentDailyRng)+(TRANSPOSE(Cls1NCentDailyRng)&gt;INDEX(CDRANGE_CLS1,$A209-$A$180+1,AD$177))*INDEX(CDRANGE_CLS1,$A209-$A$180+1,AD$177))/TRANSPOSE(Cls1NCentDailyRng)),O209:Y209,TRANSPOSE(Cls1NCentVMTShr))/SUMPRODUCT(O209:Y209,TRANSPOSE(Cls1NCentVMTShr)),0)</f>
        <v>0</v>
      </c>
      <c r="AD209" s="1226">
        <f t="shared" si="121"/>
        <v>0</v>
      </c>
      <c r="AE209" s="937">
        <f t="shared" si="118"/>
        <v>0</v>
      </c>
      <c r="AF209" s="937">
        <f t="shared" si="119"/>
        <v>0</v>
      </c>
      <c r="AG209" s="937">
        <f t="shared" si="120"/>
        <v>0</v>
      </c>
      <c r="AH209" s="1172">
        <f t="shared" si="116"/>
        <v>0</v>
      </c>
      <c r="AI209" s="937">
        <f t="shared" si="117"/>
        <v>0</v>
      </c>
      <c r="AJ209" s="227"/>
      <c r="AK209" s="227"/>
      <c r="AL209" s="227"/>
      <c r="AM209" s="227"/>
    </row>
    <row r="210" spans="1:39" x14ac:dyDescent="0.2">
      <c r="A210" s="330">
        <v>2037</v>
      </c>
      <c r="B210" s="344">
        <v>0</v>
      </c>
      <c r="C210" s="345">
        <v>0</v>
      </c>
      <c r="D210" s="345">
        <v>0</v>
      </c>
      <c r="E210" s="345">
        <v>0</v>
      </c>
      <c r="F210" s="345">
        <v>0</v>
      </c>
      <c r="G210" s="345">
        <v>0</v>
      </c>
      <c r="H210" s="345">
        <v>0</v>
      </c>
      <c r="I210" s="345">
        <v>0</v>
      </c>
      <c r="J210" s="345">
        <v>0</v>
      </c>
      <c r="K210" s="345">
        <v>0</v>
      </c>
      <c r="L210" s="380">
        <v>0</v>
      </c>
      <c r="M210" s="296">
        <f t="shared" si="108"/>
        <v>0</v>
      </c>
      <c r="N210" s="298">
        <f t="shared" si="109"/>
        <v>0</v>
      </c>
      <c r="O210" s="344">
        <v>0</v>
      </c>
      <c r="P210" s="345">
        <v>0</v>
      </c>
      <c r="Q210" s="345">
        <v>0</v>
      </c>
      <c r="R210" s="345">
        <v>0</v>
      </c>
      <c r="S210" s="345">
        <v>0</v>
      </c>
      <c r="T210" s="345">
        <v>0</v>
      </c>
      <c r="U210" s="345">
        <v>0</v>
      </c>
      <c r="V210" s="345">
        <v>0</v>
      </c>
      <c r="W210" s="345">
        <v>0</v>
      </c>
      <c r="X210" s="345">
        <v>0</v>
      </c>
      <c r="Y210" s="380">
        <v>0</v>
      </c>
      <c r="Z210" s="296">
        <f t="shared" si="110"/>
        <v>0</v>
      </c>
      <c r="AA210" s="298">
        <f t="shared" si="111"/>
        <v>0</v>
      </c>
      <c r="AB210" s="948">
        <f t="array" ref="AB210">IF(AND($AD$176=TRUE,SUM(B210:L210)&gt;0),SUMPRODUCT((((TRANSPOSE(Cls1CentDailyRng)&lt;INDEX(CDRANGE_CLS1,$A210-$A$180+1,AD$177))*TRANSPOSE(Cls1CentDailyRng)+(TRANSPOSE(Cls1CentDailyRng)&gt;INDEX(CDRANGE_CLS1,$A210-$A$180+1,AD$177))*INDEX(CDRANGE_CLS1,$A210-$A$180+1,AD$177))/TRANSPOSE(Cls1CentDailyRng)),B210:L210,TRANSPOSE(Cls1CentVMTShr))/SUMPRODUCT(B210:L210,TRANSPOSE(Cls1CentVMTShr)),0)</f>
        <v>0</v>
      </c>
      <c r="AC210" s="949">
        <f t="array" ref="AC210">IF(AND($AD$176=TRUE,SUM(O210:Y210)&gt;0),SUMPRODUCT((((TRANSPOSE(Cls1NCentDailyRng)&lt;INDEX(CDRANGE_CLS1,$A210-$A$180+1,AD$177))*TRANSPOSE(Cls1NCentDailyRng)+(TRANSPOSE(Cls1NCentDailyRng)&gt;INDEX(CDRANGE_CLS1,$A210-$A$180+1,AD$177))*INDEX(CDRANGE_CLS1,$A210-$A$180+1,AD$177))/TRANSPOSE(Cls1NCentDailyRng)),O210:Y210,TRANSPOSE(Cls1NCentVMTShr))/SUMPRODUCT(O210:Y210,TRANSPOSE(Cls1NCentVMTShr)),0)</f>
        <v>0</v>
      </c>
      <c r="AD210" s="1226">
        <f t="shared" si="121"/>
        <v>0</v>
      </c>
      <c r="AE210" s="937">
        <f t="shared" si="118"/>
        <v>0</v>
      </c>
      <c r="AF210" s="937">
        <f t="shared" si="119"/>
        <v>0</v>
      </c>
      <c r="AG210" s="937">
        <f t="shared" si="120"/>
        <v>0</v>
      </c>
      <c r="AH210" s="1172">
        <f t="shared" si="116"/>
        <v>0</v>
      </c>
      <c r="AI210" s="937">
        <f t="shared" si="117"/>
        <v>0</v>
      </c>
      <c r="AJ210" s="227"/>
      <c r="AK210" s="227"/>
      <c r="AL210" s="227"/>
      <c r="AM210" s="227"/>
    </row>
    <row r="211" spans="1:39" x14ac:dyDescent="0.2">
      <c r="A211" s="330">
        <v>2038</v>
      </c>
      <c r="B211" s="344">
        <v>0</v>
      </c>
      <c r="C211" s="345">
        <v>0</v>
      </c>
      <c r="D211" s="345">
        <v>0</v>
      </c>
      <c r="E211" s="345">
        <v>0</v>
      </c>
      <c r="F211" s="345">
        <v>0</v>
      </c>
      <c r="G211" s="345">
        <v>0</v>
      </c>
      <c r="H211" s="345">
        <v>0</v>
      </c>
      <c r="I211" s="345">
        <v>0</v>
      </c>
      <c r="J211" s="345">
        <v>0</v>
      </c>
      <c r="K211" s="345">
        <v>0</v>
      </c>
      <c r="L211" s="380">
        <v>0</v>
      </c>
      <c r="M211" s="296">
        <f t="shared" si="108"/>
        <v>0</v>
      </c>
      <c r="N211" s="298">
        <f t="shared" si="109"/>
        <v>0</v>
      </c>
      <c r="O211" s="344">
        <v>0</v>
      </c>
      <c r="P211" s="345">
        <v>0</v>
      </c>
      <c r="Q211" s="345">
        <v>0</v>
      </c>
      <c r="R211" s="345">
        <v>0</v>
      </c>
      <c r="S211" s="345">
        <v>0</v>
      </c>
      <c r="T211" s="345">
        <v>0</v>
      </c>
      <c r="U211" s="345">
        <v>0</v>
      </c>
      <c r="V211" s="345">
        <v>0</v>
      </c>
      <c r="W211" s="345">
        <v>0</v>
      </c>
      <c r="X211" s="345">
        <v>0</v>
      </c>
      <c r="Y211" s="380">
        <v>0</v>
      </c>
      <c r="Z211" s="296">
        <f t="shared" si="110"/>
        <v>0</v>
      </c>
      <c r="AA211" s="298">
        <f t="shared" si="111"/>
        <v>0</v>
      </c>
      <c r="AB211" s="948">
        <f t="array" ref="AB211">IF(AND($AD$176=TRUE,SUM(B211:L211)&gt;0),SUMPRODUCT((((TRANSPOSE(Cls1CentDailyRng)&lt;INDEX(CDRANGE_CLS1,$A211-$A$180+1,AD$177))*TRANSPOSE(Cls1CentDailyRng)+(TRANSPOSE(Cls1CentDailyRng)&gt;INDEX(CDRANGE_CLS1,$A211-$A$180+1,AD$177))*INDEX(CDRANGE_CLS1,$A211-$A$180+1,AD$177))/TRANSPOSE(Cls1CentDailyRng)),B211:L211,TRANSPOSE(Cls1CentVMTShr))/SUMPRODUCT(B211:L211,TRANSPOSE(Cls1CentVMTShr)),0)</f>
        <v>0</v>
      </c>
      <c r="AC211" s="949">
        <f t="array" ref="AC211">IF(AND($AD$176=TRUE,SUM(O211:Y211)&gt;0),SUMPRODUCT((((TRANSPOSE(Cls1NCentDailyRng)&lt;INDEX(CDRANGE_CLS1,$A211-$A$180+1,AD$177))*TRANSPOSE(Cls1NCentDailyRng)+(TRANSPOSE(Cls1NCentDailyRng)&gt;INDEX(CDRANGE_CLS1,$A211-$A$180+1,AD$177))*INDEX(CDRANGE_CLS1,$A211-$A$180+1,AD$177))/TRANSPOSE(Cls1NCentDailyRng)),O211:Y211,TRANSPOSE(Cls1NCentVMTShr))/SUMPRODUCT(O211:Y211,TRANSPOSE(Cls1NCentVMTShr)),0)</f>
        <v>0</v>
      </c>
      <c r="AD211" s="1226">
        <f t="shared" si="121"/>
        <v>0</v>
      </c>
      <c r="AE211" s="937">
        <f t="shared" si="118"/>
        <v>0</v>
      </c>
      <c r="AF211" s="937">
        <f t="shared" si="119"/>
        <v>0</v>
      </c>
      <c r="AG211" s="937">
        <f t="shared" si="120"/>
        <v>0</v>
      </c>
      <c r="AH211" s="1172">
        <f t="shared" si="116"/>
        <v>0</v>
      </c>
      <c r="AI211" s="937">
        <f t="shared" si="117"/>
        <v>0</v>
      </c>
      <c r="AJ211" s="227"/>
      <c r="AK211" s="227"/>
      <c r="AL211" s="227"/>
      <c r="AM211" s="227"/>
    </row>
    <row r="212" spans="1:39" x14ac:dyDescent="0.2">
      <c r="A212" s="330">
        <v>2039</v>
      </c>
      <c r="B212" s="344">
        <v>0</v>
      </c>
      <c r="C212" s="345">
        <v>0</v>
      </c>
      <c r="D212" s="345">
        <v>0</v>
      </c>
      <c r="E212" s="345">
        <v>0</v>
      </c>
      <c r="F212" s="345">
        <v>0</v>
      </c>
      <c r="G212" s="345">
        <v>0</v>
      </c>
      <c r="H212" s="345">
        <v>0</v>
      </c>
      <c r="I212" s="345">
        <v>0</v>
      </c>
      <c r="J212" s="345">
        <v>0</v>
      </c>
      <c r="K212" s="345">
        <v>0</v>
      </c>
      <c r="L212" s="380">
        <v>0</v>
      </c>
      <c r="M212" s="296">
        <f t="shared" si="108"/>
        <v>0</v>
      </c>
      <c r="N212" s="298">
        <f t="shared" si="109"/>
        <v>0</v>
      </c>
      <c r="O212" s="344">
        <v>0</v>
      </c>
      <c r="P212" s="345">
        <v>0</v>
      </c>
      <c r="Q212" s="345">
        <v>0</v>
      </c>
      <c r="R212" s="345">
        <v>0</v>
      </c>
      <c r="S212" s="345">
        <v>0</v>
      </c>
      <c r="T212" s="345">
        <v>0</v>
      </c>
      <c r="U212" s="345">
        <v>0</v>
      </c>
      <c r="V212" s="345">
        <v>0</v>
      </c>
      <c r="W212" s="345">
        <v>0</v>
      </c>
      <c r="X212" s="345">
        <v>0</v>
      </c>
      <c r="Y212" s="380">
        <v>0</v>
      </c>
      <c r="Z212" s="296">
        <f t="shared" si="110"/>
        <v>0</v>
      </c>
      <c r="AA212" s="298">
        <f t="shared" si="111"/>
        <v>0</v>
      </c>
      <c r="AB212" s="948">
        <f t="array" ref="AB212">IF(AND($AD$176=TRUE,SUM(B212:L212)&gt;0),SUMPRODUCT((((TRANSPOSE(Cls1CentDailyRng)&lt;INDEX(CDRANGE_CLS1,$A212-$A$180+1,AD$177))*TRANSPOSE(Cls1CentDailyRng)+(TRANSPOSE(Cls1CentDailyRng)&gt;INDEX(CDRANGE_CLS1,$A212-$A$180+1,AD$177))*INDEX(CDRANGE_CLS1,$A212-$A$180+1,AD$177))/TRANSPOSE(Cls1CentDailyRng)),B212:L212,TRANSPOSE(Cls1CentVMTShr))/SUMPRODUCT(B212:L212,TRANSPOSE(Cls1CentVMTShr)),0)</f>
        <v>0</v>
      </c>
      <c r="AC212" s="949">
        <f t="array" ref="AC212">IF(AND($AD$176=TRUE,SUM(O212:Y212)&gt;0),SUMPRODUCT((((TRANSPOSE(Cls1NCentDailyRng)&lt;INDEX(CDRANGE_CLS1,$A212-$A$180+1,AD$177))*TRANSPOSE(Cls1NCentDailyRng)+(TRANSPOSE(Cls1NCentDailyRng)&gt;INDEX(CDRANGE_CLS1,$A212-$A$180+1,AD$177))*INDEX(CDRANGE_CLS1,$A212-$A$180+1,AD$177))/TRANSPOSE(Cls1NCentDailyRng)),O212:Y212,TRANSPOSE(Cls1NCentVMTShr))/SUMPRODUCT(O212:Y212,TRANSPOSE(Cls1NCentVMTShr)),0)</f>
        <v>0</v>
      </c>
      <c r="AD212" s="1226">
        <f t="shared" si="121"/>
        <v>0</v>
      </c>
      <c r="AE212" s="937">
        <f t="shared" si="118"/>
        <v>0</v>
      </c>
      <c r="AF212" s="937">
        <f t="shared" si="119"/>
        <v>0</v>
      </c>
      <c r="AG212" s="937">
        <f t="shared" si="120"/>
        <v>0</v>
      </c>
      <c r="AH212" s="1172">
        <f t="shared" si="116"/>
        <v>0</v>
      </c>
      <c r="AI212" s="937">
        <f t="shared" si="117"/>
        <v>0</v>
      </c>
      <c r="AJ212" s="227"/>
      <c r="AK212" s="227"/>
      <c r="AL212" s="227"/>
      <c r="AM212" s="227"/>
    </row>
    <row r="213" spans="1:39" ht="15" thickBot="1" x14ac:dyDescent="0.25">
      <c r="A213" s="328">
        <v>2040</v>
      </c>
      <c r="B213" s="346">
        <v>0</v>
      </c>
      <c r="C213" s="347">
        <v>0</v>
      </c>
      <c r="D213" s="347">
        <v>0</v>
      </c>
      <c r="E213" s="347">
        <v>0</v>
      </c>
      <c r="F213" s="347">
        <v>0</v>
      </c>
      <c r="G213" s="347">
        <v>0</v>
      </c>
      <c r="H213" s="347">
        <v>0</v>
      </c>
      <c r="I213" s="347">
        <v>0</v>
      </c>
      <c r="J213" s="347">
        <v>0</v>
      </c>
      <c r="K213" s="347">
        <v>0</v>
      </c>
      <c r="L213" s="381">
        <v>0</v>
      </c>
      <c r="M213" s="310">
        <f t="shared" si="108"/>
        <v>0</v>
      </c>
      <c r="N213" s="312">
        <f t="shared" si="109"/>
        <v>0</v>
      </c>
      <c r="O213" s="346">
        <v>0</v>
      </c>
      <c r="P213" s="347">
        <v>0</v>
      </c>
      <c r="Q213" s="347">
        <v>0</v>
      </c>
      <c r="R213" s="347">
        <v>0</v>
      </c>
      <c r="S213" s="347">
        <v>0</v>
      </c>
      <c r="T213" s="347">
        <v>0</v>
      </c>
      <c r="U213" s="347">
        <v>0</v>
      </c>
      <c r="V213" s="347">
        <v>0</v>
      </c>
      <c r="W213" s="347">
        <v>0</v>
      </c>
      <c r="X213" s="347">
        <v>0</v>
      </c>
      <c r="Y213" s="381">
        <v>0</v>
      </c>
      <c r="Z213" s="310">
        <f t="shared" si="110"/>
        <v>0</v>
      </c>
      <c r="AA213" s="312">
        <f t="shared" si="111"/>
        <v>0</v>
      </c>
      <c r="AB213" s="948">
        <f t="array" ref="AB213">IF(AND($AD$176=TRUE,SUM(B213:L213)&gt;0),SUMPRODUCT((((TRANSPOSE(Cls1CentDailyRng)&lt;INDEX(CDRANGE_CLS1,$A213-$A$180+1,AD$177))*TRANSPOSE(Cls1CentDailyRng)+(TRANSPOSE(Cls1CentDailyRng)&gt;INDEX(CDRANGE_CLS1,$A213-$A$180+1,AD$177))*INDEX(CDRANGE_CLS1,$A213-$A$180+1,AD$177))/TRANSPOSE(Cls1CentDailyRng)),B213:L213,TRANSPOSE(Cls1CentVMTShr))/SUMPRODUCT(B213:L213,TRANSPOSE(Cls1CentVMTShr)),0)</f>
        <v>0</v>
      </c>
      <c r="AC213" s="949">
        <f t="array" ref="AC213">IF(AND($AD$176=TRUE,SUM(O213:Y213)&gt;0),SUMPRODUCT((((TRANSPOSE(Cls1NCentDailyRng)&lt;INDEX(CDRANGE_CLS1,$A213-$A$180+1,AD$177))*TRANSPOSE(Cls1NCentDailyRng)+(TRANSPOSE(Cls1NCentDailyRng)&gt;INDEX(CDRANGE_CLS1,$A213-$A$180+1,AD$177))*INDEX(CDRANGE_CLS1,$A213-$A$180+1,AD$177))/TRANSPOSE(Cls1NCentDailyRng)),O213:Y213,TRANSPOSE(Cls1NCentVMTShr))/SUMPRODUCT(O213:Y213,TRANSPOSE(Cls1NCentVMTShr)),0)</f>
        <v>0</v>
      </c>
      <c r="AD213" s="1226">
        <f t="shared" si="121"/>
        <v>0</v>
      </c>
      <c r="AE213" s="937">
        <f t="shared" si="118"/>
        <v>0</v>
      </c>
      <c r="AF213" s="937">
        <f t="shared" si="119"/>
        <v>0</v>
      </c>
      <c r="AG213" s="937">
        <f t="shared" si="120"/>
        <v>0</v>
      </c>
      <c r="AH213" s="1172">
        <f t="shared" si="116"/>
        <v>0</v>
      </c>
      <c r="AI213" s="937">
        <f t="shared" si="117"/>
        <v>0</v>
      </c>
      <c r="AJ213" s="227"/>
      <c r="AK213" s="227"/>
      <c r="AL213" s="227"/>
      <c r="AM213" s="227"/>
    </row>
    <row r="214" spans="1:39" x14ac:dyDescent="0.2">
      <c r="A214" s="329">
        <v>2041</v>
      </c>
      <c r="B214" s="342">
        <v>0</v>
      </c>
      <c r="C214" s="343">
        <v>0</v>
      </c>
      <c r="D214" s="343">
        <v>0</v>
      </c>
      <c r="E214" s="343">
        <v>0</v>
      </c>
      <c r="F214" s="343">
        <v>0</v>
      </c>
      <c r="G214" s="343">
        <v>0</v>
      </c>
      <c r="H214" s="343">
        <v>0</v>
      </c>
      <c r="I214" s="343">
        <v>0</v>
      </c>
      <c r="J214" s="343">
        <v>0</v>
      </c>
      <c r="K214" s="343">
        <v>0</v>
      </c>
      <c r="L214" s="379">
        <v>0</v>
      </c>
      <c r="M214" s="282">
        <f t="shared" si="108"/>
        <v>0</v>
      </c>
      <c r="N214" s="284">
        <f t="shared" si="109"/>
        <v>0</v>
      </c>
      <c r="O214" s="342">
        <v>0</v>
      </c>
      <c r="P214" s="343">
        <v>0</v>
      </c>
      <c r="Q214" s="343">
        <v>0</v>
      </c>
      <c r="R214" s="343">
        <v>0</v>
      </c>
      <c r="S214" s="343">
        <v>0</v>
      </c>
      <c r="T214" s="343">
        <v>0</v>
      </c>
      <c r="U214" s="343">
        <v>0</v>
      </c>
      <c r="V214" s="343">
        <v>0</v>
      </c>
      <c r="W214" s="343">
        <v>0</v>
      </c>
      <c r="X214" s="343">
        <v>0</v>
      </c>
      <c r="Y214" s="379">
        <v>0</v>
      </c>
      <c r="Z214" s="282">
        <f t="shared" si="110"/>
        <v>0</v>
      </c>
      <c r="AA214" s="284">
        <f t="shared" si="111"/>
        <v>0</v>
      </c>
      <c r="AB214" s="948">
        <f t="array" ref="AB214">IF(AND($AD$176=TRUE,SUM(B214:L214)&gt;0),SUMPRODUCT((((TRANSPOSE(Cls1CentDailyRng)&lt;INDEX(CDRANGE_CLS1,$A214-$A$180+1,AD$177))*TRANSPOSE(Cls1CentDailyRng)+(TRANSPOSE(Cls1CentDailyRng)&gt;INDEX(CDRANGE_CLS1,$A214-$A$180+1,AD$177))*INDEX(CDRANGE_CLS1,$A214-$A$180+1,AD$177))/TRANSPOSE(Cls1CentDailyRng)),B214:L214,TRANSPOSE(Cls1CentVMTShr))/SUMPRODUCT(B214:L214,TRANSPOSE(Cls1CentVMTShr)),0)</f>
        <v>0</v>
      </c>
      <c r="AC214" s="949">
        <f t="array" ref="AC214">IF(AND($AD$176=TRUE,SUM(O214:Y214)&gt;0),SUMPRODUCT((((TRANSPOSE(Cls1NCentDailyRng)&lt;INDEX(CDRANGE_CLS1,$A214-$A$180+1,AD$177))*TRANSPOSE(Cls1NCentDailyRng)+(TRANSPOSE(Cls1NCentDailyRng)&gt;INDEX(CDRANGE_CLS1,$A214-$A$180+1,AD$177))*INDEX(CDRANGE_CLS1,$A214-$A$180+1,AD$177))/TRANSPOSE(Cls1NCentDailyRng)),O214:Y214,TRANSPOSE(Cls1NCentVMTShr))/SUMPRODUCT(O214:Y214,TRANSPOSE(Cls1NCentVMTShr)),0)</f>
        <v>0</v>
      </c>
      <c r="AD214" s="1226">
        <f t="shared" si="121"/>
        <v>0</v>
      </c>
      <c r="AE214" s="937">
        <f t="shared" si="118"/>
        <v>0</v>
      </c>
      <c r="AF214" s="937">
        <f t="shared" si="119"/>
        <v>0</v>
      </c>
      <c r="AG214" s="937">
        <f t="shared" si="120"/>
        <v>0</v>
      </c>
      <c r="AH214" s="1172">
        <f t="shared" si="116"/>
        <v>0</v>
      </c>
      <c r="AI214" s="937">
        <f t="shared" si="117"/>
        <v>0</v>
      </c>
      <c r="AJ214" s="227"/>
      <c r="AK214" s="227"/>
      <c r="AL214" s="227"/>
      <c r="AM214" s="227"/>
    </row>
    <row r="215" spans="1:39" x14ac:dyDescent="0.2">
      <c r="A215" s="330">
        <v>2042</v>
      </c>
      <c r="B215" s="344">
        <v>0</v>
      </c>
      <c r="C215" s="345">
        <v>0</v>
      </c>
      <c r="D215" s="345">
        <v>0</v>
      </c>
      <c r="E215" s="345">
        <v>0</v>
      </c>
      <c r="F215" s="345">
        <v>0</v>
      </c>
      <c r="G215" s="345">
        <v>0</v>
      </c>
      <c r="H215" s="345">
        <v>0</v>
      </c>
      <c r="I215" s="345">
        <v>0</v>
      </c>
      <c r="J215" s="345">
        <v>0</v>
      </c>
      <c r="K215" s="345">
        <v>0</v>
      </c>
      <c r="L215" s="380">
        <v>0</v>
      </c>
      <c r="M215" s="296">
        <f t="shared" si="108"/>
        <v>0</v>
      </c>
      <c r="N215" s="298">
        <f t="shared" si="109"/>
        <v>0</v>
      </c>
      <c r="O215" s="344">
        <v>0</v>
      </c>
      <c r="P215" s="345">
        <v>0</v>
      </c>
      <c r="Q215" s="345">
        <v>0</v>
      </c>
      <c r="R215" s="345">
        <v>0</v>
      </c>
      <c r="S215" s="345">
        <v>0</v>
      </c>
      <c r="T215" s="345">
        <v>0</v>
      </c>
      <c r="U215" s="345">
        <v>0</v>
      </c>
      <c r="V215" s="345">
        <v>0</v>
      </c>
      <c r="W215" s="345">
        <v>0</v>
      </c>
      <c r="X215" s="345">
        <v>0</v>
      </c>
      <c r="Y215" s="380">
        <v>0</v>
      </c>
      <c r="Z215" s="296">
        <f t="shared" si="110"/>
        <v>0</v>
      </c>
      <c r="AA215" s="298">
        <f t="shared" si="111"/>
        <v>0</v>
      </c>
      <c r="AB215" s="948">
        <f t="array" ref="AB215">IF(AND($AD$176=TRUE,SUM(B215:L215)&gt;0),SUMPRODUCT((((TRANSPOSE(Cls1CentDailyRng)&lt;INDEX(CDRANGE_CLS1,$A215-$A$180+1,AD$177))*TRANSPOSE(Cls1CentDailyRng)+(TRANSPOSE(Cls1CentDailyRng)&gt;INDEX(CDRANGE_CLS1,$A215-$A$180+1,AD$177))*INDEX(CDRANGE_CLS1,$A215-$A$180+1,AD$177))/TRANSPOSE(Cls1CentDailyRng)),B215:L215,TRANSPOSE(Cls1CentVMTShr))/SUMPRODUCT(B215:L215,TRANSPOSE(Cls1CentVMTShr)),0)</f>
        <v>0</v>
      </c>
      <c r="AC215" s="949">
        <f t="array" ref="AC215">IF(AND($AD$176=TRUE,SUM(O215:Y215)&gt;0),SUMPRODUCT((((TRANSPOSE(Cls1NCentDailyRng)&lt;INDEX(CDRANGE_CLS1,$A215-$A$180+1,AD$177))*TRANSPOSE(Cls1NCentDailyRng)+(TRANSPOSE(Cls1NCentDailyRng)&gt;INDEX(CDRANGE_CLS1,$A215-$A$180+1,AD$177))*INDEX(CDRANGE_CLS1,$A215-$A$180+1,AD$177))/TRANSPOSE(Cls1NCentDailyRng)),O215:Y215,TRANSPOSE(Cls1NCentVMTShr))/SUMPRODUCT(O215:Y215,TRANSPOSE(Cls1NCentVMTShr)),0)</f>
        <v>0</v>
      </c>
      <c r="AD215" s="1226">
        <f t="shared" si="121"/>
        <v>0</v>
      </c>
      <c r="AE215" s="937">
        <f t="shared" si="118"/>
        <v>0</v>
      </c>
      <c r="AF215" s="937">
        <f t="shared" si="119"/>
        <v>0</v>
      </c>
      <c r="AG215" s="937">
        <f t="shared" si="120"/>
        <v>0</v>
      </c>
      <c r="AH215" s="1172">
        <f t="shared" si="116"/>
        <v>0</v>
      </c>
      <c r="AI215" s="937">
        <f t="shared" si="117"/>
        <v>0</v>
      </c>
      <c r="AJ215" s="227"/>
      <c r="AK215" s="227"/>
      <c r="AL215" s="227"/>
      <c r="AM215" s="227"/>
    </row>
    <row r="216" spans="1:39" x14ac:dyDescent="0.2">
      <c r="A216" s="330">
        <v>2043</v>
      </c>
      <c r="B216" s="344">
        <v>0</v>
      </c>
      <c r="C216" s="345">
        <v>0</v>
      </c>
      <c r="D216" s="345">
        <v>0</v>
      </c>
      <c r="E216" s="345">
        <v>0</v>
      </c>
      <c r="F216" s="345">
        <v>0</v>
      </c>
      <c r="G216" s="345">
        <v>0</v>
      </c>
      <c r="H216" s="345">
        <v>0</v>
      </c>
      <c r="I216" s="345">
        <v>0</v>
      </c>
      <c r="J216" s="345">
        <v>0</v>
      </c>
      <c r="K216" s="345">
        <v>0</v>
      </c>
      <c r="L216" s="380">
        <v>0</v>
      </c>
      <c r="M216" s="296">
        <f t="shared" si="108"/>
        <v>0</v>
      </c>
      <c r="N216" s="298">
        <f t="shared" si="109"/>
        <v>0</v>
      </c>
      <c r="O216" s="344">
        <v>0</v>
      </c>
      <c r="P216" s="345">
        <v>0</v>
      </c>
      <c r="Q216" s="345">
        <v>0</v>
      </c>
      <c r="R216" s="345">
        <v>0</v>
      </c>
      <c r="S216" s="345">
        <v>0</v>
      </c>
      <c r="T216" s="345">
        <v>0</v>
      </c>
      <c r="U216" s="345">
        <v>0</v>
      </c>
      <c r="V216" s="345">
        <v>0</v>
      </c>
      <c r="W216" s="345">
        <v>0</v>
      </c>
      <c r="X216" s="345">
        <v>0</v>
      </c>
      <c r="Y216" s="380">
        <v>0</v>
      </c>
      <c r="Z216" s="296">
        <f t="shared" si="110"/>
        <v>0</v>
      </c>
      <c r="AA216" s="298">
        <f t="shared" si="111"/>
        <v>0</v>
      </c>
      <c r="AB216" s="948">
        <f t="array" ref="AB216">IF(AND($AD$176=TRUE,SUM(B216:L216)&gt;0),SUMPRODUCT((((TRANSPOSE(Cls1CentDailyRng)&lt;INDEX(CDRANGE_CLS1,$A216-$A$180+1,AD$177))*TRANSPOSE(Cls1CentDailyRng)+(TRANSPOSE(Cls1CentDailyRng)&gt;INDEX(CDRANGE_CLS1,$A216-$A$180+1,AD$177))*INDEX(CDRANGE_CLS1,$A216-$A$180+1,AD$177))/TRANSPOSE(Cls1CentDailyRng)),B216:L216,TRANSPOSE(Cls1CentVMTShr))/SUMPRODUCT(B216:L216,TRANSPOSE(Cls1CentVMTShr)),0)</f>
        <v>0</v>
      </c>
      <c r="AC216" s="949">
        <f t="array" ref="AC216">IF(AND($AD$176=TRUE,SUM(O216:Y216)&gt;0),SUMPRODUCT((((TRANSPOSE(Cls1NCentDailyRng)&lt;INDEX(CDRANGE_CLS1,$A216-$A$180+1,AD$177))*TRANSPOSE(Cls1NCentDailyRng)+(TRANSPOSE(Cls1NCentDailyRng)&gt;INDEX(CDRANGE_CLS1,$A216-$A$180+1,AD$177))*INDEX(CDRANGE_CLS1,$A216-$A$180+1,AD$177))/TRANSPOSE(Cls1NCentDailyRng)),O216:Y216,TRANSPOSE(Cls1NCentVMTShr))/SUMPRODUCT(O216:Y216,TRANSPOSE(Cls1NCentVMTShr)),0)</f>
        <v>0</v>
      </c>
      <c r="AD216" s="1226">
        <f t="shared" si="121"/>
        <v>0</v>
      </c>
      <c r="AE216" s="937">
        <f t="shared" si="118"/>
        <v>0</v>
      </c>
      <c r="AF216" s="937">
        <f t="shared" si="119"/>
        <v>0</v>
      </c>
      <c r="AG216" s="937">
        <f t="shared" si="120"/>
        <v>0</v>
      </c>
      <c r="AH216" s="1172">
        <f t="shared" si="116"/>
        <v>0</v>
      </c>
      <c r="AI216" s="937">
        <f t="shared" si="117"/>
        <v>0</v>
      </c>
      <c r="AJ216" s="227"/>
      <c r="AK216" s="227"/>
      <c r="AL216" s="227"/>
      <c r="AM216" s="227"/>
    </row>
    <row r="217" spans="1:39" x14ac:dyDescent="0.2">
      <c r="A217" s="330">
        <v>2044</v>
      </c>
      <c r="B217" s="344">
        <v>0</v>
      </c>
      <c r="C217" s="345">
        <v>0</v>
      </c>
      <c r="D217" s="345">
        <v>0</v>
      </c>
      <c r="E217" s="345">
        <v>0</v>
      </c>
      <c r="F217" s="345">
        <v>0</v>
      </c>
      <c r="G217" s="345">
        <v>0</v>
      </c>
      <c r="H217" s="345">
        <v>0</v>
      </c>
      <c r="I217" s="345">
        <v>0</v>
      </c>
      <c r="J217" s="345">
        <v>0</v>
      </c>
      <c r="K217" s="345">
        <v>0</v>
      </c>
      <c r="L217" s="380">
        <v>0</v>
      </c>
      <c r="M217" s="296">
        <f t="shared" si="108"/>
        <v>0</v>
      </c>
      <c r="N217" s="298">
        <f t="shared" si="109"/>
        <v>0</v>
      </c>
      <c r="O217" s="344">
        <v>0</v>
      </c>
      <c r="P217" s="345">
        <v>0</v>
      </c>
      <c r="Q217" s="345">
        <v>0</v>
      </c>
      <c r="R217" s="345">
        <v>0</v>
      </c>
      <c r="S217" s="345">
        <v>0</v>
      </c>
      <c r="T217" s="345">
        <v>0</v>
      </c>
      <c r="U217" s="345">
        <v>0</v>
      </c>
      <c r="V217" s="345">
        <v>0</v>
      </c>
      <c r="W217" s="345">
        <v>0</v>
      </c>
      <c r="X217" s="345">
        <v>0</v>
      </c>
      <c r="Y217" s="380">
        <v>0</v>
      </c>
      <c r="Z217" s="296">
        <f t="shared" si="110"/>
        <v>0</v>
      </c>
      <c r="AA217" s="298">
        <f t="shared" si="111"/>
        <v>0</v>
      </c>
      <c r="AB217" s="948">
        <f t="array" ref="AB217">IF(AND($AD$176=TRUE,SUM(B217:L217)&gt;0),SUMPRODUCT((((TRANSPOSE(Cls1CentDailyRng)&lt;INDEX(CDRANGE_CLS1,$A217-$A$180+1,AD$177))*TRANSPOSE(Cls1CentDailyRng)+(TRANSPOSE(Cls1CentDailyRng)&gt;INDEX(CDRANGE_CLS1,$A217-$A$180+1,AD$177))*INDEX(CDRANGE_CLS1,$A217-$A$180+1,AD$177))/TRANSPOSE(Cls1CentDailyRng)),B217:L217,TRANSPOSE(Cls1CentVMTShr))/SUMPRODUCT(B217:L217,TRANSPOSE(Cls1CentVMTShr)),0)</f>
        <v>0</v>
      </c>
      <c r="AC217" s="949">
        <f t="array" ref="AC217">IF(AND($AD$176=TRUE,SUM(O217:Y217)&gt;0),SUMPRODUCT((((TRANSPOSE(Cls1NCentDailyRng)&lt;INDEX(CDRANGE_CLS1,$A217-$A$180+1,AD$177))*TRANSPOSE(Cls1NCentDailyRng)+(TRANSPOSE(Cls1NCentDailyRng)&gt;INDEX(CDRANGE_CLS1,$A217-$A$180+1,AD$177))*INDEX(CDRANGE_CLS1,$A217-$A$180+1,AD$177))/TRANSPOSE(Cls1NCentDailyRng)),O217:Y217,TRANSPOSE(Cls1NCentVMTShr))/SUMPRODUCT(O217:Y217,TRANSPOSE(Cls1NCentVMTShr)),0)</f>
        <v>0</v>
      </c>
      <c r="AD217" s="1226">
        <f t="shared" si="121"/>
        <v>0</v>
      </c>
      <c r="AE217" s="937">
        <f t="shared" si="118"/>
        <v>0</v>
      </c>
      <c r="AF217" s="937">
        <f t="shared" si="119"/>
        <v>0</v>
      </c>
      <c r="AG217" s="937">
        <f t="shared" si="120"/>
        <v>0</v>
      </c>
      <c r="AH217" s="1172">
        <f t="shared" si="116"/>
        <v>0</v>
      </c>
      <c r="AI217" s="937">
        <f t="shared" si="117"/>
        <v>0</v>
      </c>
      <c r="AJ217" s="227"/>
      <c r="AK217" s="227"/>
      <c r="AL217" s="227"/>
      <c r="AM217" s="227"/>
    </row>
    <row r="218" spans="1:39" ht="15" thickBot="1" x14ac:dyDescent="0.25">
      <c r="A218" s="328">
        <v>2045</v>
      </c>
      <c r="B218" s="346">
        <v>0</v>
      </c>
      <c r="C218" s="347">
        <v>0</v>
      </c>
      <c r="D218" s="347">
        <v>0</v>
      </c>
      <c r="E218" s="347">
        <v>0</v>
      </c>
      <c r="F218" s="347">
        <v>0</v>
      </c>
      <c r="G218" s="347">
        <v>0</v>
      </c>
      <c r="H218" s="347">
        <v>2.2394637395720886E-5</v>
      </c>
      <c r="I218" s="347">
        <v>0</v>
      </c>
      <c r="J218" s="347">
        <v>0</v>
      </c>
      <c r="K218" s="347">
        <v>0</v>
      </c>
      <c r="L218" s="381">
        <v>0</v>
      </c>
      <c r="M218" s="310">
        <f t="shared" si="108"/>
        <v>1.7127073463027712E-6</v>
      </c>
      <c r="N218" s="312">
        <f t="shared" si="109"/>
        <v>1.5450134189016033E-6</v>
      </c>
      <c r="O218" s="346">
        <v>0</v>
      </c>
      <c r="P218" s="347">
        <v>0</v>
      </c>
      <c r="Q218" s="347">
        <v>0</v>
      </c>
      <c r="R218" s="347">
        <v>0</v>
      </c>
      <c r="S218" s="347">
        <v>0</v>
      </c>
      <c r="T218" s="347">
        <v>0</v>
      </c>
      <c r="U218" s="347">
        <v>2.0559396394936752E-4</v>
      </c>
      <c r="V218" s="347">
        <v>0</v>
      </c>
      <c r="W218" s="347">
        <v>0</v>
      </c>
      <c r="X218" s="347">
        <v>0</v>
      </c>
      <c r="Y218" s="381">
        <v>0</v>
      </c>
      <c r="Z218" s="310">
        <f t="shared" si="110"/>
        <v>4.9000985190917438E-5</v>
      </c>
      <c r="AA218" s="312">
        <f t="shared" si="111"/>
        <v>4.381357117167036E-5</v>
      </c>
      <c r="AB218" s="948">
        <f t="array" ref="AB218">IF(AND($AD$176=TRUE,SUM(B218:L218)&gt;0),SUMPRODUCT((((TRANSPOSE(Cls1CentDailyRng)&lt;INDEX(CDRANGE_CLS1,$A218-$A$180+1,AD$177))*TRANSPOSE(Cls1CentDailyRng)+(TRANSPOSE(Cls1CentDailyRng)&gt;INDEX(CDRANGE_CLS1,$A218-$A$180+1,AD$177))*INDEX(CDRANGE_CLS1,$A218-$A$180+1,AD$177))/TRANSPOSE(Cls1CentDailyRng)),B218:L218,TRANSPOSE(Cls1CentVMTShr))/SUMPRODUCT(B218:L218,TRANSPOSE(Cls1CentVMTShr)),0)</f>
        <v>0</v>
      </c>
      <c r="AC218" s="949">
        <f t="array" ref="AC218">IF(AND($AD$176=TRUE,SUM(O218:Y218)&gt;0),SUMPRODUCT((((TRANSPOSE(Cls1NCentDailyRng)&lt;INDEX(CDRANGE_CLS1,$A218-$A$180+1,AD$177))*TRANSPOSE(Cls1NCentDailyRng)+(TRANSPOSE(Cls1NCentDailyRng)&gt;INDEX(CDRANGE_CLS1,$A218-$A$180+1,AD$177))*INDEX(CDRANGE_CLS1,$A218-$A$180+1,AD$177))/TRANSPOSE(Cls1NCentDailyRng)),O218:Y218,TRANSPOSE(Cls1NCentVMTShr))/SUMPRODUCT(O218:Y218,TRANSPOSE(Cls1NCentVMTShr)),0)</f>
        <v>0</v>
      </c>
      <c r="AD218" s="1226">
        <f t="shared" si="121"/>
        <v>0</v>
      </c>
      <c r="AE218" s="937">
        <f t="shared" si="118"/>
        <v>1.7127073463027712E-6</v>
      </c>
      <c r="AF218" s="937">
        <f t="shared" si="119"/>
        <v>4.9000985190917438E-5</v>
      </c>
      <c r="AG218" s="937">
        <f t="shared" si="120"/>
        <v>5.0713692537220211E-5</v>
      </c>
      <c r="AH218" s="1172">
        <f t="shared" si="116"/>
        <v>3.3772089165973608E-2</v>
      </c>
      <c r="AI218" s="937">
        <f t="shared" si="117"/>
        <v>0.96622791083402637</v>
      </c>
      <c r="AJ218" s="227"/>
      <c r="AK218" s="227"/>
      <c r="AL218" s="227"/>
      <c r="AM218" s="227"/>
    </row>
    <row r="219" spans="1:39" x14ac:dyDescent="0.2">
      <c r="A219" s="329">
        <v>2046</v>
      </c>
      <c r="B219" s="342">
        <v>0</v>
      </c>
      <c r="C219" s="343">
        <v>0</v>
      </c>
      <c r="D219" s="343">
        <v>0</v>
      </c>
      <c r="E219" s="343">
        <v>0</v>
      </c>
      <c r="F219" s="343">
        <v>0</v>
      </c>
      <c r="G219" s="343">
        <v>3.2420449135174312E-4</v>
      </c>
      <c r="H219" s="343">
        <v>1.7063856818876873E-3</v>
      </c>
      <c r="I219" s="343">
        <v>0</v>
      </c>
      <c r="J219" s="343">
        <v>0</v>
      </c>
      <c r="K219" s="343">
        <v>0</v>
      </c>
      <c r="L219" s="379">
        <v>0</v>
      </c>
      <c r="M219" s="282">
        <f t="shared" si="108"/>
        <v>1.3935640303998587E-4</v>
      </c>
      <c r="N219" s="284">
        <f t="shared" si="109"/>
        <v>1.2684882534304531E-4</v>
      </c>
      <c r="O219" s="342">
        <v>0</v>
      </c>
      <c r="P219" s="343">
        <v>0</v>
      </c>
      <c r="Q219" s="343">
        <v>0</v>
      </c>
      <c r="R219" s="343">
        <v>0</v>
      </c>
      <c r="S219" s="343">
        <v>7.0160059672935314E-5</v>
      </c>
      <c r="T219" s="343">
        <v>1.3594966556369872E-3</v>
      </c>
      <c r="U219" s="343">
        <v>4.7379444577713339E-3</v>
      </c>
      <c r="V219" s="343">
        <v>0</v>
      </c>
      <c r="W219" s="343">
        <v>0</v>
      </c>
      <c r="X219" s="343">
        <v>0</v>
      </c>
      <c r="Y219" s="379">
        <v>0</v>
      </c>
      <c r="Z219" s="282">
        <f t="shared" si="110"/>
        <v>1.3818330649885142E-3</v>
      </c>
      <c r="AA219" s="284">
        <f t="shared" si="111"/>
        <v>1.2691215210243541E-3</v>
      </c>
      <c r="AB219" s="948">
        <f t="array" ref="AB219">IF(AND($AD$176=TRUE,SUM(B219:L219)&gt;0),SUMPRODUCT((((TRANSPOSE(Cls1CentDailyRng)&lt;INDEX(CDRANGE_CLS1,$A219-$A$180+1,AD$177))*TRANSPOSE(Cls1CentDailyRng)+(TRANSPOSE(Cls1CentDailyRng)&gt;INDEX(CDRANGE_CLS1,$A219-$A$180+1,AD$177))*INDEX(CDRANGE_CLS1,$A219-$A$180+1,AD$177))/TRANSPOSE(Cls1CentDailyRng)),B219:L219,TRANSPOSE(Cls1CentVMTShr))/SUMPRODUCT(B219:L219,TRANSPOSE(Cls1CentVMTShr)),0)</f>
        <v>0</v>
      </c>
      <c r="AC219" s="949">
        <f t="array" ref="AC219">IF(AND($AD$176=TRUE,SUM(O219:Y219)&gt;0),SUMPRODUCT((((TRANSPOSE(Cls1NCentDailyRng)&lt;INDEX(CDRANGE_CLS1,$A219-$A$180+1,AD$177))*TRANSPOSE(Cls1NCentDailyRng)+(TRANSPOSE(Cls1NCentDailyRng)&gt;INDEX(CDRANGE_CLS1,$A219-$A$180+1,AD$177))*INDEX(CDRANGE_CLS1,$A219-$A$180+1,AD$177))/TRANSPOSE(Cls1NCentDailyRng)),O219:Y219,TRANSPOSE(Cls1NCentVMTShr))/SUMPRODUCT(O219:Y219,TRANSPOSE(Cls1NCentVMTShr)),0)</f>
        <v>0</v>
      </c>
      <c r="AD219" s="1226">
        <f t="shared" si="121"/>
        <v>0</v>
      </c>
      <c r="AE219" s="937">
        <f t="shared" si="118"/>
        <v>1.3935640303998587E-4</v>
      </c>
      <c r="AF219" s="937">
        <f t="shared" si="119"/>
        <v>1.3818330649885142E-3</v>
      </c>
      <c r="AG219" s="937">
        <f t="shared" si="120"/>
        <v>1.5211894680285001E-3</v>
      </c>
      <c r="AH219" s="1172">
        <f t="shared" si="116"/>
        <v>9.161015505885356E-2</v>
      </c>
      <c r="AI219" s="937">
        <f t="shared" si="117"/>
        <v>0.90838984494114638</v>
      </c>
      <c r="AJ219" s="227"/>
      <c r="AK219" s="227"/>
      <c r="AL219" s="227"/>
      <c r="AM219" s="227"/>
    </row>
    <row r="220" spans="1:39" x14ac:dyDescent="0.2">
      <c r="A220" s="330">
        <v>2047</v>
      </c>
      <c r="B220" s="344">
        <v>0</v>
      </c>
      <c r="C220" s="345">
        <v>0</v>
      </c>
      <c r="D220" s="345">
        <v>0</v>
      </c>
      <c r="E220" s="345">
        <v>0</v>
      </c>
      <c r="F220" s="345">
        <v>6.0532621171919198E-4</v>
      </c>
      <c r="G220" s="345">
        <v>5.113395958048216E-3</v>
      </c>
      <c r="H220" s="345">
        <v>1.2903662304043894E-2</v>
      </c>
      <c r="I220" s="345">
        <v>0</v>
      </c>
      <c r="J220" s="345">
        <v>0</v>
      </c>
      <c r="K220" s="345">
        <v>0</v>
      </c>
      <c r="L220" s="380">
        <v>0</v>
      </c>
      <c r="M220" s="296">
        <f t="shared" si="108"/>
        <v>1.1474069711547618E-3</v>
      </c>
      <c r="N220" s="298">
        <f t="shared" si="109"/>
        <v>1.0603361589264135E-3</v>
      </c>
      <c r="O220" s="344">
        <v>0</v>
      </c>
      <c r="P220" s="345">
        <v>0</v>
      </c>
      <c r="Q220" s="345">
        <v>0</v>
      </c>
      <c r="R220" s="345">
        <v>5.6248379474534905E-5</v>
      </c>
      <c r="S220" s="345">
        <v>2.1714320906142713E-3</v>
      </c>
      <c r="T220" s="345">
        <v>1.162619589399724E-2</v>
      </c>
      <c r="U220" s="345">
        <v>2.4694755692374181E-2</v>
      </c>
      <c r="V220" s="345">
        <v>0</v>
      </c>
      <c r="W220" s="345">
        <v>0</v>
      </c>
      <c r="X220" s="345">
        <v>0</v>
      </c>
      <c r="Y220" s="380">
        <v>0</v>
      </c>
      <c r="Z220" s="296">
        <f t="shared" si="110"/>
        <v>8.1786093164765185E-3</v>
      </c>
      <c r="AA220" s="298">
        <f t="shared" si="111"/>
        <v>7.646561263529323E-3</v>
      </c>
      <c r="AB220" s="948">
        <f t="array" ref="AB220">IF(AND($AD$176=TRUE,SUM(B220:L220)&gt;0),SUMPRODUCT((((TRANSPOSE(Cls1CentDailyRng)&lt;INDEX(CDRANGE_CLS1,$A220-$A$180+1,AD$177))*TRANSPOSE(Cls1CentDailyRng)+(TRANSPOSE(Cls1CentDailyRng)&gt;INDEX(CDRANGE_CLS1,$A220-$A$180+1,AD$177))*INDEX(CDRANGE_CLS1,$A220-$A$180+1,AD$177))/TRANSPOSE(Cls1CentDailyRng)),B220:L220,TRANSPOSE(Cls1CentVMTShr))/SUMPRODUCT(B220:L220,TRANSPOSE(Cls1CentVMTShr)),0)</f>
        <v>0</v>
      </c>
      <c r="AC220" s="949">
        <f t="array" ref="AC220">IF(AND($AD$176=TRUE,SUM(O220:Y220)&gt;0),SUMPRODUCT((((TRANSPOSE(Cls1NCentDailyRng)&lt;INDEX(CDRANGE_CLS1,$A220-$A$180+1,AD$177))*TRANSPOSE(Cls1NCentDailyRng)+(TRANSPOSE(Cls1NCentDailyRng)&gt;INDEX(CDRANGE_CLS1,$A220-$A$180+1,AD$177))*INDEX(CDRANGE_CLS1,$A220-$A$180+1,AD$177))/TRANSPOSE(Cls1NCentDailyRng)),O220:Y220,TRANSPOSE(Cls1NCentVMTShr))/SUMPRODUCT(O220:Y220,TRANSPOSE(Cls1NCentVMTShr)),0)</f>
        <v>0</v>
      </c>
      <c r="AD220" s="1226">
        <f t="shared" si="121"/>
        <v>0</v>
      </c>
      <c r="AE220" s="937">
        <f t="shared" si="118"/>
        <v>1.1474069711547618E-3</v>
      </c>
      <c r="AF220" s="937">
        <f t="shared" si="119"/>
        <v>8.1786093164765185E-3</v>
      </c>
      <c r="AG220" s="937">
        <f t="shared" si="120"/>
        <v>9.3260162876312794E-3</v>
      </c>
      <c r="AH220" s="1172">
        <f t="shared" si="116"/>
        <v>0.12303291520909325</v>
      </c>
      <c r="AI220" s="937">
        <f t="shared" si="117"/>
        <v>0.87696708479090679</v>
      </c>
      <c r="AJ220" s="227"/>
      <c r="AK220" s="227"/>
      <c r="AL220" s="227"/>
      <c r="AM220" s="227"/>
    </row>
    <row r="221" spans="1:39" x14ac:dyDescent="0.2">
      <c r="A221" s="330">
        <v>2048</v>
      </c>
      <c r="B221" s="344">
        <v>0</v>
      </c>
      <c r="C221" s="345">
        <v>0</v>
      </c>
      <c r="D221" s="345">
        <v>0</v>
      </c>
      <c r="E221" s="345">
        <v>5.1303336546947378E-4</v>
      </c>
      <c r="F221" s="345">
        <v>6.755456569371412E-3</v>
      </c>
      <c r="G221" s="345">
        <v>2.2574740361398216E-2</v>
      </c>
      <c r="H221" s="345">
        <v>3.8497616371038379E-2</v>
      </c>
      <c r="I221" s="345">
        <v>0</v>
      </c>
      <c r="J221" s="345">
        <v>0</v>
      </c>
      <c r="K221" s="345">
        <v>0</v>
      </c>
      <c r="L221" s="380">
        <v>0</v>
      </c>
      <c r="M221" s="296">
        <f t="shared" si="108"/>
        <v>3.8040633423604658E-3</v>
      </c>
      <c r="N221" s="298">
        <f t="shared" si="109"/>
        <v>3.5994503695254629E-3</v>
      </c>
      <c r="O221" s="344">
        <v>0</v>
      </c>
      <c r="P221" s="345">
        <v>0</v>
      </c>
      <c r="Q221" s="345">
        <v>0</v>
      </c>
      <c r="R221" s="345">
        <v>1.5827624228542032E-3</v>
      </c>
      <c r="S221" s="345">
        <v>1.4840801571254619E-2</v>
      </c>
      <c r="T221" s="345">
        <v>3.7750802768517409E-2</v>
      </c>
      <c r="U221" s="345">
        <v>6.2857391125432274E-2</v>
      </c>
      <c r="V221" s="345">
        <v>0</v>
      </c>
      <c r="W221" s="345">
        <v>0</v>
      </c>
      <c r="X221" s="345">
        <v>0</v>
      </c>
      <c r="Y221" s="380">
        <v>0</v>
      </c>
      <c r="Z221" s="296">
        <f t="shared" si="110"/>
        <v>2.3125397159641271E-2</v>
      </c>
      <c r="AA221" s="298">
        <f t="shared" si="111"/>
        <v>2.2020614733258281E-2</v>
      </c>
      <c r="AB221" s="948">
        <f t="array" ref="AB221">IF(AND($AD$176=TRUE,SUM(B221:L221)&gt;0),SUMPRODUCT((((TRANSPOSE(Cls1CentDailyRng)&lt;INDEX(CDRANGE_CLS1,$A221-$A$180+1,AD$177))*TRANSPOSE(Cls1CentDailyRng)+(TRANSPOSE(Cls1CentDailyRng)&gt;INDEX(CDRANGE_CLS1,$A221-$A$180+1,AD$177))*INDEX(CDRANGE_CLS1,$A221-$A$180+1,AD$177))/TRANSPOSE(Cls1CentDailyRng)),B221:L221,TRANSPOSE(Cls1CentVMTShr))/SUMPRODUCT(B221:L221,TRANSPOSE(Cls1CentVMTShr)),0)</f>
        <v>0</v>
      </c>
      <c r="AC221" s="949">
        <f t="array" ref="AC221">IF(AND($AD$176=TRUE,SUM(O221:Y221)&gt;0),SUMPRODUCT((((TRANSPOSE(Cls1NCentDailyRng)&lt;INDEX(CDRANGE_CLS1,$A221-$A$180+1,AD$177))*TRANSPOSE(Cls1NCentDailyRng)+(TRANSPOSE(Cls1NCentDailyRng)&gt;INDEX(CDRANGE_CLS1,$A221-$A$180+1,AD$177))*INDEX(CDRANGE_CLS1,$A221-$A$180+1,AD$177))/TRANSPOSE(Cls1NCentDailyRng)),O221:Y221,TRANSPOSE(Cls1NCentVMTShr))/SUMPRODUCT(O221:Y221,TRANSPOSE(Cls1NCentVMTShr)),0)</f>
        <v>0</v>
      </c>
      <c r="AD221" s="1226">
        <f t="shared" si="121"/>
        <v>0</v>
      </c>
      <c r="AE221" s="937">
        <f t="shared" si="118"/>
        <v>3.8040633423604658E-3</v>
      </c>
      <c r="AF221" s="937">
        <f t="shared" si="119"/>
        <v>2.3125397159641271E-2</v>
      </c>
      <c r="AG221" s="937">
        <f t="shared" si="120"/>
        <v>2.6929460502001738E-2</v>
      </c>
      <c r="AH221" s="1172">
        <f t="shared" si="116"/>
        <v>0.14126028785751946</v>
      </c>
      <c r="AI221" s="937">
        <f t="shared" si="117"/>
        <v>0.85873971214248057</v>
      </c>
      <c r="AJ221" s="227"/>
      <c r="AK221" s="227"/>
      <c r="AL221" s="227"/>
      <c r="AM221" s="227"/>
    </row>
    <row r="222" spans="1:39" x14ac:dyDescent="0.2">
      <c r="A222" s="330">
        <v>2049</v>
      </c>
      <c r="B222" s="344">
        <v>0</v>
      </c>
      <c r="C222" s="345">
        <v>0</v>
      </c>
      <c r="D222" s="345">
        <v>0</v>
      </c>
      <c r="E222" s="345">
        <v>7.0075051953676108E-3</v>
      </c>
      <c r="F222" s="345">
        <v>2.9277625771144105E-2</v>
      </c>
      <c r="G222" s="345">
        <v>6.0075127670904178E-2</v>
      </c>
      <c r="H222" s="345">
        <v>7.8141549502128899E-2</v>
      </c>
      <c r="I222" s="345">
        <v>0</v>
      </c>
      <c r="J222" s="345">
        <v>0</v>
      </c>
      <c r="K222" s="345">
        <v>0</v>
      </c>
      <c r="L222" s="380">
        <v>0</v>
      </c>
      <c r="M222" s="296">
        <f t="shared" si="108"/>
        <v>8.7648568205444082E-3</v>
      </c>
      <c r="N222" s="298">
        <f t="shared" si="109"/>
        <v>8.564710294665559E-3</v>
      </c>
      <c r="O222" s="344">
        <v>0</v>
      </c>
      <c r="P222" s="345">
        <v>0</v>
      </c>
      <c r="Q222" s="345">
        <v>5.2386335557665466E-4</v>
      </c>
      <c r="R222" s="345">
        <v>1.360357154262438E-2</v>
      </c>
      <c r="S222" s="345">
        <v>4.6973311839874979E-2</v>
      </c>
      <c r="T222" s="345">
        <v>8.7450672174903335E-2</v>
      </c>
      <c r="U222" s="345">
        <v>0.11330971310362127</v>
      </c>
      <c r="V222" s="345">
        <v>0</v>
      </c>
      <c r="W222" s="345">
        <v>0</v>
      </c>
      <c r="X222" s="345">
        <v>0</v>
      </c>
      <c r="Y222" s="380">
        <v>0</v>
      </c>
      <c r="Z222" s="296">
        <f t="shared" si="110"/>
        <v>4.7288764155783515E-2</v>
      </c>
      <c r="AA222" s="298">
        <f t="shared" si="111"/>
        <v>4.6016023754268942E-2</v>
      </c>
      <c r="AB222" s="948">
        <f t="array" ref="AB222">IF(AND($AD$176=TRUE,SUM(B222:L222)&gt;0),SUMPRODUCT((((TRANSPOSE(Cls1CentDailyRng)&lt;INDEX(CDRANGE_CLS1,$A222-$A$180+1,AD$177))*TRANSPOSE(Cls1CentDailyRng)+(TRANSPOSE(Cls1CentDailyRng)&gt;INDEX(CDRANGE_CLS1,$A222-$A$180+1,AD$177))*INDEX(CDRANGE_CLS1,$A222-$A$180+1,AD$177))/TRANSPOSE(Cls1CentDailyRng)),B222:L222,TRANSPOSE(Cls1CentVMTShr))/SUMPRODUCT(B222:L222,TRANSPOSE(Cls1CentVMTShr)),0)</f>
        <v>0</v>
      </c>
      <c r="AC222" s="949">
        <f t="array" ref="AC222">IF(AND($AD$176=TRUE,SUM(O222:Y222)&gt;0),SUMPRODUCT((((TRANSPOSE(Cls1NCentDailyRng)&lt;INDEX(CDRANGE_CLS1,$A222-$A$180+1,AD$177))*TRANSPOSE(Cls1NCentDailyRng)+(TRANSPOSE(Cls1NCentDailyRng)&gt;INDEX(CDRANGE_CLS1,$A222-$A$180+1,AD$177))*INDEX(CDRANGE_CLS1,$A222-$A$180+1,AD$177))/TRANSPOSE(Cls1NCentDailyRng)),O222:Y222,TRANSPOSE(Cls1NCentVMTShr))/SUMPRODUCT(O222:Y222,TRANSPOSE(Cls1NCentVMTShr)),0)</f>
        <v>0</v>
      </c>
      <c r="AD222" s="1226">
        <f t="shared" si="121"/>
        <v>0</v>
      </c>
      <c r="AE222" s="937">
        <f t="shared" si="118"/>
        <v>8.7648568205444082E-3</v>
      </c>
      <c r="AF222" s="937">
        <f t="shared" si="119"/>
        <v>4.7288764155783515E-2</v>
      </c>
      <c r="AG222" s="937">
        <f t="shared" si="120"/>
        <v>5.605362097632792E-2</v>
      </c>
      <c r="AH222" s="1172">
        <f t="shared" si="116"/>
        <v>0.156365577600168</v>
      </c>
      <c r="AI222" s="937">
        <f t="shared" si="117"/>
        <v>0.84363442239983211</v>
      </c>
      <c r="AJ222" s="227"/>
      <c r="AK222" s="227"/>
      <c r="AL222" s="227"/>
      <c r="AM222" s="227"/>
    </row>
    <row r="223" spans="1:39" ht="15" thickBot="1" x14ac:dyDescent="0.25">
      <c r="A223" s="328">
        <v>2050</v>
      </c>
      <c r="B223" s="346">
        <v>0</v>
      </c>
      <c r="C223" s="347">
        <v>0</v>
      </c>
      <c r="D223" s="347">
        <v>2.3970019225412857E-3</v>
      </c>
      <c r="E223" s="347">
        <v>3.6154379718082795E-2</v>
      </c>
      <c r="F223" s="347">
        <v>7.9382289178763249E-2</v>
      </c>
      <c r="G223" s="347">
        <v>0.10792123061634781</v>
      </c>
      <c r="H223" s="347">
        <v>0.13196880390676211</v>
      </c>
      <c r="I223" s="347">
        <v>0</v>
      </c>
      <c r="J223" s="347">
        <v>0</v>
      </c>
      <c r="K223" s="347">
        <v>0</v>
      </c>
      <c r="L223" s="381">
        <v>0</v>
      </c>
      <c r="M223" s="310">
        <f t="shared" si="108"/>
        <v>1.6498560290530817E-2</v>
      </c>
      <c r="N223" s="312">
        <f t="shared" si="109"/>
        <v>1.6713838176224925E-2</v>
      </c>
      <c r="O223" s="346">
        <v>0</v>
      </c>
      <c r="P223" s="347">
        <v>0</v>
      </c>
      <c r="Q223" s="347">
        <v>9.8739174804168724E-3</v>
      </c>
      <c r="R223" s="347">
        <v>5.1471881536607533E-2</v>
      </c>
      <c r="S223" s="347">
        <v>0.11003616226785909</v>
      </c>
      <c r="T223" s="347">
        <v>0.15269085863971085</v>
      </c>
      <c r="U223" s="347">
        <v>0.17580712115355318</v>
      </c>
      <c r="V223" s="347">
        <v>0</v>
      </c>
      <c r="W223" s="347">
        <v>0</v>
      </c>
      <c r="X223" s="347">
        <v>0</v>
      </c>
      <c r="Y223" s="381">
        <v>0</v>
      </c>
      <c r="Z223" s="310">
        <f t="shared" si="110"/>
        <v>8.0767159529329793E-2</v>
      </c>
      <c r="AA223" s="312">
        <f t="shared" si="111"/>
        <v>8.0376589981883739E-2</v>
      </c>
      <c r="AB223" s="950">
        <f t="array" ref="AB223">IF(AND($AD$176=TRUE,SUM(B223:L223)&gt;0),SUMPRODUCT((((TRANSPOSE(Cls1CentDailyRng)&lt;INDEX(CDRANGE_CLS1,$A223-$A$180+1,AD$177))*TRANSPOSE(Cls1CentDailyRng)+(TRANSPOSE(Cls1CentDailyRng)&gt;INDEX(CDRANGE_CLS1,$A223-$A$180+1,AD$177))*INDEX(CDRANGE_CLS1,$A223-$A$180+1,AD$177))/TRANSPOSE(Cls1CentDailyRng)),B223:L223,TRANSPOSE(Cls1CentVMTShr))/SUMPRODUCT(B223:L223,TRANSPOSE(Cls1CentVMTShr)),0)</f>
        <v>0</v>
      </c>
      <c r="AC223" s="951">
        <f t="array" ref="AC223">IF(AND($AD$176=TRUE,SUM(O223:Y223)&gt;0),SUMPRODUCT((((TRANSPOSE(Cls1NCentDailyRng)&lt;INDEX(CDRANGE_CLS1,$A223-$A$180+1,AD$177))*TRANSPOSE(Cls1NCentDailyRng)+(TRANSPOSE(Cls1NCentDailyRng)&gt;INDEX(CDRANGE_CLS1,$A223-$A$180+1,AD$177))*INDEX(CDRANGE_CLS1,$A223-$A$180+1,AD$177))/TRANSPOSE(Cls1NCentDailyRng)),O223:Y223,TRANSPOSE(Cls1NCentVMTShr))/SUMPRODUCT(O223:Y223,TRANSPOSE(Cls1NCentVMTShr)),0)</f>
        <v>0</v>
      </c>
      <c r="AD223" s="1227">
        <f t="shared" si="121"/>
        <v>0</v>
      </c>
      <c r="AE223" s="937">
        <f t="shared" si="118"/>
        <v>1.6498560290530817E-2</v>
      </c>
      <c r="AF223" s="937">
        <f t="shared" si="119"/>
        <v>8.0767159529329793E-2</v>
      </c>
      <c r="AG223" s="937">
        <f t="shared" si="120"/>
        <v>9.726571981986061E-2</v>
      </c>
      <c r="AH223" s="1172">
        <f t="shared" si="116"/>
        <v>0.16962358702620725</v>
      </c>
      <c r="AI223" s="937">
        <f t="shared" si="117"/>
        <v>0.83037641297379272</v>
      </c>
      <c r="AJ223" s="227"/>
      <c r="AK223" s="227"/>
      <c r="AL223" s="227"/>
      <c r="AM223" s="227"/>
    </row>
    <row r="224" spans="1:39" x14ac:dyDescent="0.2">
      <c r="B224" s="227" t="str">
        <f>B$120</f>
        <v>Output generated: 7/21/2020 15:48</v>
      </c>
      <c r="U224" s="227" t="str">
        <f>U$120</f>
        <v>Output generated: 7/21/2020 15:48</v>
      </c>
      <c r="AC224" s="937"/>
      <c r="AE224" s="937"/>
      <c r="AF224" s="937"/>
      <c r="AG224" s="937"/>
      <c r="AH224" s="937"/>
      <c r="AI224" s="937"/>
      <c r="AJ224" s="227"/>
      <c r="AK224" s="227"/>
      <c r="AL224" s="227"/>
      <c r="AM224" s="22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613" t="s">
        <v>213</v>
      </c>
      <c r="C227" s="614"/>
      <c r="D227" s="614"/>
      <c r="E227" s="614"/>
      <c r="F227" s="614"/>
      <c r="G227" s="614"/>
      <c r="H227" s="614"/>
      <c r="I227" s="614"/>
      <c r="J227" s="614"/>
      <c r="K227" s="614"/>
      <c r="L227" s="614"/>
      <c r="M227" s="614"/>
      <c r="N227" s="615"/>
      <c r="O227" s="613" t="s">
        <v>212</v>
      </c>
      <c r="P227" s="614"/>
      <c r="Q227" s="614"/>
      <c r="R227" s="614"/>
      <c r="S227" s="614"/>
      <c r="T227" s="614"/>
      <c r="U227" s="614"/>
      <c r="V227" s="614"/>
      <c r="W227" s="614"/>
      <c r="X227" s="614"/>
      <c r="Y227" s="614"/>
      <c r="Z227" s="614"/>
      <c r="AA227" s="615"/>
      <c r="AE227" s="937"/>
      <c r="AF227" s="937"/>
      <c r="AG227" s="937"/>
      <c r="AH227" s="937"/>
      <c r="AI227" s="937"/>
    </row>
    <row r="228" spans="1:39"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C229" s="903" t="s">
        <v>267</v>
      </c>
      <c r="AD229" s="234" t="b">
        <f>INDEX(TECH_OPT_FUEL2_Cls1,MATCH(RIGHT(O227),TECH_OPT_ROWS_Cls1,0))&lt;&gt;"N/A"</f>
        <v>0</v>
      </c>
      <c r="AE229" s="937"/>
      <c r="AF229" s="937"/>
      <c r="AG229" s="937"/>
      <c r="AH229" s="937"/>
      <c r="AI229" s="937"/>
    </row>
    <row r="230" spans="1:39" ht="16" thickTop="1" thickBot="1" x14ac:dyDescent="0.25">
      <c r="A230" s="348" t="s">
        <v>124</v>
      </c>
      <c r="B230" s="340">
        <f t="array" ref="B230:L230">TRANSPOSE(Cls1CentTruckShr)</f>
        <v>7.9460669190030697E-3</v>
      </c>
      <c r="C230" s="341">
        <v>4.9615201402207001E-3</v>
      </c>
      <c r="D230" s="341">
        <v>9.2815995818941767E-3</v>
      </c>
      <c r="E230" s="341">
        <v>3.0833513121077051E-2</v>
      </c>
      <c r="F230" s="341">
        <v>4.3269302277925595E-2</v>
      </c>
      <c r="G230" s="341">
        <v>2.8144935330937017E-2</v>
      </c>
      <c r="H230" s="341">
        <v>6.8990329765143715E-2</v>
      </c>
      <c r="I230" s="341">
        <v>2.4926184998997059E-2</v>
      </c>
      <c r="J230" s="341">
        <v>7.8890239376675012E-3</v>
      </c>
      <c r="K230" s="341">
        <v>3.6046105934191604E-3</v>
      </c>
      <c r="L230" s="378">
        <v>7.5162351043371062E-3</v>
      </c>
      <c r="M230" s="385"/>
      <c r="N230" s="334"/>
      <c r="O230" s="340">
        <f t="array" ref="O230:Y230">TRANSPOSE(Cls1NCentTruckShr)</f>
        <v>1.2963682068270432E-2</v>
      </c>
      <c r="P230" s="341">
        <v>2.3837141813212878E-2</v>
      </c>
      <c r="Q230" s="341">
        <v>2.5768680683356839E-2</v>
      </c>
      <c r="R230" s="341">
        <v>5.7965433078982248E-2</v>
      </c>
      <c r="S230" s="341">
        <v>0.10312619102844889</v>
      </c>
      <c r="T230" s="341">
        <v>0.18550667796975542</v>
      </c>
      <c r="U230" s="341">
        <v>0.21310728355070049</v>
      </c>
      <c r="V230" s="341">
        <v>7.3364250696428643E-2</v>
      </c>
      <c r="W230" s="341">
        <v>1.9856733825595378E-2</v>
      </c>
      <c r="X230" s="341">
        <v>2.1261216059795113E-2</v>
      </c>
      <c r="Y230" s="378">
        <v>2.5879387454831333E-2</v>
      </c>
      <c r="Z230" s="385"/>
      <c r="AA230" s="334"/>
      <c r="AB230" s="936"/>
      <c r="AC230" s="903" t="s">
        <v>268</v>
      </c>
      <c r="AD230" s="234">
        <f>MATCH(RIGHT(O227),TECH_OPT_ROWS_Cls1,0)</f>
        <v>5</v>
      </c>
      <c r="AE230" s="937"/>
      <c r="AF230" s="937"/>
      <c r="AG230" s="937"/>
      <c r="AH230" s="937"/>
      <c r="AI230" s="937"/>
    </row>
    <row r="231" spans="1:39" x14ac:dyDescent="0.2">
      <c r="A231" s="331" t="s">
        <v>125</v>
      </c>
      <c r="B231" s="938">
        <f t="array" ref="B231:L231">TRANSPOSE(Cls1CentVMTShr)</f>
        <v>8.9762242961142352E-4</v>
      </c>
      <c r="C231" s="939">
        <v>1.2044238150123706E-3</v>
      </c>
      <c r="D231" s="939">
        <v>4.1499109643594731E-3</v>
      </c>
      <c r="E231" s="939">
        <v>1.9575808105519295E-2</v>
      </c>
      <c r="F231" s="939">
        <v>3.4523467949689302E-2</v>
      </c>
      <c r="G231" s="939">
        <v>2.7311948935134379E-2</v>
      </c>
      <c r="H231" s="939">
        <v>7.6478458482655817E-2</v>
      </c>
      <c r="I231" s="939">
        <v>3.2480526319280681E-2</v>
      </c>
      <c r="J231" s="939">
        <v>1.1772940427842455E-2</v>
      </c>
      <c r="K231" s="939">
        <v>6.0339283082965706E-3</v>
      </c>
      <c r="L231" s="940">
        <v>1.5952440951210019E-2</v>
      </c>
      <c r="M231" s="388"/>
      <c r="N231" s="334"/>
      <c r="O231" s="938">
        <f t="array" ref="O231:Y231">TRANSPOSE(Cls1NCentVMTShr)</f>
        <v>1.3589913425833078E-3</v>
      </c>
      <c r="P231" s="939">
        <v>5.8692629772239642E-3</v>
      </c>
      <c r="Q231" s="939">
        <v>1.2100393581509007E-2</v>
      </c>
      <c r="R231" s="939">
        <v>3.6555003327388577E-2</v>
      </c>
      <c r="S231" s="939">
        <v>8.3148735051829181E-2</v>
      </c>
      <c r="T231" s="939">
        <v>0.18151138394047112</v>
      </c>
      <c r="U231" s="939">
        <v>0.2383386372324876</v>
      </c>
      <c r="V231" s="939">
        <v>9.5602564448196578E-2</v>
      </c>
      <c r="W231" s="939">
        <v>2.9193025028929166E-2</v>
      </c>
      <c r="X231" s="939">
        <v>3.5209492159336005E-2</v>
      </c>
      <c r="Y231" s="940">
        <v>5.0731034221433824E-2</v>
      </c>
      <c r="Z231" s="388"/>
      <c r="AA231" s="334"/>
      <c r="AB231" s="1568" t="str">
        <f>"% of miles on f2 for Tech "&amp; RIGHT(O227)&amp;" adopters"</f>
        <v>% of miles on f2 for Tech D adopters</v>
      </c>
      <c r="AC231" s="1569"/>
      <c r="AD231" s="1570"/>
      <c r="AE231" s="937" t="s">
        <v>301</v>
      </c>
      <c r="AF231" s="937"/>
      <c r="AG231" s="937"/>
      <c r="AH231" s="1172" t="s">
        <v>310</v>
      </c>
      <c r="AI231" s="937"/>
    </row>
    <row r="232" spans="1:39" ht="15" thickBot="1" x14ac:dyDescent="0.25">
      <c r="A232" s="942" t="s">
        <v>266</v>
      </c>
      <c r="B232" s="933">
        <f t="array" ref="B232:L232">TRANSPOSE(Cls1CentVMT/OPDAYS_Cls1)</f>
        <v>51.642967609234425</v>
      </c>
      <c r="C232" s="934">
        <v>110.97733417848234</v>
      </c>
      <c r="D232" s="934">
        <v>204.40224583551472</v>
      </c>
      <c r="E232" s="934">
        <v>290.24610572847212</v>
      </c>
      <c r="F232" s="934">
        <v>364.75750419264841</v>
      </c>
      <c r="G232" s="934">
        <v>443.63126889109378</v>
      </c>
      <c r="H232" s="934">
        <v>506.78134229373978</v>
      </c>
      <c r="I232" s="934">
        <v>595.71283413609137</v>
      </c>
      <c r="J232" s="934">
        <v>682.23089916089702</v>
      </c>
      <c r="K232" s="934">
        <v>765.26438827532684</v>
      </c>
      <c r="L232" s="935">
        <v>970.27871027310334</v>
      </c>
      <c r="M232" s="931"/>
      <c r="N232" s="932"/>
      <c r="O232" s="933">
        <f t="array" ref="O232:Y232">TRANSPOSE(Cls1NCentVMT/OPDAYS_Cls1)</f>
        <v>47.924548633512046</v>
      </c>
      <c r="P232" s="934">
        <v>112.56389213862748</v>
      </c>
      <c r="Q232" s="934">
        <v>214.67280220238027</v>
      </c>
      <c r="R232" s="934">
        <v>288.30186744262801</v>
      </c>
      <c r="S232" s="934">
        <v>368.60089210549245</v>
      </c>
      <c r="T232" s="934">
        <v>447.31558789932524</v>
      </c>
      <c r="U232" s="934">
        <v>511.28831950097862</v>
      </c>
      <c r="V232" s="934">
        <v>595.73726658362273</v>
      </c>
      <c r="W232" s="934">
        <v>672.11099195240695</v>
      </c>
      <c r="X232" s="934">
        <v>757.0793017898726</v>
      </c>
      <c r="Y232" s="935">
        <v>896.16800791754974</v>
      </c>
      <c r="Z232" s="943"/>
      <c r="AA232" s="932"/>
      <c r="AB232" s="945" t="s">
        <v>186</v>
      </c>
      <c r="AC232" s="946" t="s">
        <v>15</v>
      </c>
      <c r="AD232" s="947" t="s">
        <v>18</v>
      </c>
      <c r="AE232" s="937" t="s">
        <v>186</v>
      </c>
      <c r="AF232" s="937" t="s">
        <v>15</v>
      </c>
      <c r="AG232" s="937" t="s">
        <v>18</v>
      </c>
      <c r="AH232" s="1172" t="s">
        <v>186</v>
      </c>
      <c r="AI232" s="937" t="s">
        <v>15</v>
      </c>
    </row>
    <row r="233" spans="1:39" ht="15" thickTop="1" x14ac:dyDescent="0.2">
      <c r="A233" s="941">
        <v>2007</v>
      </c>
      <c r="B233" s="342">
        <v>0</v>
      </c>
      <c r="C233" s="343">
        <v>0</v>
      </c>
      <c r="D233" s="343">
        <v>0</v>
      </c>
      <c r="E233" s="343">
        <v>0</v>
      </c>
      <c r="F233" s="343">
        <v>0</v>
      </c>
      <c r="G233" s="343">
        <v>0</v>
      </c>
      <c r="H233" s="343">
        <v>0</v>
      </c>
      <c r="I233" s="343">
        <v>0</v>
      </c>
      <c r="J233" s="343">
        <v>0</v>
      </c>
      <c r="K233" s="343">
        <v>0</v>
      </c>
      <c r="L233" s="379">
        <v>0</v>
      </c>
      <c r="M233" s="282">
        <f t="shared" ref="M233:M276" si="122">SUMPRODUCT($B$178:$L$178,$B233:$L233)</f>
        <v>0</v>
      </c>
      <c r="N233" s="284">
        <f t="shared" ref="N233:N276" si="123">SUMPRODUCT($B$177:$L$177,$B233:$L233)</f>
        <v>0</v>
      </c>
      <c r="O233" s="342">
        <v>0</v>
      </c>
      <c r="P233" s="343">
        <v>0</v>
      </c>
      <c r="Q233" s="343">
        <v>0</v>
      </c>
      <c r="R233" s="343">
        <v>0</v>
      </c>
      <c r="S233" s="343">
        <v>0</v>
      </c>
      <c r="T233" s="343">
        <v>0</v>
      </c>
      <c r="U233" s="343">
        <v>0</v>
      </c>
      <c r="V233" s="343">
        <v>0</v>
      </c>
      <c r="W233" s="343">
        <v>0</v>
      </c>
      <c r="X233" s="343">
        <v>0</v>
      </c>
      <c r="Y233" s="379">
        <v>0</v>
      </c>
      <c r="Z233" s="282">
        <f t="shared" ref="Z233:Z276" si="124">SUMPRODUCT($O$178:$Y$178,$O233:$Y233)</f>
        <v>0</v>
      </c>
      <c r="AA233" s="284">
        <f t="shared" ref="AA233:AA276" si="125">SUMPRODUCT($O$177:$Y$177,$O233:$Y233)</f>
        <v>0</v>
      </c>
      <c r="AB233" s="948">
        <f t="array" ref="AB233">IF(AND($AD$229=TRUE,SUM(B233:L233)&gt;0),SUMPRODUCT((((TRANSPOSE(Cls1CentDailyRng)&lt;INDEX(CDRANGE_CLS1,$A233-$A$233+1,AD$230))*TRANSPOSE(Cls1CentDailyRng)+(TRANSPOSE(Cls1CentDailyRng)&gt;INDEX(CDRANGE_CLS1,$A233-$A$233+1,AD$230))*INDEX(CDRANGE_CLS1,$A233-$A$233+1,AD$230))/TRANSPOSE(Cls1CentDailyRng)),B233:L233,TRANSPOSE(Cls1CentVMTShr))/SUMPRODUCT(B233:L233,TRANSPOSE(Cls1CentVMTShr)),0)</f>
        <v>0</v>
      </c>
      <c r="AC233" s="949">
        <f t="array" ref="AC233">IF(AND($AD$229=TRUE,SUM(O233:Y233)&gt;0),SUMPRODUCT((((TRANSPOSE(Cls1NCentDailyRng)&lt;INDEX(CDRANGE_CLS1,$A233-$A$233+1,AD$230))*TRANSPOSE(Cls1NCentDailyRng)+(TRANSPOSE(Cls1NCentDailyRng)&gt;INDEX(CDRANGE_CLS1,$A233-$A$233+1,AD$230))*INDEX(CDRANGE_CLS1,$A233-$A$233+1,AD$230))/TRANSPOSE(Cls1NCentDailyRng)),O233:Y233,TRANSPOSE(Cls1NCentVMTShr))/SUMPRODUCT(O233:Y233,TRANSPOSE(Cls1NCentVMTShr)),0)</f>
        <v>0</v>
      </c>
      <c r="AD233" s="1226">
        <f t="shared" ref="AD233:AD258" si="126">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c r="AJ233" s="227"/>
      <c r="AK233" s="227"/>
      <c r="AL233" s="227"/>
      <c r="AM233" s="227"/>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si="122"/>
        <v>0</v>
      </c>
      <c r="N234" s="298">
        <f t="shared" si="123"/>
        <v>0</v>
      </c>
      <c r="O234" s="344">
        <v>0</v>
      </c>
      <c r="P234" s="345">
        <v>0</v>
      </c>
      <c r="Q234" s="345">
        <v>0</v>
      </c>
      <c r="R234" s="345">
        <v>0</v>
      </c>
      <c r="S234" s="345">
        <v>0</v>
      </c>
      <c r="T234" s="345">
        <v>0</v>
      </c>
      <c r="U234" s="345">
        <v>0</v>
      </c>
      <c r="V234" s="345">
        <v>0</v>
      </c>
      <c r="W234" s="345">
        <v>0</v>
      </c>
      <c r="X234" s="345">
        <v>0</v>
      </c>
      <c r="Y234" s="380">
        <v>0</v>
      </c>
      <c r="Z234" s="296">
        <f t="shared" si="124"/>
        <v>0</v>
      </c>
      <c r="AA234" s="298">
        <f t="shared" si="125"/>
        <v>0</v>
      </c>
      <c r="AB234" s="948">
        <f t="array" ref="AB234">IF(AND($AD$229=TRUE,SUM(B234:L234)&gt;0),SUMPRODUCT((((TRANSPOSE(Cls1CentDailyRng)&lt;INDEX(CDRANGE_CLS1,$A234-$A$233+1,AD$230))*TRANSPOSE(Cls1CentDailyRng)+(TRANSPOSE(Cls1CentDailyRng)&gt;INDEX(CDRANGE_CLS1,$A234-$A$233+1,AD$230))*INDEX(CDRANGE_CLS1,$A234-$A$233+1,AD$230))/TRANSPOSE(Cls1CentDailyRng)),B234:L234,TRANSPOSE(Cls1CentVMTShr))/SUMPRODUCT(B234:L234,TRANSPOSE(Cls1CentVMTShr)),0)</f>
        <v>0</v>
      </c>
      <c r="AC234" s="949">
        <f t="array" ref="AC234">IF(AND($AD$229=TRUE,SUM(O234:Y234)&gt;0),SUMPRODUCT((((TRANSPOSE(Cls1NCentDailyRng)&lt;INDEX(CDRANGE_CLS1,$A234-$A$233+1,AD$230))*TRANSPOSE(Cls1NCentDailyRng)+(TRANSPOSE(Cls1NCentDailyRng)&gt;INDEX(CDRANGE_CLS1,$A234-$A$233+1,AD$230))*INDEX(CDRANGE_CLS1,$A234-$A$233+1,AD$230))/TRANSPOSE(Cls1NCentDailyRng)),O234:Y234,TRANSPOSE(Cls1NCentVMTShr))/SUMPRODUCT(O234:Y234,TRANSPOSE(Cls1NCentVMTShr)),0)</f>
        <v>0</v>
      </c>
      <c r="AD234" s="1226">
        <f t="shared" si="126"/>
        <v>0</v>
      </c>
      <c r="AE234" s="937">
        <f t="shared" si="127"/>
        <v>0</v>
      </c>
      <c r="AF234" s="937">
        <f t="shared" si="128"/>
        <v>0</v>
      </c>
      <c r="AG234" s="937">
        <f t="shared" si="129"/>
        <v>0</v>
      </c>
      <c r="AH234" s="1172">
        <f t="shared" ref="AH234:AH276" si="130">IF(AG234&gt;0,AE234/AG234,0)</f>
        <v>0</v>
      </c>
      <c r="AI234" s="937">
        <f t="shared" ref="AI234:AI276" si="131">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22"/>
        <v>0</v>
      </c>
      <c r="N235" s="298">
        <f t="shared" si="123"/>
        <v>0</v>
      </c>
      <c r="O235" s="344">
        <v>0</v>
      </c>
      <c r="P235" s="345">
        <v>0</v>
      </c>
      <c r="Q235" s="345">
        <v>0</v>
      </c>
      <c r="R235" s="345">
        <v>0</v>
      </c>
      <c r="S235" s="345">
        <v>0</v>
      </c>
      <c r="T235" s="345">
        <v>0</v>
      </c>
      <c r="U235" s="345">
        <v>0</v>
      </c>
      <c r="V235" s="345">
        <v>0</v>
      </c>
      <c r="W235" s="345">
        <v>0</v>
      </c>
      <c r="X235" s="345">
        <v>0</v>
      </c>
      <c r="Y235" s="380">
        <v>0</v>
      </c>
      <c r="Z235" s="296">
        <f t="shared" si="124"/>
        <v>0</v>
      </c>
      <c r="AA235" s="298">
        <f t="shared" si="125"/>
        <v>0</v>
      </c>
      <c r="AB235" s="948">
        <f t="array" ref="AB235">IF(AND($AD$229=TRUE,SUM(B235:L235)&gt;0),SUMPRODUCT((((TRANSPOSE(Cls1CentDailyRng)&lt;INDEX(CDRANGE_CLS1,$A235-$A$233+1,AD$230))*TRANSPOSE(Cls1CentDailyRng)+(TRANSPOSE(Cls1CentDailyRng)&gt;INDEX(CDRANGE_CLS1,$A235-$A$233+1,AD$230))*INDEX(CDRANGE_CLS1,$A235-$A$233+1,AD$230))/TRANSPOSE(Cls1CentDailyRng)),B235:L235,TRANSPOSE(Cls1CentVMTShr))/SUMPRODUCT(B235:L235,TRANSPOSE(Cls1CentVMTShr)),0)</f>
        <v>0</v>
      </c>
      <c r="AC235" s="949">
        <f t="array" ref="AC235">IF(AND($AD$229=TRUE,SUM(O235:Y235)&gt;0),SUMPRODUCT((((TRANSPOSE(Cls1NCentDailyRng)&lt;INDEX(CDRANGE_CLS1,$A235-$A$233+1,AD$230))*TRANSPOSE(Cls1NCentDailyRng)+(TRANSPOSE(Cls1NCentDailyRng)&gt;INDEX(CDRANGE_CLS1,$A235-$A$233+1,AD$230))*INDEX(CDRANGE_CLS1,$A235-$A$233+1,AD$230))/TRANSPOSE(Cls1NCentDailyRng)),O235:Y235,TRANSPOSE(Cls1NCentVMTShr))/SUMPRODUCT(O235:Y235,TRANSPOSE(Cls1NCentVMTShr)),0)</f>
        <v>0</v>
      </c>
      <c r="AD235" s="1226">
        <f t="shared" si="126"/>
        <v>0</v>
      </c>
      <c r="AE235" s="937">
        <f t="shared" si="127"/>
        <v>0</v>
      </c>
      <c r="AF235" s="937">
        <f t="shared" si="128"/>
        <v>0</v>
      </c>
      <c r="AG235" s="937">
        <f t="shared" si="129"/>
        <v>0</v>
      </c>
      <c r="AH235" s="1172">
        <f t="shared" si="130"/>
        <v>0</v>
      </c>
      <c r="AI235" s="937">
        <f t="shared" si="131"/>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22"/>
        <v>0</v>
      </c>
      <c r="N236" s="312">
        <f t="shared" si="123"/>
        <v>0</v>
      </c>
      <c r="O236" s="346">
        <v>0</v>
      </c>
      <c r="P236" s="347">
        <v>0</v>
      </c>
      <c r="Q236" s="347">
        <v>0</v>
      </c>
      <c r="R236" s="347">
        <v>0</v>
      </c>
      <c r="S236" s="347">
        <v>0</v>
      </c>
      <c r="T236" s="347">
        <v>0</v>
      </c>
      <c r="U236" s="347">
        <v>0</v>
      </c>
      <c r="V236" s="347">
        <v>0</v>
      </c>
      <c r="W236" s="347">
        <v>0</v>
      </c>
      <c r="X236" s="347">
        <v>0</v>
      </c>
      <c r="Y236" s="381">
        <v>0</v>
      </c>
      <c r="Z236" s="310">
        <f t="shared" si="124"/>
        <v>0</v>
      </c>
      <c r="AA236" s="312">
        <f t="shared" si="125"/>
        <v>0</v>
      </c>
      <c r="AB236" s="948">
        <f t="array" ref="AB236">IF(AND($AD$229=TRUE,SUM(B236:L236)&gt;0),SUMPRODUCT((((TRANSPOSE(Cls1CentDailyRng)&lt;INDEX(CDRANGE_CLS1,$A236-$A$233+1,AD$230))*TRANSPOSE(Cls1CentDailyRng)+(TRANSPOSE(Cls1CentDailyRng)&gt;INDEX(CDRANGE_CLS1,$A236-$A$233+1,AD$230))*INDEX(CDRANGE_CLS1,$A236-$A$233+1,AD$230))/TRANSPOSE(Cls1CentDailyRng)),B236:L236,TRANSPOSE(Cls1CentVMTShr))/SUMPRODUCT(B236:L236,TRANSPOSE(Cls1CentVMTShr)),0)</f>
        <v>0</v>
      </c>
      <c r="AC236" s="949">
        <f t="array" ref="AC236">IF(AND($AD$229=TRUE,SUM(O236:Y236)&gt;0),SUMPRODUCT((((TRANSPOSE(Cls1NCentDailyRng)&lt;INDEX(CDRANGE_CLS1,$A236-$A$233+1,AD$230))*TRANSPOSE(Cls1NCentDailyRng)+(TRANSPOSE(Cls1NCentDailyRng)&gt;INDEX(CDRANGE_CLS1,$A236-$A$233+1,AD$230))*INDEX(CDRANGE_CLS1,$A236-$A$233+1,AD$230))/TRANSPOSE(Cls1NCentDailyRng)),O236:Y236,TRANSPOSE(Cls1NCentVMTShr))/SUMPRODUCT(O236:Y236,TRANSPOSE(Cls1NCentVMTShr)),0)</f>
        <v>0</v>
      </c>
      <c r="AD236" s="1226">
        <f t="shared" si="126"/>
        <v>0</v>
      </c>
      <c r="AE236" s="937">
        <f t="shared" si="127"/>
        <v>0</v>
      </c>
      <c r="AF236" s="937">
        <f t="shared" si="128"/>
        <v>0</v>
      </c>
      <c r="AG236" s="937">
        <f t="shared" si="129"/>
        <v>0</v>
      </c>
      <c r="AH236" s="1172">
        <f t="shared" si="130"/>
        <v>0</v>
      </c>
      <c r="AI236" s="937">
        <f t="shared" si="131"/>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22"/>
        <v>0</v>
      </c>
      <c r="N237" s="284">
        <f t="shared" si="123"/>
        <v>0</v>
      </c>
      <c r="O237" s="342">
        <v>0</v>
      </c>
      <c r="P237" s="343">
        <v>0</v>
      </c>
      <c r="Q237" s="343">
        <v>0</v>
      </c>
      <c r="R237" s="343">
        <v>0</v>
      </c>
      <c r="S237" s="343">
        <v>0</v>
      </c>
      <c r="T237" s="343">
        <v>0</v>
      </c>
      <c r="U237" s="343">
        <v>0</v>
      </c>
      <c r="V237" s="343">
        <v>0</v>
      </c>
      <c r="W237" s="343">
        <v>0</v>
      </c>
      <c r="X237" s="343">
        <v>0</v>
      </c>
      <c r="Y237" s="379">
        <v>0</v>
      </c>
      <c r="Z237" s="282">
        <f t="shared" si="124"/>
        <v>0</v>
      </c>
      <c r="AA237" s="284">
        <f t="shared" si="125"/>
        <v>0</v>
      </c>
      <c r="AB237" s="948">
        <f t="array" ref="AB237">IF(AND($AD$229=TRUE,SUM(B237:L237)&gt;0),SUMPRODUCT((((TRANSPOSE(Cls1CentDailyRng)&lt;INDEX(CDRANGE_CLS1,$A237-$A$233+1,AD$230))*TRANSPOSE(Cls1CentDailyRng)+(TRANSPOSE(Cls1CentDailyRng)&gt;INDEX(CDRANGE_CLS1,$A237-$A$233+1,AD$230))*INDEX(CDRANGE_CLS1,$A237-$A$233+1,AD$230))/TRANSPOSE(Cls1CentDailyRng)),B237:L237,TRANSPOSE(Cls1CentVMTShr))/SUMPRODUCT(B237:L237,TRANSPOSE(Cls1CentVMTShr)),0)</f>
        <v>0</v>
      </c>
      <c r="AC237" s="949">
        <f t="array" ref="AC237">IF(AND($AD$229=TRUE,SUM(O237:Y237)&gt;0),SUMPRODUCT((((TRANSPOSE(Cls1NCentDailyRng)&lt;INDEX(CDRANGE_CLS1,$A237-$A$233+1,AD$230))*TRANSPOSE(Cls1NCentDailyRng)+(TRANSPOSE(Cls1NCentDailyRng)&gt;INDEX(CDRANGE_CLS1,$A237-$A$233+1,AD$230))*INDEX(CDRANGE_CLS1,$A237-$A$233+1,AD$230))/TRANSPOSE(Cls1NCentDailyRng)),O237:Y237,TRANSPOSE(Cls1NCentVMTShr))/SUMPRODUCT(O237:Y237,TRANSPOSE(Cls1NCentVMTShr)),0)</f>
        <v>0</v>
      </c>
      <c r="AD237" s="1226">
        <f t="shared" si="126"/>
        <v>0</v>
      </c>
      <c r="AE237" s="937">
        <f t="shared" si="127"/>
        <v>0</v>
      </c>
      <c r="AF237" s="937">
        <f t="shared" si="128"/>
        <v>0</v>
      </c>
      <c r="AG237" s="937">
        <f t="shared" si="129"/>
        <v>0</v>
      </c>
      <c r="AH237" s="1172">
        <f t="shared" si="130"/>
        <v>0</v>
      </c>
      <c r="AI237" s="937">
        <f t="shared" si="131"/>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22"/>
        <v>0</v>
      </c>
      <c r="N238" s="298">
        <f t="shared" si="123"/>
        <v>0</v>
      </c>
      <c r="O238" s="344">
        <v>0</v>
      </c>
      <c r="P238" s="345">
        <v>0</v>
      </c>
      <c r="Q238" s="345">
        <v>0</v>
      </c>
      <c r="R238" s="345">
        <v>0</v>
      </c>
      <c r="S238" s="345">
        <v>0</v>
      </c>
      <c r="T238" s="345">
        <v>0</v>
      </c>
      <c r="U238" s="345">
        <v>0</v>
      </c>
      <c r="V238" s="345">
        <v>0</v>
      </c>
      <c r="W238" s="345">
        <v>0</v>
      </c>
      <c r="X238" s="345">
        <v>0</v>
      </c>
      <c r="Y238" s="380">
        <v>0</v>
      </c>
      <c r="Z238" s="296">
        <f t="shared" si="124"/>
        <v>0</v>
      </c>
      <c r="AA238" s="298">
        <f t="shared" si="125"/>
        <v>0</v>
      </c>
      <c r="AB238" s="948">
        <f t="array" ref="AB238">IF(AND($AD$229=TRUE,SUM(B238:L238)&gt;0),SUMPRODUCT((((TRANSPOSE(Cls1CentDailyRng)&lt;INDEX(CDRANGE_CLS1,$A238-$A$233+1,AD$230))*TRANSPOSE(Cls1CentDailyRng)+(TRANSPOSE(Cls1CentDailyRng)&gt;INDEX(CDRANGE_CLS1,$A238-$A$233+1,AD$230))*INDEX(CDRANGE_CLS1,$A238-$A$233+1,AD$230))/TRANSPOSE(Cls1CentDailyRng)),B238:L238,TRANSPOSE(Cls1CentVMTShr))/SUMPRODUCT(B238:L238,TRANSPOSE(Cls1CentVMTShr)),0)</f>
        <v>0</v>
      </c>
      <c r="AC238" s="949">
        <f t="array" ref="AC238">IF(AND($AD$229=TRUE,SUM(O238:Y238)&gt;0),SUMPRODUCT((((TRANSPOSE(Cls1NCentDailyRng)&lt;INDEX(CDRANGE_CLS1,$A238-$A$233+1,AD$230))*TRANSPOSE(Cls1NCentDailyRng)+(TRANSPOSE(Cls1NCentDailyRng)&gt;INDEX(CDRANGE_CLS1,$A238-$A$233+1,AD$230))*INDEX(CDRANGE_CLS1,$A238-$A$233+1,AD$230))/TRANSPOSE(Cls1NCentDailyRng)),O238:Y238,TRANSPOSE(Cls1NCentVMTShr))/SUMPRODUCT(O238:Y238,TRANSPOSE(Cls1NCentVMTShr)),0)</f>
        <v>0</v>
      </c>
      <c r="AD238" s="1226">
        <f t="shared" si="126"/>
        <v>0</v>
      </c>
      <c r="AE238" s="937">
        <f t="shared" si="127"/>
        <v>0</v>
      </c>
      <c r="AF238" s="937">
        <f t="shared" si="128"/>
        <v>0</v>
      </c>
      <c r="AG238" s="937">
        <f t="shared" si="129"/>
        <v>0</v>
      </c>
      <c r="AH238" s="1172">
        <f t="shared" si="130"/>
        <v>0</v>
      </c>
      <c r="AI238" s="937">
        <f t="shared" si="131"/>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22"/>
        <v>0</v>
      </c>
      <c r="N239" s="298">
        <f t="shared" si="123"/>
        <v>0</v>
      </c>
      <c r="O239" s="344">
        <v>0</v>
      </c>
      <c r="P239" s="345">
        <v>0</v>
      </c>
      <c r="Q239" s="345">
        <v>0</v>
      </c>
      <c r="R239" s="345">
        <v>0</v>
      </c>
      <c r="S239" s="345">
        <v>0</v>
      </c>
      <c r="T239" s="345">
        <v>0</v>
      </c>
      <c r="U239" s="345">
        <v>0</v>
      </c>
      <c r="V239" s="345">
        <v>0</v>
      </c>
      <c r="W239" s="345">
        <v>0</v>
      </c>
      <c r="X239" s="345">
        <v>0</v>
      </c>
      <c r="Y239" s="380">
        <v>0</v>
      </c>
      <c r="Z239" s="296">
        <f t="shared" si="124"/>
        <v>0</v>
      </c>
      <c r="AA239" s="298">
        <f t="shared" si="125"/>
        <v>0</v>
      </c>
      <c r="AB239" s="948">
        <f t="array" ref="AB239">IF(AND($AD$229=TRUE,SUM(B239:L239)&gt;0),SUMPRODUCT((((TRANSPOSE(Cls1CentDailyRng)&lt;INDEX(CDRANGE_CLS1,$A239-$A$233+1,AD$230))*TRANSPOSE(Cls1CentDailyRng)+(TRANSPOSE(Cls1CentDailyRng)&gt;INDEX(CDRANGE_CLS1,$A239-$A$233+1,AD$230))*INDEX(CDRANGE_CLS1,$A239-$A$233+1,AD$230))/TRANSPOSE(Cls1CentDailyRng)),B239:L239,TRANSPOSE(Cls1CentVMTShr))/SUMPRODUCT(B239:L239,TRANSPOSE(Cls1CentVMTShr)),0)</f>
        <v>0</v>
      </c>
      <c r="AC239" s="949">
        <f t="array" ref="AC239">IF(AND($AD$229=TRUE,SUM(O239:Y239)&gt;0),SUMPRODUCT((((TRANSPOSE(Cls1NCentDailyRng)&lt;INDEX(CDRANGE_CLS1,$A239-$A$233+1,AD$230))*TRANSPOSE(Cls1NCentDailyRng)+(TRANSPOSE(Cls1NCentDailyRng)&gt;INDEX(CDRANGE_CLS1,$A239-$A$233+1,AD$230))*INDEX(CDRANGE_CLS1,$A239-$A$233+1,AD$230))/TRANSPOSE(Cls1NCentDailyRng)),O239:Y239,TRANSPOSE(Cls1NCentVMTShr))/SUMPRODUCT(O239:Y239,TRANSPOSE(Cls1NCentVMTShr)),0)</f>
        <v>0</v>
      </c>
      <c r="AD239" s="1226">
        <f t="shared" si="126"/>
        <v>0</v>
      </c>
      <c r="AE239" s="937">
        <f t="shared" si="127"/>
        <v>0</v>
      </c>
      <c r="AF239" s="937">
        <f t="shared" si="128"/>
        <v>0</v>
      </c>
      <c r="AG239" s="937">
        <f t="shared" si="129"/>
        <v>0</v>
      </c>
      <c r="AH239" s="1172">
        <f t="shared" si="130"/>
        <v>0</v>
      </c>
      <c r="AI239" s="937">
        <f t="shared" si="131"/>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22"/>
        <v>0</v>
      </c>
      <c r="N240" s="298">
        <f t="shared" si="123"/>
        <v>0</v>
      </c>
      <c r="O240" s="344">
        <v>0</v>
      </c>
      <c r="P240" s="345">
        <v>0</v>
      </c>
      <c r="Q240" s="345">
        <v>0</v>
      </c>
      <c r="R240" s="345">
        <v>0</v>
      </c>
      <c r="S240" s="345">
        <v>0</v>
      </c>
      <c r="T240" s="345">
        <v>0</v>
      </c>
      <c r="U240" s="345">
        <v>0</v>
      </c>
      <c r="V240" s="345">
        <v>0</v>
      </c>
      <c r="W240" s="345">
        <v>0</v>
      </c>
      <c r="X240" s="345">
        <v>0</v>
      </c>
      <c r="Y240" s="380">
        <v>0</v>
      </c>
      <c r="Z240" s="296">
        <f t="shared" si="124"/>
        <v>0</v>
      </c>
      <c r="AA240" s="298">
        <f t="shared" si="125"/>
        <v>0</v>
      </c>
      <c r="AB240" s="948">
        <f t="array" ref="AB240">IF(AND($AD$229=TRUE,SUM(B240:L240)&gt;0),SUMPRODUCT((((TRANSPOSE(Cls1CentDailyRng)&lt;INDEX(CDRANGE_CLS1,$A240-$A$233+1,AD$230))*TRANSPOSE(Cls1CentDailyRng)+(TRANSPOSE(Cls1CentDailyRng)&gt;INDEX(CDRANGE_CLS1,$A240-$A$233+1,AD$230))*INDEX(CDRANGE_CLS1,$A240-$A$233+1,AD$230))/TRANSPOSE(Cls1CentDailyRng)),B240:L240,TRANSPOSE(Cls1CentVMTShr))/SUMPRODUCT(B240:L240,TRANSPOSE(Cls1CentVMTShr)),0)</f>
        <v>0</v>
      </c>
      <c r="AC240" s="949">
        <f t="array" ref="AC240">IF(AND($AD$229=TRUE,SUM(O240:Y240)&gt;0),SUMPRODUCT((((TRANSPOSE(Cls1NCentDailyRng)&lt;INDEX(CDRANGE_CLS1,$A240-$A$233+1,AD$230))*TRANSPOSE(Cls1NCentDailyRng)+(TRANSPOSE(Cls1NCentDailyRng)&gt;INDEX(CDRANGE_CLS1,$A240-$A$233+1,AD$230))*INDEX(CDRANGE_CLS1,$A240-$A$233+1,AD$230))/TRANSPOSE(Cls1NCentDailyRng)),O240:Y240,TRANSPOSE(Cls1NCentVMTShr))/SUMPRODUCT(O240:Y240,TRANSPOSE(Cls1NCentVMTShr)),0)</f>
        <v>0</v>
      </c>
      <c r="AD240" s="1226">
        <f t="shared" si="126"/>
        <v>0</v>
      </c>
      <c r="AE240" s="937">
        <f t="shared" si="127"/>
        <v>0</v>
      </c>
      <c r="AF240" s="937">
        <f t="shared" si="128"/>
        <v>0</v>
      </c>
      <c r="AG240" s="937">
        <f t="shared" si="129"/>
        <v>0</v>
      </c>
      <c r="AH240" s="1172">
        <f t="shared" si="130"/>
        <v>0</v>
      </c>
      <c r="AI240" s="937">
        <f t="shared" si="131"/>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22"/>
        <v>0</v>
      </c>
      <c r="N241" s="312">
        <f t="shared" si="123"/>
        <v>0</v>
      </c>
      <c r="O241" s="346">
        <v>0</v>
      </c>
      <c r="P241" s="347">
        <v>0</v>
      </c>
      <c r="Q241" s="347">
        <v>0</v>
      </c>
      <c r="R241" s="347">
        <v>0</v>
      </c>
      <c r="S241" s="347">
        <v>0</v>
      </c>
      <c r="T241" s="347">
        <v>0</v>
      </c>
      <c r="U241" s="347">
        <v>0</v>
      </c>
      <c r="V241" s="347">
        <v>0</v>
      </c>
      <c r="W241" s="347">
        <v>0</v>
      </c>
      <c r="X241" s="347">
        <v>0</v>
      </c>
      <c r="Y241" s="381">
        <v>0</v>
      </c>
      <c r="Z241" s="310">
        <f t="shared" si="124"/>
        <v>0</v>
      </c>
      <c r="AA241" s="312">
        <f t="shared" si="125"/>
        <v>0</v>
      </c>
      <c r="AB241" s="948">
        <f t="array" ref="AB241">IF(AND($AD$229=TRUE,SUM(B241:L241)&gt;0),SUMPRODUCT((((TRANSPOSE(Cls1CentDailyRng)&lt;INDEX(CDRANGE_CLS1,$A241-$A$233+1,AD$230))*TRANSPOSE(Cls1CentDailyRng)+(TRANSPOSE(Cls1CentDailyRng)&gt;INDEX(CDRANGE_CLS1,$A241-$A$233+1,AD$230))*INDEX(CDRANGE_CLS1,$A241-$A$233+1,AD$230))/TRANSPOSE(Cls1CentDailyRng)),B241:L241,TRANSPOSE(Cls1CentVMTShr))/SUMPRODUCT(B241:L241,TRANSPOSE(Cls1CentVMTShr)),0)</f>
        <v>0</v>
      </c>
      <c r="AC241" s="949">
        <f t="array" ref="AC241">IF(AND($AD$229=TRUE,SUM(O241:Y241)&gt;0),SUMPRODUCT((((TRANSPOSE(Cls1NCentDailyRng)&lt;INDEX(CDRANGE_CLS1,$A241-$A$233+1,AD$230))*TRANSPOSE(Cls1NCentDailyRng)+(TRANSPOSE(Cls1NCentDailyRng)&gt;INDEX(CDRANGE_CLS1,$A241-$A$233+1,AD$230))*INDEX(CDRANGE_CLS1,$A241-$A$233+1,AD$230))/TRANSPOSE(Cls1NCentDailyRng)),O241:Y241,TRANSPOSE(Cls1NCentVMTShr))/SUMPRODUCT(O241:Y241,TRANSPOSE(Cls1NCentVMTShr)),0)</f>
        <v>0</v>
      </c>
      <c r="AD241" s="1226">
        <f t="shared" si="126"/>
        <v>0</v>
      </c>
      <c r="AE241" s="937">
        <f t="shared" si="127"/>
        <v>0</v>
      </c>
      <c r="AF241" s="937">
        <f t="shared" si="128"/>
        <v>0</v>
      </c>
      <c r="AG241" s="937">
        <f t="shared" si="129"/>
        <v>0</v>
      </c>
      <c r="AH241" s="1172">
        <f t="shared" si="130"/>
        <v>0</v>
      </c>
      <c r="AI241" s="937">
        <f t="shared" si="131"/>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22"/>
        <v>0</v>
      </c>
      <c r="N242" s="284">
        <f t="shared" si="123"/>
        <v>0</v>
      </c>
      <c r="O242" s="342">
        <v>0</v>
      </c>
      <c r="P242" s="343">
        <v>0</v>
      </c>
      <c r="Q242" s="343">
        <v>0</v>
      </c>
      <c r="R242" s="343">
        <v>0</v>
      </c>
      <c r="S242" s="343">
        <v>0</v>
      </c>
      <c r="T242" s="343">
        <v>0</v>
      </c>
      <c r="U242" s="343">
        <v>0</v>
      </c>
      <c r="V242" s="343">
        <v>0</v>
      </c>
      <c r="W242" s="343">
        <v>0</v>
      </c>
      <c r="X242" s="343">
        <v>0</v>
      </c>
      <c r="Y242" s="379">
        <v>0</v>
      </c>
      <c r="Z242" s="282">
        <f t="shared" si="124"/>
        <v>0</v>
      </c>
      <c r="AA242" s="284">
        <f t="shared" si="125"/>
        <v>0</v>
      </c>
      <c r="AB242" s="948">
        <f t="array" ref="AB242">IF(AND($AD$229=TRUE,SUM(B242:L242)&gt;0),SUMPRODUCT((((TRANSPOSE(Cls1CentDailyRng)&lt;INDEX(CDRANGE_CLS1,$A242-$A$233+1,AD$230))*TRANSPOSE(Cls1CentDailyRng)+(TRANSPOSE(Cls1CentDailyRng)&gt;INDEX(CDRANGE_CLS1,$A242-$A$233+1,AD$230))*INDEX(CDRANGE_CLS1,$A242-$A$233+1,AD$230))/TRANSPOSE(Cls1CentDailyRng)),B242:L242,TRANSPOSE(Cls1CentVMTShr))/SUMPRODUCT(B242:L242,TRANSPOSE(Cls1CentVMTShr)),0)</f>
        <v>0</v>
      </c>
      <c r="AC242" s="949">
        <f t="array" ref="AC242">IF(AND($AD$229=TRUE,SUM(O242:Y242)&gt;0),SUMPRODUCT((((TRANSPOSE(Cls1NCentDailyRng)&lt;INDEX(CDRANGE_CLS1,$A242-$A$233+1,AD$230))*TRANSPOSE(Cls1NCentDailyRng)+(TRANSPOSE(Cls1NCentDailyRng)&gt;INDEX(CDRANGE_CLS1,$A242-$A$233+1,AD$230))*INDEX(CDRANGE_CLS1,$A242-$A$233+1,AD$230))/TRANSPOSE(Cls1NCentDailyRng)),O242:Y242,TRANSPOSE(Cls1NCentVMTShr))/SUMPRODUCT(O242:Y242,TRANSPOSE(Cls1NCentVMTShr)),0)</f>
        <v>0</v>
      </c>
      <c r="AD242" s="1226">
        <f t="shared" si="126"/>
        <v>0</v>
      </c>
      <c r="AE242" s="937">
        <f t="shared" si="127"/>
        <v>0</v>
      </c>
      <c r="AF242" s="937">
        <f t="shared" si="128"/>
        <v>0</v>
      </c>
      <c r="AG242" s="937">
        <f t="shared" si="129"/>
        <v>0</v>
      </c>
      <c r="AH242" s="1172">
        <f t="shared" si="130"/>
        <v>0</v>
      </c>
      <c r="AI242" s="937">
        <f t="shared" si="131"/>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22"/>
        <v>0</v>
      </c>
      <c r="N243" s="298">
        <f t="shared" si="123"/>
        <v>0</v>
      </c>
      <c r="O243" s="344">
        <v>0</v>
      </c>
      <c r="P243" s="345">
        <v>0</v>
      </c>
      <c r="Q243" s="345">
        <v>0</v>
      </c>
      <c r="R243" s="345">
        <v>0</v>
      </c>
      <c r="S243" s="345">
        <v>0</v>
      </c>
      <c r="T243" s="345">
        <v>0</v>
      </c>
      <c r="U243" s="345">
        <v>0</v>
      </c>
      <c r="V243" s="345">
        <v>0</v>
      </c>
      <c r="W243" s="345">
        <v>0</v>
      </c>
      <c r="X243" s="345">
        <v>0</v>
      </c>
      <c r="Y243" s="380">
        <v>0</v>
      </c>
      <c r="Z243" s="296">
        <f t="shared" si="124"/>
        <v>0</v>
      </c>
      <c r="AA243" s="298">
        <f t="shared" si="125"/>
        <v>0</v>
      </c>
      <c r="AB243" s="948">
        <f t="array" ref="AB243">IF(AND($AD$229=TRUE,SUM(B243:L243)&gt;0),SUMPRODUCT((((TRANSPOSE(Cls1CentDailyRng)&lt;INDEX(CDRANGE_CLS1,$A243-$A$233+1,AD$230))*TRANSPOSE(Cls1CentDailyRng)+(TRANSPOSE(Cls1CentDailyRng)&gt;INDEX(CDRANGE_CLS1,$A243-$A$233+1,AD$230))*INDEX(CDRANGE_CLS1,$A243-$A$233+1,AD$230))/TRANSPOSE(Cls1CentDailyRng)),B243:L243,TRANSPOSE(Cls1CentVMTShr))/SUMPRODUCT(B243:L243,TRANSPOSE(Cls1CentVMTShr)),0)</f>
        <v>0</v>
      </c>
      <c r="AC243" s="949">
        <f t="array" ref="AC243">IF(AND($AD$229=TRUE,SUM(O243:Y243)&gt;0),SUMPRODUCT((((TRANSPOSE(Cls1NCentDailyRng)&lt;INDEX(CDRANGE_CLS1,$A243-$A$233+1,AD$230))*TRANSPOSE(Cls1NCentDailyRng)+(TRANSPOSE(Cls1NCentDailyRng)&gt;INDEX(CDRANGE_CLS1,$A243-$A$233+1,AD$230))*INDEX(CDRANGE_CLS1,$A243-$A$233+1,AD$230))/TRANSPOSE(Cls1NCentDailyRng)),O243:Y243,TRANSPOSE(Cls1NCentVMTShr))/SUMPRODUCT(O243:Y243,TRANSPOSE(Cls1NCentVMTShr)),0)</f>
        <v>0</v>
      </c>
      <c r="AD243" s="1226">
        <f t="shared" si="126"/>
        <v>0</v>
      </c>
      <c r="AE243" s="937">
        <f t="shared" si="127"/>
        <v>0</v>
      </c>
      <c r="AF243" s="937">
        <f t="shared" si="128"/>
        <v>0</v>
      </c>
      <c r="AG243" s="937">
        <f t="shared" si="129"/>
        <v>0</v>
      </c>
      <c r="AH243" s="1172">
        <f t="shared" si="130"/>
        <v>0</v>
      </c>
      <c r="AI243" s="937">
        <f t="shared" si="131"/>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22"/>
        <v>0</v>
      </c>
      <c r="N244" s="298">
        <f t="shared" si="123"/>
        <v>0</v>
      </c>
      <c r="O244" s="344">
        <v>0</v>
      </c>
      <c r="P244" s="345">
        <v>0</v>
      </c>
      <c r="Q244" s="345">
        <v>0</v>
      </c>
      <c r="R244" s="345">
        <v>0</v>
      </c>
      <c r="S244" s="345">
        <v>0</v>
      </c>
      <c r="T244" s="345">
        <v>0</v>
      </c>
      <c r="U244" s="345">
        <v>0</v>
      </c>
      <c r="V244" s="345">
        <v>0</v>
      </c>
      <c r="W244" s="345">
        <v>0</v>
      </c>
      <c r="X244" s="345">
        <v>0</v>
      </c>
      <c r="Y244" s="380">
        <v>0</v>
      </c>
      <c r="Z244" s="296">
        <f t="shared" si="124"/>
        <v>0</v>
      </c>
      <c r="AA244" s="298">
        <f t="shared" si="125"/>
        <v>0</v>
      </c>
      <c r="AB244" s="948">
        <f t="array" ref="AB244">IF(AND($AD$229=TRUE,SUM(B244:L244)&gt;0),SUMPRODUCT((((TRANSPOSE(Cls1CentDailyRng)&lt;INDEX(CDRANGE_CLS1,$A244-$A$233+1,AD$230))*TRANSPOSE(Cls1CentDailyRng)+(TRANSPOSE(Cls1CentDailyRng)&gt;INDEX(CDRANGE_CLS1,$A244-$A$233+1,AD$230))*INDEX(CDRANGE_CLS1,$A244-$A$233+1,AD$230))/TRANSPOSE(Cls1CentDailyRng)),B244:L244,TRANSPOSE(Cls1CentVMTShr))/SUMPRODUCT(B244:L244,TRANSPOSE(Cls1CentVMTShr)),0)</f>
        <v>0</v>
      </c>
      <c r="AC244" s="949">
        <f t="array" ref="AC244">IF(AND($AD$229=TRUE,SUM(O244:Y244)&gt;0),SUMPRODUCT((((TRANSPOSE(Cls1NCentDailyRng)&lt;INDEX(CDRANGE_CLS1,$A244-$A$233+1,AD$230))*TRANSPOSE(Cls1NCentDailyRng)+(TRANSPOSE(Cls1NCentDailyRng)&gt;INDEX(CDRANGE_CLS1,$A244-$A$233+1,AD$230))*INDEX(CDRANGE_CLS1,$A244-$A$233+1,AD$230))/TRANSPOSE(Cls1NCentDailyRng)),O244:Y244,TRANSPOSE(Cls1NCentVMTShr))/SUMPRODUCT(O244:Y244,TRANSPOSE(Cls1NCentVMTShr)),0)</f>
        <v>0</v>
      </c>
      <c r="AD244" s="1226">
        <f t="shared" si="126"/>
        <v>0</v>
      </c>
      <c r="AE244" s="937">
        <f t="shared" si="127"/>
        <v>0</v>
      </c>
      <c r="AF244" s="937">
        <f t="shared" si="128"/>
        <v>0</v>
      </c>
      <c r="AG244" s="937">
        <f t="shared" si="129"/>
        <v>0</v>
      </c>
      <c r="AH244" s="1172">
        <f t="shared" si="130"/>
        <v>0</v>
      </c>
      <c r="AI244" s="937">
        <f t="shared" si="131"/>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22"/>
        <v>0</v>
      </c>
      <c r="N245" s="298">
        <f t="shared" si="123"/>
        <v>0</v>
      </c>
      <c r="O245" s="344">
        <v>0</v>
      </c>
      <c r="P245" s="345">
        <v>0</v>
      </c>
      <c r="Q245" s="345">
        <v>0</v>
      </c>
      <c r="R245" s="345">
        <v>0</v>
      </c>
      <c r="S245" s="345">
        <v>0</v>
      </c>
      <c r="T245" s="345">
        <v>0</v>
      </c>
      <c r="U245" s="345">
        <v>0</v>
      </c>
      <c r="V245" s="345">
        <v>0</v>
      </c>
      <c r="W245" s="345">
        <v>0</v>
      </c>
      <c r="X245" s="345">
        <v>0</v>
      </c>
      <c r="Y245" s="380">
        <v>0</v>
      </c>
      <c r="Z245" s="296">
        <f t="shared" si="124"/>
        <v>0</v>
      </c>
      <c r="AA245" s="298">
        <f t="shared" si="125"/>
        <v>0</v>
      </c>
      <c r="AB245" s="948">
        <f t="array" ref="AB245">IF(AND($AD$229=TRUE,SUM(B245:L245)&gt;0),SUMPRODUCT((((TRANSPOSE(Cls1CentDailyRng)&lt;INDEX(CDRANGE_CLS1,$A245-$A$233+1,AD$230))*TRANSPOSE(Cls1CentDailyRng)+(TRANSPOSE(Cls1CentDailyRng)&gt;INDEX(CDRANGE_CLS1,$A245-$A$233+1,AD$230))*INDEX(CDRANGE_CLS1,$A245-$A$233+1,AD$230))/TRANSPOSE(Cls1CentDailyRng)),B245:L245,TRANSPOSE(Cls1CentVMTShr))/SUMPRODUCT(B245:L245,TRANSPOSE(Cls1CentVMTShr)),0)</f>
        <v>0</v>
      </c>
      <c r="AC245" s="949">
        <f t="array" ref="AC245">IF(AND($AD$229=TRUE,SUM(O245:Y245)&gt;0),SUMPRODUCT((((TRANSPOSE(Cls1NCentDailyRng)&lt;INDEX(CDRANGE_CLS1,$A245-$A$233+1,AD$230))*TRANSPOSE(Cls1NCentDailyRng)+(TRANSPOSE(Cls1NCentDailyRng)&gt;INDEX(CDRANGE_CLS1,$A245-$A$233+1,AD$230))*INDEX(CDRANGE_CLS1,$A245-$A$233+1,AD$230))/TRANSPOSE(Cls1NCentDailyRng)),O245:Y245,TRANSPOSE(Cls1NCentVMTShr))/SUMPRODUCT(O245:Y245,TRANSPOSE(Cls1NCentVMTShr)),0)</f>
        <v>0</v>
      </c>
      <c r="AD245" s="1226">
        <f t="shared" si="126"/>
        <v>0</v>
      </c>
      <c r="AE245" s="937">
        <f t="shared" si="127"/>
        <v>0</v>
      </c>
      <c r="AF245" s="937">
        <f t="shared" si="128"/>
        <v>0</v>
      </c>
      <c r="AG245" s="937">
        <f t="shared" si="129"/>
        <v>0</v>
      </c>
      <c r="AH245" s="1172">
        <f t="shared" si="130"/>
        <v>0</v>
      </c>
      <c r="AI245" s="937">
        <f t="shared" si="131"/>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22"/>
        <v>0</v>
      </c>
      <c r="N246" s="312">
        <f t="shared" si="123"/>
        <v>0</v>
      </c>
      <c r="O246" s="346">
        <v>0</v>
      </c>
      <c r="P246" s="347">
        <v>0</v>
      </c>
      <c r="Q246" s="347">
        <v>0</v>
      </c>
      <c r="R246" s="347">
        <v>0</v>
      </c>
      <c r="S246" s="347">
        <v>0</v>
      </c>
      <c r="T246" s="347">
        <v>0</v>
      </c>
      <c r="U246" s="347">
        <v>0</v>
      </c>
      <c r="V246" s="347">
        <v>0</v>
      </c>
      <c r="W246" s="347">
        <v>0</v>
      </c>
      <c r="X246" s="347">
        <v>0</v>
      </c>
      <c r="Y246" s="381">
        <v>0</v>
      </c>
      <c r="Z246" s="310">
        <f t="shared" si="124"/>
        <v>0</v>
      </c>
      <c r="AA246" s="312">
        <f t="shared" si="125"/>
        <v>0</v>
      </c>
      <c r="AB246" s="948">
        <f t="array" ref="AB246">IF(AND($AD$229=TRUE,SUM(B246:L246)&gt;0),SUMPRODUCT((((TRANSPOSE(Cls1CentDailyRng)&lt;INDEX(CDRANGE_CLS1,$A246-$A$233+1,AD$230))*TRANSPOSE(Cls1CentDailyRng)+(TRANSPOSE(Cls1CentDailyRng)&gt;INDEX(CDRANGE_CLS1,$A246-$A$233+1,AD$230))*INDEX(CDRANGE_CLS1,$A246-$A$233+1,AD$230))/TRANSPOSE(Cls1CentDailyRng)),B246:L246,TRANSPOSE(Cls1CentVMTShr))/SUMPRODUCT(B246:L246,TRANSPOSE(Cls1CentVMTShr)),0)</f>
        <v>0</v>
      </c>
      <c r="AC246" s="949">
        <f t="array" ref="AC246">IF(AND($AD$229=TRUE,SUM(O246:Y246)&gt;0),SUMPRODUCT((((TRANSPOSE(Cls1NCentDailyRng)&lt;INDEX(CDRANGE_CLS1,$A246-$A$233+1,AD$230))*TRANSPOSE(Cls1NCentDailyRng)+(TRANSPOSE(Cls1NCentDailyRng)&gt;INDEX(CDRANGE_CLS1,$A246-$A$233+1,AD$230))*INDEX(CDRANGE_CLS1,$A246-$A$233+1,AD$230))/TRANSPOSE(Cls1NCentDailyRng)),O246:Y246,TRANSPOSE(Cls1NCentVMTShr))/SUMPRODUCT(O246:Y246,TRANSPOSE(Cls1NCentVMTShr)),0)</f>
        <v>0</v>
      </c>
      <c r="AD246" s="1226">
        <f t="shared" si="126"/>
        <v>0</v>
      </c>
      <c r="AE246" s="937">
        <f t="shared" si="127"/>
        <v>0</v>
      </c>
      <c r="AF246" s="937">
        <f t="shared" si="128"/>
        <v>0</v>
      </c>
      <c r="AG246" s="937">
        <f t="shared" si="129"/>
        <v>0</v>
      </c>
      <c r="AH246" s="1172">
        <f t="shared" si="130"/>
        <v>0</v>
      </c>
      <c r="AI246" s="937">
        <f t="shared" si="131"/>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22"/>
        <v>0</v>
      </c>
      <c r="N247" s="284">
        <f t="shared" si="123"/>
        <v>0</v>
      </c>
      <c r="O247" s="342">
        <v>0</v>
      </c>
      <c r="P247" s="343">
        <v>0</v>
      </c>
      <c r="Q247" s="343">
        <v>0</v>
      </c>
      <c r="R247" s="343">
        <v>0</v>
      </c>
      <c r="S247" s="343">
        <v>0</v>
      </c>
      <c r="T247" s="343">
        <v>0</v>
      </c>
      <c r="U247" s="343">
        <v>0</v>
      </c>
      <c r="V247" s="343">
        <v>0</v>
      </c>
      <c r="W247" s="343">
        <v>0</v>
      </c>
      <c r="X247" s="343">
        <v>0</v>
      </c>
      <c r="Y247" s="379">
        <v>0</v>
      </c>
      <c r="Z247" s="282">
        <f t="shared" si="124"/>
        <v>0</v>
      </c>
      <c r="AA247" s="284">
        <f t="shared" si="125"/>
        <v>0</v>
      </c>
      <c r="AB247" s="948">
        <f t="array" ref="AB247">IF(AND($AD$229=TRUE,SUM(B247:L247)&gt;0),SUMPRODUCT((((TRANSPOSE(Cls1CentDailyRng)&lt;INDEX(CDRANGE_CLS1,$A247-$A$233+1,AD$230))*TRANSPOSE(Cls1CentDailyRng)+(TRANSPOSE(Cls1CentDailyRng)&gt;INDEX(CDRANGE_CLS1,$A247-$A$233+1,AD$230))*INDEX(CDRANGE_CLS1,$A247-$A$233+1,AD$230))/TRANSPOSE(Cls1CentDailyRng)),B247:L247,TRANSPOSE(Cls1CentVMTShr))/SUMPRODUCT(B247:L247,TRANSPOSE(Cls1CentVMTShr)),0)</f>
        <v>0</v>
      </c>
      <c r="AC247" s="949">
        <f t="array" ref="AC247">IF(AND($AD$229=TRUE,SUM(O247:Y247)&gt;0),SUMPRODUCT((((TRANSPOSE(Cls1NCentDailyRng)&lt;INDEX(CDRANGE_CLS1,$A247-$A$233+1,AD$230))*TRANSPOSE(Cls1NCentDailyRng)+(TRANSPOSE(Cls1NCentDailyRng)&gt;INDEX(CDRANGE_CLS1,$A247-$A$233+1,AD$230))*INDEX(CDRANGE_CLS1,$A247-$A$233+1,AD$230))/TRANSPOSE(Cls1NCentDailyRng)),O247:Y247,TRANSPOSE(Cls1NCentVMTShr))/SUMPRODUCT(O247:Y247,TRANSPOSE(Cls1NCentVMTShr)),0)</f>
        <v>0</v>
      </c>
      <c r="AD247" s="1226">
        <f t="shared" si="126"/>
        <v>0</v>
      </c>
      <c r="AE247" s="937">
        <f t="shared" si="127"/>
        <v>0</v>
      </c>
      <c r="AF247" s="937">
        <f t="shared" si="128"/>
        <v>0</v>
      </c>
      <c r="AG247" s="937">
        <f t="shared" si="129"/>
        <v>0</v>
      </c>
      <c r="AH247" s="1172">
        <f t="shared" si="130"/>
        <v>0</v>
      </c>
      <c r="AI247" s="937">
        <f t="shared" si="131"/>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22"/>
        <v>0</v>
      </c>
      <c r="N248" s="298">
        <f t="shared" si="123"/>
        <v>0</v>
      </c>
      <c r="O248" s="344">
        <v>0</v>
      </c>
      <c r="P248" s="345">
        <v>0</v>
      </c>
      <c r="Q248" s="345">
        <v>0</v>
      </c>
      <c r="R248" s="345">
        <v>0</v>
      </c>
      <c r="S248" s="345">
        <v>0</v>
      </c>
      <c r="T248" s="345">
        <v>0</v>
      </c>
      <c r="U248" s="345">
        <v>0</v>
      </c>
      <c r="V248" s="345">
        <v>0</v>
      </c>
      <c r="W248" s="345">
        <v>0</v>
      </c>
      <c r="X248" s="345">
        <v>0</v>
      </c>
      <c r="Y248" s="380">
        <v>0</v>
      </c>
      <c r="Z248" s="296">
        <f t="shared" si="124"/>
        <v>0</v>
      </c>
      <c r="AA248" s="298">
        <f t="shared" si="125"/>
        <v>0</v>
      </c>
      <c r="AB248" s="948">
        <f t="array" ref="AB248">IF(AND($AD$229=TRUE,SUM(B248:L248)&gt;0),SUMPRODUCT((((TRANSPOSE(Cls1CentDailyRng)&lt;INDEX(CDRANGE_CLS1,$A248-$A$233+1,AD$230))*TRANSPOSE(Cls1CentDailyRng)+(TRANSPOSE(Cls1CentDailyRng)&gt;INDEX(CDRANGE_CLS1,$A248-$A$233+1,AD$230))*INDEX(CDRANGE_CLS1,$A248-$A$233+1,AD$230))/TRANSPOSE(Cls1CentDailyRng)),B248:L248,TRANSPOSE(Cls1CentVMTShr))/SUMPRODUCT(B248:L248,TRANSPOSE(Cls1CentVMTShr)),0)</f>
        <v>0</v>
      </c>
      <c r="AC248" s="949">
        <f t="array" ref="AC248">IF(AND($AD$229=TRUE,SUM(O248:Y248)&gt;0),SUMPRODUCT((((TRANSPOSE(Cls1NCentDailyRng)&lt;INDEX(CDRANGE_CLS1,$A248-$A$233+1,AD$230))*TRANSPOSE(Cls1NCentDailyRng)+(TRANSPOSE(Cls1NCentDailyRng)&gt;INDEX(CDRANGE_CLS1,$A248-$A$233+1,AD$230))*INDEX(CDRANGE_CLS1,$A248-$A$233+1,AD$230))/TRANSPOSE(Cls1NCentDailyRng)),O248:Y248,TRANSPOSE(Cls1NCentVMTShr))/SUMPRODUCT(O248:Y248,TRANSPOSE(Cls1NCentVMTShr)),0)</f>
        <v>0</v>
      </c>
      <c r="AD248" s="1226">
        <f t="shared" si="126"/>
        <v>0</v>
      </c>
      <c r="AE248" s="937">
        <f>SUMPRODUCT($B$74:$L$74,B248:L248)</f>
        <v>0</v>
      </c>
      <c r="AF248" s="937">
        <f>SUMPRODUCT($O$74:$Y$74,O248:Y248)</f>
        <v>0</v>
      </c>
      <c r="AG248" s="937">
        <f>SUM(AE248:AF248)</f>
        <v>0</v>
      </c>
      <c r="AH248" s="1172">
        <f t="shared" si="130"/>
        <v>0</v>
      </c>
      <c r="AI248" s="937">
        <f t="shared" si="131"/>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22"/>
        <v>0</v>
      </c>
      <c r="N249" s="298">
        <f t="shared" si="123"/>
        <v>0</v>
      </c>
      <c r="O249" s="344">
        <v>0</v>
      </c>
      <c r="P249" s="345">
        <v>0</v>
      </c>
      <c r="Q249" s="345">
        <v>0</v>
      </c>
      <c r="R249" s="345">
        <v>0</v>
      </c>
      <c r="S249" s="345">
        <v>0</v>
      </c>
      <c r="T249" s="345">
        <v>0</v>
      </c>
      <c r="U249" s="345">
        <v>0</v>
      </c>
      <c r="V249" s="345">
        <v>0</v>
      </c>
      <c r="W249" s="345">
        <v>0</v>
      </c>
      <c r="X249" s="345">
        <v>0</v>
      </c>
      <c r="Y249" s="380">
        <v>0</v>
      </c>
      <c r="Z249" s="296">
        <f t="shared" si="124"/>
        <v>0</v>
      </c>
      <c r="AA249" s="298">
        <f t="shared" si="125"/>
        <v>0</v>
      </c>
      <c r="AB249" s="948">
        <f t="array" ref="AB249">IF(AND($AD$229=TRUE,SUM(B249:L249)&gt;0),SUMPRODUCT((((TRANSPOSE(Cls1CentDailyRng)&lt;INDEX(CDRANGE_CLS1,$A249-$A$233+1,AD$230))*TRANSPOSE(Cls1CentDailyRng)+(TRANSPOSE(Cls1CentDailyRng)&gt;INDEX(CDRANGE_CLS1,$A249-$A$233+1,AD$230))*INDEX(CDRANGE_CLS1,$A249-$A$233+1,AD$230))/TRANSPOSE(Cls1CentDailyRng)),B249:L249,TRANSPOSE(Cls1CentVMTShr))/SUMPRODUCT(B249:L249,TRANSPOSE(Cls1CentVMTShr)),0)</f>
        <v>0</v>
      </c>
      <c r="AC249" s="949">
        <f t="array" ref="AC249">IF(AND($AD$229=TRUE,SUM(O249:Y249)&gt;0),SUMPRODUCT((((TRANSPOSE(Cls1NCentDailyRng)&lt;INDEX(CDRANGE_CLS1,$A249-$A$233+1,AD$230))*TRANSPOSE(Cls1NCentDailyRng)+(TRANSPOSE(Cls1NCentDailyRng)&gt;INDEX(CDRANGE_CLS1,$A249-$A$233+1,AD$230))*INDEX(CDRANGE_CLS1,$A249-$A$233+1,AD$230))/TRANSPOSE(Cls1NCentDailyRng)),O249:Y249,TRANSPOSE(Cls1NCentVMTShr))/SUMPRODUCT(O249:Y249,TRANSPOSE(Cls1NCentVMTShr)),0)</f>
        <v>0</v>
      </c>
      <c r="AD249" s="1226">
        <f t="shared" si="126"/>
        <v>0</v>
      </c>
      <c r="AE249" s="937">
        <f t="shared" ref="AE249:AE276" si="132">SUMPRODUCT($B$74:$L$74,B249:L249)</f>
        <v>0</v>
      </c>
      <c r="AF249" s="937">
        <f t="shared" ref="AF249:AF276" si="133">SUMPRODUCT($O$74:$Y$74,O249:Y249)</f>
        <v>0</v>
      </c>
      <c r="AG249" s="937">
        <f t="shared" ref="AG249:AG276" si="134">SUM(AE249:AF249)</f>
        <v>0</v>
      </c>
      <c r="AH249" s="1172">
        <f t="shared" si="130"/>
        <v>0</v>
      </c>
      <c r="AI249" s="937">
        <f t="shared" si="131"/>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22"/>
        <v>0</v>
      </c>
      <c r="N250" s="298">
        <f t="shared" si="123"/>
        <v>0</v>
      </c>
      <c r="O250" s="344">
        <v>0</v>
      </c>
      <c r="P250" s="345">
        <v>0</v>
      </c>
      <c r="Q250" s="345">
        <v>0</v>
      </c>
      <c r="R250" s="345">
        <v>0</v>
      </c>
      <c r="S250" s="345">
        <v>0</v>
      </c>
      <c r="T250" s="345">
        <v>0</v>
      </c>
      <c r="U250" s="345">
        <v>0</v>
      </c>
      <c r="V250" s="345">
        <v>0</v>
      </c>
      <c r="W250" s="345">
        <v>0</v>
      </c>
      <c r="X250" s="345">
        <v>0</v>
      </c>
      <c r="Y250" s="380">
        <v>0</v>
      </c>
      <c r="Z250" s="296">
        <f t="shared" si="124"/>
        <v>0</v>
      </c>
      <c r="AA250" s="298">
        <f t="shared" si="125"/>
        <v>0</v>
      </c>
      <c r="AB250" s="948">
        <f t="array" ref="AB250">IF(AND($AD$229=TRUE,SUM(B250:L250)&gt;0),SUMPRODUCT((((TRANSPOSE(Cls1CentDailyRng)&lt;INDEX(CDRANGE_CLS1,$A250-$A$233+1,AD$230))*TRANSPOSE(Cls1CentDailyRng)+(TRANSPOSE(Cls1CentDailyRng)&gt;INDEX(CDRANGE_CLS1,$A250-$A$233+1,AD$230))*INDEX(CDRANGE_CLS1,$A250-$A$233+1,AD$230))/TRANSPOSE(Cls1CentDailyRng)),B250:L250,TRANSPOSE(Cls1CentVMTShr))/SUMPRODUCT(B250:L250,TRANSPOSE(Cls1CentVMTShr)),0)</f>
        <v>0</v>
      </c>
      <c r="AC250" s="949">
        <f t="array" ref="AC250">IF(AND($AD$229=TRUE,SUM(O250:Y250)&gt;0),SUMPRODUCT((((TRANSPOSE(Cls1NCentDailyRng)&lt;INDEX(CDRANGE_CLS1,$A250-$A$233+1,AD$230))*TRANSPOSE(Cls1NCentDailyRng)+(TRANSPOSE(Cls1NCentDailyRng)&gt;INDEX(CDRANGE_CLS1,$A250-$A$233+1,AD$230))*INDEX(CDRANGE_CLS1,$A250-$A$233+1,AD$230))/TRANSPOSE(Cls1NCentDailyRng)),O250:Y250,TRANSPOSE(Cls1NCentVMTShr))/SUMPRODUCT(O250:Y250,TRANSPOSE(Cls1NCentVMTShr)),0)</f>
        <v>0</v>
      </c>
      <c r="AD250" s="1226">
        <f t="shared" si="126"/>
        <v>0</v>
      </c>
      <c r="AE250" s="937">
        <f t="shared" si="132"/>
        <v>0</v>
      </c>
      <c r="AF250" s="937">
        <f t="shared" si="133"/>
        <v>0</v>
      </c>
      <c r="AG250" s="937">
        <f t="shared" si="134"/>
        <v>0</v>
      </c>
      <c r="AH250" s="1172">
        <f t="shared" si="130"/>
        <v>0</v>
      </c>
      <c r="AI250" s="937">
        <f t="shared" si="131"/>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22"/>
        <v>0</v>
      </c>
      <c r="N251" s="312">
        <f t="shared" si="123"/>
        <v>0</v>
      </c>
      <c r="O251" s="346">
        <v>0</v>
      </c>
      <c r="P251" s="347">
        <v>0</v>
      </c>
      <c r="Q251" s="347">
        <v>0</v>
      </c>
      <c r="R251" s="347">
        <v>0</v>
      </c>
      <c r="S251" s="347">
        <v>0</v>
      </c>
      <c r="T251" s="347">
        <v>0</v>
      </c>
      <c r="U251" s="347">
        <v>0</v>
      </c>
      <c r="V251" s="347">
        <v>0</v>
      </c>
      <c r="W251" s="347">
        <v>0</v>
      </c>
      <c r="X251" s="347">
        <v>0</v>
      </c>
      <c r="Y251" s="381">
        <v>0</v>
      </c>
      <c r="Z251" s="310">
        <f t="shared" si="124"/>
        <v>0</v>
      </c>
      <c r="AA251" s="312">
        <f t="shared" si="125"/>
        <v>0</v>
      </c>
      <c r="AB251" s="948">
        <f t="array" ref="AB251">IF(AND($AD$229=TRUE,SUM(B251:L251)&gt;0),SUMPRODUCT((((TRANSPOSE(Cls1CentDailyRng)&lt;INDEX(CDRANGE_CLS1,$A251-$A$233+1,AD$230))*TRANSPOSE(Cls1CentDailyRng)+(TRANSPOSE(Cls1CentDailyRng)&gt;INDEX(CDRANGE_CLS1,$A251-$A$233+1,AD$230))*INDEX(CDRANGE_CLS1,$A251-$A$233+1,AD$230))/TRANSPOSE(Cls1CentDailyRng)),B251:L251,TRANSPOSE(Cls1CentVMTShr))/SUMPRODUCT(B251:L251,TRANSPOSE(Cls1CentVMTShr)),0)</f>
        <v>0</v>
      </c>
      <c r="AC251" s="949">
        <f t="array" ref="AC251">IF(AND($AD$229=TRUE,SUM(O251:Y251)&gt;0),SUMPRODUCT((((TRANSPOSE(Cls1NCentDailyRng)&lt;INDEX(CDRANGE_CLS1,$A251-$A$233+1,AD$230))*TRANSPOSE(Cls1NCentDailyRng)+(TRANSPOSE(Cls1NCentDailyRng)&gt;INDEX(CDRANGE_CLS1,$A251-$A$233+1,AD$230))*INDEX(CDRANGE_CLS1,$A251-$A$233+1,AD$230))/TRANSPOSE(Cls1NCentDailyRng)),O251:Y251,TRANSPOSE(Cls1NCentVMTShr))/SUMPRODUCT(O251:Y251,TRANSPOSE(Cls1NCentVMTShr)),0)</f>
        <v>0</v>
      </c>
      <c r="AD251" s="1226">
        <f t="shared" si="126"/>
        <v>0</v>
      </c>
      <c r="AE251" s="937">
        <f t="shared" si="132"/>
        <v>0</v>
      </c>
      <c r="AF251" s="937">
        <f t="shared" si="133"/>
        <v>0</v>
      </c>
      <c r="AG251" s="937">
        <f t="shared" si="134"/>
        <v>0</v>
      </c>
      <c r="AH251" s="1172">
        <f t="shared" si="130"/>
        <v>0</v>
      </c>
      <c r="AI251" s="937">
        <f t="shared" si="131"/>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22"/>
        <v>0</v>
      </c>
      <c r="N252" s="284">
        <f t="shared" si="123"/>
        <v>0</v>
      </c>
      <c r="O252" s="342">
        <v>0</v>
      </c>
      <c r="P252" s="343">
        <v>0</v>
      </c>
      <c r="Q252" s="343">
        <v>0</v>
      </c>
      <c r="R252" s="343">
        <v>0</v>
      </c>
      <c r="S252" s="343">
        <v>0</v>
      </c>
      <c r="T252" s="343">
        <v>0</v>
      </c>
      <c r="U252" s="343">
        <v>0</v>
      </c>
      <c r="V252" s="343">
        <v>0</v>
      </c>
      <c r="W252" s="343">
        <v>0</v>
      </c>
      <c r="X252" s="343">
        <v>0</v>
      </c>
      <c r="Y252" s="379">
        <v>0</v>
      </c>
      <c r="Z252" s="282">
        <f t="shared" si="124"/>
        <v>0</v>
      </c>
      <c r="AA252" s="284">
        <f t="shared" si="125"/>
        <v>0</v>
      </c>
      <c r="AB252" s="948">
        <f t="array" ref="AB252">IF(AND($AD$229=TRUE,SUM(B252:L252)&gt;0),SUMPRODUCT((((TRANSPOSE(Cls1CentDailyRng)&lt;INDEX(CDRANGE_CLS1,$A252-$A$233+1,AD$230))*TRANSPOSE(Cls1CentDailyRng)+(TRANSPOSE(Cls1CentDailyRng)&gt;INDEX(CDRANGE_CLS1,$A252-$A$233+1,AD$230))*INDEX(CDRANGE_CLS1,$A252-$A$233+1,AD$230))/TRANSPOSE(Cls1CentDailyRng)),B252:L252,TRANSPOSE(Cls1CentVMTShr))/SUMPRODUCT(B252:L252,TRANSPOSE(Cls1CentVMTShr)),0)</f>
        <v>0</v>
      </c>
      <c r="AC252" s="949">
        <f t="array" ref="AC252">IF(AND($AD$229=TRUE,SUM(O252:Y252)&gt;0),SUMPRODUCT((((TRANSPOSE(Cls1NCentDailyRng)&lt;INDEX(CDRANGE_CLS1,$A252-$A$233+1,AD$230))*TRANSPOSE(Cls1NCentDailyRng)+(TRANSPOSE(Cls1NCentDailyRng)&gt;INDEX(CDRANGE_CLS1,$A252-$A$233+1,AD$230))*INDEX(CDRANGE_CLS1,$A252-$A$233+1,AD$230))/TRANSPOSE(Cls1NCentDailyRng)),O252:Y252,TRANSPOSE(Cls1NCentVMTShr))/SUMPRODUCT(O252:Y252,TRANSPOSE(Cls1NCentVMTShr)),0)</f>
        <v>0</v>
      </c>
      <c r="AD252" s="1226">
        <f t="shared" si="126"/>
        <v>0</v>
      </c>
      <c r="AE252" s="937">
        <f t="shared" si="132"/>
        <v>0</v>
      </c>
      <c r="AF252" s="937">
        <f t="shared" si="133"/>
        <v>0</v>
      </c>
      <c r="AG252" s="937">
        <f t="shared" si="134"/>
        <v>0</v>
      </c>
      <c r="AH252" s="1172">
        <f t="shared" si="130"/>
        <v>0</v>
      </c>
      <c r="AI252" s="937">
        <f t="shared" si="131"/>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22"/>
        <v>0</v>
      </c>
      <c r="N253" s="298">
        <f t="shared" si="123"/>
        <v>0</v>
      </c>
      <c r="O253" s="344">
        <v>0</v>
      </c>
      <c r="P253" s="345">
        <v>0</v>
      </c>
      <c r="Q253" s="345">
        <v>0</v>
      </c>
      <c r="R253" s="345">
        <v>0</v>
      </c>
      <c r="S253" s="345">
        <v>0</v>
      </c>
      <c r="T253" s="345">
        <v>0</v>
      </c>
      <c r="U253" s="345">
        <v>0</v>
      </c>
      <c r="V253" s="345">
        <v>0</v>
      </c>
      <c r="W253" s="345">
        <v>0</v>
      </c>
      <c r="X253" s="345">
        <v>0</v>
      </c>
      <c r="Y253" s="380">
        <v>0</v>
      </c>
      <c r="Z253" s="296">
        <f t="shared" si="124"/>
        <v>0</v>
      </c>
      <c r="AA253" s="298">
        <f t="shared" si="125"/>
        <v>0</v>
      </c>
      <c r="AB253" s="948">
        <f t="array" ref="AB253">IF(AND($AD$229=TRUE,SUM(B253:L253)&gt;0),SUMPRODUCT((((TRANSPOSE(Cls1CentDailyRng)&lt;INDEX(CDRANGE_CLS1,$A253-$A$233+1,AD$230))*TRANSPOSE(Cls1CentDailyRng)+(TRANSPOSE(Cls1CentDailyRng)&gt;INDEX(CDRANGE_CLS1,$A253-$A$233+1,AD$230))*INDEX(CDRANGE_CLS1,$A253-$A$233+1,AD$230))/TRANSPOSE(Cls1CentDailyRng)),B253:L253,TRANSPOSE(Cls1CentVMTShr))/SUMPRODUCT(B253:L253,TRANSPOSE(Cls1CentVMTShr)),0)</f>
        <v>0</v>
      </c>
      <c r="AC253" s="949">
        <f t="array" ref="AC253">IF(AND($AD$229=TRUE,SUM(O253:Y253)&gt;0),SUMPRODUCT((((TRANSPOSE(Cls1NCentDailyRng)&lt;INDEX(CDRANGE_CLS1,$A253-$A$233+1,AD$230))*TRANSPOSE(Cls1NCentDailyRng)+(TRANSPOSE(Cls1NCentDailyRng)&gt;INDEX(CDRANGE_CLS1,$A253-$A$233+1,AD$230))*INDEX(CDRANGE_CLS1,$A253-$A$233+1,AD$230))/TRANSPOSE(Cls1NCentDailyRng)),O253:Y253,TRANSPOSE(Cls1NCentVMTShr))/SUMPRODUCT(O253:Y253,TRANSPOSE(Cls1NCentVMTShr)),0)</f>
        <v>0</v>
      </c>
      <c r="AD253" s="1226">
        <f t="shared" si="126"/>
        <v>0</v>
      </c>
      <c r="AE253" s="937">
        <f t="shared" si="132"/>
        <v>0</v>
      </c>
      <c r="AF253" s="937">
        <f t="shared" si="133"/>
        <v>0</v>
      </c>
      <c r="AG253" s="937">
        <f t="shared" si="134"/>
        <v>0</v>
      </c>
      <c r="AH253" s="1172">
        <f t="shared" si="130"/>
        <v>0</v>
      </c>
      <c r="AI253" s="937">
        <f t="shared" si="131"/>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22"/>
        <v>0</v>
      </c>
      <c r="N254" s="298">
        <f t="shared" si="123"/>
        <v>0</v>
      </c>
      <c r="O254" s="344">
        <v>0</v>
      </c>
      <c r="P254" s="345">
        <v>0</v>
      </c>
      <c r="Q254" s="345">
        <v>0</v>
      </c>
      <c r="R254" s="345">
        <v>0</v>
      </c>
      <c r="S254" s="345">
        <v>0</v>
      </c>
      <c r="T254" s="345">
        <v>0</v>
      </c>
      <c r="U254" s="345">
        <v>0</v>
      </c>
      <c r="V254" s="345">
        <v>0</v>
      </c>
      <c r="W254" s="345">
        <v>0</v>
      </c>
      <c r="X254" s="345">
        <v>0</v>
      </c>
      <c r="Y254" s="380">
        <v>0</v>
      </c>
      <c r="Z254" s="296">
        <f t="shared" si="124"/>
        <v>0</v>
      </c>
      <c r="AA254" s="298">
        <f t="shared" si="125"/>
        <v>0</v>
      </c>
      <c r="AB254" s="948">
        <f t="array" ref="AB254">IF(AND($AD$229=TRUE,SUM(B254:L254)&gt;0),SUMPRODUCT((((TRANSPOSE(Cls1CentDailyRng)&lt;INDEX(CDRANGE_CLS1,$A254-$A$233+1,AD$230))*TRANSPOSE(Cls1CentDailyRng)+(TRANSPOSE(Cls1CentDailyRng)&gt;INDEX(CDRANGE_CLS1,$A254-$A$233+1,AD$230))*INDEX(CDRANGE_CLS1,$A254-$A$233+1,AD$230))/TRANSPOSE(Cls1CentDailyRng)),B254:L254,TRANSPOSE(Cls1CentVMTShr))/SUMPRODUCT(B254:L254,TRANSPOSE(Cls1CentVMTShr)),0)</f>
        <v>0</v>
      </c>
      <c r="AC254" s="949">
        <f t="array" ref="AC254">IF(AND($AD$229=TRUE,SUM(O254:Y254)&gt;0),SUMPRODUCT((((TRANSPOSE(Cls1NCentDailyRng)&lt;INDEX(CDRANGE_CLS1,$A254-$A$233+1,AD$230))*TRANSPOSE(Cls1NCentDailyRng)+(TRANSPOSE(Cls1NCentDailyRng)&gt;INDEX(CDRANGE_CLS1,$A254-$A$233+1,AD$230))*INDEX(CDRANGE_CLS1,$A254-$A$233+1,AD$230))/TRANSPOSE(Cls1NCentDailyRng)),O254:Y254,TRANSPOSE(Cls1NCentVMTShr))/SUMPRODUCT(O254:Y254,TRANSPOSE(Cls1NCentVMTShr)),0)</f>
        <v>0</v>
      </c>
      <c r="AD254" s="1226">
        <f t="shared" si="126"/>
        <v>0</v>
      </c>
      <c r="AE254" s="937">
        <f t="shared" si="132"/>
        <v>0</v>
      </c>
      <c r="AF254" s="937">
        <f t="shared" si="133"/>
        <v>0</v>
      </c>
      <c r="AG254" s="937">
        <f t="shared" si="134"/>
        <v>0</v>
      </c>
      <c r="AH254" s="1172">
        <f t="shared" si="130"/>
        <v>0</v>
      </c>
      <c r="AI254" s="937">
        <f t="shared" si="131"/>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22"/>
        <v>0</v>
      </c>
      <c r="N255" s="298">
        <f t="shared" si="123"/>
        <v>0</v>
      </c>
      <c r="O255" s="344">
        <v>0</v>
      </c>
      <c r="P255" s="345">
        <v>0</v>
      </c>
      <c r="Q255" s="345">
        <v>0</v>
      </c>
      <c r="R255" s="345">
        <v>0</v>
      </c>
      <c r="S255" s="345">
        <v>0</v>
      </c>
      <c r="T255" s="345">
        <v>0</v>
      </c>
      <c r="U255" s="345">
        <v>0</v>
      </c>
      <c r="V255" s="345">
        <v>0</v>
      </c>
      <c r="W255" s="345">
        <v>0</v>
      </c>
      <c r="X255" s="345">
        <v>0</v>
      </c>
      <c r="Y255" s="380">
        <v>0</v>
      </c>
      <c r="Z255" s="296">
        <f t="shared" si="124"/>
        <v>0</v>
      </c>
      <c r="AA255" s="298">
        <f t="shared" si="125"/>
        <v>0</v>
      </c>
      <c r="AB255" s="948">
        <f t="array" ref="AB255">IF(AND($AD$229=TRUE,SUM(B255:L255)&gt;0),SUMPRODUCT((((TRANSPOSE(Cls1CentDailyRng)&lt;INDEX(CDRANGE_CLS1,$A255-$A$233+1,AD$230))*TRANSPOSE(Cls1CentDailyRng)+(TRANSPOSE(Cls1CentDailyRng)&gt;INDEX(CDRANGE_CLS1,$A255-$A$233+1,AD$230))*INDEX(CDRANGE_CLS1,$A255-$A$233+1,AD$230))/TRANSPOSE(Cls1CentDailyRng)),B255:L255,TRANSPOSE(Cls1CentVMTShr))/SUMPRODUCT(B255:L255,TRANSPOSE(Cls1CentVMTShr)),0)</f>
        <v>0</v>
      </c>
      <c r="AC255" s="949">
        <f t="array" ref="AC255">IF(AND($AD$229=TRUE,SUM(O255:Y255)&gt;0),SUMPRODUCT((((TRANSPOSE(Cls1NCentDailyRng)&lt;INDEX(CDRANGE_CLS1,$A255-$A$233+1,AD$230))*TRANSPOSE(Cls1NCentDailyRng)+(TRANSPOSE(Cls1NCentDailyRng)&gt;INDEX(CDRANGE_CLS1,$A255-$A$233+1,AD$230))*INDEX(CDRANGE_CLS1,$A255-$A$233+1,AD$230))/TRANSPOSE(Cls1NCentDailyRng)),O255:Y255,TRANSPOSE(Cls1NCentVMTShr))/SUMPRODUCT(O255:Y255,TRANSPOSE(Cls1NCentVMTShr)),0)</f>
        <v>0</v>
      </c>
      <c r="AD255" s="1226">
        <f t="shared" si="126"/>
        <v>0</v>
      </c>
      <c r="AE255" s="937">
        <f t="shared" si="132"/>
        <v>0</v>
      </c>
      <c r="AF255" s="937">
        <f t="shared" si="133"/>
        <v>0</v>
      </c>
      <c r="AG255" s="937">
        <f t="shared" si="134"/>
        <v>0</v>
      </c>
      <c r="AH255" s="1172">
        <f t="shared" si="130"/>
        <v>0</v>
      </c>
      <c r="AI255" s="937">
        <f t="shared" si="131"/>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22"/>
        <v>0</v>
      </c>
      <c r="N256" s="312">
        <f t="shared" si="123"/>
        <v>0</v>
      </c>
      <c r="O256" s="346">
        <v>0</v>
      </c>
      <c r="P256" s="347">
        <v>0</v>
      </c>
      <c r="Q256" s="347">
        <v>0</v>
      </c>
      <c r="R256" s="347">
        <v>0</v>
      </c>
      <c r="S256" s="347">
        <v>0</v>
      </c>
      <c r="T256" s="347">
        <v>0</v>
      </c>
      <c r="U256" s="347">
        <v>0</v>
      </c>
      <c r="V256" s="347">
        <v>0</v>
      </c>
      <c r="W256" s="347">
        <v>0</v>
      </c>
      <c r="X256" s="347">
        <v>0</v>
      </c>
      <c r="Y256" s="381">
        <v>0</v>
      </c>
      <c r="Z256" s="310">
        <f t="shared" si="124"/>
        <v>0</v>
      </c>
      <c r="AA256" s="312">
        <f t="shared" si="125"/>
        <v>0</v>
      </c>
      <c r="AB256" s="948">
        <f t="array" ref="AB256">IF(AND($AD$229=TRUE,SUM(B256:L256)&gt;0),SUMPRODUCT((((TRANSPOSE(Cls1CentDailyRng)&lt;INDEX(CDRANGE_CLS1,$A256-$A$233+1,AD$230))*TRANSPOSE(Cls1CentDailyRng)+(TRANSPOSE(Cls1CentDailyRng)&gt;INDEX(CDRANGE_CLS1,$A256-$A$233+1,AD$230))*INDEX(CDRANGE_CLS1,$A256-$A$233+1,AD$230))/TRANSPOSE(Cls1CentDailyRng)),B256:L256,TRANSPOSE(Cls1CentVMTShr))/SUMPRODUCT(B256:L256,TRANSPOSE(Cls1CentVMTShr)),0)</f>
        <v>0</v>
      </c>
      <c r="AC256" s="949">
        <f t="array" ref="AC256">IF(AND($AD$229=TRUE,SUM(O256:Y256)&gt;0),SUMPRODUCT((((TRANSPOSE(Cls1NCentDailyRng)&lt;INDEX(CDRANGE_CLS1,$A256-$A$233+1,AD$230))*TRANSPOSE(Cls1NCentDailyRng)+(TRANSPOSE(Cls1NCentDailyRng)&gt;INDEX(CDRANGE_CLS1,$A256-$A$233+1,AD$230))*INDEX(CDRANGE_CLS1,$A256-$A$233+1,AD$230))/TRANSPOSE(Cls1NCentDailyRng)),O256:Y256,TRANSPOSE(Cls1NCentVMTShr))/SUMPRODUCT(O256:Y256,TRANSPOSE(Cls1NCentVMTShr)),0)</f>
        <v>0</v>
      </c>
      <c r="AD256" s="1226">
        <f t="shared" si="126"/>
        <v>0</v>
      </c>
      <c r="AE256" s="937">
        <f t="shared" si="132"/>
        <v>0</v>
      </c>
      <c r="AF256" s="937">
        <f t="shared" si="133"/>
        <v>0</v>
      </c>
      <c r="AG256" s="937">
        <f t="shared" si="134"/>
        <v>0</v>
      </c>
      <c r="AH256" s="1172">
        <f t="shared" si="130"/>
        <v>0</v>
      </c>
      <c r="AI256" s="937">
        <f t="shared" si="131"/>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22"/>
        <v>0</v>
      </c>
      <c r="N257" s="284">
        <f t="shared" si="123"/>
        <v>0</v>
      </c>
      <c r="O257" s="342">
        <v>0</v>
      </c>
      <c r="P257" s="343">
        <v>0</v>
      </c>
      <c r="Q257" s="343">
        <v>0</v>
      </c>
      <c r="R257" s="343">
        <v>0</v>
      </c>
      <c r="S257" s="343">
        <v>0</v>
      </c>
      <c r="T257" s="343">
        <v>0</v>
      </c>
      <c r="U257" s="343">
        <v>0</v>
      </c>
      <c r="V257" s="343">
        <v>0</v>
      </c>
      <c r="W257" s="343">
        <v>0</v>
      </c>
      <c r="X257" s="343">
        <v>0</v>
      </c>
      <c r="Y257" s="379">
        <v>0</v>
      </c>
      <c r="Z257" s="282">
        <f t="shared" si="124"/>
        <v>0</v>
      </c>
      <c r="AA257" s="284">
        <f t="shared" si="125"/>
        <v>0</v>
      </c>
      <c r="AB257" s="948">
        <f t="array" ref="AB257">IF(AND($AD$229=TRUE,SUM(B257:L257)&gt;0),SUMPRODUCT((((TRANSPOSE(Cls1CentDailyRng)&lt;INDEX(CDRANGE_CLS1,$A257-$A$233+1,AD$230))*TRANSPOSE(Cls1CentDailyRng)+(TRANSPOSE(Cls1CentDailyRng)&gt;INDEX(CDRANGE_CLS1,$A257-$A$233+1,AD$230))*INDEX(CDRANGE_CLS1,$A257-$A$233+1,AD$230))/TRANSPOSE(Cls1CentDailyRng)),B257:L257,TRANSPOSE(Cls1CentVMTShr))/SUMPRODUCT(B257:L257,TRANSPOSE(Cls1CentVMTShr)),0)</f>
        <v>0</v>
      </c>
      <c r="AC257" s="949">
        <f t="array" ref="AC257">IF(AND($AD$229=TRUE,SUM(O257:Y257)&gt;0),SUMPRODUCT((((TRANSPOSE(Cls1NCentDailyRng)&lt;INDEX(CDRANGE_CLS1,$A257-$A$233+1,AD$230))*TRANSPOSE(Cls1NCentDailyRng)+(TRANSPOSE(Cls1NCentDailyRng)&gt;INDEX(CDRANGE_CLS1,$A257-$A$233+1,AD$230))*INDEX(CDRANGE_CLS1,$A257-$A$233+1,AD$230))/TRANSPOSE(Cls1NCentDailyRng)),O257:Y257,TRANSPOSE(Cls1NCentVMTShr))/SUMPRODUCT(O257:Y257,TRANSPOSE(Cls1NCentVMTShr)),0)</f>
        <v>0</v>
      </c>
      <c r="AD257" s="1226">
        <f t="shared" si="126"/>
        <v>0</v>
      </c>
      <c r="AE257" s="937">
        <f t="shared" si="132"/>
        <v>0</v>
      </c>
      <c r="AF257" s="937">
        <f t="shared" si="133"/>
        <v>0</v>
      </c>
      <c r="AG257" s="937">
        <f t="shared" si="134"/>
        <v>0</v>
      </c>
      <c r="AH257" s="1172">
        <f t="shared" si="130"/>
        <v>0</v>
      </c>
      <c r="AI257" s="937">
        <f t="shared" si="131"/>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22"/>
        <v>0</v>
      </c>
      <c r="N258" s="298">
        <f t="shared" si="123"/>
        <v>0</v>
      </c>
      <c r="O258" s="344">
        <v>0</v>
      </c>
      <c r="P258" s="345">
        <v>0</v>
      </c>
      <c r="Q258" s="345">
        <v>0</v>
      </c>
      <c r="R258" s="345">
        <v>0</v>
      </c>
      <c r="S258" s="345">
        <v>0</v>
      </c>
      <c r="T258" s="345">
        <v>0</v>
      </c>
      <c r="U258" s="345">
        <v>0</v>
      </c>
      <c r="V258" s="345">
        <v>0</v>
      </c>
      <c r="W258" s="345">
        <v>0</v>
      </c>
      <c r="X258" s="345">
        <v>0</v>
      </c>
      <c r="Y258" s="380">
        <v>0</v>
      </c>
      <c r="Z258" s="296">
        <f t="shared" si="124"/>
        <v>0</v>
      </c>
      <c r="AA258" s="298">
        <f t="shared" si="125"/>
        <v>0</v>
      </c>
      <c r="AB258" s="948">
        <f t="array" ref="AB258">IF(AND($AD$229=TRUE,SUM(B258:L258)&gt;0),SUMPRODUCT((((TRANSPOSE(Cls1CentDailyRng)&lt;INDEX(CDRANGE_CLS1,$A258-$A$233+1,AD$230))*TRANSPOSE(Cls1CentDailyRng)+(TRANSPOSE(Cls1CentDailyRng)&gt;INDEX(CDRANGE_CLS1,$A258-$A$233+1,AD$230))*INDEX(CDRANGE_CLS1,$A258-$A$233+1,AD$230))/TRANSPOSE(Cls1CentDailyRng)),B258:L258,TRANSPOSE(Cls1CentVMTShr))/SUMPRODUCT(B258:L258,TRANSPOSE(Cls1CentVMTShr)),0)</f>
        <v>0</v>
      </c>
      <c r="AC258" s="949">
        <f t="array" ref="AC258">IF(AND($AD$229=TRUE,SUM(O258:Y258)&gt;0),SUMPRODUCT((((TRANSPOSE(Cls1NCentDailyRng)&lt;INDEX(CDRANGE_CLS1,$A258-$A$233+1,AD$230))*TRANSPOSE(Cls1NCentDailyRng)+(TRANSPOSE(Cls1NCentDailyRng)&gt;INDEX(CDRANGE_CLS1,$A258-$A$233+1,AD$230))*INDEX(CDRANGE_CLS1,$A258-$A$233+1,AD$230))/TRANSPOSE(Cls1NCentDailyRng)),O258:Y258,TRANSPOSE(Cls1NCentVMTShr))/SUMPRODUCT(O258:Y258,TRANSPOSE(Cls1NCentVMTShr)),0)</f>
        <v>0</v>
      </c>
      <c r="AD258" s="1226">
        <f t="shared" si="126"/>
        <v>0</v>
      </c>
      <c r="AE258" s="937">
        <f t="shared" si="132"/>
        <v>0</v>
      </c>
      <c r="AF258" s="937">
        <f t="shared" si="133"/>
        <v>0</v>
      </c>
      <c r="AG258" s="937">
        <f t="shared" si="134"/>
        <v>0</v>
      </c>
      <c r="AH258" s="1172">
        <f t="shared" si="130"/>
        <v>0</v>
      </c>
      <c r="AI258" s="937">
        <f t="shared" si="131"/>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22"/>
        <v>0</v>
      </c>
      <c r="N259" s="298">
        <f t="shared" si="123"/>
        <v>0</v>
      </c>
      <c r="O259" s="344">
        <v>0</v>
      </c>
      <c r="P259" s="345">
        <v>0</v>
      </c>
      <c r="Q259" s="345">
        <v>0</v>
      </c>
      <c r="R259" s="345">
        <v>0</v>
      </c>
      <c r="S259" s="345">
        <v>0</v>
      </c>
      <c r="T259" s="345">
        <v>0</v>
      </c>
      <c r="U259" s="345">
        <v>0</v>
      </c>
      <c r="V259" s="345">
        <v>0</v>
      </c>
      <c r="W259" s="345">
        <v>0</v>
      </c>
      <c r="X259" s="345">
        <v>0</v>
      </c>
      <c r="Y259" s="380">
        <v>0</v>
      </c>
      <c r="Z259" s="296">
        <f t="shared" si="124"/>
        <v>0</v>
      </c>
      <c r="AA259" s="298">
        <f t="shared" si="125"/>
        <v>0</v>
      </c>
      <c r="AB259" s="948">
        <f t="array" ref="AB259">IF(AND($AD$229=TRUE,SUM(B259:L259)&gt;0),SUMPRODUCT((((TRANSPOSE(Cls1CentDailyRng)&lt;INDEX(CDRANGE_CLS1,$A259-$A$233+1,AD$230))*TRANSPOSE(Cls1CentDailyRng)+(TRANSPOSE(Cls1CentDailyRng)&gt;INDEX(CDRANGE_CLS1,$A259-$A$233+1,AD$230))*INDEX(CDRANGE_CLS1,$A259-$A$233+1,AD$230))/TRANSPOSE(Cls1CentDailyRng)),B259:L259,TRANSPOSE(Cls1CentVMTShr))/SUMPRODUCT(B259:L259,TRANSPOSE(Cls1CentVMTShr)),0)</f>
        <v>0</v>
      </c>
      <c r="AC259" s="949">
        <f t="array" ref="AC259">IF(AND($AD$229=TRUE,SUM(O259:Y259)&gt;0),SUMPRODUCT((((TRANSPOSE(Cls1NCentDailyRng)&lt;INDEX(CDRANGE_CLS1,$A259-$A$233+1,AD$230))*TRANSPOSE(Cls1NCentDailyRng)+(TRANSPOSE(Cls1NCentDailyRng)&gt;INDEX(CDRANGE_CLS1,$A259-$A$233+1,AD$230))*INDEX(CDRANGE_CLS1,$A259-$A$233+1,AD$230))/TRANSPOSE(Cls1NCentDailyRng)),O259:Y259,TRANSPOSE(Cls1NCentVMTShr))/SUMPRODUCT(O259:Y259,TRANSPOSE(Cls1NCentVMTShr)),0)</f>
        <v>0</v>
      </c>
      <c r="AD259" s="1226">
        <f>AB259*AH259+AC259*AI259</f>
        <v>0</v>
      </c>
      <c r="AE259" s="937">
        <f t="shared" si="132"/>
        <v>0</v>
      </c>
      <c r="AF259" s="937">
        <f t="shared" si="133"/>
        <v>0</v>
      </c>
      <c r="AG259" s="937">
        <f t="shared" si="134"/>
        <v>0</v>
      </c>
      <c r="AH259" s="1172">
        <f t="shared" si="130"/>
        <v>0</v>
      </c>
      <c r="AI259" s="937">
        <f t="shared" si="131"/>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22"/>
        <v>0</v>
      </c>
      <c r="N260" s="298">
        <f t="shared" si="123"/>
        <v>0</v>
      </c>
      <c r="O260" s="344">
        <v>0</v>
      </c>
      <c r="P260" s="345">
        <v>0</v>
      </c>
      <c r="Q260" s="345">
        <v>0</v>
      </c>
      <c r="R260" s="345">
        <v>0</v>
      </c>
      <c r="S260" s="345">
        <v>0</v>
      </c>
      <c r="T260" s="345">
        <v>0</v>
      </c>
      <c r="U260" s="345">
        <v>0</v>
      </c>
      <c r="V260" s="345">
        <v>0</v>
      </c>
      <c r="W260" s="345">
        <v>0</v>
      </c>
      <c r="X260" s="345">
        <v>0</v>
      </c>
      <c r="Y260" s="380">
        <v>0</v>
      </c>
      <c r="Z260" s="296">
        <f t="shared" si="124"/>
        <v>0</v>
      </c>
      <c r="AA260" s="298">
        <f t="shared" si="125"/>
        <v>0</v>
      </c>
      <c r="AB260" s="948">
        <f t="array" ref="AB260">IF(AND($AD$229=TRUE,SUM(B260:L260)&gt;0),SUMPRODUCT((((TRANSPOSE(Cls1CentDailyRng)&lt;INDEX(CDRANGE_CLS1,$A260-$A$233+1,AD$230))*TRANSPOSE(Cls1CentDailyRng)+(TRANSPOSE(Cls1CentDailyRng)&gt;INDEX(CDRANGE_CLS1,$A260-$A$233+1,AD$230))*INDEX(CDRANGE_CLS1,$A260-$A$233+1,AD$230))/TRANSPOSE(Cls1CentDailyRng)),B260:L260,TRANSPOSE(Cls1CentVMTShr))/SUMPRODUCT(B260:L260,TRANSPOSE(Cls1CentVMTShr)),0)</f>
        <v>0</v>
      </c>
      <c r="AC260" s="949">
        <f t="array" ref="AC260">IF(AND($AD$229=TRUE,SUM(O260:Y260)&gt;0),SUMPRODUCT((((TRANSPOSE(Cls1NCentDailyRng)&lt;INDEX(CDRANGE_CLS1,$A260-$A$233+1,AD$230))*TRANSPOSE(Cls1NCentDailyRng)+(TRANSPOSE(Cls1NCentDailyRng)&gt;INDEX(CDRANGE_CLS1,$A260-$A$233+1,AD$230))*INDEX(CDRANGE_CLS1,$A260-$A$233+1,AD$230))/TRANSPOSE(Cls1NCentDailyRng)),O260:Y260,TRANSPOSE(Cls1NCentVMTShr))/SUMPRODUCT(O260:Y260,TRANSPOSE(Cls1NCentVMTShr)),0)</f>
        <v>0</v>
      </c>
      <c r="AD260" s="1226">
        <f t="shared" ref="AD260:AD276" si="135">AB260*AH260+AC260*AI260</f>
        <v>0</v>
      </c>
      <c r="AE260" s="937">
        <f t="shared" si="132"/>
        <v>0</v>
      </c>
      <c r="AF260" s="937">
        <f t="shared" si="133"/>
        <v>0</v>
      </c>
      <c r="AG260" s="937">
        <f t="shared" si="134"/>
        <v>0</v>
      </c>
      <c r="AH260" s="1172">
        <f t="shared" si="130"/>
        <v>0</v>
      </c>
      <c r="AI260" s="937">
        <f t="shared" si="131"/>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22"/>
        <v>0</v>
      </c>
      <c r="N261" s="312">
        <f t="shared" si="123"/>
        <v>0</v>
      </c>
      <c r="O261" s="346">
        <v>0</v>
      </c>
      <c r="P261" s="347">
        <v>0</v>
      </c>
      <c r="Q261" s="347">
        <v>0</v>
      </c>
      <c r="R261" s="347">
        <v>0</v>
      </c>
      <c r="S261" s="347">
        <v>0</v>
      </c>
      <c r="T261" s="347">
        <v>0</v>
      </c>
      <c r="U261" s="347">
        <v>0</v>
      </c>
      <c r="V261" s="347">
        <v>0</v>
      </c>
      <c r="W261" s="347">
        <v>0</v>
      </c>
      <c r="X261" s="347">
        <v>0</v>
      </c>
      <c r="Y261" s="381">
        <v>0</v>
      </c>
      <c r="Z261" s="310">
        <f t="shared" si="124"/>
        <v>0</v>
      </c>
      <c r="AA261" s="312">
        <f t="shared" si="125"/>
        <v>0</v>
      </c>
      <c r="AB261" s="948">
        <f t="array" ref="AB261">IF(AND($AD$229=TRUE,SUM(B261:L261)&gt;0),SUMPRODUCT((((TRANSPOSE(Cls1CentDailyRng)&lt;INDEX(CDRANGE_CLS1,$A261-$A$233+1,AD$230))*TRANSPOSE(Cls1CentDailyRng)+(TRANSPOSE(Cls1CentDailyRng)&gt;INDEX(CDRANGE_CLS1,$A261-$A$233+1,AD$230))*INDEX(CDRANGE_CLS1,$A261-$A$233+1,AD$230))/TRANSPOSE(Cls1CentDailyRng)),B261:L261,TRANSPOSE(Cls1CentVMTShr))/SUMPRODUCT(B261:L261,TRANSPOSE(Cls1CentVMTShr)),0)</f>
        <v>0</v>
      </c>
      <c r="AC261" s="949">
        <f t="array" ref="AC261">IF(AND($AD$229=TRUE,SUM(O261:Y261)&gt;0),SUMPRODUCT((((TRANSPOSE(Cls1NCentDailyRng)&lt;INDEX(CDRANGE_CLS1,$A261-$A$233+1,AD$230))*TRANSPOSE(Cls1NCentDailyRng)+(TRANSPOSE(Cls1NCentDailyRng)&gt;INDEX(CDRANGE_CLS1,$A261-$A$233+1,AD$230))*INDEX(CDRANGE_CLS1,$A261-$A$233+1,AD$230))/TRANSPOSE(Cls1NCentDailyRng)),O261:Y261,TRANSPOSE(Cls1NCentVMTShr))/SUMPRODUCT(O261:Y261,TRANSPOSE(Cls1NCentVMTShr)),0)</f>
        <v>0</v>
      </c>
      <c r="AD261" s="1226">
        <f t="shared" si="135"/>
        <v>0</v>
      </c>
      <c r="AE261" s="937">
        <f t="shared" si="132"/>
        <v>0</v>
      </c>
      <c r="AF261" s="937">
        <f t="shared" si="133"/>
        <v>0</v>
      </c>
      <c r="AG261" s="937">
        <f t="shared" si="134"/>
        <v>0</v>
      </c>
      <c r="AH261" s="1172">
        <f t="shared" si="130"/>
        <v>0</v>
      </c>
      <c r="AI261" s="937">
        <f t="shared" si="131"/>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22"/>
        <v>0</v>
      </c>
      <c r="N262" s="284">
        <f t="shared" si="123"/>
        <v>0</v>
      </c>
      <c r="O262" s="342">
        <v>0</v>
      </c>
      <c r="P262" s="343">
        <v>0</v>
      </c>
      <c r="Q262" s="343">
        <v>0</v>
      </c>
      <c r="R262" s="343">
        <v>0</v>
      </c>
      <c r="S262" s="343">
        <v>0</v>
      </c>
      <c r="T262" s="343">
        <v>0</v>
      </c>
      <c r="U262" s="343">
        <v>0</v>
      </c>
      <c r="V262" s="343">
        <v>0</v>
      </c>
      <c r="W262" s="343">
        <v>0</v>
      </c>
      <c r="X262" s="343">
        <v>0</v>
      </c>
      <c r="Y262" s="379">
        <v>0</v>
      </c>
      <c r="Z262" s="282">
        <f t="shared" si="124"/>
        <v>0</v>
      </c>
      <c r="AA262" s="284">
        <f t="shared" si="125"/>
        <v>0</v>
      </c>
      <c r="AB262" s="948">
        <f t="array" ref="AB262">IF(AND($AD$229=TRUE,SUM(B262:L262)&gt;0),SUMPRODUCT((((TRANSPOSE(Cls1CentDailyRng)&lt;INDEX(CDRANGE_CLS1,$A262-$A$233+1,AD$230))*TRANSPOSE(Cls1CentDailyRng)+(TRANSPOSE(Cls1CentDailyRng)&gt;INDEX(CDRANGE_CLS1,$A262-$A$233+1,AD$230))*INDEX(CDRANGE_CLS1,$A262-$A$233+1,AD$230))/TRANSPOSE(Cls1CentDailyRng)),B262:L262,TRANSPOSE(Cls1CentVMTShr))/SUMPRODUCT(B262:L262,TRANSPOSE(Cls1CentVMTShr)),0)</f>
        <v>0</v>
      </c>
      <c r="AC262" s="949">
        <f t="array" ref="AC262">IF(AND($AD$229=TRUE,SUM(O262:Y262)&gt;0),SUMPRODUCT((((TRANSPOSE(Cls1NCentDailyRng)&lt;INDEX(CDRANGE_CLS1,$A262-$A$233+1,AD$230))*TRANSPOSE(Cls1NCentDailyRng)+(TRANSPOSE(Cls1NCentDailyRng)&gt;INDEX(CDRANGE_CLS1,$A262-$A$233+1,AD$230))*INDEX(CDRANGE_CLS1,$A262-$A$233+1,AD$230))/TRANSPOSE(Cls1NCentDailyRng)),O262:Y262,TRANSPOSE(Cls1NCentVMTShr))/SUMPRODUCT(O262:Y262,TRANSPOSE(Cls1NCentVMTShr)),0)</f>
        <v>0</v>
      </c>
      <c r="AD262" s="1226">
        <f t="shared" si="135"/>
        <v>0</v>
      </c>
      <c r="AE262" s="937">
        <f t="shared" si="132"/>
        <v>0</v>
      </c>
      <c r="AF262" s="937">
        <f t="shared" si="133"/>
        <v>0</v>
      </c>
      <c r="AG262" s="937">
        <f t="shared" si="134"/>
        <v>0</v>
      </c>
      <c r="AH262" s="1172">
        <f t="shared" si="130"/>
        <v>0</v>
      </c>
      <c r="AI262" s="937">
        <f t="shared" si="131"/>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22"/>
        <v>0</v>
      </c>
      <c r="N263" s="298">
        <f t="shared" si="123"/>
        <v>0</v>
      </c>
      <c r="O263" s="344">
        <v>0</v>
      </c>
      <c r="P263" s="345">
        <v>0</v>
      </c>
      <c r="Q263" s="345">
        <v>0</v>
      </c>
      <c r="R263" s="345">
        <v>0</v>
      </c>
      <c r="S263" s="345">
        <v>0</v>
      </c>
      <c r="T263" s="345">
        <v>0</v>
      </c>
      <c r="U263" s="345">
        <v>0</v>
      </c>
      <c r="V263" s="345">
        <v>0</v>
      </c>
      <c r="W263" s="345">
        <v>0</v>
      </c>
      <c r="X263" s="345">
        <v>0</v>
      </c>
      <c r="Y263" s="380">
        <v>0</v>
      </c>
      <c r="Z263" s="296">
        <f t="shared" si="124"/>
        <v>0</v>
      </c>
      <c r="AA263" s="298">
        <f t="shared" si="125"/>
        <v>0</v>
      </c>
      <c r="AB263" s="948">
        <f t="array" ref="AB263">IF(AND($AD$229=TRUE,SUM(B263:L263)&gt;0),SUMPRODUCT((((TRANSPOSE(Cls1CentDailyRng)&lt;INDEX(CDRANGE_CLS1,$A263-$A$233+1,AD$230))*TRANSPOSE(Cls1CentDailyRng)+(TRANSPOSE(Cls1CentDailyRng)&gt;INDEX(CDRANGE_CLS1,$A263-$A$233+1,AD$230))*INDEX(CDRANGE_CLS1,$A263-$A$233+1,AD$230))/TRANSPOSE(Cls1CentDailyRng)),B263:L263,TRANSPOSE(Cls1CentVMTShr))/SUMPRODUCT(B263:L263,TRANSPOSE(Cls1CentVMTShr)),0)</f>
        <v>0</v>
      </c>
      <c r="AC263" s="949">
        <f t="array" ref="AC263">IF(AND($AD$229=TRUE,SUM(O263:Y263)&gt;0),SUMPRODUCT((((TRANSPOSE(Cls1NCentDailyRng)&lt;INDEX(CDRANGE_CLS1,$A263-$A$233+1,AD$230))*TRANSPOSE(Cls1NCentDailyRng)+(TRANSPOSE(Cls1NCentDailyRng)&gt;INDEX(CDRANGE_CLS1,$A263-$A$233+1,AD$230))*INDEX(CDRANGE_CLS1,$A263-$A$233+1,AD$230))/TRANSPOSE(Cls1NCentDailyRng)),O263:Y263,TRANSPOSE(Cls1NCentVMTShr))/SUMPRODUCT(O263:Y263,TRANSPOSE(Cls1NCentVMTShr)),0)</f>
        <v>0</v>
      </c>
      <c r="AD263" s="1226">
        <f t="shared" si="135"/>
        <v>0</v>
      </c>
      <c r="AE263" s="937">
        <f t="shared" si="132"/>
        <v>0</v>
      </c>
      <c r="AF263" s="937">
        <f t="shared" si="133"/>
        <v>0</v>
      </c>
      <c r="AG263" s="937">
        <f t="shared" si="134"/>
        <v>0</v>
      </c>
      <c r="AH263" s="1172">
        <f t="shared" si="130"/>
        <v>0</v>
      </c>
      <c r="AI263" s="937">
        <f t="shared" si="131"/>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22"/>
        <v>0</v>
      </c>
      <c r="N264" s="298">
        <f t="shared" si="123"/>
        <v>0</v>
      </c>
      <c r="O264" s="344">
        <v>0</v>
      </c>
      <c r="P264" s="345">
        <v>0</v>
      </c>
      <c r="Q264" s="345">
        <v>0</v>
      </c>
      <c r="R264" s="345">
        <v>0</v>
      </c>
      <c r="S264" s="345">
        <v>0</v>
      </c>
      <c r="T264" s="345">
        <v>0</v>
      </c>
      <c r="U264" s="345">
        <v>0</v>
      </c>
      <c r="V264" s="345">
        <v>0</v>
      </c>
      <c r="W264" s="345">
        <v>0</v>
      </c>
      <c r="X264" s="345">
        <v>0</v>
      </c>
      <c r="Y264" s="380">
        <v>0</v>
      </c>
      <c r="Z264" s="296">
        <f t="shared" si="124"/>
        <v>0</v>
      </c>
      <c r="AA264" s="298">
        <f t="shared" si="125"/>
        <v>0</v>
      </c>
      <c r="AB264" s="948">
        <f t="array" ref="AB264">IF(AND($AD$229=TRUE,SUM(B264:L264)&gt;0),SUMPRODUCT((((TRANSPOSE(Cls1CentDailyRng)&lt;INDEX(CDRANGE_CLS1,$A264-$A$233+1,AD$230))*TRANSPOSE(Cls1CentDailyRng)+(TRANSPOSE(Cls1CentDailyRng)&gt;INDEX(CDRANGE_CLS1,$A264-$A$233+1,AD$230))*INDEX(CDRANGE_CLS1,$A264-$A$233+1,AD$230))/TRANSPOSE(Cls1CentDailyRng)),B264:L264,TRANSPOSE(Cls1CentVMTShr))/SUMPRODUCT(B264:L264,TRANSPOSE(Cls1CentVMTShr)),0)</f>
        <v>0</v>
      </c>
      <c r="AC264" s="949">
        <f t="array" ref="AC264">IF(AND($AD$229=TRUE,SUM(O264:Y264)&gt;0),SUMPRODUCT((((TRANSPOSE(Cls1NCentDailyRng)&lt;INDEX(CDRANGE_CLS1,$A264-$A$233+1,AD$230))*TRANSPOSE(Cls1NCentDailyRng)+(TRANSPOSE(Cls1NCentDailyRng)&gt;INDEX(CDRANGE_CLS1,$A264-$A$233+1,AD$230))*INDEX(CDRANGE_CLS1,$A264-$A$233+1,AD$230))/TRANSPOSE(Cls1NCentDailyRng)),O264:Y264,TRANSPOSE(Cls1NCentVMTShr))/SUMPRODUCT(O264:Y264,TRANSPOSE(Cls1NCentVMTShr)),0)</f>
        <v>0</v>
      </c>
      <c r="AD264" s="1226">
        <f t="shared" si="135"/>
        <v>0</v>
      </c>
      <c r="AE264" s="937">
        <f t="shared" si="132"/>
        <v>0</v>
      </c>
      <c r="AF264" s="937">
        <f t="shared" si="133"/>
        <v>0</v>
      </c>
      <c r="AG264" s="937">
        <f t="shared" si="134"/>
        <v>0</v>
      </c>
      <c r="AH264" s="1172">
        <f t="shared" si="130"/>
        <v>0</v>
      </c>
      <c r="AI264" s="937">
        <f t="shared" si="131"/>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22"/>
        <v>0</v>
      </c>
      <c r="N265" s="298">
        <f t="shared" si="123"/>
        <v>0</v>
      </c>
      <c r="O265" s="344">
        <v>0</v>
      </c>
      <c r="P265" s="345">
        <v>0</v>
      </c>
      <c r="Q265" s="345">
        <v>0</v>
      </c>
      <c r="R265" s="345">
        <v>0</v>
      </c>
      <c r="S265" s="345">
        <v>0</v>
      </c>
      <c r="T265" s="345">
        <v>0</v>
      </c>
      <c r="U265" s="345">
        <v>0</v>
      </c>
      <c r="V265" s="345">
        <v>0</v>
      </c>
      <c r="W265" s="345">
        <v>0</v>
      </c>
      <c r="X265" s="345">
        <v>0</v>
      </c>
      <c r="Y265" s="380">
        <v>0</v>
      </c>
      <c r="Z265" s="296">
        <f t="shared" si="124"/>
        <v>0</v>
      </c>
      <c r="AA265" s="298">
        <f t="shared" si="125"/>
        <v>0</v>
      </c>
      <c r="AB265" s="948">
        <f t="array" ref="AB265">IF(AND($AD$229=TRUE,SUM(B265:L265)&gt;0),SUMPRODUCT((((TRANSPOSE(Cls1CentDailyRng)&lt;INDEX(CDRANGE_CLS1,$A265-$A$233+1,AD$230))*TRANSPOSE(Cls1CentDailyRng)+(TRANSPOSE(Cls1CentDailyRng)&gt;INDEX(CDRANGE_CLS1,$A265-$A$233+1,AD$230))*INDEX(CDRANGE_CLS1,$A265-$A$233+1,AD$230))/TRANSPOSE(Cls1CentDailyRng)),B265:L265,TRANSPOSE(Cls1CentVMTShr))/SUMPRODUCT(B265:L265,TRANSPOSE(Cls1CentVMTShr)),0)</f>
        <v>0</v>
      </c>
      <c r="AC265" s="949">
        <f t="array" ref="AC265">IF(AND($AD$229=TRUE,SUM(O265:Y265)&gt;0),SUMPRODUCT((((TRANSPOSE(Cls1NCentDailyRng)&lt;INDEX(CDRANGE_CLS1,$A265-$A$233+1,AD$230))*TRANSPOSE(Cls1NCentDailyRng)+(TRANSPOSE(Cls1NCentDailyRng)&gt;INDEX(CDRANGE_CLS1,$A265-$A$233+1,AD$230))*INDEX(CDRANGE_CLS1,$A265-$A$233+1,AD$230))/TRANSPOSE(Cls1NCentDailyRng)),O265:Y265,TRANSPOSE(Cls1NCentVMTShr))/SUMPRODUCT(O265:Y265,TRANSPOSE(Cls1NCentVMTShr)),0)</f>
        <v>0</v>
      </c>
      <c r="AD265" s="1226">
        <f t="shared" si="135"/>
        <v>0</v>
      </c>
      <c r="AE265" s="937">
        <f t="shared" si="132"/>
        <v>0</v>
      </c>
      <c r="AF265" s="937">
        <f t="shared" si="133"/>
        <v>0</v>
      </c>
      <c r="AG265" s="937">
        <f t="shared" si="134"/>
        <v>0</v>
      </c>
      <c r="AH265" s="1172">
        <f t="shared" si="130"/>
        <v>0</v>
      </c>
      <c r="AI265" s="937">
        <f t="shared" si="131"/>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22"/>
        <v>0</v>
      </c>
      <c r="N266" s="312">
        <f t="shared" si="123"/>
        <v>0</v>
      </c>
      <c r="O266" s="346">
        <v>0</v>
      </c>
      <c r="P266" s="347">
        <v>0</v>
      </c>
      <c r="Q266" s="347">
        <v>0</v>
      </c>
      <c r="R266" s="347">
        <v>0</v>
      </c>
      <c r="S266" s="347">
        <v>0</v>
      </c>
      <c r="T266" s="347">
        <v>0</v>
      </c>
      <c r="U266" s="347">
        <v>0</v>
      </c>
      <c r="V266" s="347">
        <v>0</v>
      </c>
      <c r="W266" s="347">
        <v>0</v>
      </c>
      <c r="X266" s="347">
        <v>0</v>
      </c>
      <c r="Y266" s="381">
        <v>0</v>
      </c>
      <c r="Z266" s="310">
        <f t="shared" si="124"/>
        <v>0</v>
      </c>
      <c r="AA266" s="312">
        <f t="shared" si="125"/>
        <v>0</v>
      </c>
      <c r="AB266" s="948">
        <f t="array" ref="AB266">IF(AND($AD$229=TRUE,SUM(B266:L266)&gt;0),SUMPRODUCT((((TRANSPOSE(Cls1CentDailyRng)&lt;INDEX(CDRANGE_CLS1,$A266-$A$233+1,AD$230))*TRANSPOSE(Cls1CentDailyRng)+(TRANSPOSE(Cls1CentDailyRng)&gt;INDEX(CDRANGE_CLS1,$A266-$A$233+1,AD$230))*INDEX(CDRANGE_CLS1,$A266-$A$233+1,AD$230))/TRANSPOSE(Cls1CentDailyRng)),B266:L266,TRANSPOSE(Cls1CentVMTShr))/SUMPRODUCT(B266:L266,TRANSPOSE(Cls1CentVMTShr)),0)</f>
        <v>0</v>
      </c>
      <c r="AC266" s="949">
        <f t="array" ref="AC266">IF(AND($AD$229=TRUE,SUM(O266:Y266)&gt;0),SUMPRODUCT((((TRANSPOSE(Cls1NCentDailyRng)&lt;INDEX(CDRANGE_CLS1,$A266-$A$233+1,AD$230))*TRANSPOSE(Cls1NCentDailyRng)+(TRANSPOSE(Cls1NCentDailyRng)&gt;INDEX(CDRANGE_CLS1,$A266-$A$233+1,AD$230))*INDEX(CDRANGE_CLS1,$A266-$A$233+1,AD$230))/TRANSPOSE(Cls1NCentDailyRng)),O266:Y266,TRANSPOSE(Cls1NCentVMTShr))/SUMPRODUCT(O266:Y266,TRANSPOSE(Cls1NCentVMTShr)),0)</f>
        <v>0</v>
      </c>
      <c r="AD266" s="1226">
        <f t="shared" si="135"/>
        <v>0</v>
      </c>
      <c r="AE266" s="937">
        <f t="shared" si="132"/>
        <v>0</v>
      </c>
      <c r="AF266" s="937">
        <f t="shared" si="133"/>
        <v>0</v>
      </c>
      <c r="AG266" s="937">
        <f t="shared" si="134"/>
        <v>0</v>
      </c>
      <c r="AH266" s="1172">
        <f t="shared" si="130"/>
        <v>0</v>
      </c>
      <c r="AI266" s="937">
        <f t="shared" si="131"/>
        <v>0</v>
      </c>
    </row>
    <row r="267" spans="1:35" x14ac:dyDescent="0.2">
      <c r="A267" s="329">
        <v>2041</v>
      </c>
      <c r="B267" s="342">
        <v>0</v>
      </c>
      <c r="C267" s="343">
        <v>0</v>
      </c>
      <c r="D267" s="343">
        <v>0</v>
      </c>
      <c r="E267" s="343">
        <v>0</v>
      </c>
      <c r="F267" s="343">
        <v>0</v>
      </c>
      <c r="G267" s="343">
        <v>0</v>
      </c>
      <c r="H267" s="343">
        <v>0</v>
      </c>
      <c r="I267" s="343">
        <v>0</v>
      </c>
      <c r="J267" s="343">
        <v>0</v>
      </c>
      <c r="K267" s="343">
        <v>0</v>
      </c>
      <c r="L267" s="379">
        <v>4.5227940352846827E-4</v>
      </c>
      <c r="M267" s="282">
        <f t="shared" si="122"/>
        <v>7.2149604782363785E-6</v>
      </c>
      <c r="N267" s="284">
        <f t="shared" si="123"/>
        <v>3.3994383297693211E-6</v>
      </c>
      <c r="O267" s="342">
        <v>0</v>
      </c>
      <c r="P267" s="343">
        <v>0</v>
      </c>
      <c r="Q267" s="343">
        <v>0</v>
      </c>
      <c r="R267" s="343">
        <v>0</v>
      </c>
      <c r="S267" s="343">
        <v>0</v>
      </c>
      <c r="T267" s="343">
        <v>0</v>
      </c>
      <c r="U267" s="343">
        <v>0</v>
      </c>
      <c r="V267" s="343">
        <v>0</v>
      </c>
      <c r="W267" s="343">
        <v>3.9700250442946466E-7</v>
      </c>
      <c r="X267" s="343">
        <v>3.3243535160525447E-6</v>
      </c>
      <c r="Y267" s="379">
        <v>2.3234975570385256E-5</v>
      </c>
      <c r="Z267" s="282">
        <f t="shared" si="124"/>
        <v>1.3073728439020632E-6</v>
      </c>
      <c r="AA267" s="284">
        <f t="shared" si="125"/>
        <v>6.7986990671202398E-7</v>
      </c>
      <c r="AB267" s="948">
        <f t="array" ref="AB267">IF(AND($AD$229=TRUE,SUM(B267:L267)&gt;0),SUMPRODUCT((((TRANSPOSE(Cls1CentDailyRng)&lt;INDEX(CDRANGE_CLS1,$A267-$A$233+1,AD$230))*TRANSPOSE(Cls1CentDailyRng)+(TRANSPOSE(Cls1CentDailyRng)&gt;INDEX(CDRANGE_CLS1,$A267-$A$233+1,AD$230))*INDEX(CDRANGE_CLS1,$A267-$A$233+1,AD$230))/TRANSPOSE(Cls1CentDailyRng)),B267:L267,TRANSPOSE(Cls1CentVMTShr))/SUMPRODUCT(B267:L267,TRANSPOSE(Cls1CentVMTShr)),0)</f>
        <v>0</v>
      </c>
      <c r="AC267" s="949">
        <f t="array" ref="AC267">IF(AND($AD$229=TRUE,SUM(O267:Y267)&gt;0),SUMPRODUCT((((TRANSPOSE(Cls1NCentDailyRng)&lt;INDEX(CDRANGE_CLS1,$A267-$A$233+1,AD$230))*TRANSPOSE(Cls1NCentDailyRng)+(TRANSPOSE(Cls1NCentDailyRng)&gt;INDEX(CDRANGE_CLS1,$A267-$A$233+1,AD$230))*INDEX(CDRANGE_CLS1,$A267-$A$233+1,AD$230))/TRANSPOSE(Cls1NCentDailyRng)),O267:Y267,TRANSPOSE(Cls1NCentVMTShr))/SUMPRODUCT(O267:Y267,TRANSPOSE(Cls1NCentVMTShr)),0)</f>
        <v>0</v>
      </c>
      <c r="AD267" s="1226">
        <f t="shared" si="135"/>
        <v>0</v>
      </c>
      <c r="AE267" s="937">
        <f t="shared" si="132"/>
        <v>7.2149604782363785E-6</v>
      </c>
      <c r="AF267" s="937">
        <f t="shared" si="133"/>
        <v>1.3073728439020632E-6</v>
      </c>
      <c r="AG267" s="937">
        <f t="shared" si="134"/>
        <v>8.5223333221384425E-6</v>
      </c>
      <c r="AH267" s="1172">
        <f t="shared" si="130"/>
        <v>0.84659449537066278</v>
      </c>
      <c r="AI267" s="937">
        <f t="shared" si="131"/>
        <v>0.15340550462933716</v>
      </c>
    </row>
    <row r="268" spans="1:35" x14ac:dyDescent="0.2">
      <c r="A268" s="330">
        <v>2042</v>
      </c>
      <c r="B268" s="344">
        <v>0</v>
      </c>
      <c r="C268" s="345">
        <v>0</v>
      </c>
      <c r="D268" s="345">
        <v>0</v>
      </c>
      <c r="E268" s="345">
        <v>0</v>
      </c>
      <c r="F268" s="345">
        <v>0</v>
      </c>
      <c r="G268" s="345">
        <v>0</v>
      </c>
      <c r="H268" s="345">
        <v>0</v>
      </c>
      <c r="I268" s="345">
        <v>1.6611597388125322E-4</v>
      </c>
      <c r="J268" s="345">
        <v>1.5275270381029239E-3</v>
      </c>
      <c r="K268" s="345">
        <v>4.956895636416477E-3</v>
      </c>
      <c r="L268" s="380">
        <v>3.1232840633845436E-2</v>
      </c>
      <c r="M268" s="296">
        <f t="shared" si="122"/>
        <v>5.5152861793502468E-4</v>
      </c>
      <c r="N268" s="298">
        <f t="shared" si="123"/>
        <v>2.6881238656705647E-4</v>
      </c>
      <c r="O268" s="344">
        <v>0</v>
      </c>
      <c r="P268" s="345">
        <v>0</v>
      </c>
      <c r="Q268" s="345">
        <v>0</v>
      </c>
      <c r="R268" s="345">
        <v>0</v>
      </c>
      <c r="S268" s="345">
        <v>0</v>
      </c>
      <c r="T268" s="345">
        <v>0</v>
      </c>
      <c r="U268" s="345">
        <v>3.3019834074863498E-6</v>
      </c>
      <c r="V268" s="345">
        <v>2.1946093637713153E-5</v>
      </c>
      <c r="W268" s="345">
        <v>7.463081289136942E-5</v>
      </c>
      <c r="X268" s="345">
        <v>1.5445238829051245E-4</v>
      </c>
      <c r="Y268" s="380">
        <v>3.9391832253215408E-4</v>
      </c>
      <c r="Z268" s="296">
        <f t="shared" si="124"/>
        <v>3.048586630089132E-5</v>
      </c>
      <c r="AA268" s="298">
        <f t="shared" si="125"/>
        <v>1.7273870109277905E-5</v>
      </c>
      <c r="AB268" s="948">
        <f t="array" ref="AB268">IF(AND($AD$229=TRUE,SUM(B268:L268)&gt;0),SUMPRODUCT((((TRANSPOSE(Cls1CentDailyRng)&lt;INDEX(CDRANGE_CLS1,$A268-$A$233+1,AD$230))*TRANSPOSE(Cls1CentDailyRng)+(TRANSPOSE(Cls1CentDailyRng)&gt;INDEX(CDRANGE_CLS1,$A268-$A$233+1,AD$230))*INDEX(CDRANGE_CLS1,$A268-$A$233+1,AD$230))/TRANSPOSE(Cls1CentDailyRng)),B268:L268,TRANSPOSE(Cls1CentVMTShr))/SUMPRODUCT(B268:L268,TRANSPOSE(Cls1CentVMTShr)),0)</f>
        <v>0</v>
      </c>
      <c r="AC268" s="949">
        <f t="array" ref="AC268">IF(AND($AD$229=TRUE,SUM(O268:Y268)&gt;0),SUMPRODUCT((((TRANSPOSE(Cls1NCentDailyRng)&lt;INDEX(CDRANGE_CLS1,$A268-$A$233+1,AD$230))*TRANSPOSE(Cls1NCentDailyRng)+(TRANSPOSE(Cls1NCentDailyRng)&gt;INDEX(CDRANGE_CLS1,$A268-$A$233+1,AD$230))*INDEX(CDRANGE_CLS1,$A268-$A$233+1,AD$230))/TRANSPOSE(Cls1NCentDailyRng)),O268:Y268,TRANSPOSE(Cls1NCentVMTShr))/SUMPRODUCT(O268:Y268,TRANSPOSE(Cls1NCentVMTShr)),0)</f>
        <v>0</v>
      </c>
      <c r="AD268" s="1226">
        <f t="shared" si="135"/>
        <v>0</v>
      </c>
      <c r="AE268" s="937">
        <f t="shared" si="132"/>
        <v>5.5152861793502468E-4</v>
      </c>
      <c r="AF268" s="937">
        <f t="shared" si="133"/>
        <v>3.048586630089132E-5</v>
      </c>
      <c r="AG268" s="937">
        <f t="shared" si="134"/>
        <v>5.8201448423591596E-4</v>
      </c>
      <c r="AH268" s="1172">
        <f t="shared" si="130"/>
        <v>0.94762009000357794</v>
      </c>
      <c r="AI268" s="937">
        <f t="shared" si="131"/>
        <v>5.2379909996422121E-2</v>
      </c>
    </row>
    <row r="269" spans="1:35" x14ac:dyDescent="0.2">
      <c r="A269" s="330">
        <v>2043</v>
      </c>
      <c r="B269" s="344">
        <v>0</v>
      </c>
      <c r="C269" s="345">
        <v>0</v>
      </c>
      <c r="D269" s="345">
        <v>0</v>
      </c>
      <c r="E269" s="345">
        <v>0</v>
      </c>
      <c r="F269" s="345">
        <v>0</v>
      </c>
      <c r="G269" s="345">
        <v>1.2303737945254336E-4</v>
      </c>
      <c r="H269" s="345">
        <v>9.9095076137739515E-4</v>
      </c>
      <c r="I269" s="345">
        <v>6.8150709755260899E-3</v>
      </c>
      <c r="J269" s="345">
        <v>1.8939778394793647E-2</v>
      </c>
      <c r="K269" s="345">
        <v>3.5955158757888316E-2</v>
      </c>
      <c r="L269" s="380">
        <v>8.6775628374696434E-2</v>
      </c>
      <c r="M269" s="296">
        <f t="shared" si="122"/>
        <v>2.1247146901438711E-3</v>
      </c>
      <c r="N269" s="298">
        <f t="shared" si="123"/>
        <v>1.1729493542818863E-3</v>
      </c>
      <c r="O269" s="344">
        <v>0</v>
      </c>
      <c r="P269" s="345">
        <v>0</v>
      </c>
      <c r="Q269" s="345">
        <v>0</v>
      </c>
      <c r="R269" s="345">
        <v>0</v>
      </c>
      <c r="S269" s="345">
        <v>9.7690589830036691E-7</v>
      </c>
      <c r="T269" s="345">
        <v>2.2134790455541318E-5</v>
      </c>
      <c r="U269" s="345">
        <v>9.2050635167167466E-5</v>
      </c>
      <c r="V269" s="345">
        <v>2.8118001802914557E-4</v>
      </c>
      <c r="W269" s="345">
        <v>5.2821706341375904E-4</v>
      </c>
      <c r="X269" s="345">
        <v>8.4871826018539963E-4</v>
      </c>
      <c r="Y269" s="380">
        <v>1.3807542296988692E-3</v>
      </c>
      <c r="Z269" s="296">
        <f t="shared" si="124"/>
        <v>1.682699816345013E-4</v>
      </c>
      <c r="AA269" s="298">
        <f t="shared" si="125"/>
        <v>1.0871863979667132E-4</v>
      </c>
      <c r="AB269" s="948">
        <f t="array" ref="AB269">IF(AND($AD$229=TRUE,SUM(B269:L269)&gt;0),SUMPRODUCT((((TRANSPOSE(Cls1CentDailyRng)&lt;INDEX(CDRANGE_CLS1,$A269-$A$233+1,AD$230))*TRANSPOSE(Cls1CentDailyRng)+(TRANSPOSE(Cls1CentDailyRng)&gt;INDEX(CDRANGE_CLS1,$A269-$A$233+1,AD$230))*INDEX(CDRANGE_CLS1,$A269-$A$233+1,AD$230))/TRANSPOSE(Cls1CentDailyRng)),B269:L269,TRANSPOSE(Cls1CentVMTShr))/SUMPRODUCT(B269:L269,TRANSPOSE(Cls1CentVMTShr)),0)</f>
        <v>0</v>
      </c>
      <c r="AC269" s="949">
        <f t="array" ref="AC269">IF(AND($AD$229=TRUE,SUM(O269:Y269)&gt;0),SUMPRODUCT((((TRANSPOSE(Cls1NCentDailyRng)&lt;INDEX(CDRANGE_CLS1,$A269-$A$233+1,AD$230))*TRANSPOSE(Cls1NCentDailyRng)+(TRANSPOSE(Cls1NCentDailyRng)&gt;INDEX(CDRANGE_CLS1,$A269-$A$233+1,AD$230))*INDEX(CDRANGE_CLS1,$A269-$A$233+1,AD$230))/TRANSPOSE(Cls1NCentDailyRng)),O269:Y269,TRANSPOSE(Cls1NCentVMTShr))/SUMPRODUCT(O269:Y269,TRANSPOSE(Cls1NCentVMTShr)),0)</f>
        <v>0</v>
      </c>
      <c r="AD269" s="1226">
        <f t="shared" si="135"/>
        <v>0</v>
      </c>
      <c r="AE269" s="937">
        <f t="shared" si="132"/>
        <v>2.1247146901438711E-3</v>
      </c>
      <c r="AF269" s="937">
        <f t="shared" si="133"/>
        <v>1.682699816345013E-4</v>
      </c>
      <c r="AG269" s="937">
        <f t="shared" si="134"/>
        <v>2.2929846717783722E-3</v>
      </c>
      <c r="AH269" s="1172">
        <f t="shared" si="130"/>
        <v>0.92661530462652597</v>
      </c>
      <c r="AI269" s="937">
        <f t="shared" si="131"/>
        <v>7.3384695373474085E-2</v>
      </c>
    </row>
    <row r="270" spans="1:35" x14ac:dyDescent="0.2">
      <c r="A270" s="330">
        <v>2044</v>
      </c>
      <c r="B270" s="344">
        <v>0</v>
      </c>
      <c r="C270" s="345">
        <v>0</v>
      </c>
      <c r="D270" s="345">
        <v>0</v>
      </c>
      <c r="E270" s="345">
        <v>0</v>
      </c>
      <c r="F270" s="345">
        <v>1.9263307440302939E-4</v>
      </c>
      <c r="G270" s="345">
        <v>3.6714969278557647E-3</v>
      </c>
      <c r="H270" s="345">
        <v>1.2206382249513889E-2</v>
      </c>
      <c r="I270" s="345">
        <v>3.4149454153020106E-2</v>
      </c>
      <c r="J270" s="345">
        <v>5.9820426440833276E-2</v>
      </c>
      <c r="K270" s="345">
        <v>8.9717565305620126E-2</v>
      </c>
      <c r="L270" s="380">
        <v>0.14027294952913336</v>
      </c>
      <c r="M270" s="296">
        <f t="shared" si="122"/>
        <v>5.6329512591990691E-3</v>
      </c>
      <c r="N270" s="298">
        <f t="shared" si="123"/>
        <v>3.654653220703017E-3</v>
      </c>
      <c r="O270" s="344">
        <v>0</v>
      </c>
      <c r="P270" s="345">
        <v>0</v>
      </c>
      <c r="Q270" s="345">
        <v>0</v>
      </c>
      <c r="R270" s="345">
        <v>0</v>
      </c>
      <c r="S270" s="345">
        <v>3.0776864777712972E-5</v>
      </c>
      <c r="T270" s="345">
        <v>2.1342088736900277E-4</v>
      </c>
      <c r="U270" s="345">
        <v>4.7418841326103684E-4</v>
      </c>
      <c r="V270" s="345">
        <v>9.6306019154404827E-4</v>
      </c>
      <c r="W270" s="345">
        <v>1.4695883827953631E-3</v>
      </c>
      <c r="X270" s="345">
        <v>1.988983783372757E-3</v>
      </c>
      <c r="Y270" s="380">
        <v>2.7555801622888062E-3</v>
      </c>
      <c r="Z270" s="296">
        <f t="shared" si="124"/>
        <v>4.9911209312078844E-4</v>
      </c>
      <c r="AA270" s="298">
        <f t="shared" si="125"/>
        <v>3.5725426062175946E-4</v>
      </c>
      <c r="AB270" s="948">
        <f t="array" ref="AB270">IF(AND($AD$229=TRUE,SUM(B270:L270)&gt;0),SUMPRODUCT((((TRANSPOSE(Cls1CentDailyRng)&lt;INDEX(CDRANGE_CLS1,$A270-$A$233+1,AD$230))*TRANSPOSE(Cls1CentDailyRng)+(TRANSPOSE(Cls1CentDailyRng)&gt;INDEX(CDRANGE_CLS1,$A270-$A$233+1,AD$230))*INDEX(CDRANGE_CLS1,$A270-$A$233+1,AD$230))/TRANSPOSE(Cls1CentDailyRng)),B270:L270,TRANSPOSE(Cls1CentVMTShr))/SUMPRODUCT(B270:L270,TRANSPOSE(Cls1CentVMTShr)),0)</f>
        <v>0</v>
      </c>
      <c r="AC270" s="949">
        <f t="array" ref="AC270">IF(AND($AD$229=TRUE,SUM(O270:Y270)&gt;0),SUMPRODUCT((((TRANSPOSE(Cls1NCentDailyRng)&lt;INDEX(CDRANGE_CLS1,$A270-$A$233+1,AD$230))*TRANSPOSE(Cls1NCentDailyRng)+(TRANSPOSE(Cls1NCentDailyRng)&gt;INDEX(CDRANGE_CLS1,$A270-$A$233+1,AD$230))*INDEX(CDRANGE_CLS1,$A270-$A$233+1,AD$230))/TRANSPOSE(Cls1NCentDailyRng)),O270:Y270,TRANSPOSE(Cls1NCentVMTShr))/SUMPRODUCT(O270:Y270,TRANSPOSE(Cls1NCentVMTShr)),0)</f>
        <v>0</v>
      </c>
      <c r="AD270" s="1226">
        <f t="shared" si="135"/>
        <v>0</v>
      </c>
      <c r="AE270" s="937">
        <f t="shared" si="132"/>
        <v>5.6329512591990691E-3</v>
      </c>
      <c r="AF270" s="937">
        <f t="shared" si="133"/>
        <v>4.9911209312078844E-4</v>
      </c>
      <c r="AG270" s="937">
        <f t="shared" si="134"/>
        <v>6.1320633523198574E-3</v>
      </c>
      <c r="AH270" s="1172">
        <f t="shared" si="130"/>
        <v>0.91860617471736228</v>
      </c>
      <c r="AI270" s="937">
        <f t="shared" si="131"/>
        <v>8.139382528263775E-2</v>
      </c>
    </row>
    <row r="271" spans="1:35" ht="15" thickBot="1" x14ac:dyDescent="0.25">
      <c r="A271" s="328">
        <v>2045</v>
      </c>
      <c r="B271" s="346">
        <v>0</v>
      </c>
      <c r="C271" s="347">
        <v>0</v>
      </c>
      <c r="D271" s="347">
        <v>0</v>
      </c>
      <c r="E271" s="347">
        <v>1.2136190675471426E-4</v>
      </c>
      <c r="F271" s="347">
        <v>3.4177398519498197E-3</v>
      </c>
      <c r="G271" s="347">
        <v>1.8725153466956787E-2</v>
      </c>
      <c r="H271" s="347">
        <v>4.0121069884332276E-2</v>
      </c>
      <c r="I271" s="347">
        <v>7.4446712622993169E-2</v>
      </c>
      <c r="J271" s="347">
        <v>0.10685489119121989</v>
      </c>
      <c r="K271" s="347">
        <v>0.13736841758647295</v>
      </c>
      <c r="L271" s="381">
        <v>0.18402748332723456</v>
      </c>
      <c r="M271" s="310">
        <f t="shared" si="122"/>
        <v>1.1140809424229127E-2</v>
      </c>
      <c r="N271" s="312">
        <f t="shared" si="123"/>
        <v>8.0236161173981666E-3</v>
      </c>
      <c r="O271" s="346">
        <v>0</v>
      </c>
      <c r="P271" s="347">
        <v>0</v>
      </c>
      <c r="Q271" s="347">
        <v>0</v>
      </c>
      <c r="R271" s="347">
        <v>2.4534481962980941E-5</v>
      </c>
      <c r="S271" s="347">
        <v>3.2755154711085709E-4</v>
      </c>
      <c r="T271" s="347">
        <v>1.1023882496881982E-3</v>
      </c>
      <c r="U271" s="347">
        <v>1.7819174065077329E-3</v>
      </c>
      <c r="V271" s="347">
        <v>2.8891244326369673E-3</v>
      </c>
      <c r="W271" s="347">
        <v>3.8819321602117794E-3</v>
      </c>
      <c r="X271" s="347">
        <v>4.6170894448931384E-3</v>
      </c>
      <c r="Y271" s="381">
        <v>5.7077025571115421E-3</v>
      </c>
      <c r="Z271" s="310">
        <f t="shared" si="124"/>
        <v>1.4945842138880617E-3</v>
      </c>
      <c r="AA271" s="312">
        <f t="shared" si="125"/>
        <v>1.1543589803476872E-3</v>
      </c>
      <c r="AB271" s="948">
        <f t="array" ref="AB271">IF(AND($AD$229=TRUE,SUM(B271:L271)&gt;0),SUMPRODUCT((((TRANSPOSE(Cls1CentDailyRng)&lt;INDEX(CDRANGE_CLS1,$A271-$A$233+1,AD$230))*TRANSPOSE(Cls1CentDailyRng)+(TRANSPOSE(Cls1CentDailyRng)&gt;INDEX(CDRANGE_CLS1,$A271-$A$233+1,AD$230))*INDEX(CDRANGE_CLS1,$A271-$A$233+1,AD$230))/TRANSPOSE(Cls1CentDailyRng)),B271:L271,TRANSPOSE(Cls1CentVMTShr))/SUMPRODUCT(B271:L271,TRANSPOSE(Cls1CentVMTShr)),0)</f>
        <v>0</v>
      </c>
      <c r="AC271" s="949">
        <f t="array" ref="AC271">IF(AND($AD$229=TRUE,SUM(O271:Y271)&gt;0),SUMPRODUCT((((TRANSPOSE(Cls1NCentDailyRng)&lt;INDEX(CDRANGE_CLS1,$A271-$A$233+1,AD$230))*TRANSPOSE(Cls1NCentDailyRng)+(TRANSPOSE(Cls1NCentDailyRng)&gt;INDEX(CDRANGE_CLS1,$A271-$A$233+1,AD$230))*INDEX(CDRANGE_CLS1,$A271-$A$233+1,AD$230))/TRANSPOSE(Cls1NCentDailyRng)),O271:Y271,TRANSPOSE(Cls1NCentVMTShr))/SUMPRODUCT(O271:Y271,TRANSPOSE(Cls1NCentVMTShr)),0)</f>
        <v>0</v>
      </c>
      <c r="AD271" s="1226">
        <f t="shared" si="135"/>
        <v>0</v>
      </c>
      <c r="AE271" s="937">
        <f t="shared" si="132"/>
        <v>1.1140809424229127E-2</v>
      </c>
      <c r="AF271" s="937">
        <f t="shared" si="133"/>
        <v>1.4945842138880617E-3</v>
      </c>
      <c r="AG271" s="937">
        <f t="shared" si="134"/>
        <v>1.2635393638117189E-2</v>
      </c>
      <c r="AH271" s="1172">
        <f t="shared" si="130"/>
        <v>0.88171447153182869</v>
      </c>
      <c r="AI271" s="937">
        <f t="shared" si="131"/>
        <v>0.11828552846817134</v>
      </c>
    </row>
    <row r="272" spans="1:35" x14ac:dyDescent="0.2">
      <c r="A272" s="329">
        <v>2046</v>
      </c>
      <c r="B272" s="342">
        <v>0</v>
      </c>
      <c r="C272" s="343">
        <v>0</v>
      </c>
      <c r="D272" s="343">
        <v>0</v>
      </c>
      <c r="E272" s="343">
        <v>7.6616373694992203E-4</v>
      </c>
      <c r="F272" s="343">
        <v>1.0872141136378998E-2</v>
      </c>
      <c r="G272" s="343">
        <v>3.8637925699259973E-2</v>
      </c>
      <c r="H272" s="343">
        <v>6.6368858296650277E-2</v>
      </c>
      <c r="I272" s="343">
        <v>0.10450239347775467</v>
      </c>
      <c r="J272" s="343">
        <v>0.14175398639812173</v>
      </c>
      <c r="K272" s="343">
        <v>0.16618579519029361</v>
      </c>
      <c r="L272" s="379">
        <v>0.20491203747826184</v>
      </c>
      <c r="M272" s="282">
        <f t="shared" si="122"/>
        <v>1.5856161648953468E-2</v>
      </c>
      <c r="N272" s="284">
        <f t="shared" si="123"/>
        <v>1.2022673532856753E-2</v>
      </c>
      <c r="O272" s="342">
        <v>0</v>
      </c>
      <c r="P272" s="343">
        <v>0</v>
      </c>
      <c r="Q272" s="343">
        <v>0</v>
      </c>
      <c r="R272" s="343">
        <v>1.4368132118528447E-4</v>
      </c>
      <c r="S272" s="343">
        <v>1.0962078283272315E-3</v>
      </c>
      <c r="T272" s="343">
        <v>2.6341782189441094E-3</v>
      </c>
      <c r="U272" s="343">
        <v>4.0427950478970423E-3</v>
      </c>
      <c r="V272" s="343">
        <v>5.7967352693137093E-3</v>
      </c>
      <c r="W272" s="343">
        <v>7.1055607035218765E-3</v>
      </c>
      <c r="X272" s="343">
        <v>8.3148102348198603E-3</v>
      </c>
      <c r="Y272" s="379">
        <v>1.0048798322798945E-2</v>
      </c>
      <c r="Z272" s="282">
        <f t="shared" si="124"/>
        <v>3.102249907849399E-3</v>
      </c>
      <c r="AA272" s="284">
        <f t="shared" si="125"/>
        <v>2.474789098345071E-3</v>
      </c>
      <c r="AB272" s="948">
        <f t="array" ref="AB272">IF(AND($AD$229=TRUE,SUM(B272:L272)&gt;0),SUMPRODUCT((((TRANSPOSE(Cls1CentDailyRng)&lt;INDEX(CDRANGE_CLS1,$A272-$A$233+1,AD$230))*TRANSPOSE(Cls1CentDailyRng)+(TRANSPOSE(Cls1CentDailyRng)&gt;INDEX(CDRANGE_CLS1,$A272-$A$233+1,AD$230))*INDEX(CDRANGE_CLS1,$A272-$A$233+1,AD$230))/TRANSPOSE(Cls1CentDailyRng)),B272:L272,TRANSPOSE(Cls1CentVMTShr))/SUMPRODUCT(B272:L272,TRANSPOSE(Cls1CentVMTShr)),0)</f>
        <v>0</v>
      </c>
      <c r="AC272" s="949">
        <f t="array" ref="AC272">IF(AND($AD$229=TRUE,SUM(O272:Y272)&gt;0),SUMPRODUCT((((TRANSPOSE(Cls1NCentDailyRng)&lt;INDEX(CDRANGE_CLS1,$A272-$A$233+1,AD$230))*TRANSPOSE(Cls1NCentDailyRng)+(TRANSPOSE(Cls1NCentDailyRng)&gt;INDEX(CDRANGE_CLS1,$A272-$A$233+1,AD$230))*INDEX(CDRANGE_CLS1,$A272-$A$233+1,AD$230))/TRANSPOSE(Cls1NCentDailyRng)),O272:Y272,TRANSPOSE(Cls1NCentVMTShr))/SUMPRODUCT(O272:Y272,TRANSPOSE(Cls1NCentVMTShr)),0)</f>
        <v>0</v>
      </c>
      <c r="AD272" s="1226">
        <f t="shared" si="135"/>
        <v>0</v>
      </c>
      <c r="AE272" s="937">
        <f t="shared" si="132"/>
        <v>1.5856161648953468E-2</v>
      </c>
      <c r="AF272" s="937">
        <f t="shared" si="133"/>
        <v>3.102249907849399E-3</v>
      </c>
      <c r="AG272" s="937">
        <f t="shared" si="134"/>
        <v>1.8958411556802866E-2</v>
      </c>
      <c r="AH272" s="1172">
        <f t="shared" si="130"/>
        <v>0.83636551519337521</v>
      </c>
      <c r="AI272" s="937">
        <f t="shared" si="131"/>
        <v>0.16363448480662482</v>
      </c>
    </row>
    <row r="273" spans="1:43" x14ac:dyDescent="0.2">
      <c r="A273" s="330">
        <v>2047</v>
      </c>
      <c r="B273" s="344">
        <v>0</v>
      </c>
      <c r="C273" s="345">
        <v>0</v>
      </c>
      <c r="D273" s="345">
        <v>0</v>
      </c>
      <c r="E273" s="345">
        <v>4.029910048643978E-3</v>
      </c>
      <c r="F273" s="345">
        <v>2.6468646545276867E-2</v>
      </c>
      <c r="G273" s="345">
        <v>6.3022367628093115E-2</v>
      </c>
      <c r="H273" s="345">
        <v>0.10099371423071307</v>
      </c>
      <c r="I273" s="345">
        <v>0.13999717574399076</v>
      </c>
      <c r="J273" s="345">
        <v>0.17139216731948015</v>
      </c>
      <c r="K273" s="345">
        <v>0.19794652432455645</v>
      </c>
      <c r="L273" s="380">
        <v>0.22573095605008855</v>
      </c>
      <c r="M273" s="296">
        <f t="shared" si="122"/>
        <v>2.1798112094633601E-2</v>
      </c>
      <c r="N273" s="298">
        <f t="shared" si="123"/>
        <v>1.7262765750049546E-2</v>
      </c>
      <c r="O273" s="344">
        <v>0</v>
      </c>
      <c r="P273" s="345">
        <v>0</v>
      </c>
      <c r="Q273" s="345">
        <v>1.77037119835796E-5</v>
      </c>
      <c r="R273" s="345">
        <v>6.9319186672828486E-4</v>
      </c>
      <c r="S273" s="345">
        <v>2.9373615917459607E-3</v>
      </c>
      <c r="T273" s="345">
        <v>5.8782567915871562E-3</v>
      </c>
      <c r="U273" s="345">
        <v>8.4670199651202781E-3</v>
      </c>
      <c r="V273" s="345">
        <v>1.0955673854622667E-2</v>
      </c>
      <c r="W273" s="345">
        <v>1.3107194311673571E-2</v>
      </c>
      <c r="X273" s="345">
        <v>1.4958794575109662E-2</v>
      </c>
      <c r="Y273" s="380">
        <v>1.6854933327604942E-2</v>
      </c>
      <c r="Z273" s="296">
        <f t="shared" si="124"/>
        <v>6.1665692060344848E-3</v>
      </c>
      <c r="AA273" s="298">
        <f t="shared" si="125"/>
        <v>5.0566541803216273E-3</v>
      </c>
      <c r="AB273" s="948">
        <f t="array" ref="AB273">IF(AND($AD$229=TRUE,SUM(B273:L273)&gt;0),SUMPRODUCT((((TRANSPOSE(Cls1CentDailyRng)&lt;INDEX(CDRANGE_CLS1,$A273-$A$233+1,AD$230))*TRANSPOSE(Cls1CentDailyRng)+(TRANSPOSE(Cls1CentDailyRng)&gt;INDEX(CDRANGE_CLS1,$A273-$A$233+1,AD$230))*INDEX(CDRANGE_CLS1,$A273-$A$233+1,AD$230))/TRANSPOSE(Cls1CentDailyRng)),B273:L273,TRANSPOSE(Cls1CentVMTShr))/SUMPRODUCT(B273:L273,TRANSPOSE(Cls1CentVMTShr)),0)</f>
        <v>0</v>
      </c>
      <c r="AC273" s="949">
        <f t="array" ref="AC273">IF(AND($AD$229=TRUE,SUM(O273:Y273)&gt;0),SUMPRODUCT((((TRANSPOSE(Cls1NCentDailyRng)&lt;INDEX(CDRANGE_CLS1,$A273-$A$233+1,AD$230))*TRANSPOSE(Cls1NCentDailyRng)+(TRANSPOSE(Cls1NCentDailyRng)&gt;INDEX(CDRANGE_CLS1,$A273-$A$233+1,AD$230))*INDEX(CDRANGE_CLS1,$A273-$A$233+1,AD$230))/TRANSPOSE(Cls1NCentDailyRng)),O273:Y273,TRANSPOSE(Cls1NCentVMTShr))/SUMPRODUCT(O273:Y273,TRANSPOSE(Cls1NCentVMTShr)),0)</f>
        <v>0</v>
      </c>
      <c r="AD273" s="1226">
        <f t="shared" si="135"/>
        <v>0</v>
      </c>
      <c r="AE273" s="937">
        <f t="shared" si="132"/>
        <v>2.1798112094633601E-2</v>
      </c>
      <c r="AF273" s="937">
        <f t="shared" si="133"/>
        <v>6.1665692060344848E-3</v>
      </c>
      <c r="AG273" s="937">
        <f t="shared" si="134"/>
        <v>2.7964681300668086E-2</v>
      </c>
      <c r="AH273" s="1172">
        <f t="shared" si="130"/>
        <v>0.77948723463953218</v>
      </c>
      <c r="AI273" s="937">
        <f t="shared" si="131"/>
        <v>0.22051276536046785</v>
      </c>
    </row>
    <row r="274" spans="1:43" x14ac:dyDescent="0.2">
      <c r="A274" s="330">
        <v>2048</v>
      </c>
      <c r="B274" s="344">
        <v>0</v>
      </c>
      <c r="C274" s="345">
        <v>0</v>
      </c>
      <c r="D274" s="345">
        <v>1.1581242640349426E-4</v>
      </c>
      <c r="E274" s="345">
        <v>1.2745659727887529E-2</v>
      </c>
      <c r="F274" s="345">
        <v>5.0864330185871776E-2</v>
      </c>
      <c r="G274" s="345">
        <v>9.5922147032994023E-2</v>
      </c>
      <c r="H274" s="345">
        <v>0.13194738201808157</v>
      </c>
      <c r="I274" s="345">
        <v>0.17029882561843498</v>
      </c>
      <c r="J274" s="345">
        <v>0.20422536785655654</v>
      </c>
      <c r="K274" s="345">
        <v>0.22011273713395443</v>
      </c>
      <c r="L274" s="380">
        <v>0.24611354691142343</v>
      </c>
      <c r="M274" s="296">
        <f t="shared" si="122"/>
        <v>2.79069383095806E-2</v>
      </c>
      <c r="N274" s="298">
        <f t="shared" si="123"/>
        <v>2.2897055324269354E-2</v>
      </c>
      <c r="O274" s="344">
        <v>0</v>
      </c>
      <c r="P274" s="345">
        <v>0</v>
      </c>
      <c r="Q274" s="345">
        <v>1.2494257001650479E-4</v>
      </c>
      <c r="R274" s="345">
        <v>2.0196561891480764E-3</v>
      </c>
      <c r="S274" s="345">
        <v>5.7398711379640401E-3</v>
      </c>
      <c r="T274" s="345">
        <v>9.7905943928451034E-3</v>
      </c>
      <c r="U274" s="345">
        <v>1.2415447194383518E-2</v>
      </c>
      <c r="V274" s="345">
        <v>1.6496554865514539E-2</v>
      </c>
      <c r="W274" s="345">
        <v>1.9033227134005341E-2</v>
      </c>
      <c r="X274" s="345">
        <v>2.0384860241691311E-2</v>
      </c>
      <c r="Y274" s="380">
        <v>2.255991891388736E-2</v>
      </c>
      <c r="Z274" s="296">
        <f t="shared" si="124"/>
        <v>9.283767541365456E-3</v>
      </c>
      <c r="AA274" s="298">
        <f t="shared" si="125"/>
        <v>7.7797026774381718E-3</v>
      </c>
      <c r="AB274" s="948">
        <f t="array" ref="AB274">IF(AND($AD$229=TRUE,SUM(B274:L274)&gt;0),SUMPRODUCT((((TRANSPOSE(Cls1CentDailyRng)&lt;INDEX(CDRANGE_CLS1,$A274-$A$233+1,AD$230))*TRANSPOSE(Cls1CentDailyRng)+(TRANSPOSE(Cls1CentDailyRng)&gt;INDEX(CDRANGE_CLS1,$A274-$A$233+1,AD$230))*INDEX(CDRANGE_CLS1,$A274-$A$233+1,AD$230))/TRANSPOSE(Cls1CentDailyRng)),B274:L274,TRANSPOSE(Cls1CentVMTShr))/SUMPRODUCT(B274:L274,TRANSPOSE(Cls1CentVMTShr)),0)</f>
        <v>0</v>
      </c>
      <c r="AC274" s="949">
        <f t="array" ref="AC274">IF(AND($AD$229=TRUE,SUM(O274:Y274)&gt;0),SUMPRODUCT((((TRANSPOSE(Cls1NCentDailyRng)&lt;INDEX(CDRANGE_CLS1,$A274-$A$233+1,AD$230))*TRANSPOSE(Cls1NCentDailyRng)+(TRANSPOSE(Cls1NCentDailyRng)&gt;INDEX(CDRANGE_CLS1,$A274-$A$233+1,AD$230))*INDEX(CDRANGE_CLS1,$A274-$A$233+1,AD$230))/TRANSPOSE(Cls1NCentDailyRng)),O274:Y274,TRANSPOSE(Cls1NCentVMTShr))/SUMPRODUCT(O274:Y274,TRANSPOSE(Cls1NCentVMTShr)),0)</f>
        <v>0</v>
      </c>
      <c r="AD274" s="1226">
        <f t="shared" si="135"/>
        <v>0</v>
      </c>
      <c r="AE274" s="937">
        <f t="shared" si="132"/>
        <v>2.79069383095806E-2</v>
      </c>
      <c r="AF274" s="937">
        <f t="shared" si="133"/>
        <v>9.283767541365456E-3</v>
      </c>
      <c r="AG274" s="937">
        <f t="shared" si="134"/>
        <v>3.7190705850946054E-2</v>
      </c>
      <c r="AH274" s="1172">
        <f t="shared" si="130"/>
        <v>0.75037398917425235</v>
      </c>
      <c r="AI274" s="937">
        <f t="shared" si="131"/>
        <v>0.24962601082574765</v>
      </c>
    </row>
    <row r="275" spans="1:43" x14ac:dyDescent="0.2">
      <c r="A275" s="330">
        <v>2049</v>
      </c>
      <c r="B275" s="344">
        <v>0</v>
      </c>
      <c r="C275" s="345">
        <v>0</v>
      </c>
      <c r="D275" s="345">
        <v>1.0717322124424902E-3</v>
      </c>
      <c r="E275" s="345">
        <v>3.0214034863612304E-2</v>
      </c>
      <c r="F275" s="345">
        <v>8.0989935049521081E-2</v>
      </c>
      <c r="G275" s="345">
        <v>0.12362822423281533</v>
      </c>
      <c r="H275" s="345">
        <v>0.15299058236064825</v>
      </c>
      <c r="I275" s="345">
        <v>0.20147075623759073</v>
      </c>
      <c r="J275" s="345">
        <v>0.22658623069968462</v>
      </c>
      <c r="K275" s="345">
        <v>0.24171614739869501</v>
      </c>
      <c r="L275" s="380">
        <v>0.26489445004564516</v>
      </c>
      <c r="M275" s="296">
        <f t="shared" si="122"/>
        <v>3.3364650190621528E-2</v>
      </c>
      <c r="N275" s="298">
        <f t="shared" si="123"/>
        <v>2.8152052404616379E-2</v>
      </c>
      <c r="O275" s="344">
        <v>0</v>
      </c>
      <c r="P275" s="345">
        <v>0</v>
      </c>
      <c r="Q275" s="345">
        <v>7.4843118318364786E-4</v>
      </c>
      <c r="R275" s="345">
        <v>5.0811129212183608E-3</v>
      </c>
      <c r="S275" s="345">
        <v>1.1643438155537344E-2</v>
      </c>
      <c r="T275" s="345">
        <v>1.772967648478057E-2</v>
      </c>
      <c r="U275" s="345">
        <v>2.0430290481715772E-2</v>
      </c>
      <c r="V275" s="345">
        <v>2.6782367191934244E-2</v>
      </c>
      <c r="W275" s="345">
        <v>3.0355228718247102E-2</v>
      </c>
      <c r="X275" s="345">
        <v>3.2124090608689704E-2</v>
      </c>
      <c r="Y275" s="380">
        <v>3.4007235644022589E-2</v>
      </c>
      <c r="Z275" s="296">
        <f t="shared" si="124"/>
        <v>1.5553318362078202E-2</v>
      </c>
      <c r="AA275" s="298">
        <f t="shared" si="125"/>
        <v>1.328808317195212E-2</v>
      </c>
      <c r="AB275" s="948">
        <f t="array" ref="AB275">IF(AND($AD$229=TRUE,SUM(B275:L275)&gt;0),SUMPRODUCT((((TRANSPOSE(Cls1CentDailyRng)&lt;INDEX(CDRANGE_CLS1,$A275-$A$233+1,AD$230))*TRANSPOSE(Cls1CentDailyRng)+(TRANSPOSE(Cls1CentDailyRng)&gt;INDEX(CDRANGE_CLS1,$A275-$A$233+1,AD$230))*INDEX(CDRANGE_CLS1,$A275-$A$233+1,AD$230))/TRANSPOSE(Cls1CentDailyRng)),B275:L275,TRANSPOSE(Cls1CentVMTShr))/SUMPRODUCT(B275:L275,TRANSPOSE(Cls1CentVMTShr)),0)</f>
        <v>0</v>
      </c>
      <c r="AC275" s="949">
        <f t="array" ref="AC275">IF(AND($AD$229=TRUE,SUM(O275:Y275)&gt;0),SUMPRODUCT((((TRANSPOSE(Cls1NCentDailyRng)&lt;INDEX(CDRANGE_CLS1,$A275-$A$233+1,AD$230))*TRANSPOSE(Cls1NCentDailyRng)+(TRANSPOSE(Cls1NCentDailyRng)&gt;INDEX(CDRANGE_CLS1,$A275-$A$233+1,AD$230))*INDEX(CDRANGE_CLS1,$A275-$A$233+1,AD$230))/TRANSPOSE(Cls1NCentDailyRng)),O275:Y275,TRANSPOSE(Cls1NCentVMTShr))/SUMPRODUCT(O275:Y275,TRANSPOSE(Cls1NCentVMTShr)),0)</f>
        <v>0</v>
      </c>
      <c r="AD275" s="1226">
        <f t="shared" si="135"/>
        <v>0</v>
      </c>
      <c r="AE275" s="937">
        <f t="shared" si="132"/>
        <v>3.3364650190621528E-2</v>
      </c>
      <c r="AF275" s="937">
        <f t="shared" si="133"/>
        <v>1.5553318362078202E-2</v>
      </c>
      <c r="AG275" s="937">
        <f t="shared" si="134"/>
        <v>4.8917968552699732E-2</v>
      </c>
      <c r="AH275" s="1172">
        <f t="shared" si="130"/>
        <v>0.68205306102761631</v>
      </c>
      <c r="AI275" s="937">
        <f t="shared" si="131"/>
        <v>0.31794693897238363</v>
      </c>
    </row>
    <row r="276" spans="1:43" ht="15" thickBot="1" x14ac:dyDescent="0.25">
      <c r="A276" s="328">
        <v>2050</v>
      </c>
      <c r="B276" s="346">
        <v>0</v>
      </c>
      <c r="C276" s="347">
        <v>0</v>
      </c>
      <c r="D276" s="347">
        <v>5.3281453195146529E-3</v>
      </c>
      <c r="E276" s="347">
        <v>5.3656039957318304E-2</v>
      </c>
      <c r="F276" s="347">
        <v>0.10360978422139897</v>
      </c>
      <c r="G276" s="347">
        <v>0.14825352453084151</v>
      </c>
      <c r="H276" s="347">
        <v>0.1679297624041865</v>
      </c>
      <c r="I276" s="347">
        <v>0.2312754947906035</v>
      </c>
      <c r="J276" s="347">
        <v>0.2474524860700977</v>
      </c>
      <c r="K276" s="347">
        <v>0.26136703462579547</v>
      </c>
      <c r="L276" s="381">
        <v>0.2763057319057397</v>
      </c>
      <c r="M276" s="310">
        <f t="shared" si="122"/>
        <v>3.7951556783467184E-2</v>
      </c>
      <c r="N276" s="312">
        <f t="shared" si="123"/>
        <v>3.2680976120385993E-2</v>
      </c>
      <c r="O276" s="346">
        <v>0</v>
      </c>
      <c r="P276" s="347">
        <v>0</v>
      </c>
      <c r="Q276" s="347">
        <v>2.5860811264753121E-3</v>
      </c>
      <c r="R276" s="347">
        <v>1.0277837640125596E-2</v>
      </c>
      <c r="S276" s="347">
        <v>1.7335345784011587E-2</v>
      </c>
      <c r="T276" s="347">
        <v>2.3324717345457983E-2</v>
      </c>
      <c r="U276" s="347">
        <v>2.6425005544455839E-2</v>
      </c>
      <c r="V276" s="347">
        <v>3.6908103114336017E-2</v>
      </c>
      <c r="W276" s="347">
        <v>3.9486103563904487E-2</v>
      </c>
      <c r="X276" s="347">
        <v>4.0134816226338653E-2</v>
      </c>
      <c r="Y276" s="381">
        <v>4.2968609200231996E-2</v>
      </c>
      <c r="Z276" s="310">
        <f t="shared" si="124"/>
        <v>2.0654409195251754E-2</v>
      </c>
      <c r="AA276" s="312">
        <f t="shared" si="125"/>
        <v>1.7865496031376084E-2</v>
      </c>
      <c r="AB276" s="950">
        <f t="array" ref="AB276">IF(AND($AD$229=TRUE,SUM(B276:L276)&gt;0),SUMPRODUCT((((TRANSPOSE(Cls1CentDailyRng)&lt;INDEX(CDRANGE_CLS1,$A276-$A$233+1,AD$230))*TRANSPOSE(Cls1CentDailyRng)+(TRANSPOSE(Cls1CentDailyRng)&gt;INDEX(CDRANGE_CLS1,$A276-$A$233+1,AD$230))*INDEX(CDRANGE_CLS1,$A276-$A$233+1,AD$230))/TRANSPOSE(Cls1CentDailyRng)),B276:L276,TRANSPOSE(Cls1CentVMTShr))/SUMPRODUCT(B276:L276,TRANSPOSE(Cls1CentVMTShr)),0)</f>
        <v>0</v>
      </c>
      <c r="AC276" s="951">
        <f t="array" ref="AC276">IF(AND($AD$229=TRUE,SUM(O276:Y276)&gt;0),SUMPRODUCT((((TRANSPOSE(Cls1NCentDailyRng)&lt;INDEX(CDRANGE_CLS1,$A276-$A$233+1,AD$230))*TRANSPOSE(Cls1NCentDailyRng)+(TRANSPOSE(Cls1NCentDailyRng)&gt;INDEX(CDRANGE_CLS1,$A276-$A$233+1,AD$230))*INDEX(CDRANGE_CLS1,$A276-$A$233+1,AD$230))/TRANSPOSE(Cls1NCentDailyRng)),O276:Y276,TRANSPOSE(Cls1NCentVMTShr))/SUMPRODUCT(O276:Y276,TRANSPOSE(Cls1NCentVMTShr)),0)</f>
        <v>0</v>
      </c>
      <c r="AD276" s="1227">
        <f t="shared" si="135"/>
        <v>0</v>
      </c>
      <c r="AE276" s="937">
        <f t="shared" si="132"/>
        <v>3.7951556783467184E-2</v>
      </c>
      <c r="AF276" s="937">
        <f t="shared" si="133"/>
        <v>2.0654409195251754E-2</v>
      </c>
      <c r="AG276" s="937">
        <f t="shared" si="134"/>
        <v>5.8605965978718935E-2</v>
      </c>
      <c r="AH276" s="1172">
        <f t="shared" si="130"/>
        <v>0.64757155947652489</v>
      </c>
      <c r="AI276" s="937">
        <f t="shared" si="131"/>
        <v>0.35242844052347516</v>
      </c>
    </row>
    <row r="277" spans="1:43" x14ac:dyDescent="0.2">
      <c r="B277" s="227" t="str">
        <f>B$120</f>
        <v>Output generated: 7/21/2020 15:48</v>
      </c>
      <c r="U277" s="227" t="str">
        <f>U$120</f>
        <v>Output generated: 7/21/2020 15:48</v>
      </c>
      <c r="AE277" s="937"/>
      <c r="AF277" s="937"/>
      <c r="AG277" s="937"/>
      <c r="AH277" s="937"/>
      <c r="AI277" s="937"/>
    </row>
    <row r="278" spans="1:43" x14ac:dyDescent="0.2">
      <c r="AE278" s="937"/>
      <c r="AF278" s="937"/>
      <c r="AG278" s="937"/>
      <c r="AH278" s="937"/>
      <c r="AI278" s="937"/>
    </row>
    <row r="279" spans="1:43" ht="15" thickBot="1" x14ac:dyDescent="0.25">
      <c r="AE279" s="937"/>
      <c r="AF279" s="937"/>
      <c r="AG279" s="937"/>
      <c r="AH279" s="937"/>
      <c r="AI279" s="937"/>
    </row>
    <row r="280" spans="1:43" ht="15" x14ac:dyDescent="0.2">
      <c r="A280" s="333"/>
      <c r="B280" s="613" t="s">
        <v>214</v>
      </c>
      <c r="C280" s="614"/>
      <c r="D280" s="614"/>
      <c r="E280" s="614"/>
      <c r="F280" s="614"/>
      <c r="G280" s="614"/>
      <c r="H280" s="614"/>
      <c r="I280" s="614"/>
      <c r="J280" s="614"/>
      <c r="K280" s="614"/>
      <c r="L280" s="614"/>
      <c r="M280" s="614"/>
      <c r="N280" s="615"/>
      <c r="O280" s="613" t="s">
        <v>215</v>
      </c>
      <c r="P280" s="614"/>
      <c r="Q280" s="614"/>
      <c r="R280" s="614"/>
      <c r="S280" s="614"/>
      <c r="T280" s="614"/>
      <c r="U280" s="614"/>
      <c r="V280" s="614"/>
      <c r="W280" s="614"/>
      <c r="X280" s="614"/>
      <c r="Y280" s="614"/>
      <c r="Z280" s="614"/>
      <c r="AA280" s="615"/>
      <c r="AE280" s="937"/>
      <c r="AF280" s="937"/>
      <c r="AG280" s="937"/>
      <c r="AH280" s="937"/>
      <c r="AI280" s="937"/>
    </row>
    <row r="281" spans="1:43"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E281" s="937"/>
      <c r="AF281" s="937"/>
      <c r="AG281" s="937"/>
      <c r="AH281" s="937"/>
      <c r="AI281" s="937"/>
    </row>
    <row r="282" spans="1:43"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C282" s="903" t="s">
        <v>267</v>
      </c>
      <c r="AD282" s="234" t="b">
        <f>INDEX(TECH_OPT_FUEL2_Cls1,MATCH(RIGHT(O280),TECH_OPT_ROWS_Cls1,0))&lt;&gt;"N/A"</f>
        <v>0</v>
      </c>
      <c r="AE282" s="937"/>
      <c r="AF282" s="937"/>
      <c r="AG282" s="937"/>
      <c r="AH282" s="937"/>
      <c r="AI282" s="937"/>
    </row>
    <row r="283" spans="1:43" ht="16" thickTop="1" thickBot="1" x14ac:dyDescent="0.25">
      <c r="A283" s="348" t="s">
        <v>124</v>
      </c>
      <c r="B283" s="340">
        <f t="array" ref="B283:L283">TRANSPOSE(Cls1CentTruckShr)</f>
        <v>7.9460669190030697E-3</v>
      </c>
      <c r="C283" s="341">
        <v>4.9615201402207001E-3</v>
      </c>
      <c r="D283" s="341">
        <v>9.2815995818941767E-3</v>
      </c>
      <c r="E283" s="341">
        <v>3.0833513121077051E-2</v>
      </c>
      <c r="F283" s="341">
        <v>4.3269302277925595E-2</v>
      </c>
      <c r="G283" s="341">
        <v>2.8144935330937017E-2</v>
      </c>
      <c r="H283" s="341">
        <v>6.8990329765143715E-2</v>
      </c>
      <c r="I283" s="341">
        <v>2.4926184998997059E-2</v>
      </c>
      <c r="J283" s="341">
        <v>7.8890239376675012E-3</v>
      </c>
      <c r="K283" s="341">
        <v>3.6046105934191604E-3</v>
      </c>
      <c r="L283" s="378">
        <v>7.5162351043371062E-3</v>
      </c>
      <c r="M283" s="385"/>
      <c r="N283" s="334"/>
      <c r="O283" s="340">
        <f t="array" ref="O283:Y283">TRANSPOSE(Cls1NCentTruckShr)</f>
        <v>1.2963682068270432E-2</v>
      </c>
      <c r="P283" s="341">
        <v>2.3837141813212878E-2</v>
      </c>
      <c r="Q283" s="341">
        <v>2.5768680683356839E-2</v>
      </c>
      <c r="R283" s="341">
        <v>5.7965433078982248E-2</v>
      </c>
      <c r="S283" s="341">
        <v>0.10312619102844889</v>
      </c>
      <c r="T283" s="341">
        <v>0.18550667796975542</v>
      </c>
      <c r="U283" s="341">
        <v>0.21310728355070049</v>
      </c>
      <c r="V283" s="341">
        <v>7.3364250696428643E-2</v>
      </c>
      <c r="W283" s="341">
        <v>1.9856733825595378E-2</v>
      </c>
      <c r="X283" s="341">
        <v>2.1261216059795113E-2</v>
      </c>
      <c r="Y283" s="378">
        <v>2.5879387454831333E-2</v>
      </c>
      <c r="Z283" s="385"/>
      <c r="AA283" s="334"/>
      <c r="AB283" s="936"/>
      <c r="AC283" s="903" t="s">
        <v>268</v>
      </c>
      <c r="AD283" s="234">
        <f>MATCH(RIGHT(O280),TECH_OPT_ROWS_Cls1,0)</f>
        <v>6</v>
      </c>
      <c r="AE283" s="937"/>
      <c r="AF283" s="937"/>
      <c r="AG283" s="937"/>
      <c r="AH283" s="937"/>
      <c r="AI283" s="937"/>
    </row>
    <row r="284" spans="1:43" x14ac:dyDescent="0.2">
      <c r="A284" s="331" t="s">
        <v>125</v>
      </c>
      <c r="B284" s="938">
        <f t="array" ref="B284:L284">TRANSPOSE(Cls1CentVMTShr)</f>
        <v>8.9762242961142352E-4</v>
      </c>
      <c r="C284" s="939">
        <v>1.2044238150123706E-3</v>
      </c>
      <c r="D284" s="939">
        <v>4.1499109643594731E-3</v>
      </c>
      <c r="E284" s="939">
        <v>1.9575808105519295E-2</v>
      </c>
      <c r="F284" s="939">
        <v>3.4523467949689302E-2</v>
      </c>
      <c r="G284" s="939">
        <v>2.7311948935134379E-2</v>
      </c>
      <c r="H284" s="939">
        <v>7.6478458482655817E-2</v>
      </c>
      <c r="I284" s="939">
        <v>3.2480526319280681E-2</v>
      </c>
      <c r="J284" s="939">
        <v>1.1772940427842455E-2</v>
      </c>
      <c r="K284" s="939">
        <v>6.0339283082965706E-3</v>
      </c>
      <c r="L284" s="940">
        <v>1.5952440951210019E-2</v>
      </c>
      <c r="M284" s="388"/>
      <c r="N284" s="334"/>
      <c r="O284" s="938">
        <f t="array" ref="O284:Y284">TRANSPOSE(Cls1NCentVMTShr)</f>
        <v>1.3589913425833078E-3</v>
      </c>
      <c r="P284" s="939">
        <v>5.8692629772239642E-3</v>
      </c>
      <c r="Q284" s="939">
        <v>1.2100393581509007E-2</v>
      </c>
      <c r="R284" s="939">
        <v>3.6555003327388577E-2</v>
      </c>
      <c r="S284" s="939">
        <v>8.3148735051829181E-2</v>
      </c>
      <c r="T284" s="939">
        <v>0.18151138394047112</v>
      </c>
      <c r="U284" s="939">
        <v>0.2383386372324876</v>
      </c>
      <c r="V284" s="939">
        <v>9.5602564448196578E-2</v>
      </c>
      <c r="W284" s="939">
        <v>2.9193025028929166E-2</v>
      </c>
      <c r="X284" s="939">
        <v>3.5209492159336005E-2</v>
      </c>
      <c r="Y284" s="940">
        <v>5.0731034221433824E-2</v>
      </c>
      <c r="Z284" s="388"/>
      <c r="AA284" s="334"/>
      <c r="AB284" s="1568" t="str">
        <f>"% of miles on f2 for Tech "&amp; RIGHT(O280)&amp;" adopters"</f>
        <v>% of miles on f2 for Tech E adopters</v>
      </c>
      <c r="AC284" s="1569"/>
      <c r="AD284" s="1570"/>
      <c r="AE284" s="937" t="s">
        <v>300</v>
      </c>
      <c r="AF284" s="937"/>
      <c r="AG284" s="937"/>
      <c r="AH284" s="1172" t="s">
        <v>311</v>
      </c>
      <c r="AI284" s="937"/>
    </row>
    <row r="285" spans="1:43" s="944" customFormat="1" ht="15" thickBot="1" x14ac:dyDescent="0.25">
      <c r="A285" s="942" t="s">
        <v>266</v>
      </c>
      <c r="B285" s="933">
        <f t="array" ref="B285:L285">TRANSPOSE(Cls1CentVMT/OPDAYS_Cls1)</f>
        <v>51.642967609234425</v>
      </c>
      <c r="C285" s="934">
        <v>110.97733417848234</v>
      </c>
      <c r="D285" s="934">
        <v>204.40224583551472</v>
      </c>
      <c r="E285" s="934">
        <v>290.24610572847212</v>
      </c>
      <c r="F285" s="934">
        <v>364.75750419264841</v>
      </c>
      <c r="G285" s="934">
        <v>443.63126889109378</v>
      </c>
      <c r="H285" s="934">
        <v>506.78134229373978</v>
      </c>
      <c r="I285" s="934">
        <v>595.71283413609137</v>
      </c>
      <c r="J285" s="934">
        <v>682.23089916089702</v>
      </c>
      <c r="K285" s="934">
        <v>765.26438827532684</v>
      </c>
      <c r="L285" s="935">
        <v>970.27871027310334</v>
      </c>
      <c r="M285" s="931"/>
      <c r="N285" s="932"/>
      <c r="O285" s="933">
        <f t="array" ref="O285:Y285">TRANSPOSE(Cls1NCentVMT/OPDAYS_Cls1)</f>
        <v>47.924548633512046</v>
      </c>
      <c r="P285" s="934">
        <v>112.56389213862748</v>
      </c>
      <c r="Q285" s="934">
        <v>214.67280220238027</v>
      </c>
      <c r="R285" s="934">
        <v>288.30186744262801</v>
      </c>
      <c r="S285" s="934">
        <v>368.60089210549245</v>
      </c>
      <c r="T285" s="934">
        <v>447.31558789932524</v>
      </c>
      <c r="U285" s="934">
        <v>511.28831950097862</v>
      </c>
      <c r="V285" s="934">
        <v>595.73726658362273</v>
      </c>
      <c r="W285" s="934">
        <v>672.11099195240695</v>
      </c>
      <c r="X285" s="934">
        <v>757.0793017898726</v>
      </c>
      <c r="Y285" s="935">
        <v>896.16800791754974</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c r="AN285" s="227"/>
      <c r="AO285" s="227"/>
      <c r="AP285" s="227"/>
      <c r="AQ285" s="227"/>
    </row>
    <row r="286" spans="1:43" ht="15" thickTop="1" x14ac:dyDescent="0.2">
      <c r="A286" s="941">
        <v>2007</v>
      </c>
      <c r="B286" s="342">
        <v>0</v>
      </c>
      <c r="C286" s="343">
        <v>0</v>
      </c>
      <c r="D286" s="343">
        <v>0</v>
      </c>
      <c r="E286" s="343">
        <v>0</v>
      </c>
      <c r="F286" s="343">
        <v>0</v>
      </c>
      <c r="G286" s="343">
        <v>0</v>
      </c>
      <c r="H286" s="343">
        <v>0</v>
      </c>
      <c r="I286" s="343">
        <v>0</v>
      </c>
      <c r="J286" s="343">
        <v>0</v>
      </c>
      <c r="K286" s="343">
        <v>0</v>
      </c>
      <c r="L286" s="379">
        <v>0</v>
      </c>
      <c r="M286" s="282">
        <f t="shared" ref="M286:M329" si="136">SUMPRODUCT($B$178:$L$178,$B286:$L286)</f>
        <v>0</v>
      </c>
      <c r="N286" s="284">
        <f t="shared" ref="N286:N329" si="137">SUMPRODUCT($B$177:$L$177,$B286:$L286)</f>
        <v>0</v>
      </c>
      <c r="O286" s="342">
        <v>0</v>
      </c>
      <c r="P286" s="343">
        <v>0</v>
      </c>
      <c r="Q286" s="343">
        <v>0</v>
      </c>
      <c r="R286" s="343">
        <v>0</v>
      </c>
      <c r="S286" s="343">
        <v>0</v>
      </c>
      <c r="T286" s="343">
        <v>0</v>
      </c>
      <c r="U286" s="343">
        <v>0</v>
      </c>
      <c r="V286" s="343">
        <v>0</v>
      </c>
      <c r="W286" s="343">
        <v>0</v>
      </c>
      <c r="X286" s="343">
        <v>0</v>
      </c>
      <c r="Y286" s="379">
        <v>0</v>
      </c>
      <c r="Z286" s="282">
        <f t="shared" ref="Z286:Z329" si="138">SUMPRODUCT($O$178:$Y$178,$O286:$Y286)</f>
        <v>0</v>
      </c>
      <c r="AA286" s="284">
        <f t="shared" ref="AA286:AA329" si="139">SUMPRODUCT($O$177:$Y$177,$O286:$Y286)</f>
        <v>0</v>
      </c>
      <c r="AB286" s="948">
        <f t="array" ref="AB286">IF(AND($AD$282=TRUE,SUM(B286:L286)&gt;0),SUMPRODUCT((((TRANSPOSE(Cls1CentDailyRng)&lt;INDEX(CDRANGE_CLS1,$A286-$A$286+1,AD$283))*TRANSPOSE(Cls1CentDailyRng)+(TRANSPOSE(Cls1CentDailyRng)&gt;INDEX(CDRANGE_CLS1,$A286-$A$286+1,AD$283))*INDEX(CDRANGE_CLS1,$A286-$A$286+1,AD$283))/TRANSPOSE(Cls1CentDailyRng)),B286:L286,TRANSPOSE(Cls1CentVMTShr))/SUMPRODUCT(B286:L286,TRANSPOSE(Cls1CentVMTShr)),0)</f>
        <v>0</v>
      </c>
      <c r="AC286" s="949">
        <f t="array" ref="AC286">IF(AND($AD$282=TRUE,SUM(O286:Y286)&gt;0),SUMPRODUCT((((TRANSPOSE(Cls1NCentDailyRng)&lt;INDEX(CDRANGE_CLS1,$A286-$A$286+1,AD$283))*TRANSPOSE(Cls1NCentDailyRng)+(TRANSPOSE(Cls1NCentDailyRng)&gt;INDEX(CDRANGE_CLS1,$A286-$A$286+1,AD$283))*INDEX(CDRANGE_CLS1,$A286-$A$286+1,AD$283))/TRANSPOSE(Cls1NCentDailyRng)),O286:Y286,TRANSPOSE(Cls1NCentVMTShr))/SUMPRODUCT(O286:Y286,TRANSPOSE(Cls1NCentVMTShr)),0)</f>
        <v>0</v>
      </c>
      <c r="AD286" s="1226">
        <f t="shared" ref="AD286:AD311" si="140">AB286*AH286+AC286*AI286</f>
        <v>0</v>
      </c>
      <c r="AE286" s="937">
        <f t="shared" ref="AE286:AE300" si="141">SUMPRODUCT($B$74:$L$74,B286:L286)</f>
        <v>0</v>
      </c>
      <c r="AF286" s="937">
        <f t="shared" ref="AF286:AF300" si="142">SUMPRODUCT($O$74:$Y$74,O286:Y286)</f>
        <v>0</v>
      </c>
      <c r="AG286" s="937">
        <f t="shared" ref="AG286:AG300" si="143">SUM(AE286:AF286)</f>
        <v>0</v>
      </c>
      <c r="AH286" s="1172">
        <f>IF(AG286&gt;0,AE286/AG286,0)</f>
        <v>0</v>
      </c>
      <c r="AI286" s="937">
        <f>IF(AG286&gt;0,AF286/AG286,0)</f>
        <v>0</v>
      </c>
      <c r="AJ286" s="944"/>
      <c r="AK286" s="944"/>
      <c r="AL286" s="944"/>
      <c r="AM286" s="944"/>
      <c r="AN286" s="944"/>
      <c r="AO286" s="944"/>
      <c r="AP286" s="944"/>
      <c r="AQ286" s="944"/>
    </row>
    <row r="287" spans="1:43" x14ac:dyDescent="0.2">
      <c r="A287" s="327">
        <v>2008</v>
      </c>
      <c r="B287" s="344">
        <v>0</v>
      </c>
      <c r="C287" s="345">
        <v>0</v>
      </c>
      <c r="D287" s="345">
        <v>0</v>
      </c>
      <c r="E287" s="345">
        <v>0</v>
      </c>
      <c r="F287" s="345">
        <v>0</v>
      </c>
      <c r="G287" s="345">
        <v>0</v>
      </c>
      <c r="H287" s="345">
        <v>0</v>
      </c>
      <c r="I287" s="345">
        <v>0</v>
      </c>
      <c r="J287" s="345">
        <v>0</v>
      </c>
      <c r="K287" s="345">
        <v>0</v>
      </c>
      <c r="L287" s="380">
        <v>0</v>
      </c>
      <c r="M287" s="296">
        <f t="shared" si="136"/>
        <v>0</v>
      </c>
      <c r="N287" s="298">
        <f t="shared" si="137"/>
        <v>0</v>
      </c>
      <c r="O287" s="344">
        <v>0</v>
      </c>
      <c r="P287" s="345">
        <v>0</v>
      </c>
      <c r="Q287" s="345">
        <v>0</v>
      </c>
      <c r="R287" s="345">
        <v>0</v>
      </c>
      <c r="S287" s="345">
        <v>0</v>
      </c>
      <c r="T287" s="345">
        <v>0</v>
      </c>
      <c r="U287" s="345">
        <v>0</v>
      </c>
      <c r="V287" s="345">
        <v>0</v>
      </c>
      <c r="W287" s="345">
        <v>0</v>
      </c>
      <c r="X287" s="345">
        <v>0</v>
      </c>
      <c r="Y287" s="380">
        <v>0</v>
      </c>
      <c r="Z287" s="296">
        <f t="shared" si="138"/>
        <v>0</v>
      </c>
      <c r="AA287" s="298">
        <f t="shared" si="139"/>
        <v>0</v>
      </c>
      <c r="AB287" s="948">
        <f t="array" ref="AB287">IF(AND($AD$282=TRUE,SUM(B287:L287)&gt;0),SUMPRODUCT((((TRANSPOSE(Cls1CentDailyRng)&lt;INDEX(CDRANGE_CLS1,$A287-$A$286+1,AD$283))*TRANSPOSE(Cls1CentDailyRng)+(TRANSPOSE(Cls1CentDailyRng)&gt;INDEX(CDRANGE_CLS1,$A287-$A$286+1,AD$283))*INDEX(CDRANGE_CLS1,$A287-$A$286+1,AD$283))/TRANSPOSE(Cls1CentDailyRng)),B287:L287,TRANSPOSE(Cls1CentVMTShr))/SUMPRODUCT(B287:L287,TRANSPOSE(Cls1CentVMTShr)),0)</f>
        <v>0</v>
      </c>
      <c r="AC287" s="949">
        <f t="array" ref="AC287">IF(AND($AD$282=TRUE,SUM(O287:Y287)&gt;0),SUMPRODUCT((((TRANSPOSE(Cls1NCentDailyRng)&lt;INDEX(CDRANGE_CLS1,$A287-$A$286+1,AD$283))*TRANSPOSE(Cls1NCentDailyRng)+(TRANSPOSE(Cls1NCentDailyRng)&gt;INDEX(CDRANGE_CLS1,$A287-$A$286+1,AD$283))*INDEX(CDRANGE_CLS1,$A287-$A$286+1,AD$283))/TRANSPOSE(Cls1NCentDailyRng)),O287:Y287,TRANSPOSE(Cls1NCentVMTShr))/SUMPRODUCT(O287:Y287,TRANSPOSE(Cls1NCentVMTShr)),0)</f>
        <v>0</v>
      </c>
      <c r="AD287" s="1226">
        <f t="shared" si="140"/>
        <v>0</v>
      </c>
      <c r="AE287" s="937">
        <f t="shared" si="141"/>
        <v>0</v>
      </c>
      <c r="AF287" s="937">
        <f t="shared" si="142"/>
        <v>0</v>
      </c>
      <c r="AG287" s="937">
        <f t="shared" si="143"/>
        <v>0</v>
      </c>
      <c r="AH287" s="1172">
        <f t="shared" ref="AH287:AH329" si="144">IF(AG287&gt;0,AE287/AG287,0)</f>
        <v>0</v>
      </c>
      <c r="AI287" s="937">
        <f t="shared" ref="AI287:AI329" si="145">IF(AG287&gt;0,AF287/AG287,0)</f>
        <v>0</v>
      </c>
    </row>
    <row r="288" spans="1:43" x14ac:dyDescent="0.2">
      <c r="A288" s="327">
        <v>2009</v>
      </c>
      <c r="B288" s="344">
        <v>0</v>
      </c>
      <c r="C288" s="345">
        <v>0</v>
      </c>
      <c r="D288" s="345">
        <v>0</v>
      </c>
      <c r="E288" s="345">
        <v>0</v>
      </c>
      <c r="F288" s="345">
        <v>0</v>
      </c>
      <c r="G288" s="345">
        <v>0</v>
      </c>
      <c r="H288" s="345">
        <v>0</v>
      </c>
      <c r="I288" s="345">
        <v>0</v>
      </c>
      <c r="J288" s="345">
        <v>0</v>
      </c>
      <c r="K288" s="345">
        <v>0</v>
      </c>
      <c r="L288" s="380">
        <v>0</v>
      </c>
      <c r="M288" s="296">
        <f t="shared" si="136"/>
        <v>0</v>
      </c>
      <c r="N288" s="298">
        <f t="shared" si="137"/>
        <v>0</v>
      </c>
      <c r="O288" s="344">
        <v>0</v>
      </c>
      <c r="P288" s="345">
        <v>0</v>
      </c>
      <c r="Q288" s="345">
        <v>0</v>
      </c>
      <c r="R288" s="345">
        <v>0</v>
      </c>
      <c r="S288" s="345">
        <v>0</v>
      </c>
      <c r="T288" s="345">
        <v>0</v>
      </c>
      <c r="U288" s="345">
        <v>0</v>
      </c>
      <c r="V288" s="345">
        <v>0</v>
      </c>
      <c r="W288" s="345">
        <v>0</v>
      </c>
      <c r="X288" s="345">
        <v>0</v>
      </c>
      <c r="Y288" s="380">
        <v>0</v>
      </c>
      <c r="Z288" s="296">
        <f t="shared" si="138"/>
        <v>0</v>
      </c>
      <c r="AA288" s="298">
        <f t="shared" si="139"/>
        <v>0</v>
      </c>
      <c r="AB288" s="948">
        <f t="array" ref="AB288">IF(AND($AD$282=TRUE,SUM(B288:L288)&gt;0),SUMPRODUCT((((TRANSPOSE(Cls1CentDailyRng)&lt;INDEX(CDRANGE_CLS1,$A288-$A$286+1,AD$283))*TRANSPOSE(Cls1CentDailyRng)+(TRANSPOSE(Cls1CentDailyRng)&gt;INDEX(CDRANGE_CLS1,$A288-$A$286+1,AD$283))*INDEX(CDRANGE_CLS1,$A288-$A$286+1,AD$283))/TRANSPOSE(Cls1CentDailyRng)),B288:L288,TRANSPOSE(Cls1CentVMTShr))/SUMPRODUCT(B288:L288,TRANSPOSE(Cls1CentVMTShr)),0)</f>
        <v>0</v>
      </c>
      <c r="AC288" s="949">
        <f t="array" ref="AC288">IF(AND($AD$282=TRUE,SUM(O288:Y288)&gt;0),SUMPRODUCT((((TRANSPOSE(Cls1NCentDailyRng)&lt;INDEX(CDRANGE_CLS1,$A288-$A$286+1,AD$283))*TRANSPOSE(Cls1NCentDailyRng)+(TRANSPOSE(Cls1NCentDailyRng)&gt;INDEX(CDRANGE_CLS1,$A288-$A$286+1,AD$283))*INDEX(CDRANGE_CLS1,$A288-$A$286+1,AD$283))/TRANSPOSE(Cls1NCentDailyRng)),O288:Y288,TRANSPOSE(Cls1NCentVMTShr))/SUMPRODUCT(O288:Y288,TRANSPOSE(Cls1NCentVMTShr)),0)</f>
        <v>0</v>
      </c>
      <c r="AD288" s="1226">
        <f t="shared" si="140"/>
        <v>0</v>
      </c>
      <c r="AE288" s="937">
        <f t="shared" si="141"/>
        <v>0</v>
      </c>
      <c r="AF288" s="937">
        <f t="shared" si="142"/>
        <v>0</v>
      </c>
      <c r="AG288" s="937">
        <f t="shared" si="143"/>
        <v>0</v>
      </c>
      <c r="AH288" s="1172">
        <f t="shared" si="144"/>
        <v>0</v>
      </c>
      <c r="AI288" s="937">
        <f t="shared" si="14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6"/>
        <v>0</v>
      </c>
      <c r="N289" s="312">
        <f t="shared" si="137"/>
        <v>0</v>
      </c>
      <c r="O289" s="346">
        <v>0</v>
      </c>
      <c r="P289" s="347">
        <v>0</v>
      </c>
      <c r="Q289" s="347">
        <v>0</v>
      </c>
      <c r="R289" s="347">
        <v>0</v>
      </c>
      <c r="S289" s="347">
        <v>0</v>
      </c>
      <c r="T289" s="347">
        <v>0</v>
      </c>
      <c r="U289" s="347">
        <v>0</v>
      </c>
      <c r="V289" s="347">
        <v>0</v>
      </c>
      <c r="W289" s="347">
        <v>0</v>
      </c>
      <c r="X289" s="347">
        <v>0</v>
      </c>
      <c r="Y289" s="381">
        <v>0</v>
      </c>
      <c r="Z289" s="310">
        <f t="shared" si="138"/>
        <v>0</v>
      </c>
      <c r="AA289" s="312">
        <f t="shared" si="139"/>
        <v>0</v>
      </c>
      <c r="AB289" s="948">
        <f t="array" ref="AB289">IF(AND($AD$282=TRUE,SUM(B289:L289)&gt;0),SUMPRODUCT((((TRANSPOSE(Cls1CentDailyRng)&lt;INDEX(CDRANGE_CLS1,$A289-$A$286+1,AD$283))*TRANSPOSE(Cls1CentDailyRng)+(TRANSPOSE(Cls1CentDailyRng)&gt;INDEX(CDRANGE_CLS1,$A289-$A$286+1,AD$283))*INDEX(CDRANGE_CLS1,$A289-$A$286+1,AD$283))/TRANSPOSE(Cls1CentDailyRng)),B289:L289,TRANSPOSE(Cls1CentVMTShr))/SUMPRODUCT(B289:L289,TRANSPOSE(Cls1CentVMTShr)),0)</f>
        <v>0</v>
      </c>
      <c r="AC289" s="949">
        <f t="array" ref="AC289">IF(AND($AD$282=TRUE,SUM(O289:Y289)&gt;0),SUMPRODUCT((((TRANSPOSE(Cls1NCentDailyRng)&lt;INDEX(CDRANGE_CLS1,$A289-$A$286+1,AD$283))*TRANSPOSE(Cls1NCentDailyRng)+(TRANSPOSE(Cls1NCentDailyRng)&gt;INDEX(CDRANGE_CLS1,$A289-$A$286+1,AD$283))*INDEX(CDRANGE_CLS1,$A289-$A$286+1,AD$283))/TRANSPOSE(Cls1NCentDailyRng)),O289:Y289,TRANSPOSE(Cls1NCentVMTShr))/SUMPRODUCT(O289:Y289,TRANSPOSE(Cls1NCentVMTShr)),0)</f>
        <v>0</v>
      </c>
      <c r="AD289" s="1226">
        <f t="shared" si="140"/>
        <v>0</v>
      </c>
      <c r="AE289" s="937">
        <f t="shared" si="141"/>
        <v>0</v>
      </c>
      <c r="AF289" s="937">
        <f t="shared" si="142"/>
        <v>0</v>
      </c>
      <c r="AG289" s="937">
        <f t="shared" si="143"/>
        <v>0</v>
      </c>
      <c r="AH289" s="1172">
        <f t="shared" si="144"/>
        <v>0</v>
      </c>
      <c r="AI289" s="937">
        <f t="shared" si="14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6"/>
        <v>0</v>
      </c>
      <c r="N290" s="284">
        <f t="shared" si="137"/>
        <v>0</v>
      </c>
      <c r="O290" s="342">
        <v>0</v>
      </c>
      <c r="P290" s="343">
        <v>0</v>
      </c>
      <c r="Q290" s="343">
        <v>0</v>
      </c>
      <c r="R290" s="343">
        <v>0</v>
      </c>
      <c r="S290" s="343">
        <v>0</v>
      </c>
      <c r="T290" s="343">
        <v>0</v>
      </c>
      <c r="U290" s="343">
        <v>0</v>
      </c>
      <c r="V290" s="343">
        <v>0</v>
      </c>
      <c r="W290" s="343">
        <v>0</v>
      </c>
      <c r="X290" s="343">
        <v>0</v>
      </c>
      <c r="Y290" s="379">
        <v>0</v>
      </c>
      <c r="Z290" s="282">
        <f t="shared" si="138"/>
        <v>0</v>
      </c>
      <c r="AA290" s="284">
        <f t="shared" si="139"/>
        <v>0</v>
      </c>
      <c r="AB290" s="948">
        <f t="array" ref="AB290">IF(AND($AD$282=TRUE,SUM(B290:L290)&gt;0),SUMPRODUCT((((TRANSPOSE(Cls1CentDailyRng)&lt;INDEX(CDRANGE_CLS1,$A290-$A$286+1,AD$283))*TRANSPOSE(Cls1CentDailyRng)+(TRANSPOSE(Cls1CentDailyRng)&gt;INDEX(CDRANGE_CLS1,$A290-$A$286+1,AD$283))*INDEX(CDRANGE_CLS1,$A290-$A$286+1,AD$283))/TRANSPOSE(Cls1CentDailyRng)),B290:L290,TRANSPOSE(Cls1CentVMTShr))/SUMPRODUCT(B290:L290,TRANSPOSE(Cls1CentVMTShr)),0)</f>
        <v>0</v>
      </c>
      <c r="AC290" s="949">
        <f t="array" ref="AC290">IF(AND($AD$282=TRUE,SUM(O290:Y290)&gt;0),SUMPRODUCT((((TRANSPOSE(Cls1NCentDailyRng)&lt;INDEX(CDRANGE_CLS1,$A290-$A$286+1,AD$283))*TRANSPOSE(Cls1NCentDailyRng)+(TRANSPOSE(Cls1NCentDailyRng)&gt;INDEX(CDRANGE_CLS1,$A290-$A$286+1,AD$283))*INDEX(CDRANGE_CLS1,$A290-$A$286+1,AD$283))/TRANSPOSE(Cls1NCentDailyRng)),O290:Y290,TRANSPOSE(Cls1NCentVMTShr))/SUMPRODUCT(O290:Y290,TRANSPOSE(Cls1NCentVMTShr)),0)</f>
        <v>0</v>
      </c>
      <c r="AD290" s="1226">
        <f t="shared" si="140"/>
        <v>0</v>
      </c>
      <c r="AE290" s="937">
        <f t="shared" si="141"/>
        <v>0</v>
      </c>
      <c r="AF290" s="937">
        <f t="shared" si="142"/>
        <v>0</v>
      </c>
      <c r="AG290" s="937">
        <f t="shared" si="143"/>
        <v>0</v>
      </c>
      <c r="AH290" s="1172">
        <f t="shared" si="144"/>
        <v>0</v>
      </c>
      <c r="AI290" s="937">
        <f t="shared" si="14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6"/>
        <v>0</v>
      </c>
      <c r="N291" s="298">
        <f t="shared" si="137"/>
        <v>0</v>
      </c>
      <c r="O291" s="344">
        <v>0</v>
      </c>
      <c r="P291" s="345">
        <v>0</v>
      </c>
      <c r="Q291" s="345">
        <v>0</v>
      </c>
      <c r="R291" s="345">
        <v>0</v>
      </c>
      <c r="S291" s="345">
        <v>0</v>
      </c>
      <c r="T291" s="345">
        <v>0</v>
      </c>
      <c r="U291" s="345">
        <v>0</v>
      </c>
      <c r="V291" s="345">
        <v>0</v>
      </c>
      <c r="W291" s="345">
        <v>0</v>
      </c>
      <c r="X291" s="345">
        <v>0</v>
      </c>
      <c r="Y291" s="380">
        <v>0</v>
      </c>
      <c r="Z291" s="296">
        <f t="shared" si="138"/>
        <v>0</v>
      </c>
      <c r="AA291" s="298">
        <f t="shared" si="139"/>
        <v>0</v>
      </c>
      <c r="AB291" s="948">
        <f t="array" ref="AB291">IF(AND($AD$282=TRUE,SUM(B291:L291)&gt;0),SUMPRODUCT((((TRANSPOSE(Cls1CentDailyRng)&lt;INDEX(CDRANGE_CLS1,$A291-$A$286+1,AD$283))*TRANSPOSE(Cls1CentDailyRng)+(TRANSPOSE(Cls1CentDailyRng)&gt;INDEX(CDRANGE_CLS1,$A291-$A$286+1,AD$283))*INDEX(CDRANGE_CLS1,$A291-$A$286+1,AD$283))/TRANSPOSE(Cls1CentDailyRng)),B291:L291,TRANSPOSE(Cls1CentVMTShr))/SUMPRODUCT(B291:L291,TRANSPOSE(Cls1CentVMTShr)),0)</f>
        <v>0</v>
      </c>
      <c r="AC291" s="949">
        <f t="array" ref="AC291">IF(AND($AD$282=TRUE,SUM(O291:Y291)&gt;0),SUMPRODUCT((((TRANSPOSE(Cls1NCentDailyRng)&lt;INDEX(CDRANGE_CLS1,$A291-$A$286+1,AD$283))*TRANSPOSE(Cls1NCentDailyRng)+(TRANSPOSE(Cls1NCentDailyRng)&gt;INDEX(CDRANGE_CLS1,$A291-$A$286+1,AD$283))*INDEX(CDRANGE_CLS1,$A291-$A$286+1,AD$283))/TRANSPOSE(Cls1NCentDailyRng)),O291:Y291,TRANSPOSE(Cls1NCentVMTShr))/SUMPRODUCT(O291:Y291,TRANSPOSE(Cls1NCentVMTShr)),0)</f>
        <v>0</v>
      </c>
      <c r="AD291" s="1226">
        <f t="shared" si="140"/>
        <v>0</v>
      </c>
      <c r="AE291" s="937">
        <f t="shared" si="141"/>
        <v>0</v>
      </c>
      <c r="AF291" s="937">
        <f t="shared" si="142"/>
        <v>0</v>
      </c>
      <c r="AG291" s="937">
        <f t="shared" si="143"/>
        <v>0</v>
      </c>
      <c r="AH291" s="1172">
        <f t="shared" si="144"/>
        <v>0</v>
      </c>
      <c r="AI291" s="937">
        <f t="shared" si="14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6"/>
        <v>0</v>
      </c>
      <c r="N292" s="298">
        <f t="shared" si="137"/>
        <v>0</v>
      </c>
      <c r="O292" s="344">
        <v>0</v>
      </c>
      <c r="P292" s="345">
        <v>0</v>
      </c>
      <c r="Q292" s="345">
        <v>0</v>
      </c>
      <c r="R292" s="345">
        <v>0</v>
      </c>
      <c r="S292" s="345">
        <v>0</v>
      </c>
      <c r="T292" s="345">
        <v>0</v>
      </c>
      <c r="U292" s="345">
        <v>0</v>
      </c>
      <c r="V292" s="345">
        <v>0</v>
      </c>
      <c r="W292" s="345">
        <v>0</v>
      </c>
      <c r="X292" s="345">
        <v>0</v>
      </c>
      <c r="Y292" s="380">
        <v>0</v>
      </c>
      <c r="Z292" s="296">
        <f t="shared" si="138"/>
        <v>0</v>
      </c>
      <c r="AA292" s="298">
        <f t="shared" si="139"/>
        <v>0</v>
      </c>
      <c r="AB292" s="948">
        <f t="array" ref="AB292">IF(AND($AD$282=TRUE,SUM(B292:L292)&gt;0),SUMPRODUCT((((TRANSPOSE(Cls1CentDailyRng)&lt;INDEX(CDRANGE_CLS1,$A292-$A$286+1,AD$283))*TRANSPOSE(Cls1CentDailyRng)+(TRANSPOSE(Cls1CentDailyRng)&gt;INDEX(CDRANGE_CLS1,$A292-$A$286+1,AD$283))*INDEX(CDRANGE_CLS1,$A292-$A$286+1,AD$283))/TRANSPOSE(Cls1CentDailyRng)),B292:L292,TRANSPOSE(Cls1CentVMTShr))/SUMPRODUCT(B292:L292,TRANSPOSE(Cls1CentVMTShr)),0)</f>
        <v>0</v>
      </c>
      <c r="AC292" s="949">
        <f t="array" ref="AC292">IF(AND($AD$282=TRUE,SUM(O292:Y292)&gt;0),SUMPRODUCT((((TRANSPOSE(Cls1NCentDailyRng)&lt;INDEX(CDRANGE_CLS1,$A292-$A$286+1,AD$283))*TRANSPOSE(Cls1NCentDailyRng)+(TRANSPOSE(Cls1NCentDailyRng)&gt;INDEX(CDRANGE_CLS1,$A292-$A$286+1,AD$283))*INDEX(CDRANGE_CLS1,$A292-$A$286+1,AD$283))/TRANSPOSE(Cls1NCentDailyRng)),O292:Y292,TRANSPOSE(Cls1NCentVMTShr))/SUMPRODUCT(O292:Y292,TRANSPOSE(Cls1NCentVMTShr)),0)</f>
        <v>0</v>
      </c>
      <c r="AD292" s="1226">
        <f t="shared" si="140"/>
        <v>0</v>
      </c>
      <c r="AE292" s="937">
        <f t="shared" si="141"/>
        <v>0</v>
      </c>
      <c r="AF292" s="937">
        <f t="shared" si="142"/>
        <v>0</v>
      </c>
      <c r="AG292" s="937">
        <f t="shared" si="143"/>
        <v>0</v>
      </c>
      <c r="AH292" s="1172">
        <f t="shared" si="144"/>
        <v>0</v>
      </c>
      <c r="AI292" s="937">
        <f t="shared" si="14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6"/>
        <v>0</v>
      </c>
      <c r="N293" s="298">
        <f t="shared" si="137"/>
        <v>0</v>
      </c>
      <c r="O293" s="344">
        <v>0</v>
      </c>
      <c r="P293" s="345">
        <v>0</v>
      </c>
      <c r="Q293" s="345">
        <v>0</v>
      </c>
      <c r="R293" s="345">
        <v>0</v>
      </c>
      <c r="S293" s="345">
        <v>0</v>
      </c>
      <c r="T293" s="345">
        <v>0</v>
      </c>
      <c r="U293" s="345">
        <v>0</v>
      </c>
      <c r="V293" s="345">
        <v>0</v>
      </c>
      <c r="W293" s="345">
        <v>0</v>
      </c>
      <c r="X293" s="345">
        <v>0</v>
      </c>
      <c r="Y293" s="380">
        <v>0</v>
      </c>
      <c r="Z293" s="296">
        <f t="shared" si="138"/>
        <v>0</v>
      </c>
      <c r="AA293" s="298">
        <f t="shared" si="139"/>
        <v>0</v>
      </c>
      <c r="AB293" s="948">
        <f t="array" ref="AB293">IF(AND($AD$282=TRUE,SUM(B293:L293)&gt;0),SUMPRODUCT((((TRANSPOSE(Cls1CentDailyRng)&lt;INDEX(CDRANGE_CLS1,$A293-$A$286+1,AD$283))*TRANSPOSE(Cls1CentDailyRng)+(TRANSPOSE(Cls1CentDailyRng)&gt;INDEX(CDRANGE_CLS1,$A293-$A$286+1,AD$283))*INDEX(CDRANGE_CLS1,$A293-$A$286+1,AD$283))/TRANSPOSE(Cls1CentDailyRng)),B293:L293,TRANSPOSE(Cls1CentVMTShr))/SUMPRODUCT(B293:L293,TRANSPOSE(Cls1CentVMTShr)),0)</f>
        <v>0</v>
      </c>
      <c r="AC293" s="949">
        <f t="array" ref="AC293">IF(AND($AD$282=TRUE,SUM(O293:Y293)&gt;0),SUMPRODUCT((((TRANSPOSE(Cls1NCentDailyRng)&lt;INDEX(CDRANGE_CLS1,$A293-$A$286+1,AD$283))*TRANSPOSE(Cls1NCentDailyRng)+(TRANSPOSE(Cls1NCentDailyRng)&gt;INDEX(CDRANGE_CLS1,$A293-$A$286+1,AD$283))*INDEX(CDRANGE_CLS1,$A293-$A$286+1,AD$283))/TRANSPOSE(Cls1NCentDailyRng)),O293:Y293,TRANSPOSE(Cls1NCentVMTShr))/SUMPRODUCT(O293:Y293,TRANSPOSE(Cls1NCentVMTShr)),0)</f>
        <v>0</v>
      </c>
      <c r="AD293" s="1226">
        <f t="shared" si="140"/>
        <v>0</v>
      </c>
      <c r="AE293" s="937">
        <f t="shared" si="141"/>
        <v>0</v>
      </c>
      <c r="AF293" s="937">
        <f t="shared" si="142"/>
        <v>0</v>
      </c>
      <c r="AG293" s="937">
        <f t="shared" si="143"/>
        <v>0</v>
      </c>
      <c r="AH293" s="1172">
        <f t="shared" si="144"/>
        <v>0</v>
      </c>
      <c r="AI293" s="937">
        <f t="shared" si="14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6"/>
        <v>0</v>
      </c>
      <c r="N294" s="312">
        <f t="shared" si="137"/>
        <v>0</v>
      </c>
      <c r="O294" s="346">
        <v>0</v>
      </c>
      <c r="P294" s="347">
        <v>0</v>
      </c>
      <c r="Q294" s="347">
        <v>0</v>
      </c>
      <c r="R294" s="347">
        <v>0</v>
      </c>
      <c r="S294" s="347">
        <v>0</v>
      </c>
      <c r="T294" s="347">
        <v>0</v>
      </c>
      <c r="U294" s="347">
        <v>0</v>
      </c>
      <c r="V294" s="347">
        <v>0</v>
      </c>
      <c r="W294" s="347">
        <v>0</v>
      </c>
      <c r="X294" s="347">
        <v>0</v>
      </c>
      <c r="Y294" s="381">
        <v>0</v>
      </c>
      <c r="Z294" s="310">
        <f t="shared" si="138"/>
        <v>0</v>
      </c>
      <c r="AA294" s="312">
        <f t="shared" si="139"/>
        <v>0</v>
      </c>
      <c r="AB294" s="948">
        <f t="array" ref="AB294">IF(AND($AD$282=TRUE,SUM(B294:L294)&gt;0),SUMPRODUCT((((TRANSPOSE(Cls1CentDailyRng)&lt;INDEX(CDRANGE_CLS1,$A294-$A$286+1,AD$283))*TRANSPOSE(Cls1CentDailyRng)+(TRANSPOSE(Cls1CentDailyRng)&gt;INDEX(CDRANGE_CLS1,$A294-$A$286+1,AD$283))*INDEX(CDRANGE_CLS1,$A294-$A$286+1,AD$283))/TRANSPOSE(Cls1CentDailyRng)),B294:L294,TRANSPOSE(Cls1CentVMTShr))/SUMPRODUCT(B294:L294,TRANSPOSE(Cls1CentVMTShr)),0)</f>
        <v>0</v>
      </c>
      <c r="AC294" s="949">
        <f t="array" ref="AC294">IF(AND($AD$282=TRUE,SUM(O294:Y294)&gt;0),SUMPRODUCT((((TRANSPOSE(Cls1NCentDailyRng)&lt;INDEX(CDRANGE_CLS1,$A294-$A$286+1,AD$283))*TRANSPOSE(Cls1NCentDailyRng)+(TRANSPOSE(Cls1NCentDailyRng)&gt;INDEX(CDRANGE_CLS1,$A294-$A$286+1,AD$283))*INDEX(CDRANGE_CLS1,$A294-$A$286+1,AD$283))/TRANSPOSE(Cls1NCentDailyRng)),O294:Y294,TRANSPOSE(Cls1NCentVMTShr))/SUMPRODUCT(O294:Y294,TRANSPOSE(Cls1NCentVMTShr)),0)</f>
        <v>0</v>
      </c>
      <c r="AD294" s="1226">
        <f t="shared" si="140"/>
        <v>0</v>
      </c>
      <c r="AE294" s="937">
        <f t="shared" si="141"/>
        <v>0</v>
      </c>
      <c r="AF294" s="937">
        <f t="shared" si="142"/>
        <v>0</v>
      </c>
      <c r="AG294" s="937">
        <f t="shared" si="143"/>
        <v>0</v>
      </c>
      <c r="AH294" s="1172">
        <f t="shared" si="144"/>
        <v>0</v>
      </c>
      <c r="AI294" s="937">
        <f t="shared" si="14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6"/>
        <v>0</v>
      </c>
      <c r="N295" s="284">
        <f t="shared" si="137"/>
        <v>0</v>
      </c>
      <c r="O295" s="342">
        <v>0</v>
      </c>
      <c r="P295" s="343">
        <v>0</v>
      </c>
      <c r="Q295" s="343">
        <v>0</v>
      </c>
      <c r="R295" s="343">
        <v>0</v>
      </c>
      <c r="S295" s="343">
        <v>0</v>
      </c>
      <c r="T295" s="343">
        <v>0</v>
      </c>
      <c r="U295" s="343">
        <v>0</v>
      </c>
      <c r="V295" s="343">
        <v>0</v>
      </c>
      <c r="W295" s="343">
        <v>0</v>
      </c>
      <c r="X295" s="343">
        <v>0</v>
      </c>
      <c r="Y295" s="379">
        <v>0</v>
      </c>
      <c r="Z295" s="282">
        <f t="shared" si="138"/>
        <v>0</v>
      </c>
      <c r="AA295" s="284">
        <f t="shared" si="139"/>
        <v>0</v>
      </c>
      <c r="AB295" s="948">
        <f t="array" ref="AB295">IF(AND($AD$282=TRUE,SUM(B295:L295)&gt;0),SUMPRODUCT((((TRANSPOSE(Cls1CentDailyRng)&lt;INDEX(CDRANGE_CLS1,$A295-$A$286+1,AD$283))*TRANSPOSE(Cls1CentDailyRng)+(TRANSPOSE(Cls1CentDailyRng)&gt;INDEX(CDRANGE_CLS1,$A295-$A$286+1,AD$283))*INDEX(CDRANGE_CLS1,$A295-$A$286+1,AD$283))/TRANSPOSE(Cls1CentDailyRng)),B295:L295,TRANSPOSE(Cls1CentVMTShr))/SUMPRODUCT(B295:L295,TRANSPOSE(Cls1CentVMTShr)),0)</f>
        <v>0</v>
      </c>
      <c r="AC295" s="949">
        <f t="array" ref="AC295">IF(AND($AD$282=TRUE,SUM(O295:Y295)&gt;0),SUMPRODUCT((((TRANSPOSE(Cls1NCentDailyRng)&lt;INDEX(CDRANGE_CLS1,$A295-$A$286+1,AD$283))*TRANSPOSE(Cls1NCentDailyRng)+(TRANSPOSE(Cls1NCentDailyRng)&gt;INDEX(CDRANGE_CLS1,$A295-$A$286+1,AD$283))*INDEX(CDRANGE_CLS1,$A295-$A$286+1,AD$283))/TRANSPOSE(Cls1NCentDailyRng)),O295:Y295,TRANSPOSE(Cls1NCentVMTShr))/SUMPRODUCT(O295:Y295,TRANSPOSE(Cls1NCentVMTShr)),0)</f>
        <v>0</v>
      </c>
      <c r="AD295" s="1226">
        <f t="shared" si="140"/>
        <v>0</v>
      </c>
      <c r="AE295" s="937">
        <f t="shared" si="141"/>
        <v>0</v>
      </c>
      <c r="AF295" s="937">
        <f t="shared" si="142"/>
        <v>0</v>
      </c>
      <c r="AG295" s="937">
        <f t="shared" si="143"/>
        <v>0</v>
      </c>
      <c r="AH295" s="1172">
        <f t="shared" si="144"/>
        <v>0</v>
      </c>
      <c r="AI295" s="937">
        <f t="shared" si="14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6"/>
        <v>0</v>
      </c>
      <c r="N296" s="298">
        <f t="shared" si="137"/>
        <v>0</v>
      </c>
      <c r="O296" s="344">
        <v>0</v>
      </c>
      <c r="P296" s="345">
        <v>0</v>
      </c>
      <c r="Q296" s="345">
        <v>0</v>
      </c>
      <c r="R296" s="345">
        <v>0</v>
      </c>
      <c r="S296" s="345">
        <v>0</v>
      </c>
      <c r="T296" s="345">
        <v>0</v>
      </c>
      <c r="U296" s="345">
        <v>0</v>
      </c>
      <c r="V296" s="345">
        <v>0</v>
      </c>
      <c r="W296" s="345">
        <v>0</v>
      </c>
      <c r="X296" s="345">
        <v>0</v>
      </c>
      <c r="Y296" s="380">
        <v>0</v>
      </c>
      <c r="Z296" s="296">
        <f t="shared" si="138"/>
        <v>0</v>
      </c>
      <c r="AA296" s="298">
        <f t="shared" si="139"/>
        <v>0</v>
      </c>
      <c r="AB296" s="948">
        <f t="array" ref="AB296">IF(AND($AD$282=TRUE,SUM(B296:L296)&gt;0),SUMPRODUCT((((TRANSPOSE(Cls1CentDailyRng)&lt;INDEX(CDRANGE_CLS1,$A296-$A$286+1,AD$283))*TRANSPOSE(Cls1CentDailyRng)+(TRANSPOSE(Cls1CentDailyRng)&gt;INDEX(CDRANGE_CLS1,$A296-$A$286+1,AD$283))*INDEX(CDRANGE_CLS1,$A296-$A$286+1,AD$283))/TRANSPOSE(Cls1CentDailyRng)),B296:L296,TRANSPOSE(Cls1CentVMTShr))/SUMPRODUCT(B296:L296,TRANSPOSE(Cls1CentVMTShr)),0)</f>
        <v>0</v>
      </c>
      <c r="AC296" s="949">
        <f t="array" ref="AC296">IF(AND($AD$282=TRUE,SUM(O296:Y296)&gt;0),SUMPRODUCT((((TRANSPOSE(Cls1NCentDailyRng)&lt;INDEX(CDRANGE_CLS1,$A296-$A$286+1,AD$283))*TRANSPOSE(Cls1NCentDailyRng)+(TRANSPOSE(Cls1NCentDailyRng)&gt;INDEX(CDRANGE_CLS1,$A296-$A$286+1,AD$283))*INDEX(CDRANGE_CLS1,$A296-$A$286+1,AD$283))/TRANSPOSE(Cls1NCentDailyRng)),O296:Y296,TRANSPOSE(Cls1NCentVMTShr))/SUMPRODUCT(O296:Y296,TRANSPOSE(Cls1NCentVMTShr)),0)</f>
        <v>0</v>
      </c>
      <c r="AD296" s="1226">
        <f t="shared" si="140"/>
        <v>0</v>
      </c>
      <c r="AE296" s="937">
        <f t="shared" si="141"/>
        <v>0</v>
      </c>
      <c r="AF296" s="937">
        <f t="shared" si="142"/>
        <v>0</v>
      </c>
      <c r="AG296" s="937">
        <f t="shared" si="143"/>
        <v>0</v>
      </c>
      <c r="AH296" s="1172">
        <f t="shared" si="144"/>
        <v>0</v>
      </c>
      <c r="AI296" s="937">
        <f t="shared" si="14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6"/>
        <v>0</v>
      </c>
      <c r="N297" s="298">
        <f t="shared" si="137"/>
        <v>0</v>
      </c>
      <c r="O297" s="344">
        <v>0</v>
      </c>
      <c r="P297" s="345">
        <v>0</v>
      </c>
      <c r="Q297" s="345">
        <v>0</v>
      </c>
      <c r="R297" s="345">
        <v>0</v>
      </c>
      <c r="S297" s="345">
        <v>0</v>
      </c>
      <c r="T297" s="345">
        <v>0</v>
      </c>
      <c r="U297" s="345">
        <v>0</v>
      </c>
      <c r="V297" s="345">
        <v>0</v>
      </c>
      <c r="W297" s="345">
        <v>0</v>
      </c>
      <c r="X297" s="345">
        <v>0</v>
      </c>
      <c r="Y297" s="380">
        <v>0</v>
      </c>
      <c r="Z297" s="296">
        <f t="shared" si="138"/>
        <v>0</v>
      </c>
      <c r="AA297" s="298">
        <f t="shared" si="139"/>
        <v>0</v>
      </c>
      <c r="AB297" s="948">
        <f t="array" ref="AB297">IF(AND($AD$282=TRUE,SUM(B297:L297)&gt;0),SUMPRODUCT((((TRANSPOSE(Cls1CentDailyRng)&lt;INDEX(CDRANGE_CLS1,$A297-$A$286+1,AD$283))*TRANSPOSE(Cls1CentDailyRng)+(TRANSPOSE(Cls1CentDailyRng)&gt;INDEX(CDRANGE_CLS1,$A297-$A$286+1,AD$283))*INDEX(CDRANGE_CLS1,$A297-$A$286+1,AD$283))/TRANSPOSE(Cls1CentDailyRng)),B297:L297,TRANSPOSE(Cls1CentVMTShr))/SUMPRODUCT(B297:L297,TRANSPOSE(Cls1CentVMTShr)),0)</f>
        <v>0</v>
      </c>
      <c r="AC297" s="949">
        <f t="array" ref="AC297">IF(AND($AD$282=TRUE,SUM(O297:Y297)&gt;0),SUMPRODUCT((((TRANSPOSE(Cls1NCentDailyRng)&lt;INDEX(CDRANGE_CLS1,$A297-$A$286+1,AD$283))*TRANSPOSE(Cls1NCentDailyRng)+(TRANSPOSE(Cls1NCentDailyRng)&gt;INDEX(CDRANGE_CLS1,$A297-$A$286+1,AD$283))*INDEX(CDRANGE_CLS1,$A297-$A$286+1,AD$283))/TRANSPOSE(Cls1NCentDailyRng)),O297:Y297,TRANSPOSE(Cls1NCentVMTShr))/SUMPRODUCT(O297:Y297,TRANSPOSE(Cls1NCentVMTShr)),0)</f>
        <v>0</v>
      </c>
      <c r="AD297" s="1226">
        <f t="shared" si="140"/>
        <v>0</v>
      </c>
      <c r="AE297" s="937">
        <f t="shared" si="141"/>
        <v>0</v>
      </c>
      <c r="AF297" s="937">
        <f t="shared" si="142"/>
        <v>0</v>
      </c>
      <c r="AG297" s="937">
        <f t="shared" si="143"/>
        <v>0</v>
      </c>
      <c r="AH297" s="1172">
        <f t="shared" si="144"/>
        <v>0</v>
      </c>
      <c r="AI297" s="937">
        <f t="shared" si="14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6"/>
        <v>0</v>
      </c>
      <c r="N298" s="298">
        <f t="shared" si="137"/>
        <v>0</v>
      </c>
      <c r="O298" s="344">
        <v>0</v>
      </c>
      <c r="P298" s="345">
        <v>0</v>
      </c>
      <c r="Q298" s="345">
        <v>0</v>
      </c>
      <c r="R298" s="345">
        <v>0</v>
      </c>
      <c r="S298" s="345">
        <v>0</v>
      </c>
      <c r="T298" s="345">
        <v>0</v>
      </c>
      <c r="U298" s="345">
        <v>0</v>
      </c>
      <c r="V298" s="345">
        <v>0</v>
      </c>
      <c r="W298" s="345">
        <v>0</v>
      </c>
      <c r="X298" s="345">
        <v>0</v>
      </c>
      <c r="Y298" s="380">
        <v>0</v>
      </c>
      <c r="Z298" s="296">
        <f t="shared" si="138"/>
        <v>0</v>
      </c>
      <c r="AA298" s="298">
        <f t="shared" si="139"/>
        <v>0</v>
      </c>
      <c r="AB298" s="948">
        <f t="array" ref="AB298">IF(AND($AD$282=TRUE,SUM(B298:L298)&gt;0),SUMPRODUCT((((TRANSPOSE(Cls1CentDailyRng)&lt;INDEX(CDRANGE_CLS1,$A298-$A$286+1,AD$283))*TRANSPOSE(Cls1CentDailyRng)+(TRANSPOSE(Cls1CentDailyRng)&gt;INDEX(CDRANGE_CLS1,$A298-$A$286+1,AD$283))*INDEX(CDRANGE_CLS1,$A298-$A$286+1,AD$283))/TRANSPOSE(Cls1CentDailyRng)),B298:L298,TRANSPOSE(Cls1CentVMTShr))/SUMPRODUCT(B298:L298,TRANSPOSE(Cls1CentVMTShr)),0)</f>
        <v>0</v>
      </c>
      <c r="AC298" s="949">
        <f t="array" ref="AC298">IF(AND($AD$282=TRUE,SUM(O298:Y298)&gt;0),SUMPRODUCT((((TRANSPOSE(Cls1NCentDailyRng)&lt;INDEX(CDRANGE_CLS1,$A298-$A$286+1,AD$283))*TRANSPOSE(Cls1NCentDailyRng)+(TRANSPOSE(Cls1NCentDailyRng)&gt;INDEX(CDRANGE_CLS1,$A298-$A$286+1,AD$283))*INDEX(CDRANGE_CLS1,$A298-$A$286+1,AD$283))/TRANSPOSE(Cls1NCentDailyRng)),O298:Y298,TRANSPOSE(Cls1NCentVMTShr))/SUMPRODUCT(O298:Y298,TRANSPOSE(Cls1NCentVMTShr)),0)</f>
        <v>0</v>
      </c>
      <c r="AD298" s="1226">
        <f t="shared" si="140"/>
        <v>0</v>
      </c>
      <c r="AE298" s="937">
        <f t="shared" si="141"/>
        <v>0</v>
      </c>
      <c r="AF298" s="937">
        <f t="shared" si="142"/>
        <v>0</v>
      </c>
      <c r="AG298" s="937">
        <f t="shared" si="143"/>
        <v>0</v>
      </c>
      <c r="AH298" s="1172">
        <f t="shared" si="144"/>
        <v>0</v>
      </c>
      <c r="AI298" s="937">
        <f t="shared" si="14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6"/>
        <v>0</v>
      </c>
      <c r="N299" s="312">
        <f t="shared" si="137"/>
        <v>0</v>
      </c>
      <c r="O299" s="346">
        <v>0</v>
      </c>
      <c r="P299" s="347">
        <v>0</v>
      </c>
      <c r="Q299" s="347">
        <v>0</v>
      </c>
      <c r="R299" s="347">
        <v>0</v>
      </c>
      <c r="S299" s="347">
        <v>0</v>
      </c>
      <c r="T299" s="347">
        <v>0</v>
      </c>
      <c r="U299" s="347">
        <v>0</v>
      </c>
      <c r="V299" s="347">
        <v>0</v>
      </c>
      <c r="W299" s="347">
        <v>0</v>
      </c>
      <c r="X299" s="347">
        <v>0</v>
      </c>
      <c r="Y299" s="381">
        <v>0</v>
      </c>
      <c r="Z299" s="310">
        <f t="shared" si="138"/>
        <v>0</v>
      </c>
      <c r="AA299" s="312">
        <f t="shared" si="139"/>
        <v>0</v>
      </c>
      <c r="AB299" s="948">
        <f t="array" ref="AB299">IF(AND($AD$282=TRUE,SUM(B299:L299)&gt;0),SUMPRODUCT((((TRANSPOSE(Cls1CentDailyRng)&lt;INDEX(CDRANGE_CLS1,$A299-$A$286+1,AD$283))*TRANSPOSE(Cls1CentDailyRng)+(TRANSPOSE(Cls1CentDailyRng)&gt;INDEX(CDRANGE_CLS1,$A299-$A$286+1,AD$283))*INDEX(CDRANGE_CLS1,$A299-$A$286+1,AD$283))/TRANSPOSE(Cls1CentDailyRng)),B299:L299,TRANSPOSE(Cls1CentVMTShr))/SUMPRODUCT(B299:L299,TRANSPOSE(Cls1CentVMTShr)),0)</f>
        <v>0</v>
      </c>
      <c r="AC299" s="949">
        <f t="array" ref="AC299">IF(AND($AD$282=TRUE,SUM(O299:Y299)&gt;0),SUMPRODUCT((((TRANSPOSE(Cls1NCentDailyRng)&lt;INDEX(CDRANGE_CLS1,$A299-$A$286+1,AD$283))*TRANSPOSE(Cls1NCentDailyRng)+(TRANSPOSE(Cls1NCentDailyRng)&gt;INDEX(CDRANGE_CLS1,$A299-$A$286+1,AD$283))*INDEX(CDRANGE_CLS1,$A299-$A$286+1,AD$283))/TRANSPOSE(Cls1NCentDailyRng)),O299:Y299,TRANSPOSE(Cls1NCentVMTShr))/SUMPRODUCT(O299:Y299,TRANSPOSE(Cls1NCentVMTShr)),0)</f>
        <v>0</v>
      </c>
      <c r="AD299" s="1226">
        <f t="shared" si="140"/>
        <v>0</v>
      </c>
      <c r="AE299" s="937">
        <f t="shared" si="141"/>
        <v>0</v>
      </c>
      <c r="AF299" s="937">
        <f t="shared" si="142"/>
        <v>0</v>
      </c>
      <c r="AG299" s="937">
        <f t="shared" si="143"/>
        <v>0</v>
      </c>
      <c r="AH299" s="1172">
        <f t="shared" si="144"/>
        <v>0</v>
      </c>
      <c r="AI299" s="937">
        <f t="shared" si="14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6"/>
        <v>0</v>
      </c>
      <c r="N300" s="284">
        <f t="shared" si="137"/>
        <v>0</v>
      </c>
      <c r="O300" s="342">
        <v>0</v>
      </c>
      <c r="P300" s="343">
        <v>0</v>
      </c>
      <c r="Q300" s="343">
        <v>0</v>
      </c>
      <c r="R300" s="343">
        <v>0</v>
      </c>
      <c r="S300" s="343">
        <v>0</v>
      </c>
      <c r="T300" s="343">
        <v>0</v>
      </c>
      <c r="U300" s="343">
        <v>0</v>
      </c>
      <c r="V300" s="343">
        <v>0</v>
      </c>
      <c r="W300" s="343">
        <v>0</v>
      </c>
      <c r="X300" s="343">
        <v>0</v>
      </c>
      <c r="Y300" s="379">
        <v>0</v>
      </c>
      <c r="Z300" s="282">
        <f t="shared" si="138"/>
        <v>0</v>
      </c>
      <c r="AA300" s="284">
        <f t="shared" si="139"/>
        <v>0</v>
      </c>
      <c r="AB300" s="948">
        <f t="array" ref="AB300">IF(AND($AD$282=TRUE,SUM(B300:L300)&gt;0),SUMPRODUCT((((TRANSPOSE(Cls1CentDailyRng)&lt;INDEX(CDRANGE_CLS1,$A300-$A$286+1,AD$283))*TRANSPOSE(Cls1CentDailyRng)+(TRANSPOSE(Cls1CentDailyRng)&gt;INDEX(CDRANGE_CLS1,$A300-$A$286+1,AD$283))*INDEX(CDRANGE_CLS1,$A300-$A$286+1,AD$283))/TRANSPOSE(Cls1CentDailyRng)),B300:L300,TRANSPOSE(Cls1CentVMTShr))/SUMPRODUCT(B300:L300,TRANSPOSE(Cls1CentVMTShr)),0)</f>
        <v>0</v>
      </c>
      <c r="AC300" s="949">
        <f t="array" ref="AC300">IF(AND($AD$282=TRUE,SUM(O300:Y300)&gt;0),SUMPRODUCT((((TRANSPOSE(Cls1NCentDailyRng)&lt;INDEX(CDRANGE_CLS1,$A300-$A$286+1,AD$283))*TRANSPOSE(Cls1NCentDailyRng)+(TRANSPOSE(Cls1NCentDailyRng)&gt;INDEX(CDRANGE_CLS1,$A300-$A$286+1,AD$283))*INDEX(CDRANGE_CLS1,$A300-$A$286+1,AD$283))/TRANSPOSE(Cls1NCentDailyRng)),O300:Y300,TRANSPOSE(Cls1NCentVMTShr))/SUMPRODUCT(O300:Y300,TRANSPOSE(Cls1NCentVMTShr)),0)</f>
        <v>0</v>
      </c>
      <c r="AD300" s="1226">
        <f t="shared" si="140"/>
        <v>0</v>
      </c>
      <c r="AE300" s="937">
        <f t="shared" si="141"/>
        <v>0</v>
      </c>
      <c r="AF300" s="937">
        <f t="shared" si="142"/>
        <v>0</v>
      </c>
      <c r="AG300" s="937">
        <f t="shared" si="143"/>
        <v>0</v>
      </c>
      <c r="AH300" s="1172">
        <f t="shared" si="144"/>
        <v>0</v>
      </c>
      <c r="AI300" s="937">
        <f t="shared" si="14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6"/>
        <v>0</v>
      </c>
      <c r="N301" s="298">
        <f t="shared" si="137"/>
        <v>0</v>
      </c>
      <c r="O301" s="344">
        <v>0</v>
      </c>
      <c r="P301" s="345">
        <v>0</v>
      </c>
      <c r="Q301" s="345">
        <v>0</v>
      </c>
      <c r="R301" s="345">
        <v>0</v>
      </c>
      <c r="S301" s="345">
        <v>0</v>
      </c>
      <c r="T301" s="345">
        <v>0</v>
      </c>
      <c r="U301" s="345">
        <v>0</v>
      </c>
      <c r="V301" s="345">
        <v>0</v>
      </c>
      <c r="W301" s="345">
        <v>0</v>
      </c>
      <c r="X301" s="345">
        <v>0</v>
      </c>
      <c r="Y301" s="380">
        <v>0</v>
      </c>
      <c r="Z301" s="296">
        <f t="shared" si="138"/>
        <v>0</v>
      </c>
      <c r="AA301" s="298">
        <f t="shared" si="139"/>
        <v>0</v>
      </c>
      <c r="AB301" s="948">
        <f t="array" ref="AB301">IF(AND($AD$282=TRUE,SUM(B301:L301)&gt;0),SUMPRODUCT((((TRANSPOSE(Cls1CentDailyRng)&lt;INDEX(CDRANGE_CLS1,$A301-$A$286+1,AD$283))*TRANSPOSE(Cls1CentDailyRng)+(TRANSPOSE(Cls1CentDailyRng)&gt;INDEX(CDRANGE_CLS1,$A301-$A$286+1,AD$283))*INDEX(CDRANGE_CLS1,$A301-$A$286+1,AD$283))/TRANSPOSE(Cls1CentDailyRng)),B301:L301,TRANSPOSE(Cls1CentVMTShr))/SUMPRODUCT(B301:L301,TRANSPOSE(Cls1CentVMTShr)),0)</f>
        <v>0</v>
      </c>
      <c r="AC301" s="949">
        <f t="array" ref="AC301">IF(AND($AD$282=TRUE,SUM(O301:Y301)&gt;0),SUMPRODUCT((((TRANSPOSE(Cls1NCentDailyRng)&lt;INDEX(CDRANGE_CLS1,$A301-$A$286+1,AD$283))*TRANSPOSE(Cls1NCentDailyRng)+(TRANSPOSE(Cls1NCentDailyRng)&gt;INDEX(CDRANGE_CLS1,$A301-$A$286+1,AD$283))*INDEX(CDRANGE_CLS1,$A301-$A$286+1,AD$283))/TRANSPOSE(Cls1NCentDailyRng)),O301:Y301,TRANSPOSE(Cls1NCentVMTShr))/SUMPRODUCT(O301:Y301,TRANSPOSE(Cls1NCentVMTShr)),0)</f>
        <v>0</v>
      </c>
      <c r="AD301" s="1226">
        <f t="shared" si="140"/>
        <v>0</v>
      </c>
      <c r="AE301" s="937">
        <f>SUMPRODUCT($B$74:$L$74,B301:L301)</f>
        <v>0</v>
      </c>
      <c r="AF301" s="937">
        <f>SUMPRODUCT($O$74:$Y$74,O301:Y301)</f>
        <v>0</v>
      </c>
      <c r="AG301" s="937">
        <f>SUM(AE301:AF301)</f>
        <v>0</v>
      </c>
      <c r="AH301" s="1172">
        <f t="shared" si="144"/>
        <v>0</v>
      </c>
      <c r="AI301" s="937">
        <f t="shared" si="14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6"/>
        <v>0</v>
      </c>
      <c r="N302" s="298">
        <f t="shared" si="137"/>
        <v>0</v>
      </c>
      <c r="O302" s="344">
        <v>0</v>
      </c>
      <c r="P302" s="345">
        <v>0</v>
      </c>
      <c r="Q302" s="345">
        <v>0</v>
      </c>
      <c r="R302" s="345">
        <v>0</v>
      </c>
      <c r="S302" s="345">
        <v>0</v>
      </c>
      <c r="T302" s="345">
        <v>0</v>
      </c>
      <c r="U302" s="345">
        <v>0</v>
      </c>
      <c r="V302" s="345">
        <v>0</v>
      </c>
      <c r="W302" s="345">
        <v>0</v>
      </c>
      <c r="X302" s="345">
        <v>0</v>
      </c>
      <c r="Y302" s="380">
        <v>0</v>
      </c>
      <c r="Z302" s="296">
        <f t="shared" si="138"/>
        <v>0</v>
      </c>
      <c r="AA302" s="298">
        <f t="shared" si="139"/>
        <v>0</v>
      </c>
      <c r="AB302" s="948">
        <f t="array" ref="AB302">IF(AND($AD$282=TRUE,SUM(B302:L302)&gt;0),SUMPRODUCT((((TRANSPOSE(Cls1CentDailyRng)&lt;INDEX(CDRANGE_CLS1,$A302-$A$286+1,AD$283))*TRANSPOSE(Cls1CentDailyRng)+(TRANSPOSE(Cls1CentDailyRng)&gt;INDEX(CDRANGE_CLS1,$A302-$A$286+1,AD$283))*INDEX(CDRANGE_CLS1,$A302-$A$286+1,AD$283))/TRANSPOSE(Cls1CentDailyRng)),B302:L302,TRANSPOSE(Cls1CentVMTShr))/SUMPRODUCT(B302:L302,TRANSPOSE(Cls1CentVMTShr)),0)</f>
        <v>0</v>
      </c>
      <c r="AC302" s="949">
        <f t="array" ref="AC302">IF(AND($AD$282=TRUE,SUM(O302:Y302)&gt;0),SUMPRODUCT((((TRANSPOSE(Cls1NCentDailyRng)&lt;INDEX(CDRANGE_CLS1,$A302-$A$286+1,AD$283))*TRANSPOSE(Cls1NCentDailyRng)+(TRANSPOSE(Cls1NCentDailyRng)&gt;INDEX(CDRANGE_CLS1,$A302-$A$286+1,AD$283))*INDEX(CDRANGE_CLS1,$A302-$A$286+1,AD$283))/TRANSPOSE(Cls1NCentDailyRng)),O302:Y302,TRANSPOSE(Cls1NCentVMTShr))/SUMPRODUCT(O302:Y302,TRANSPOSE(Cls1NCentVMTShr)),0)</f>
        <v>0</v>
      </c>
      <c r="AD302" s="1226">
        <f t="shared" si="140"/>
        <v>0</v>
      </c>
      <c r="AE302" s="937">
        <f t="shared" ref="AE302:AE329" si="146">SUMPRODUCT($B$74:$L$74,B302:L302)</f>
        <v>0</v>
      </c>
      <c r="AF302" s="937">
        <f t="shared" ref="AF302:AF329" si="147">SUMPRODUCT($O$74:$Y$74,O302:Y302)</f>
        <v>0</v>
      </c>
      <c r="AG302" s="937">
        <f t="shared" ref="AG302:AG329" si="148">SUM(AE302:AF302)</f>
        <v>0</v>
      </c>
      <c r="AH302" s="1172">
        <f t="shared" si="144"/>
        <v>0</v>
      </c>
      <c r="AI302" s="937">
        <f t="shared" si="14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6"/>
        <v>0</v>
      </c>
      <c r="N303" s="298">
        <f t="shared" si="137"/>
        <v>0</v>
      </c>
      <c r="O303" s="344">
        <v>0</v>
      </c>
      <c r="P303" s="345">
        <v>0</v>
      </c>
      <c r="Q303" s="345">
        <v>0</v>
      </c>
      <c r="R303" s="345">
        <v>0</v>
      </c>
      <c r="S303" s="345">
        <v>0</v>
      </c>
      <c r="T303" s="345">
        <v>0</v>
      </c>
      <c r="U303" s="345">
        <v>0</v>
      </c>
      <c r="V303" s="345">
        <v>0</v>
      </c>
      <c r="W303" s="345">
        <v>0</v>
      </c>
      <c r="X303" s="345">
        <v>0</v>
      </c>
      <c r="Y303" s="380">
        <v>0</v>
      </c>
      <c r="Z303" s="296">
        <f t="shared" si="138"/>
        <v>0</v>
      </c>
      <c r="AA303" s="298">
        <f t="shared" si="139"/>
        <v>0</v>
      </c>
      <c r="AB303" s="948">
        <f t="array" ref="AB303">IF(AND($AD$282=TRUE,SUM(B303:L303)&gt;0),SUMPRODUCT((((TRANSPOSE(Cls1CentDailyRng)&lt;INDEX(CDRANGE_CLS1,$A303-$A$286+1,AD$283))*TRANSPOSE(Cls1CentDailyRng)+(TRANSPOSE(Cls1CentDailyRng)&gt;INDEX(CDRANGE_CLS1,$A303-$A$286+1,AD$283))*INDEX(CDRANGE_CLS1,$A303-$A$286+1,AD$283))/TRANSPOSE(Cls1CentDailyRng)),B303:L303,TRANSPOSE(Cls1CentVMTShr))/SUMPRODUCT(B303:L303,TRANSPOSE(Cls1CentVMTShr)),0)</f>
        <v>0</v>
      </c>
      <c r="AC303" s="949">
        <f t="array" ref="AC303">IF(AND($AD$282=TRUE,SUM(O303:Y303)&gt;0),SUMPRODUCT((((TRANSPOSE(Cls1NCentDailyRng)&lt;INDEX(CDRANGE_CLS1,$A303-$A$286+1,AD$283))*TRANSPOSE(Cls1NCentDailyRng)+(TRANSPOSE(Cls1NCentDailyRng)&gt;INDEX(CDRANGE_CLS1,$A303-$A$286+1,AD$283))*INDEX(CDRANGE_CLS1,$A303-$A$286+1,AD$283))/TRANSPOSE(Cls1NCentDailyRng)),O303:Y303,TRANSPOSE(Cls1NCentVMTShr))/SUMPRODUCT(O303:Y303,TRANSPOSE(Cls1NCentVMTShr)),0)</f>
        <v>0</v>
      </c>
      <c r="AD303" s="1226">
        <f t="shared" si="140"/>
        <v>0</v>
      </c>
      <c r="AE303" s="937">
        <f t="shared" si="146"/>
        <v>0</v>
      </c>
      <c r="AF303" s="937">
        <f t="shared" si="147"/>
        <v>0</v>
      </c>
      <c r="AG303" s="937">
        <f t="shared" si="148"/>
        <v>0</v>
      </c>
      <c r="AH303" s="1172">
        <f t="shared" si="144"/>
        <v>0</v>
      </c>
      <c r="AI303" s="937">
        <f t="shared" si="14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6"/>
        <v>0</v>
      </c>
      <c r="N304" s="312">
        <f t="shared" si="137"/>
        <v>0</v>
      </c>
      <c r="O304" s="346">
        <v>0</v>
      </c>
      <c r="P304" s="347">
        <v>0</v>
      </c>
      <c r="Q304" s="347">
        <v>0</v>
      </c>
      <c r="R304" s="347">
        <v>0</v>
      </c>
      <c r="S304" s="347">
        <v>0</v>
      </c>
      <c r="T304" s="347">
        <v>0</v>
      </c>
      <c r="U304" s="347">
        <v>0</v>
      </c>
      <c r="V304" s="347">
        <v>0</v>
      </c>
      <c r="W304" s="347">
        <v>0</v>
      </c>
      <c r="X304" s="347">
        <v>0</v>
      </c>
      <c r="Y304" s="381">
        <v>0</v>
      </c>
      <c r="Z304" s="310">
        <f t="shared" si="138"/>
        <v>0</v>
      </c>
      <c r="AA304" s="312">
        <f t="shared" si="139"/>
        <v>0</v>
      </c>
      <c r="AB304" s="948">
        <f t="array" ref="AB304">IF(AND($AD$282=TRUE,SUM(B304:L304)&gt;0),SUMPRODUCT((((TRANSPOSE(Cls1CentDailyRng)&lt;INDEX(CDRANGE_CLS1,$A304-$A$286+1,AD$283))*TRANSPOSE(Cls1CentDailyRng)+(TRANSPOSE(Cls1CentDailyRng)&gt;INDEX(CDRANGE_CLS1,$A304-$A$286+1,AD$283))*INDEX(CDRANGE_CLS1,$A304-$A$286+1,AD$283))/TRANSPOSE(Cls1CentDailyRng)),B304:L304,TRANSPOSE(Cls1CentVMTShr))/SUMPRODUCT(B304:L304,TRANSPOSE(Cls1CentVMTShr)),0)</f>
        <v>0</v>
      </c>
      <c r="AC304" s="949">
        <f t="array" ref="AC304">IF(AND($AD$282=TRUE,SUM(O304:Y304)&gt;0),SUMPRODUCT((((TRANSPOSE(Cls1NCentDailyRng)&lt;INDEX(CDRANGE_CLS1,$A304-$A$286+1,AD$283))*TRANSPOSE(Cls1NCentDailyRng)+(TRANSPOSE(Cls1NCentDailyRng)&gt;INDEX(CDRANGE_CLS1,$A304-$A$286+1,AD$283))*INDEX(CDRANGE_CLS1,$A304-$A$286+1,AD$283))/TRANSPOSE(Cls1NCentDailyRng)),O304:Y304,TRANSPOSE(Cls1NCentVMTShr))/SUMPRODUCT(O304:Y304,TRANSPOSE(Cls1NCentVMTShr)),0)</f>
        <v>0</v>
      </c>
      <c r="AD304" s="1226">
        <f t="shared" si="140"/>
        <v>0</v>
      </c>
      <c r="AE304" s="937">
        <f t="shared" si="146"/>
        <v>0</v>
      </c>
      <c r="AF304" s="937">
        <f t="shared" si="147"/>
        <v>0</v>
      </c>
      <c r="AG304" s="937">
        <f t="shared" si="148"/>
        <v>0</v>
      </c>
      <c r="AH304" s="1172">
        <f t="shared" si="144"/>
        <v>0</v>
      </c>
      <c r="AI304" s="937">
        <f t="shared" si="14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6"/>
        <v>0</v>
      </c>
      <c r="N305" s="284">
        <f t="shared" si="137"/>
        <v>0</v>
      </c>
      <c r="O305" s="342">
        <v>0</v>
      </c>
      <c r="P305" s="343">
        <v>0</v>
      </c>
      <c r="Q305" s="343">
        <v>0</v>
      </c>
      <c r="R305" s="343">
        <v>0</v>
      </c>
      <c r="S305" s="343">
        <v>0</v>
      </c>
      <c r="T305" s="343">
        <v>0</v>
      </c>
      <c r="U305" s="343">
        <v>0</v>
      </c>
      <c r="V305" s="343">
        <v>0</v>
      </c>
      <c r="W305" s="343">
        <v>0</v>
      </c>
      <c r="X305" s="343">
        <v>0</v>
      </c>
      <c r="Y305" s="379">
        <v>0</v>
      </c>
      <c r="Z305" s="282">
        <f t="shared" si="138"/>
        <v>0</v>
      </c>
      <c r="AA305" s="284">
        <f t="shared" si="139"/>
        <v>0</v>
      </c>
      <c r="AB305" s="948">
        <f t="array" ref="AB305">IF(AND($AD$282=TRUE,SUM(B305:L305)&gt;0),SUMPRODUCT((((TRANSPOSE(Cls1CentDailyRng)&lt;INDEX(CDRANGE_CLS1,$A305-$A$286+1,AD$283))*TRANSPOSE(Cls1CentDailyRng)+(TRANSPOSE(Cls1CentDailyRng)&gt;INDEX(CDRANGE_CLS1,$A305-$A$286+1,AD$283))*INDEX(CDRANGE_CLS1,$A305-$A$286+1,AD$283))/TRANSPOSE(Cls1CentDailyRng)),B305:L305,TRANSPOSE(Cls1CentVMTShr))/SUMPRODUCT(B305:L305,TRANSPOSE(Cls1CentVMTShr)),0)</f>
        <v>0</v>
      </c>
      <c r="AC305" s="949">
        <f t="array" ref="AC305">IF(AND($AD$282=TRUE,SUM(O305:Y305)&gt;0),SUMPRODUCT((((TRANSPOSE(Cls1NCentDailyRng)&lt;INDEX(CDRANGE_CLS1,$A305-$A$286+1,AD$283))*TRANSPOSE(Cls1NCentDailyRng)+(TRANSPOSE(Cls1NCentDailyRng)&gt;INDEX(CDRANGE_CLS1,$A305-$A$286+1,AD$283))*INDEX(CDRANGE_CLS1,$A305-$A$286+1,AD$283))/TRANSPOSE(Cls1NCentDailyRng)),O305:Y305,TRANSPOSE(Cls1NCentVMTShr))/SUMPRODUCT(O305:Y305,TRANSPOSE(Cls1NCentVMTShr)),0)</f>
        <v>0</v>
      </c>
      <c r="AD305" s="1226">
        <f t="shared" si="140"/>
        <v>0</v>
      </c>
      <c r="AE305" s="937">
        <f t="shared" si="146"/>
        <v>0</v>
      </c>
      <c r="AF305" s="937">
        <f t="shared" si="147"/>
        <v>0</v>
      </c>
      <c r="AG305" s="937">
        <f t="shared" si="148"/>
        <v>0</v>
      </c>
      <c r="AH305" s="1172">
        <f t="shared" si="144"/>
        <v>0</v>
      </c>
      <c r="AI305" s="937">
        <f t="shared" si="14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6"/>
        <v>0</v>
      </c>
      <c r="N306" s="298">
        <f t="shared" si="137"/>
        <v>0</v>
      </c>
      <c r="O306" s="344">
        <v>0</v>
      </c>
      <c r="P306" s="345">
        <v>0</v>
      </c>
      <c r="Q306" s="345">
        <v>0</v>
      </c>
      <c r="R306" s="345">
        <v>0</v>
      </c>
      <c r="S306" s="345">
        <v>0</v>
      </c>
      <c r="T306" s="345">
        <v>0</v>
      </c>
      <c r="U306" s="345">
        <v>0</v>
      </c>
      <c r="V306" s="345">
        <v>0</v>
      </c>
      <c r="W306" s="345">
        <v>0</v>
      </c>
      <c r="X306" s="345">
        <v>0</v>
      </c>
      <c r="Y306" s="380">
        <v>0</v>
      </c>
      <c r="Z306" s="296">
        <f t="shared" si="138"/>
        <v>0</v>
      </c>
      <c r="AA306" s="298">
        <f t="shared" si="139"/>
        <v>0</v>
      </c>
      <c r="AB306" s="948">
        <f t="array" ref="AB306">IF(AND($AD$282=TRUE,SUM(B306:L306)&gt;0),SUMPRODUCT((((TRANSPOSE(Cls1CentDailyRng)&lt;INDEX(CDRANGE_CLS1,$A306-$A$286+1,AD$283))*TRANSPOSE(Cls1CentDailyRng)+(TRANSPOSE(Cls1CentDailyRng)&gt;INDEX(CDRANGE_CLS1,$A306-$A$286+1,AD$283))*INDEX(CDRANGE_CLS1,$A306-$A$286+1,AD$283))/TRANSPOSE(Cls1CentDailyRng)),B306:L306,TRANSPOSE(Cls1CentVMTShr))/SUMPRODUCT(B306:L306,TRANSPOSE(Cls1CentVMTShr)),0)</f>
        <v>0</v>
      </c>
      <c r="AC306" s="949">
        <f t="array" ref="AC306">IF(AND($AD$282=TRUE,SUM(O306:Y306)&gt;0),SUMPRODUCT((((TRANSPOSE(Cls1NCentDailyRng)&lt;INDEX(CDRANGE_CLS1,$A306-$A$286+1,AD$283))*TRANSPOSE(Cls1NCentDailyRng)+(TRANSPOSE(Cls1NCentDailyRng)&gt;INDEX(CDRANGE_CLS1,$A306-$A$286+1,AD$283))*INDEX(CDRANGE_CLS1,$A306-$A$286+1,AD$283))/TRANSPOSE(Cls1NCentDailyRng)),O306:Y306,TRANSPOSE(Cls1NCentVMTShr))/SUMPRODUCT(O306:Y306,TRANSPOSE(Cls1NCentVMTShr)),0)</f>
        <v>0</v>
      </c>
      <c r="AD306" s="1226">
        <f t="shared" si="140"/>
        <v>0</v>
      </c>
      <c r="AE306" s="937">
        <f t="shared" si="146"/>
        <v>0</v>
      </c>
      <c r="AF306" s="937">
        <f t="shared" si="147"/>
        <v>0</v>
      </c>
      <c r="AG306" s="937">
        <f t="shared" si="148"/>
        <v>0</v>
      </c>
      <c r="AH306" s="1172">
        <f t="shared" si="144"/>
        <v>0</v>
      </c>
      <c r="AI306" s="937">
        <f t="shared" si="14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6"/>
        <v>0</v>
      </c>
      <c r="N307" s="298">
        <f t="shared" si="137"/>
        <v>0</v>
      </c>
      <c r="O307" s="344">
        <v>0</v>
      </c>
      <c r="P307" s="345">
        <v>0</v>
      </c>
      <c r="Q307" s="345">
        <v>0</v>
      </c>
      <c r="R307" s="345">
        <v>0</v>
      </c>
      <c r="S307" s="345">
        <v>0</v>
      </c>
      <c r="T307" s="345">
        <v>0</v>
      </c>
      <c r="U307" s="345">
        <v>0</v>
      </c>
      <c r="V307" s="345">
        <v>0</v>
      </c>
      <c r="W307" s="345">
        <v>0</v>
      </c>
      <c r="X307" s="345">
        <v>0</v>
      </c>
      <c r="Y307" s="380">
        <v>0</v>
      </c>
      <c r="Z307" s="296">
        <f t="shared" si="138"/>
        <v>0</v>
      </c>
      <c r="AA307" s="298">
        <f t="shared" si="139"/>
        <v>0</v>
      </c>
      <c r="AB307" s="948">
        <f t="array" ref="AB307">IF(AND($AD$282=TRUE,SUM(B307:L307)&gt;0),SUMPRODUCT((((TRANSPOSE(Cls1CentDailyRng)&lt;INDEX(CDRANGE_CLS1,$A307-$A$286+1,AD$283))*TRANSPOSE(Cls1CentDailyRng)+(TRANSPOSE(Cls1CentDailyRng)&gt;INDEX(CDRANGE_CLS1,$A307-$A$286+1,AD$283))*INDEX(CDRANGE_CLS1,$A307-$A$286+1,AD$283))/TRANSPOSE(Cls1CentDailyRng)),B307:L307,TRANSPOSE(Cls1CentVMTShr))/SUMPRODUCT(B307:L307,TRANSPOSE(Cls1CentVMTShr)),0)</f>
        <v>0</v>
      </c>
      <c r="AC307" s="949">
        <f t="array" ref="AC307">IF(AND($AD$282=TRUE,SUM(O307:Y307)&gt;0),SUMPRODUCT((((TRANSPOSE(Cls1NCentDailyRng)&lt;INDEX(CDRANGE_CLS1,$A307-$A$286+1,AD$283))*TRANSPOSE(Cls1NCentDailyRng)+(TRANSPOSE(Cls1NCentDailyRng)&gt;INDEX(CDRANGE_CLS1,$A307-$A$286+1,AD$283))*INDEX(CDRANGE_CLS1,$A307-$A$286+1,AD$283))/TRANSPOSE(Cls1NCentDailyRng)),O307:Y307,TRANSPOSE(Cls1NCentVMTShr))/SUMPRODUCT(O307:Y307,TRANSPOSE(Cls1NCentVMTShr)),0)</f>
        <v>0</v>
      </c>
      <c r="AD307" s="1226">
        <f t="shared" si="140"/>
        <v>0</v>
      </c>
      <c r="AE307" s="937">
        <f t="shared" si="146"/>
        <v>0</v>
      </c>
      <c r="AF307" s="937">
        <f t="shared" si="147"/>
        <v>0</v>
      </c>
      <c r="AG307" s="937">
        <f t="shared" si="148"/>
        <v>0</v>
      </c>
      <c r="AH307" s="1172">
        <f t="shared" si="144"/>
        <v>0</v>
      </c>
      <c r="AI307" s="937">
        <f t="shared" si="14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6"/>
        <v>0</v>
      </c>
      <c r="N308" s="298">
        <f t="shared" si="137"/>
        <v>0</v>
      </c>
      <c r="O308" s="344">
        <v>0</v>
      </c>
      <c r="P308" s="345">
        <v>0</v>
      </c>
      <c r="Q308" s="345">
        <v>0</v>
      </c>
      <c r="R308" s="345">
        <v>0</v>
      </c>
      <c r="S308" s="345">
        <v>0</v>
      </c>
      <c r="T308" s="345">
        <v>0</v>
      </c>
      <c r="U308" s="345">
        <v>0</v>
      </c>
      <c r="V308" s="345">
        <v>0</v>
      </c>
      <c r="W308" s="345">
        <v>0</v>
      </c>
      <c r="X308" s="345">
        <v>0</v>
      </c>
      <c r="Y308" s="380">
        <v>0</v>
      </c>
      <c r="Z308" s="296">
        <f t="shared" si="138"/>
        <v>0</v>
      </c>
      <c r="AA308" s="298">
        <f t="shared" si="139"/>
        <v>0</v>
      </c>
      <c r="AB308" s="948">
        <f t="array" ref="AB308">IF(AND($AD$282=TRUE,SUM(B308:L308)&gt;0),SUMPRODUCT((((TRANSPOSE(Cls1CentDailyRng)&lt;INDEX(CDRANGE_CLS1,$A308-$A$286+1,AD$283))*TRANSPOSE(Cls1CentDailyRng)+(TRANSPOSE(Cls1CentDailyRng)&gt;INDEX(CDRANGE_CLS1,$A308-$A$286+1,AD$283))*INDEX(CDRANGE_CLS1,$A308-$A$286+1,AD$283))/TRANSPOSE(Cls1CentDailyRng)),B308:L308,TRANSPOSE(Cls1CentVMTShr))/SUMPRODUCT(B308:L308,TRANSPOSE(Cls1CentVMTShr)),0)</f>
        <v>0</v>
      </c>
      <c r="AC308" s="949">
        <f t="array" ref="AC308">IF(AND($AD$282=TRUE,SUM(O308:Y308)&gt;0),SUMPRODUCT((((TRANSPOSE(Cls1NCentDailyRng)&lt;INDEX(CDRANGE_CLS1,$A308-$A$286+1,AD$283))*TRANSPOSE(Cls1NCentDailyRng)+(TRANSPOSE(Cls1NCentDailyRng)&gt;INDEX(CDRANGE_CLS1,$A308-$A$286+1,AD$283))*INDEX(CDRANGE_CLS1,$A308-$A$286+1,AD$283))/TRANSPOSE(Cls1NCentDailyRng)),O308:Y308,TRANSPOSE(Cls1NCentVMTShr))/SUMPRODUCT(O308:Y308,TRANSPOSE(Cls1NCentVMTShr)),0)</f>
        <v>0</v>
      </c>
      <c r="AD308" s="1226">
        <f t="shared" si="140"/>
        <v>0</v>
      </c>
      <c r="AE308" s="937">
        <f t="shared" si="146"/>
        <v>0</v>
      </c>
      <c r="AF308" s="937">
        <f t="shared" si="147"/>
        <v>0</v>
      </c>
      <c r="AG308" s="937">
        <f t="shared" si="148"/>
        <v>0</v>
      </c>
      <c r="AH308" s="1172">
        <f t="shared" si="144"/>
        <v>0</v>
      </c>
      <c r="AI308" s="937">
        <f t="shared" si="14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6"/>
        <v>0</v>
      </c>
      <c r="N309" s="312">
        <f t="shared" si="137"/>
        <v>0</v>
      </c>
      <c r="O309" s="346">
        <v>0</v>
      </c>
      <c r="P309" s="347">
        <v>0</v>
      </c>
      <c r="Q309" s="347">
        <v>0</v>
      </c>
      <c r="R309" s="347">
        <v>0</v>
      </c>
      <c r="S309" s="347">
        <v>0</v>
      </c>
      <c r="T309" s="347">
        <v>0</v>
      </c>
      <c r="U309" s="347">
        <v>0</v>
      </c>
      <c r="V309" s="347">
        <v>0</v>
      </c>
      <c r="W309" s="347">
        <v>0</v>
      </c>
      <c r="X309" s="347">
        <v>0</v>
      </c>
      <c r="Y309" s="381">
        <v>0</v>
      </c>
      <c r="Z309" s="310">
        <f t="shared" si="138"/>
        <v>0</v>
      </c>
      <c r="AA309" s="312">
        <f t="shared" si="139"/>
        <v>0</v>
      </c>
      <c r="AB309" s="948">
        <f t="array" ref="AB309">IF(AND($AD$282=TRUE,SUM(B309:L309)&gt;0),SUMPRODUCT((((TRANSPOSE(Cls1CentDailyRng)&lt;INDEX(CDRANGE_CLS1,$A309-$A$286+1,AD$283))*TRANSPOSE(Cls1CentDailyRng)+(TRANSPOSE(Cls1CentDailyRng)&gt;INDEX(CDRANGE_CLS1,$A309-$A$286+1,AD$283))*INDEX(CDRANGE_CLS1,$A309-$A$286+1,AD$283))/TRANSPOSE(Cls1CentDailyRng)),B309:L309,TRANSPOSE(Cls1CentVMTShr))/SUMPRODUCT(B309:L309,TRANSPOSE(Cls1CentVMTShr)),0)</f>
        <v>0</v>
      </c>
      <c r="AC309" s="949">
        <f t="array" ref="AC309">IF(AND($AD$282=TRUE,SUM(O309:Y309)&gt;0),SUMPRODUCT((((TRANSPOSE(Cls1NCentDailyRng)&lt;INDEX(CDRANGE_CLS1,$A309-$A$286+1,AD$283))*TRANSPOSE(Cls1NCentDailyRng)+(TRANSPOSE(Cls1NCentDailyRng)&gt;INDEX(CDRANGE_CLS1,$A309-$A$286+1,AD$283))*INDEX(CDRANGE_CLS1,$A309-$A$286+1,AD$283))/TRANSPOSE(Cls1NCentDailyRng)),O309:Y309,TRANSPOSE(Cls1NCentVMTShr))/SUMPRODUCT(O309:Y309,TRANSPOSE(Cls1NCentVMTShr)),0)</f>
        <v>0</v>
      </c>
      <c r="AD309" s="1226">
        <f t="shared" si="140"/>
        <v>0</v>
      </c>
      <c r="AE309" s="937">
        <f t="shared" si="146"/>
        <v>0</v>
      </c>
      <c r="AF309" s="937">
        <f t="shared" si="147"/>
        <v>0</v>
      </c>
      <c r="AG309" s="937">
        <f t="shared" si="148"/>
        <v>0</v>
      </c>
      <c r="AH309" s="1172">
        <f t="shared" si="144"/>
        <v>0</v>
      </c>
      <c r="AI309" s="937">
        <f t="shared" si="14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6"/>
        <v>0</v>
      </c>
      <c r="N310" s="284">
        <f t="shared" si="137"/>
        <v>0</v>
      </c>
      <c r="O310" s="342">
        <v>0</v>
      </c>
      <c r="P310" s="343">
        <v>0</v>
      </c>
      <c r="Q310" s="343">
        <v>0</v>
      </c>
      <c r="R310" s="343">
        <v>0</v>
      </c>
      <c r="S310" s="343">
        <v>0</v>
      </c>
      <c r="T310" s="343">
        <v>0</v>
      </c>
      <c r="U310" s="343">
        <v>0</v>
      </c>
      <c r="V310" s="343">
        <v>0</v>
      </c>
      <c r="W310" s="343">
        <v>0</v>
      </c>
      <c r="X310" s="343">
        <v>0</v>
      </c>
      <c r="Y310" s="379">
        <v>0</v>
      </c>
      <c r="Z310" s="282">
        <f t="shared" si="138"/>
        <v>0</v>
      </c>
      <c r="AA310" s="284">
        <f t="shared" si="139"/>
        <v>0</v>
      </c>
      <c r="AB310" s="948">
        <f t="array" ref="AB310">IF(AND($AD$282=TRUE,SUM(B310:L310)&gt;0),SUMPRODUCT((((TRANSPOSE(Cls1CentDailyRng)&lt;INDEX(CDRANGE_CLS1,$A310-$A$286+1,AD$283))*TRANSPOSE(Cls1CentDailyRng)+(TRANSPOSE(Cls1CentDailyRng)&gt;INDEX(CDRANGE_CLS1,$A310-$A$286+1,AD$283))*INDEX(CDRANGE_CLS1,$A310-$A$286+1,AD$283))/TRANSPOSE(Cls1CentDailyRng)),B310:L310,TRANSPOSE(Cls1CentVMTShr))/SUMPRODUCT(B310:L310,TRANSPOSE(Cls1CentVMTShr)),0)</f>
        <v>0</v>
      </c>
      <c r="AC310" s="949">
        <f t="array" ref="AC310">IF(AND($AD$282=TRUE,SUM(O310:Y310)&gt;0),SUMPRODUCT((((TRANSPOSE(Cls1NCentDailyRng)&lt;INDEX(CDRANGE_CLS1,$A310-$A$286+1,AD$283))*TRANSPOSE(Cls1NCentDailyRng)+(TRANSPOSE(Cls1NCentDailyRng)&gt;INDEX(CDRANGE_CLS1,$A310-$A$286+1,AD$283))*INDEX(CDRANGE_CLS1,$A310-$A$286+1,AD$283))/TRANSPOSE(Cls1NCentDailyRng)),O310:Y310,TRANSPOSE(Cls1NCentVMTShr))/SUMPRODUCT(O310:Y310,TRANSPOSE(Cls1NCentVMTShr)),0)</f>
        <v>0</v>
      </c>
      <c r="AD310" s="1226">
        <f t="shared" si="140"/>
        <v>0</v>
      </c>
      <c r="AE310" s="937">
        <f t="shared" si="146"/>
        <v>0</v>
      </c>
      <c r="AF310" s="937">
        <f t="shared" si="147"/>
        <v>0</v>
      </c>
      <c r="AG310" s="937">
        <f t="shared" si="148"/>
        <v>0</v>
      </c>
      <c r="AH310" s="1172">
        <f t="shared" si="144"/>
        <v>0</v>
      </c>
      <c r="AI310" s="937">
        <f t="shared" si="14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6"/>
        <v>0</v>
      </c>
      <c r="N311" s="298">
        <f t="shared" si="137"/>
        <v>0</v>
      </c>
      <c r="O311" s="344">
        <v>0</v>
      </c>
      <c r="P311" s="345">
        <v>0</v>
      </c>
      <c r="Q311" s="345">
        <v>0</v>
      </c>
      <c r="R311" s="345">
        <v>0</v>
      </c>
      <c r="S311" s="345">
        <v>0</v>
      </c>
      <c r="T311" s="345">
        <v>0</v>
      </c>
      <c r="U311" s="345">
        <v>0</v>
      </c>
      <c r="V311" s="345">
        <v>0</v>
      </c>
      <c r="W311" s="345">
        <v>0</v>
      </c>
      <c r="X311" s="345">
        <v>0</v>
      </c>
      <c r="Y311" s="380">
        <v>0</v>
      </c>
      <c r="Z311" s="296">
        <f t="shared" si="138"/>
        <v>0</v>
      </c>
      <c r="AA311" s="298">
        <f t="shared" si="139"/>
        <v>0</v>
      </c>
      <c r="AB311" s="948">
        <f t="array" ref="AB311">IF(AND($AD$282=TRUE,SUM(B311:L311)&gt;0),SUMPRODUCT((((TRANSPOSE(Cls1CentDailyRng)&lt;INDEX(CDRANGE_CLS1,$A311-$A$286+1,AD$283))*TRANSPOSE(Cls1CentDailyRng)+(TRANSPOSE(Cls1CentDailyRng)&gt;INDEX(CDRANGE_CLS1,$A311-$A$286+1,AD$283))*INDEX(CDRANGE_CLS1,$A311-$A$286+1,AD$283))/TRANSPOSE(Cls1CentDailyRng)),B311:L311,TRANSPOSE(Cls1CentVMTShr))/SUMPRODUCT(B311:L311,TRANSPOSE(Cls1CentVMTShr)),0)</f>
        <v>0</v>
      </c>
      <c r="AC311" s="949">
        <f t="array" ref="AC311">IF(AND($AD$282=TRUE,SUM(O311:Y311)&gt;0),SUMPRODUCT((((TRANSPOSE(Cls1NCentDailyRng)&lt;INDEX(CDRANGE_CLS1,$A311-$A$286+1,AD$283))*TRANSPOSE(Cls1NCentDailyRng)+(TRANSPOSE(Cls1NCentDailyRng)&gt;INDEX(CDRANGE_CLS1,$A311-$A$286+1,AD$283))*INDEX(CDRANGE_CLS1,$A311-$A$286+1,AD$283))/TRANSPOSE(Cls1NCentDailyRng)),O311:Y311,TRANSPOSE(Cls1NCentVMTShr))/SUMPRODUCT(O311:Y311,TRANSPOSE(Cls1NCentVMTShr)),0)</f>
        <v>0</v>
      </c>
      <c r="AD311" s="1226">
        <f t="shared" si="140"/>
        <v>0</v>
      </c>
      <c r="AE311" s="937">
        <f t="shared" si="146"/>
        <v>0</v>
      </c>
      <c r="AF311" s="937">
        <f t="shared" si="147"/>
        <v>0</v>
      </c>
      <c r="AG311" s="937">
        <f t="shared" si="148"/>
        <v>0</v>
      </c>
      <c r="AH311" s="1172">
        <f t="shared" si="144"/>
        <v>0</v>
      </c>
      <c r="AI311" s="937">
        <f t="shared" si="14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6"/>
        <v>0</v>
      </c>
      <c r="N312" s="298">
        <f t="shared" si="137"/>
        <v>0</v>
      </c>
      <c r="O312" s="344">
        <v>0</v>
      </c>
      <c r="P312" s="345">
        <v>0</v>
      </c>
      <c r="Q312" s="345">
        <v>0</v>
      </c>
      <c r="R312" s="345">
        <v>0</v>
      </c>
      <c r="S312" s="345">
        <v>0</v>
      </c>
      <c r="T312" s="345">
        <v>0</v>
      </c>
      <c r="U312" s="345">
        <v>0</v>
      </c>
      <c r="V312" s="345">
        <v>0</v>
      </c>
      <c r="W312" s="345">
        <v>0</v>
      </c>
      <c r="X312" s="345">
        <v>0</v>
      </c>
      <c r="Y312" s="380">
        <v>0</v>
      </c>
      <c r="Z312" s="296">
        <f t="shared" si="138"/>
        <v>0</v>
      </c>
      <c r="AA312" s="298">
        <f t="shared" si="139"/>
        <v>0</v>
      </c>
      <c r="AB312" s="948">
        <f t="array" ref="AB312">IF(AND($AD$282=TRUE,SUM(B312:L312)&gt;0),SUMPRODUCT((((TRANSPOSE(Cls1CentDailyRng)&lt;INDEX(CDRANGE_CLS1,$A312-$A$286+1,AD$283))*TRANSPOSE(Cls1CentDailyRng)+(TRANSPOSE(Cls1CentDailyRng)&gt;INDEX(CDRANGE_CLS1,$A312-$A$286+1,AD$283))*INDEX(CDRANGE_CLS1,$A312-$A$286+1,AD$283))/TRANSPOSE(Cls1CentDailyRng)),B312:L312,TRANSPOSE(Cls1CentVMTShr))/SUMPRODUCT(B312:L312,TRANSPOSE(Cls1CentVMTShr)),0)</f>
        <v>0</v>
      </c>
      <c r="AC312" s="949">
        <f t="array" ref="AC312">IF(AND($AD$282=TRUE,SUM(O312:Y312)&gt;0),SUMPRODUCT((((TRANSPOSE(Cls1NCentDailyRng)&lt;INDEX(CDRANGE_CLS1,$A312-$A$286+1,AD$283))*TRANSPOSE(Cls1NCentDailyRng)+(TRANSPOSE(Cls1NCentDailyRng)&gt;INDEX(CDRANGE_CLS1,$A312-$A$286+1,AD$283))*INDEX(CDRANGE_CLS1,$A312-$A$286+1,AD$283))/TRANSPOSE(Cls1NCentDailyRng)),O312:Y312,TRANSPOSE(Cls1NCentVMTShr))/SUMPRODUCT(O312:Y312,TRANSPOSE(Cls1NCentVMTShr)),0)</f>
        <v>0</v>
      </c>
      <c r="AD312" s="1226">
        <f>AB312*AH312+AC312*AI312</f>
        <v>0</v>
      </c>
      <c r="AE312" s="937">
        <f t="shared" si="146"/>
        <v>0</v>
      </c>
      <c r="AF312" s="937">
        <f t="shared" si="147"/>
        <v>0</v>
      </c>
      <c r="AG312" s="937">
        <f t="shared" si="148"/>
        <v>0</v>
      </c>
      <c r="AH312" s="1172">
        <f t="shared" si="144"/>
        <v>0</v>
      </c>
      <c r="AI312" s="937">
        <f t="shared" si="14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6"/>
        <v>0</v>
      </c>
      <c r="N313" s="298">
        <f t="shared" si="137"/>
        <v>0</v>
      </c>
      <c r="O313" s="344">
        <v>0</v>
      </c>
      <c r="P313" s="345">
        <v>0</v>
      </c>
      <c r="Q313" s="345">
        <v>0</v>
      </c>
      <c r="R313" s="345">
        <v>0</v>
      </c>
      <c r="S313" s="345">
        <v>0</v>
      </c>
      <c r="T313" s="345">
        <v>0</v>
      </c>
      <c r="U313" s="345">
        <v>0</v>
      </c>
      <c r="V313" s="345">
        <v>0</v>
      </c>
      <c r="W313" s="345">
        <v>0</v>
      </c>
      <c r="X313" s="345">
        <v>0</v>
      </c>
      <c r="Y313" s="380">
        <v>0</v>
      </c>
      <c r="Z313" s="296">
        <f t="shared" si="138"/>
        <v>0</v>
      </c>
      <c r="AA313" s="298">
        <f t="shared" si="139"/>
        <v>0</v>
      </c>
      <c r="AB313" s="948">
        <f t="array" ref="AB313">IF(AND($AD$282=TRUE,SUM(B313:L313)&gt;0),SUMPRODUCT((((TRANSPOSE(Cls1CentDailyRng)&lt;INDEX(CDRANGE_CLS1,$A313-$A$286+1,AD$283))*TRANSPOSE(Cls1CentDailyRng)+(TRANSPOSE(Cls1CentDailyRng)&gt;INDEX(CDRANGE_CLS1,$A313-$A$286+1,AD$283))*INDEX(CDRANGE_CLS1,$A313-$A$286+1,AD$283))/TRANSPOSE(Cls1CentDailyRng)),B313:L313,TRANSPOSE(Cls1CentVMTShr))/SUMPRODUCT(B313:L313,TRANSPOSE(Cls1CentVMTShr)),0)</f>
        <v>0</v>
      </c>
      <c r="AC313" s="949">
        <f t="array" ref="AC313">IF(AND($AD$282=TRUE,SUM(O313:Y313)&gt;0),SUMPRODUCT((((TRANSPOSE(Cls1NCentDailyRng)&lt;INDEX(CDRANGE_CLS1,$A313-$A$286+1,AD$283))*TRANSPOSE(Cls1NCentDailyRng)+(TRANSPOSE(Cls1NCentDailyRng)&gt;INDEX(CDRANGE_CLS1,$A313-$A$286+1,AD$283))*INDEX(CDRANGE_CLS1,$A313-$A$286+1,AD$283))/TRANSPOSE(Cls1NCentDailyRng)),O313:Y313,TRANSPOSE(Cls1NCentVMTShr))/SUMPRODUCT(O313:Y313,TRANSPOSE(Cls1NCentVMTShr)),0)</f>
        <v>0</v>
      </c>
      <c r="AD313" s="1226">
        <f t="shared" ref="AD313:AD329" si="149">AB313*AH313+AC313*AI313</f>
        <v>0</v>
      </c>
      <c r="AE313" s="937">
        <f t="shared" si="146"/>
        <v>0</v>
      </c>
      <c r="AF313" s="937">
        <f t="shared" si="147"/>
        <v>0</v>
      </c>
      <c r="AG313" s="937">
        <f t="shared" si="148"/>
        <v>0</v>
      </c>
      <c r="AH313" s="1172">
        <f t="shared" si="144"/>
        <v>0</v>
      </c>
      <c r="AI313" s="937">
        <f t="shared" si="14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6"/>
        <v>0</v>
      </c>
      <c r="N314" s="312">
        <f t="shared" si="137"/>
        <v>0</v>
      </c>
      <c r="O314" s="346">
        <v>0</v>
      </c>
      <c r="P314" s="347">
        <v>0</v>
      </c>
      <c r="Q314" s="347">
        <v>0</v>
      </c>
      <c r="R314" s="347">
        <v>0</v>
      </c>
      <c r="S314" s="347">
        <v>0</v>
      </c>
      <c r="T314" s="347">
        <v>0</v>
      </c>
      <c r="U314" s="347">
        <v>0</v>
      </c>
      <c r="V314" s="347">
        <v>0</v>
      </c>
      <c r="W314" s="347">
        <v>0</v>
      </c>
      <c r="X314" s="347">
        <v>0</v>
      </c>
      <c r="Y314" s="381">
        <v>0</v>
      </c>
      <c r="Z314" s="310">
        <f t="shared" si="138"/>
        <v>0</v>
      </c>
      <c r="AA314" s="312">
        <f t="shared" si="139"/>
        <v>0</v>
      </c>
      <c r="AB314" s="948">
        <f t="array" ref="AB314">IF(AND($AD$282=TRUE,SUM(B314:L314)&gt;0),SUMPRODUCT((((TRANSPOSE(Cls1CentDailyRng)&lt;INDEX(CDRANGE_CLS1,$A314-$A$286+1,AD$283))*TRANSPOSE(Cls1CentDailyRng)+(TRANSPOSE(Cls1CentDailyRng)&gt;INDEX(CDRANGE_CLS1,$A314-$A$286+1,AD$283))*INDEX(CDRANGE_CLS1,$A314-$A$286+1,AD$283))/TRANSPOSE(Cls1CentDailyRng)),B314:L314,TRANSPOSE(Cls1CentVMTShr))/SUMPRODUCT(B314:L314,TRANSPOSE(Cls1CentVMTShr)),0)</f>
        <v>0</v>
      </c>
      <c r="AC314" s="949">
        <f t="array" ref="AC314">IF(AND($AD$282=TRUE,SUM(O314:Y314)&gt;0),SUMPRODUCT((((TRANSPOSE(Cls1NCentDailyRng)&lt;INDEX(CDRANGE_CLS1,$A314-$A$286+1,AD$283))*TRANSPOSE(Cls1NCentDailyRng)+(TRANSPOSE(Cls1NCentDailyRng)&gt;INDEX(CDRANGE_CLS1,$A314-$A$286+1,AD$283))*INDEX(CDRANGE_CLS1,$A314-$A$286+1,AD$283))/TRANSPOSE(Cls1NCentDailyRng)),O314:Y314,TRANSPOSE(Cls1NCentVMTShr))/SUMPRODUCT(O314:Y314,TRANSPOSE(Cls1NCentVMTShr)),0)</f>
        <v>0</v>
      </c>
      <c r="AD314" s="1226">
        <f t="shared" si="149"/>
        <v>0</v>
      </c>
      <c r="AE314" s="937">
        <f t="shared" si="146"/>
        <v>0</v>
      </c>
      <c r="AF314" s="937">
        <f t="shared" si="147"/>
        <v>0</v>
      </c>
      <c r="AG314" s="937">
        <f t="shared" si="148"/>
        <v>0</v>
      </c>
      <c r="AH314" s="1172">
        <f t="shared" si="144"/>
        <v>0</v>
      </c>
      <c r="AI314" s="937">
        <f t="shared" si="14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6"/>
        <v>0</v>
      </c>
      <c r="N315" s="284">
        <f t="shared" si="137"/>
        <v>0</v>
      </c>
      <c r="O315" s="342">
        <v>0</v>
      </c>
      <c r="P315" s="343">
        <v>0</v>
      </c>
      <c r="Q315" s="343">
        <v>0</v>
      </c>
      <c r="R315" s="343">
        <v>0</v>
      </c>
      <c r="S315" s="343">
        <v>0</v>
      </c>
      <c r="T315" s="343">
        <v>0</v>
      </c>
      <c r="U315" s="343">
        <v>0</v>
      </c>
      <c r="V315" s="343">
        <v>0</v>
      </c>
      <c r="W315" s="343">
        <v>0</v>
      </c>
      <c r="X315" s="343">
        <v>0</v>
      </c>
      <c r="Y315" s="379">
        <v>0</v>
      </c>
      <c r="Z315" s="282">
        <f t="shared" si="138"/>
        <v>0</v>
      </c>
      <c r="AA315" s="284">
        <f t="shared" si="139"/>
        <v>0</v>
      </c>
      <c r="AB315" s="948">
        <f t="array" ref="AB315">IF(AND($AD$282=TRUE,SUM(B315:L315)&gt;0),SUMPRODUCT((((TRANSPOSE(Cls1CentDailyRng)&lt;INDEX(CDRANGE_CLS1,$A315-$A$286+1,AD$283))*TRANSPOSE(Cls1CentDailyRng)+(TRANSPOSE(Cls1CentDailyRng)&gt;INDEX(CDRANGE_CLS1,$A315-$A$286+1,AD$283))*INDEX(CDRANGE_CLS1,$A315-$A$286+1,AD$283))/TRANSPOSE(Cls1CentDailyRng)),B315:L315,TRANSPOSE(Cls1CentVMTShr))/SUMPRODUCT(B315:L315,TRANSPOSE(Cls1CentVMTShr)),0)</f>
        <v>0</v>
      </c>
      <c r="AC315" s="949">
        <f t="array" ref="AC315">IF(AND($AD$282=TRUE,SUM(O315:Y315)&gt;0),SUMPRODUCT((((TRANSPOSE(Cls1NCentDailyRng)&lt;INDEX(CDRANGE_CLS1,$A315-$A$286+1,AD$283))*TRANSPOSE(Cls1NCentDailyRng)+(TRANSPOSE(Cls1NCentDailyRng)&gt;INDEX(CDRANGE_CLS1,$A315-$A$286+1,AD$283))*INDEX(CDRANGE_CLS1,$A315-$A$286+1,AD$283))/TRANSPOSE(Cls1NCentDailyRng)),O315:Y315,TRANSPOSE(Cls1NCentVMTShr))/SUMPRODUCT(O315:Y315,TRANSPOSE(Cls1NCentVMTShr)),0)</f>
        <v>0</v>
      </c>
      <c r="AD315" s="1226">
        <f t="shared" si="149"/>
        <v>0</v>
      </c>
      <c r="AE315" s="937">
        <f t="shared" si="146"/>
        <v>0</v>
      </c>
      <c r="AF315" s="937">
        <f t="shared" si="147"/>
        <v>0</v>
      </c>
      <c r="AG315" s="937">
        <f t="shared" si="148"/>
        <v>0</v>
      </c>
      <c r="AH315" s="1172">
        <f t="shared" si="144"/>
        <v>0</v>
      </c>
      <c r="AI315" s="937">
        <f t="shared" si="14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6"/>
        <v>0</v>
      </c>
      <c r="N316" s="298">
        <f t="shared" si="137"/>
        <v>0</v>
      </c>
      <c r="O316" s="344">
        <v>0</v>
      </c>
      <c r="P316" s="345">
        <v>0</v>
      </c>
      <c r="Q316" s="345">
        <v>0</v>
      </c>
      <c r="R316" s="345">
        <v>0</v>
      </c>
      <c r="S316" s="345">
        <v>0</v>
      </c>
      <c r="T316" s="345">
        <v>0</v>
      </c>
      <c r="U316" s="345">
        <v>0</v>
      </c>
      <c r="V316" s="345">
        <v>0</v>
      </c>
      <c r="W316" s="345">
        <v>0</v>
      </c>
      <c r="X316" s="345">
        <v>0</v>
      </c>
      <c r="Y316" s="380">
        <v>0</v>
      </c>
      <c r="Z316" s="296">
        <f t="shared" si="138"/>
        <v>0</v>
      </c>
      <c r="AA316" s="298">
        <f t="shared" si="139"/>
        <v>0</v>
      </c>
      <c r="AB316" s="948">
        <f t="array" ref="AB316">IF(AND($AD$282=TRUE,SUM(B316:L316)&gt;0),SUMPRODUCT((((TRANSPOSE(Cls1CentDailyRng)&lt;INDEX(CDRANGE_CLS1,$A316-$A$286+1,AD$283))*TRANSPOSE(Cls1CentDailyRng)+(TRANSPOSE(Cls1CentDailyRng)&gt;INDEX(CDRANGE_CLS1,$A316-$A$286+1,AD$283))*INDEX(CDRANGE_CLS1,$A316-$A$286+1,AD$283))/TRANSPOSE(Cls1CentDailyRng)),B316:L316,TRANSPOSE(Cls1CentVMTShr))/SUMPRODUCT(B316:L316,TRANSPOSE(Cls1CentVMTShr)),0)</f>
        <v>0</v>
      </c>
      <c r="AC316" s="949">
        <f t="array" ref="AC316">IF(AND($AD$282=TRUE,SUM(O316:Y316)&gt;0),SUMPRODUCT((((TRANSPOSE(Cls1NCentDailyRng)&lt;INDEX(CDRANGE_CLS1,$A316-$A$286+1,AD$283))*TRANSPOSE(Cls1NCentDailyRng)+(TRANSPOSE(Cls1NCentDailyRng)&gt;INDEX(CDRANGE_CLS1,$A316-$A$286+1,AD$283))*INDEX(CDRANGE_CLS1,$A316-$A$286+1,AD$283))/TRANSPOSE(Cls1NCentDailyRng)),O316:Y316,TRANSPOSE(Cls1NCentVMTShr))/SUMPRODUCT(O316:Y316,TRANSPOSE(Cls1NCentVMTShr)),0)</f>
        <v>0</v>
      </c>
      <c r="AD316" s="1226">
        <f t="shared" si="149"/>
        <v>0</v>
      </c>
      <c r="AE316" s="937">
        <f t="shared" si="146"/>
        <v>0</v>
      </c>
      <c r="AF316" s="937">
        <f t="shared" si="147"/>
        <v>0</v>
      </c>
      <c r="AG316" s="937">
        <f t="shared" si="148"/>
        <v>0</v>
      </c>
      <c r="AH316" s="1172">
        <f t="shared" si="144"/>
        <v>0</v>
      </c>
      <c r="AI316" s="937">
        <f t="shared" si="14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6"/>
        <v>0</v>
      </c>
      <c r="N317" s="298">
        <f t="shared" si="137"/>
        <v>0</v>
      </c>
      <c r="O317" s="344">
        <v>0</v>
      </c>
      <c r="P317" s="345">
        <v>0</v>
      </c>
      <c r="Q317" s="345">
        <v>0</v>
      </c>
      <c r="R317" s="345">
        <v>0</v>
      </c>
      <c r="S317" s="345">
        <v>0</v>
      </c>
      <c r="T317" s="345">
        <v>0</v>
      </c>
      <c r="U317" s="345">
        <v>0</v>
      </c>
      <c r="V317" s="345">
        <v>0</v>
      </c>
      <c r="W317" s="345">
        <v>0</v>
      </c>
      <c r="X317" s="345">
        <v>0</v>
      </c>
      <c r="Y317" s="380">
        <v>0</v>
      </c>
      <c r="Z317" s="296">
        <f t="shared" si="138"/>
        <v>0</v>
      </c>
      <c r="AA317" s="298">
        <f t="shared" si="139"/>
        <v>0</v>
      </c>
      <c r="AB317" s="948">
        <f t="array" ref="AB317">IF(AND($AD$282=TRUE,SUM(B317:L317)&gt;0),SUMPRODUCT((((TRANSPOSE(Cls1CentDailyRng)&lt;INDEX(CDRANGE_CLS1,$A317-$A$286+1,AD$283))*TRANSPOSE(Cls1CentDailyRng)+(TRANSPOSE(Cls1CentDailyRng)&gt;INDEX(CDRANGE_CLS1,$A317-$A$286+1,AD$283))*INDEX(CDRANGE_CLS1,$A317-$A$286+1,AD$283))/TRANSPOSE(Cls1CentDailyRng)),B317:L317,TRANSPOSE(Cls1CentVMTShr))/SUMPRODUCT(B317:L317,TRANSPOSE(Cls1CentVMTShr)),0)</f>
        <v>0</v>
      </c>
      <c r="AC317" s="949">
        <f t="array" ref="AC317">IF(AND($AD$282=TRUE,SUM(O317:Y317)&gt;0),SUMPRODUCT((((TRANSPOSE(Cls1NCentDailyRng)&lt;INDEX(CDRANGE_CLS1,$A317-$A$286+1,AD$283))*TRANSPOSE(Cls1NCentDailyRng)+(TRANSPOSE(Cls1NCentDailyRng)&gt;INDEX(CDRANGE_CLS1,$A317-$A$286+1,AD$283))*INDEX(CDRANGE_CLS1,$A317-$A$286+1,AD$283))/TRANSPOSE(Cls1NCentDailyRng)),O317:Y317,TRANSPOSE(Cls1NCentVMTShr))/SUMPRODUCT(O317:Y317,TRANSPOSE(Cls1NCentVMTShr)),0)</f>
        <v>0</v>
      </c>
      <c r="AD317" s="1226">
        <f t="shared" si="149"/>
        <v>0</v>
      </c>
      <c r="AE317" s="937">
        <f t="shared" si="146"/>
        <v>0</v>
      </c>
      <c r="AF317" s="937">
        <f t="shared" si="147"/>
        <v>0</v>
      </c>
      <c r="AG317" s="937">
        <f t="shared" si="148"/>
        <v>0</v>
      </c>
      <c r="AH317" s="1172">
        <f t="shared" si="144"/>
        <v>0</v>
      </c>
      <c r="AI317" s="937">
        <f t="shared" si="14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6"/>
        <v>0</v>
      </c>
      <c r="N318" s="298">
        <f t="shared" si="137"/>
        <v>0</v>
      </c>
      <c r="O318" s="344">
        <v>0</v>
      </c>
      <c r="P318" s="345">
        <v>0</v>
      </c>
      <c r="Q318" s="345">
        <v>0</v>
      </c>
      <c r="R318" s="345">
        <v>0</v>
      </c>
      <c r="S318" s="345">
        <v>0</v>
      </c>
      <c r="T318" s="345">
        <v>0</v>
      </c>
      <c r="U318" s="345">
        <v>0</v>
      </c>
      <c r="V318" s="345">
        <v>0</v>
      </c>
      <c r="W318" s="345">
        <v>0</v>
      </c>
      <c r="X318" s="345">
        <v>0</v>
      </c>
      <c r="Y318" s="380">
        <v>0</v>
      </c>
      <c r="Z318" s="296">
        <f t="shared" si="138"/>
        <v>0</v>
      </c>
      <c r="AA318" s="298">
        <f t="shared" si="139"/>
        <v>0</v>
      </c>
      <c r="AB318" s="948">
        <f t="array" ref="AB318">IF(AND($AD$282=TRUE,SUM(B318:L318)&gt;0),SUMPRODUCT((((TRANSPOSE(Cls1CentDailyRng)&lt;INDEX(CDRANGE_CLS1,$A318-$A$286+1,AD$283))*TRANSPOSE(Cls1CentDailyRng)+(TRANSPOSE(Cls1CentDailyRng)&gt;INDEX(CDRANGE_CLS1,$A318-$A$286+1,AD$283))*INDEX(CDRANGE_CLS1,$A318-$A$286+1,AD$283))/TRANSPOSE(Cls1CentDailyRng)),B318:L318,TRANSPOSE(Cls1CentVMTShr))/SUMPRODUCT(B318:L318,TRANSPOSE(Cls1CentVMTShr)),0)</f>
        <v>0</v>
      </c>
      <c r="AC318" s="949">
        <f t="array" ref="AC318">IF(AND($AD$282=TRUE,SUM(O318:Y318)&gt;0),SUMPRODUCT((((TRANSPOSE(Cls1NCentDailyRng)&lt;INDEX(CDRANGE_CLS1,$A318-$A$286+1,AD$283))*TRANSPOSE(Cls1NCentDailyRng)+(TRANSPOSE(Cls1NCentDailyRng)&gt;INDEX(CDRANGE_CLS1,$A318-$A$286+1,AD$283))*INDEX(CDRANGE_CLS1,$A318-$A$286+1,AD$283))/TRANSPOSE(Cls1NCentDailyRng)),O318:Y318,TRANSPOSE(Cls1NCentVMTShr))/SUMPRODUCT(O318:Y318,TRANSPOSE(Cls1NCentVMTShr)),0)</f>
        <v>0</v>
      </c>
      <c r="AD318" s="1226">
        <f t="shared" si="149"/>
        <v>0</v>
      </c>
      <c r="AE318" s="937">
        <f t="shared" si="146"/>
        <v>0</v>
      </c>
      <c r="AF318" s="937">
        <f t="shared" si="147"/>
        <v>0</v>
      </c>
      <c r="AG318" s="937">
        <f t="shared" si="148"/>
        <v>0</v>
      </c>
      <c r="AH318" s="1172">
        <f t="shared" si="144"/>
        <v>0</v>
      </c>
      <c r="AI318" s="937">
        <f t="shared" si="145"/>
        <v>0</v>
      </c>
    </row>
    <row r="319" spans="1:35" ht="15" thickBot="1" x14ac:dyDescent="0.25">
      <c r="A319" s="328">
        <v>2040</v>
      </c>
      <c r="B319" s="346">
        <v>0</v>
      </c>
      <c r="C319" s="347">
        <v>0</v>
      </c>
      <c r="D319" s="347">
        <v>0</v>
      </c>
      <c r="E319" s="347">
        <v>0</v>
      </c>
      <c r="F319" s="347">
        <v>0</v>
      </c>
      <c r="G319" s="347">
        <v>0</v>
      </c>
      <c r="H319" s="347">
        <v>0</v>
      </c>
      <c r="I319" s="347">
        <v>0</v>
      </c>
      <c r="J319" s="347">
        <v>0</v>
      </c>
      <c r="K319" s="347">
        <v>0</v>
      </c>
      <c r="L319" s="381">
        <v>0</v>
      </c>
      <c r="M319" s="310">
        <f t="shared" si="136"/>
        <v>0</v>
      </c>
      <c r="N319" s="312">
        <f t="shared" si="137"/>
        <v>0</v>
      </c>
      <c r="O319" s="346">
        <v>0</v>
      </c>
      <c r="P319" s="347">
        <v>0</v>
      </c>
      <c r="Q319" s="347">
        <v>0</v>
      </c>
      <c r="R319" s="347">
        <v>0</v>
      </c>
      <c r="S319" s="347">
        <v>0</v>
      </c>
      <c r="T319" s="347">
        <v>0</v>
      </c>
      <c r="U319" s="347">
        <v>0</v>
      </c>
      <c r="V319" s="347">
        <v>0</v>
      </c>
      <c r="W319" s="347">
        <v>0</v>
      </c>
      <c r="X319" s="347">
        <v>0</v>
      </c>
      <c r="Y319" s="381">
        <v>0</v>
      </c>
      <c r="Z319" s="310">
        <f t="shared" si="138"/>
        <v>0</v>
      </c>
      <c r="AA319" s="312">
        <f t="shared" si="139"/>
        <v>0</v>
      </c>
      <c r="AB319" s="948">
        <f t="array" ref="AB319">IF(AND($AD$282=TRUE,SUM(B319:L319)&gt;0),SUMPRODUCT((((TRANSPOSE(Cls1CentDailyRng)&lt;INDEX(CDRANGE_CLS1,$A319-$A$286+1,AD$283))*TRANSPOSE(Cls1CentDailyRng)+(TRANSPOSE(Cls1CentDailyRng)&gt;INDEX(CDRANGE_CLS1,$A319-$A$286+1,AD$283))*INDEX(CDRANGE_CLS1,$A319-$A$286+1,AD$283))/TRANSPOSE(Cls1CentDailyRng)),B319:L319,TRANSPOSE(Cls1CentVMTShr))/SUMPRODUCT(B319:L319,TRANSPOSE(Cls1CentVMTShr)),0)</f>
        <v>0</v>
      </c>
      <c r="AC319" s="949">
        <f t="array" ref="AC319">IF(AND($AD$282=TRUE,SUM(O319:Y319)&gt;0),SUMPRODUCT((((TRANSPOSE(Cls1NCentDailyRng)&lt;INDEX(CDRANGE_CLS1,$A319-$A$286+1,AD$283))*TRANSPOSE(Cls1NCentDailyRng)+(TRANSPOSE(Cls1NCentDailyRng)&gt;INDEX(CDRANGE_CLS1,$A319-$A$286+1,AD$283))*INDEX(CDRANGE_CLS1,$A319-$A$286+1,AD$283))/TRANSPOSE(Cls1NCentDailyRng)),O319:Y319,TRANSPOSE(Cls1NCentVMTShr))/SUMPRODUCT(O319:Y319,TRANSPOSE(Cls1NCentVMTShr)),0)</f>
        <v>0</v>
      </c>
      <c r="AD319" s="1226">
        <f t="shared" si="149"/>
        <v>0</v>
      </c>
      <c r="AE319" s="937">
        <f t="shared" si="146"/>
        <v>0</v>
      </c>
      <c r="AF319" s="937">
        <f t="shared" si="147"/>
        <v>0</v>
      </c>
      <c r="AG319" s="937">
        <f t="shared" si="148"/>
        <v>0</v>
      </c>
      <c r="AH319" s="1172">
        <f t="shared" si="144"/>
        <v>0</v>
      </c>
      <c r="AI319" s="937">
        <f t="shared" si="145"/>
        <v>0</v>
      </c>
    </row>
    <row r="320" spans="1:35" x14ac:dyDescent="0.2">
      <c r="A320" s="329">
        <v>2041</v>
      </c>
      <c r="B320" s="342">
        <v>0</v>
      </c>
      <c r="C320" s="343">
        <v>0</v>
      </c>
      <c r="D320" s="343">
        <v>0</v>
      </c>
      <c r="E320" s="343">
        <v>0</v>
      </c>
      <c r="F320" s="343">
        <v>0</v>
      </c>
      <c r="G320" s="343">
        <v>0</v>
      </c>
      <c r="H320" s="343">
        <v>0</v>
      </c>
      <c r="I320" s="343">
        <v>0</v>
      </c>
      <c r="J320" s="343">
        <v>0</v>
      </c>
      <c r="K320" s="343">
        <v>0</v>
      </c>
      <c r="L320" s="379">
        <v>0</v>
      </c>
      <c r="M320" s="282">
        <f t="shared" si="136"/>
        <v>0</v>
      </c>
      <c r="N320" s="284">
        <f t="shared" si="137"/>
        <v>0</v>
      </c>
      <c r="O320" s="342">
        <v>0</v>
      </c>
      <c r="P320" s="343">
        <v>0</v>
      </c>
      <c r="Q320" s="343">
        <v>0</v>
      </c>
      <c r="R320" s="343">
        <v>0</v>
      </c>
      <c r="S320" s="343">
        <v>0</v>
      </c>
      <c r="T320" s="343">
        <v>0</v>
      </c>
      <c r="U320" s="343">
        <v>0</v>
      </c>
      <c r="V320" s="343">
        <v>0</v>
      </c>
      <c r="W320" s="343">
        <v>0</v>
      </c>
      <c r="X320" s="343">
        <v>0</v>
      </c>
      <c r="Y320" s="379">
        <v>0</v>
      </c>
      <c r="Z320" s="282">
        <f t="shared" si="138"/>
        <v>0</v>
      </c>
      <c r="AA320" s="284">
        <f t="shared" si="139"/>
        <v>0</v>
      </c>
      <c r="AB320" s="948">
        <f t="array" ref="AB320">IF(AND($AD$282=TRUE,SUM(B320:L320)&gt;0),SUMPRODUCT((((TRANSPOSE(Cls1CentDailyRng)&lt;INDEX(CDRANGE_CLS1,$A320-$A$286+1,AD$283))*TRANSPOSE(Cls1CentDailyRng)+(TRANSPOSE(Cls1CentDailyRng)&gt;INDEX(CDRANGE_CLS1,$A320-$A$286+1,AD$283))*INDEX(CDRANGE_CLS1,$A320-$A$286+1,AD$283))/TRANSPOSE(Cls1CentDailyRng)),B320:L320,TRANSPOSE(Cls1CentVMTShr))/SUMPRODUCT(B320:L320,TRANSPOSE(Cls1CentVMTShr)),0)</f>
        <v>0</v>
      </c>
      <c r="AC320" s="949">
        <f t="array" ref="AC320">IF(AND($AD$282=TRUE,SUM(O320:Y320)&gt;0),SUMPRODUCT((((TRANSPOSE(Cls1NCentDailyRng)&lt;INDEX(CDRANGE_CLS1,$A320-$A$286+1,AD$283))*TRANSPOSE(Cls1NCentDailyRng)+(TRANSPOSE(Cls1NCentDailyRng)&gt;INDEX(CDRANGE_CLS1,$A320-$A$286+1,AD$283))*INDEX(CDRANGE_CLS1,$A320-$A$286+1,AD$283))/TRANSPOSE(Cls1NCentDailyRng)),O320:Y320,TRANSPOSE(Cls1NCentVMTShr))/SUMPRODUCT(O320:Y320,TRANSPOSE(Cls1NCentVMTShr)),0)</f>
        <v>0</v>
      </c>
      <c r="AD320" s="1226">
        <f t="shared" si="149"/>
        <v>0</v>
      </c>
      <c r="AE320" s="937">
        <f t="shared" si="146"/>
        <v>0</v>
      </c>
      <c r="AF320" s="937">
        <f t="shared" si="147"/>
        <v>0</v>
      </c>
      <c r="AG320" s="937">
        <f t="shared" si="148"/>
        <v>0</v>
      </c>
      <c r="AH320" s="1172">
        <f t="shared" si="144"/>
        <v>0</v>
      </c>
      <c r="AI320" s="937">
        <f t="shared" si="145"/>
        <v>0</v>
      </c>
    </row>
    <row r="321" spans="1:35" x14ac:dyDescent="0.2">
      <c r="A321" s="330">
        <v>2042</v>
      </c>
      <c r="B321" s="344">
        <v>0</v>
      </c>
      <c r="C321" s="345">
        <v>0</v>
      </c>
      <c r="D321" s="345">
        <v>0</v>
      </c>
      <c r="E321" s="345">
        <v>0</v>
      </c>
      <c r="F321" s="345">
        <v>0</v>
      </c>
      <c r="G321" s="345">
        <v>0</v>
      </c>
      <c r="H321" s="345">
        <v>0</v>
      </c>
      <c r="I321" s="345">
        <v>0</v>
      </c>
      <c r="J321" s="345">
        <v>0</v>
      </c>
      <c r="K321" s="345">
        <v>0</v>
      </c>
      <c r="L321" s="380">
        <v>0</v>
      </c>
      <c r="M321" s="296">
        <f t="shared" si="136"/>
        <v>0</v>
      </c>
      <c r="N321" s="298">
        <f t="shared" si="137"/>
        <v>0</v>
      </c>
      <c r="O321" s="344">
        <v>0</v>
      </c>
      <c r="P321" s="345">
        <v>0</v>
      </c>
      <c r="Q321" s="345">
        <v>0</v>
      </c>
      <c r="R321" s="345">
        <v>0</v>
      </c>
      <c r="S321" s="345">
        <v>0</v>
      </c>
      <c r="T321" s="345">
        <v>0</v>
      </c>
      <c r="U321" s="345">
        <v>0</v>
      </c>
      <c r="V321" s="345">
        <v>0</v>
      </c>
      <c r="W321" s="345">
        <v>0</v>
      </c>
      <c r="X321" s="345">
        <v>0</v>
      </c>
      <c r="Y321" s="380">
        <v>0</v>
      </c>
      <c r="Z321" s="296">
        <f t="shared" si="138"/>
        <v>0</v>
      </c>
      <c r="AA321" s="298">
        <f t="shared" si="139"/>
        <v>0</v>
      </c>
      <c r="AB321" s="948">
        <f t="array" ref="AB321">IF(AND($AD$282=TRUE,SUM(B321:L321)&gt;0),SUMPRODUCT((((TRANSPOSE(Cls1CentDailyRng)&lt;INDEX(CDRANGE_CLS1,$A321-$A$286+1,AD$283))*TRANSPOSE(Cls1CentDailyRng)+(TRANSPOSE(Cls1CentDailyRng)&gt;INDEX(CDRANGE_CLS1,$A321-$A$286+1,AD$283))*INDEX(CDRANGE_CLS1,$A321-$A$286+1,AD$283))/TRANSPOSE(Cls1CentDailyRng)),B321:L321,TRANSPOSE(Cls1CentVMTShr))/SUMPRODUCT(B321:L321,TRANSPOSE(Cls1CentVMTShr)),0)</f>
        <v>0</v>
      </c>
      <c r="AC321" s="949">
        <f t="array" ref="AC321">IF(AND($AD$282=TRUE,SUM(O321:Y321)&gt;0),SUMPRODUCT((((TRANSPOSE(Cls1NCentDailyRng)&lt;INDEX(CDRANGE_CLS1,$A321-$A$286+1,AD$283))*TRANSPOSE(Cls1NCentDailyRng)+(TRANSPOSE(Cls1NCentDailyRng)&gt;INDEX(CDRANGE_CLS1,$A321-$A$286+1,AD$283))*INDEX(CDRANGE_CLS1,$A321-$A$286+1,AD$283))/TRANSPOSE(Cls1NCentDailyRng)),O321:Y321,TRANSPOSE(Cls1NCentVMTShr))/SUMPRODUCT(O321:Y321,TRANSPOSE(Cls1NCentVMTShr)),0)</f>
        <v>0</v>
      </c>
      <c r="AD321" s="1226">
        <f t="shared" si="149"/>
        <v>0</v>
      </c>
      <c r="AE321" s="937">
        <f t="shared" si="146"/>
        <v>0</v>
      </c>
      <c r="AF321" s="937">
        <f t="shared" si="147"/>
        <v>0</v>
      </c>
      <c r="AG321" s="937">
        <f t="shared" si="148"/>
        <v>0</v>
      </c>
      <c r="AH321" s="1172">
        <f t="shared" si="144"/>
        <v>0</v>
      </c>
      <c r="AI321" s="937">
        <f t="shared" si="145"/>
        <v>0</v>
      </c>
    </row>
    <row r="322" spans="1:35" x14ac:dyDescent="0.2">
      <c r="A322" s="330">
        <v>2043</v>
      </c>
      <c r="B322" s="344">
        <v>0</v>
      </c>
      <c r="C322" s="345">
        <v>0</v>
      </c>
      <c r="D322" s="345">
        <v>0</v>
      </c>
      <c r="E322" s="345">
        <v>0</v>
      </c>
      <c r="F322" s="345">
        <v>0</v>
      </c>
      <c r="G322" s="345">
        <v>0</v>
      </c>
      <c r="H322" s="345">
        <v>0</v>
      </c>
      <c r="I322" s="345">
        <v>0</v>
      </c>
      <c r="J322" s="345">
        <v>0</v>
      </c>
      <c r="K322" s="345">
        <v>0</v>
      </c>
      <c r="L322" s="380">
        <v>0</v>
      </c>
      <c r="M322" s="296">
        <f t="shared" si="136"/>
        <v>0</v>
      </c>
      <c r="N322" s="298">
        <f t="shared" si="137"/>
        <v>0</v>
      </c>
      <c r="O322" s="344">
        <v>0</v>
      </c>
      <c r="P322" s="345">
        <v>0</v>
      </c>
      <c r="Q322" s="345">
        <v>0</v>
      </c>
      <c r="R322" s="345">
        <v>0</v>
      </c>
      <c r="S322" s="345">
        <v>0</v>
      </c>
      <c r="T322" s="345">
        <v>0</v>
      </c>
      <c r="U322" s="345">
        <v>0</v>
      </c>
      <c r="V322" s="345">
        <v>0</v>
      </c>
      <c r="W322" s="345">
        <v>0</v>
      </c>
      <c r="X322" s="345">
        <v>0</v>
      </c>
      <c r="Y322" s="380">
        <v>0</v>
      </c>
      <c r="Z322" s="296">
        <f t="shared" si="138"/>
        <v>0</v>
      </c>
      <c r="AA322" s="298">
        <f t="shared" si="139"/>
        <v>0</v>
      </c>
      <c r="AB322" s="948">
        <f t="array" ref="AB322">IF(AND($AD$282=TRUE,SUM(B322:L322)&gt;0),SUMPRODUCT((((TRANSPOSE(Cls1CentDailyRng)&lt;INDEX(CDRANGE_CLS1,$A322-$A$286+1,AD$283))*TRANSPOSE(Cls1CentDailyRng)+(TRANSPOSE(Cls1CentDailyRng)&gt;INDEX(CDRANGE_CLS1,$A322-$A$286+1,AD$283))*INDEX(CDRANGE_CLS1,$A322-$A$286+1,AD$283))/TRANSPOSE(Cls1CentDailyRng)),B322:L322,TRANSPOSE(Cls1CentVMTShr))/SUMPRODUCT(B322:L322,TRANSPOSE(Cls1CentVMTShr)),0)</f>
        <v>0</v>
      </c>
      <c r="AC322" s="949">
        <f t="array" ref="AC322">IF(AND($AD$282=TRUE,SUM(O322:Y322)&gt;0),SUMPRODUCT((((TRANSPOSE(Cls1NCentDailyRng)&lt;INDEX(CDRANGE_CLS1,$A322-$A$286+1,AD$283))*TRANSPOSE(Cls1NCentDailyRng)+(TRANSPOSE(Cls1NCentDailyRng)&gt;INDEX(CDRANGE_CLS1,$A322-$A$286+1,AD$283))*INDEX(CDRANGE_CLS1,$A322-$A$286+1,AD$283))/TRANSPOSE(Cls1NCentDailyRng)),O322:Y322,TRANSPOSE(Cls1NCentVMTShr))/SUMPRODUCT(O322:Y322,TRANSPOSE(Cls1NCentVMTShr)),0)</f>
        <v>0</v>
      </c>
      <c r="AD322" s="1226">
        <f t="shared" si="149"/>
        <v>0</v>
      </c>
      <c r="AE322" s="937">
        <f t="shared" si="146"/>
        <v>0</v>
      </c>
      <c r="AF322" s="937">
        <f t="shared" si="147"/>
        <v>0</v>
      </c>
      <c r="AG322" s="937">
        <f t="shared" si="148"/>
        <v>0</v>
      </c>
      <c r="AH322" s="1172">
        <f t="shared" si="144"/>
        <v>0</v>
      </c>
      <c r="AI322" s="937">
        <f t="shared" si="145"/>
        <v>0</v>
      </c>
    </row>
    <row r="323" spans="1:35" x14ac:dyDescent="0.2">
      <c r="A323" s="330">
        <v>2044</v>
      </c>
      <c r="B323" s="344">
        <v>0</v>
      </c>
      <c r="C323" s="345">
        <v>0</v>
      </c>
      <c r="D323" s="345">
        <v>0</v>
      </c>
      <c r="E323" s="345">
        <v>0</v>
      </c>
      <c r="F323" s="345">
        <v>0</v>
      </c>
      <c r="G323" s="345">
        <v>0</v>
      </c>
      <c r="H323" s="345">
        <v>0</v>
      </c>
      <c r="I323" s="345">
        <v>0</v>
      </c>
      <c r="J323" s="345">
        <v>0</v>
      </c>
      <c r="K323" s="345">
        <v>0</v>
      </c>
      <c r="L323" s="380">
        <v>0</v>
      </c>
      <c r="M323" s="296">
        <f t="shared" si="136"/>
        <v>0</v>
      </c>
      <c r="N323" s="298">
        <f t="shared" si="137"/>
        <v>0</v>
      </c>
      <c r="O323" s="344">
        <v>0</v>
      </c>
      <c r="P323" s="345">
        <v>0</v>
      </c>
      <c r="Q323" s="345">
        <v>0</v>
      </c>
      <c r="R323" s="345">
        <v>0</v>
      </c>
      <c r="S323" s="345">
        <v>0</v>
      </c>
      <c r="T323" s="345">
        <v>0</v>
      </c>
      <c r="U323" s="345">
        <v>0</v>
      </c>
      <c r="V323" s="345">
        <v>0</v>
      </c>
      <c r="W323" s="345">
        <v>0</v>
      </c>
      <c r="X323" s="345">
        <v>0</v>
      </c>
      <c r="Y323" s="380">
        <v>0</v>
      </c>
      <c r="Z323" s="296">
        <f t="shared" si="138"/>
        <v>0</v>
      </c>
      <c r="AA323" s="298">
        <f t="shared" si="139"/>
        <v>0</v>
      </c>
      <c r="AB323" s="948">
        <f t="array" ref="AB323">IF(AND($AD$282=TRUE,SUM(B323:L323)&gt;0),SUMPRODUCT((((TRANSPOSE(Cls1CentDailyRng)&lt;INDEX(CDRANGE_CLS1,$A323-$A$286+1,AD$283))*TRANSPOSE(Cls1CentDailyRng)+(TRANSPOSE(Cls1CentDailyRng)&gt;INDEX(CDRANGE_CLS1,$A323-$A$286+1,AD$283))*INDEX(CDRANGE_CLS1,$A323-$A$286+1,AD$283))/TRANSPOSE(Cls1CentDailyRng)),B323:L323,TRANSPOSE(Cls1CentVMTShr))/SUMPRODUCT(B323:L323,TRANSPOSE(Cls1CentVMTShr)),0)</f>
        <v>0</v>
      </c>
      <c r="AC323" s="949">
        <f t="array" ref="AC323">IF(AND($AD$282=TRUE,SUM(O323:Y323)&gt;0),SUMPRODUCT((((TRANSPOSE(Cls1NCentDailyRng)&lt;INDEX(CDRANGE_CLS1,$A323-$A$286+1,AD$283))*TRANSPOSE(Cls1NCentDailyRng)+(TRANSPOSE(Cls1NCentDailyRng)&gt;INDEX(CDRANGE_CLS1,$A323-$A$286+1,AD$283))*INDEX(CDRANGE_CLS1,$A323-$A$286+1,AD$283))/TRANSPOSE(Cls1NCentDailyRng)),O323:Y323,TRANSPOSE(Cls1NCentVMTShr))/SUMPRODUCT(O323:Y323,TRANSPOSE(Cls1NCentVMTShr)),0)</f>
        <v>0</v>
      </c>
      <c r="AD323" s="1226">
        <f t="shared" si="149"/>
        <v>0</v>
      </c>
      <c r="AE323" s="937">
        <f t="shared" si="146"/>
        <v>0</v>
      </c>
      <c r="AF323" s="937">
        <f t="shared" si="147"/>
        <v>0</v>
      </c>
      <c r="AG323" s="937">
        <f t="shared" si="148"/>
        <v>0</v>
      </c>
      <c r="AH323" s="1172">
        <f t="shared" si="144"/>
        <v>0</v>
      </c>
      <c r="AI323" s="937">
        <f t="shared" si="145"/>
        <v>0</v>
      </c>
    </row>
    <row r="324" spans="1:35" ht="15" thickBot="1" x14ac:dyDescent="0.25">
      <c r="A324" s="328">
        <v>2045</v>
      </c>
      <c r="B324" s="346">
        <v>0</v>
      </c>
      <c r="C324" s="347">
        <v>0</v>
      </c>
      <c r="D324" s="347">
        <v>0</v>
      </c>
      <c r="E324" s="347">
        <v>0</v>
      </c>
      <c r="F324" s="347">
        <v>0</v>
      </c>
      <c r="G324" s="347">
        <v>0</v>
      </c>
      <c r="H324" s="347">
        <v>0</v>
      </c>
      <c r="I324" s="347">
        <v>0</v>
      </c>
      <c r="J324" s="347">
        <v>0</v>
      </c>
      <c r="K324" s="347">
        <v>0</v>
      </c>
      <c r="L324" s="381">
        <v>0</v>
      </c>
      <c r="M324" s="310">
        <f t="shared" si="136"/>
        <v>0</v>
      </c>
      <c r="N324" s="312">
        <f t="shared" si="137"/>
        <v>0</v>
      </c>
      <c r="O324" s="346">
        <v>0</v>
      </c>
      <c r="P324" s="347">
        <v>0</v>
      </c>
      <c r="Q324" s="347">
        <v>0</v>
      </c>
      <c r="R324" s="347">
        <v>0</v>
      </c>
      <c r="S324" s="347">
        <v>0</v>
      </c>
      <c r="T324" s="347">
        <v>0</v>
      </c>
      <c r="U324" s="347">
        <v>0</v>
      </c>
      <c r="V324" s="347">
        <v>0</v>
      </c>
      <c r="W324" s="347">
        <v>0</v>
      </c>
      <c r="X324" s="347">
        <v>0</v>
      </c>
      <c r="Y324" s="381">
        <v>0</v>
      </c>
      <c r="Z324" s="310">
        <f t="shared" si="138"/>
        <v>0</v>
      </c>
      <c r="AA324" s="312">
        <f t="shared" si="139"/>
        <v>0</v>
      </c>
      <c r="AB324" s="948">
        <f t="array" ref="AB324">IF(AND($AD$282=TRUE,SUM(B324:L324)&gt;0),SUMPRODUCT((((TRANSPOSE(Cls1CentDailyRng)&lt;INDEX(CDRANGE_CLS1,$A324-$A$286+1,AD$283))*TRANSPOSE(Cls1CentDailyRng)+(TRANSPOSE(Cls1CentDailyRng)&gt;INDEX(CDRANGE_CLS1,$A324-$A$286+1,AD$283))*INDEX(CDRANGE_CLS1,$A324-$A$286+1,AD$283))/TRANSPOSE(Cls1CentDailyRng)),B324:L324,TRANSPOSE(Cls1CentVMTShr))/SUMPRODUCT(B324:L324,TRANSPOSE(Cls1CentVMTShr)),0)</f>
        <v>0</v>
      </c>
      <c r="AC324" s="949">
        <f t="array" ref="AC324">IF(AND($AD$282=TRUE,SUM(O324:Y324)&gt;0),SUMPRODUCT((((TRANSPOSE(Cls1NCentDailyRng)&lt;INDEX(CDRANGE_CLS1,$A324-$A$286+1,AD$283))*TRANSPOSE(Cls1NCentDailyRng)+(TRANSPOSE(Cls1NCentDailyRng)&gt;INDEX(CDRANGE_CLS1,$A324-$A$286+1,AD$283))*INDEX(CDRANGE_CLS1,$A324-$A$286+1,AD$283))/TRANSPOSE(Cls1NCentDailyRng)),O324:Y324,TRANSPOSE(Cls1NCentVMTShr))/SUMPRODUCT(O324:Y324,TRANSPOSE(Cls1NCentVMTShr)),0)</f>
        <v>0</v>
      </c>
      <c r="AD324" s="1226">
        <f t="shared" si="149"/>
        <v>0</v>
      </c>
      <c r="AE324" s="937">
        <f t="shared" si="146"/>
        <v>0</v>
      </c>
      <c r="AF324" s="937">
        <f t="shared" si="147"/>
        <v>0</v>
      </c>
      <c r="AG324" s="937">
        <f t="shared" si="148"/>
        <v>0</v>
      </c>
      <c r="AH324" s="1172">
        <f t="shared" si="144"/>
        <v>0</v>
      </c>
      <c r="AI324" s="937">
        <f t="shared" si="145"/>
        <v>0</v>
      </c>
    </row>
    <row r="325" spans="1:35" x14ac:dyDescent="0.2">
      <c r="A325" s="329">
        <v>2046</v>
      </c>
      <c r="B325" s="342">
        <v>0</v>
      </c>
      <c r="C325" s="343">
        <v>0</v>
      </c>
      <c r="D325" s="343">
        <v>0</v>
      </c>
      <c r="E325" s="343">
        <v>0</v>
      </c>
      <c r="F325" s="343">
        <v>0</v>
      </c>
      <c r="G325" s="343">
        <v>0</v>
      </c>
      <c r="H325" s="343">
        <v>0</v>
      </c>
      <c r="I325" s="343">
        <v>0</v>
      </c>
      <c r="J325" s="343">
        <v>0</v>
      </c>
      <c r="K325" s="343">
        <v>0</v>
      </c>
      <c r="L325" s="379">
        <v>0</v>
      </c>
      <c r="M325" s="282">
        <f t="shared" si="136"/>
        <v>0</v>
      </c>
      <c r="N325" s="284">
        <f t="shared" si="137"/>
        <v>0</v>
      </c>
      <c r="O325" s="342">
        <v>0</v>
      </c>
      <c r="P325" s="343">
        <v>0</v>
      </c>
      <c r="Q325" s="343">
        <v>0</v>
      </c>
      <c r="R325" s="343">
        <v>0</v>
      </c>
      <c r="S325" s="343">
        <v>0</v>
      </c>
      <c r="T325" s="343">
        <v>0</v>
      </c>
      <c r="U325" s="343">
        <v>0</v>
      </c>
      <c r="V325" s="343">
        <v>0</v>
      </c>
      <c r="W325" s="343">
        <v>0</v>
      </c>
      <c r="X325" s="343">
        <v>0</v>
      </c>
      <c r="Y325" s="379">
        <v>0</v>
      </c>
      <c r="Z325" s="282">
        <f t="shared" si="138"/>
        <v>0</v>
      </c>
      <c r="AA325" s="284">
        <f t="shared" si="139"/>
        <v>0</v>
      </c>
      <c r="AB325" s="948">
        <f t="array" ref="AB325">IF(AND($AD$282=TRUE,SUM(B325:L325)&gt;0),SUMPRODUCT((((TRANSPOSE(Cls1CentDailyRng)&lt;INDEX(CDRANGE_CLS1,$A325-$A$286+1,AD$283))*TRANSPOSE(Cls1CentDailyRng)+(TRANSPOSE(Cls1CentDailyRng)&gt;INDEX(CDRANGE_CLS1,$A325-$A$286+1,AD$283))*INDEX(CDRANGE_CLS1,$A325-$A$286+1,AD$283))/TRANSPOSE(Cls1CentDailyRng)),B325:L325,TRANSPOSE(Cls1CentVMTShr))/SUMPRODUCT(B325:L325,TRANSPOSE(Cls1CentVMTShr)),0)</f>
        <v>0</v>
      </c>
      <c r="AC325" s="949">
        <f t="array" ref="AC325">IF(AND($AD$282=TRUE,SUM(O325:Y325)&gt;0),SUMPRODUCT((((TRANSPOSE(Cls1NCentDailyRng)&lt;INDEX(CDRANGE_CLS1,$A325-$A$286+1,AD$283))*TRANSPOSE(Cls1NCentDailyRng)+(TRANSPOSE(Cls1NCentDailyRng)&gt;INDEX(CDRANGE_CLS1,$A325-$A$286+1,AD$283))*INDEX(CDRANGE_CLS1,$A325-$A$286+1,AD$283))/TRANSPOSE(Cls1NCentDailyRng)),O325:Y325,TRANSPOSE(Cls1NCentVMTShr))/SUMPRODUCT(O325:Y325,TRANSPOSE(Cls1NCentVMTShr)),0)</f>
        <v>0</v>
      </c>
      <c r="AD325" s="1226">
        <f t="shared" si="149"/>
        <v>0</v>
      </c>
      <c r="AE325" s="937">
        <f t="shared" si="146"/>
        <v>0</v>
      </c>
      <c r="AF325" s="937">
        <f t="shared" si="147"/>
        <v>0</v>
      </c>
      <c r="AG325" s="937">
        <f t="shared" si="148"/>
        <v>0</v>
      </c>
      <c r="AH325" s="1172">
        <f t="shared" si="144"/>
        <v>0</v>
      </c>
      <c r="AI325" s="937">
        <f t="shared" si="145"/>
        <v>0</v>
      </c>
    </row>
    <row r="326" spans="1:35" x14ac:dyDescent="0.2">
      <c r="A326" s="330">
        <v>2047</v>
      </c>
      <c r="B326" s="344">
        <v>0</v>
      </c>
      <c r="C326" s="345">
        <v>0</v>
      </c>
      <c r="D326" s="345">
        <v>0</v>
      </c>
      <c r="E326" s="345">
        <v>0</v>
      </c>
      <c r="F326" s="345">
        <v>0</v>
      </c>
      <c r="G326" s="345">
        <v>0</v>
      </c>
      <c r="H326" s="345">
        <v>0</v>
      </c>
      <c r="I326" s="345">
        <v>0</v>
      </c>
      <c r="J326" s="345">
        <v>0</v>
      </c>
      <c r="K326" s="345">
        <v>0</v>
      </c>
      <c r="L326" s="380">
        <v>0</v>
      </c>
      <c r="M326" s="296">
        <f t="shared" si="136"/>
        <v>0</v>
      </c>
      <c r="N326" s="298">
        <f t="shared" si="137"/>
        <v>0</v>
      </c>
      <c r="O326" s="344">
        <v>0</v>
      </c>
      <c r="P326" s="345">
        <v>0</v>
      </c>
      <c r="Q326" s="345">
        <v>0</v>
      </c>
      <c r="R326" s="345">
        <v>0</v>
      </c>
      <c r="S326" s="345">
        <v>0</v>
      </c>
      <c r="T326" s="345">
        <v>0</v>
      </c>
      <c r="U326" s="345">
        <v>0</v>
      </c>
      <c r="V326" s="345">
        <v>0</v>
      </c>
      <c r="W326" s="345">
        <v>0</v>
      </c>
      <c r="X326" s="345">
        <v>0</v>
      </c>
      <c r="Y326" s="380">
        <v>0</v>
      </c>
      <c r="Z326" s="296">
        <f t="shared" si="138"/>
        <v>0</v>
      </c>
      <c r="AA326" s="298">
        <f t="shared" si="139"/>
        <v>0</v>
      </c>
      <c r="AB326" s="948">
        <f t="array" ref="AB326">IF(AND($AD$282=TRUE,SUM(B326:L326)&gt;0),SUMPRODUCT((((TRANSPOSE(Cls1CentDailyRng)&lt;INDEX(CDRANGE_CLS1,$A326-$A$286+1,AD$283))*TRANSPOSE(Cls1CentDailyRng)+(TRANSPOSE(Cls1CentDailyRng)&gt;INDEX(CDRANGE_CLS1,$A326-$A$286+1,AD$283))*INDEX(CDRANGE_CLS1,$A326-$A$286+1,AD$283))/TRANSPOSE(Cls1CentDailyRng)),B326:L326,TRANSPOSE(Cls1CentVMTShr))/SUMPRODUCT(B326:L326,TRANSPOSE(Cls1CentVMTShr)),0)</f>
        <v>0</v>
      </c>
      <c r="AC326" s="949">
        <f t="array" ref="AC326">IF(AND($AD$282=TRUE,SUM(O326:Y326)&gt;0),SUMPRODUCT((((TRANSPOSE(Cls1NCentDailyRng)&lt;INDEX(CDRANGE_CLS1,$A326-$A$286+1,AD$283))*TRANSPOSE(Cls1NCentDailyRng)+(TRANSPOSE(Cls1NCentDailyRng)&gt;INDEX(CDRANGE_CLS1,$A326-$A$286+1,AD$283))*INDEX(CDRANGE_CLS1,$A326-$A$286+1,AD$283))/TRANSPOSE(Cls1NCentDailyRng)),O326:Y326,TRANSPOSE(Cls1NCentVMTShr))/SUMPRODUCT(O326:Y326,TRANSPOSE(Cls1NCentVMTShr)),0)</f>
        <v>0</v>
      </c>
      <c r="AD326" s="1226">
        <f t="shared" si="149"/>
        <v>0</v>
      </c>
      <c r="AE326" s="937">
        <f t="shared" si="146"/>
        <v>0</v>
      </c>
      <c r="AF326" s="937">
        <f t="shared" si="147"/>
        <v>0</v>
      </c>
      <c r="AG326" s="937">
        <f t="shared" si="148"/>
        <v>0</v>
      </c>
      <c r="AH326" s="1172">
        <f t="shared" si="144"/>
        <v>0</v>
      </c>
      <c r="AI326" s="937">
        <f t="shared" si="145"/>
        <v>0</v>
      </c>
    </row>
    <row r="327" spans="1:35" x14ac:dyDescent="0.2">
      <c r="A327" s="330">
        <v>2048</v>
      </c>
      <c r="B327" s="344">
        <v>0</v>
      </c>
      <c r="C327" s="345">
        <v>0</v>
      </c>
      <c r="D327" s="345">
        <v>0</v>
      </c>
      <c r="E327" s="345">
        <v>0</v>
      </c>
      <c r="F327" s="345">
        <v>0</v>
      </c>
      <c r="G327" s="345">
        <v>0</v>
      </c>
      <c r="H327" s="345">
        <v>0</v>
      </c>
      <c r="I327" s="345">
        <v>0</v>
      </c>
      <c r="J327" s="345">
        <v>0</v>
      </c>
      <c r="K327" s="345">
        <v>0</v>
      </c>
      <c r="L327" s="380">
        <v>0</v>
      </c>
      <c r="M327" s="296">
        <f t="shared" si="136"/>
        <v>0</v>
      </c>
      <c r="N327" s="298">
        <f t="shared" si="137"/>
        <v>0</v>
      </c>
      <c r="O327" s="344">
        <v>0</v>
      </c>
      <c r="P327" s="345">
        <v>0</v>
      </c>
      <c r="Q327" s="345">
        <v>0</v>
      </c>
      <c r="R327" s="345">
        <v>0</v>
      </c>
      <c r="S327" s="345">
        <v>0</v>
      </c>
      <c r="T327" s="345">
        <v>0</v>
      </c>
      <c r="U327" s="345">
        <v>0</v>
      </c>
      <c r="V327" s="345">
        <v>0</v>
      </c>
      <c r="W327" s="345">
        <v>0</v>
      </c>
      <c r="X327" s="345">
        <v>0</v>
      </c>
      <c r="Y327" s="380">
        <v>0</v>
      </c>
      <c r="Z327" s="296">
        <f t="shared" si="138"/>
        <v>0</v>
      </c>
      <c r="AA327" s="298">
        <f t="shared" si="139"/>
        <v>0</v>
      </c>
      <c r="AB327" s="948">
        <f t="array" ref="AB327">IF(AND($AD$282=TRUE,SUM(B327:L327)&gt;0),SUMPRODUCT((((TRANSPOSE(Cls1CentDailyRng)&lt;INDEX(CDRANGE_CLS1,$A327-$A$286+1,AD$283))*TRANSPOSE(Cls1CentDailyRng)+(TRANSPOSE(Cls1CentDailyRng)&gt;INDEX(CDRANGE_CLS1,$A327-$A$286+1,AD$283))*INDEX(CDRANGE_CLS1,$A327-$A$286+1,AD$283))/TRANSPOSE(Cls1CentDailyRng)),B327:L327,TRANSPOSE(Cls1CentVMTShr))/SUMPRODUCT(B327:L327,TRANSPOSE(Cls1CentVMTShr)),0)</f>
        <v>0</v>
      </c>
      <c r="AC327" s="949">
        <f t="array" ref="AC327">IF(AND($AD$282=TRUE,SUM(O327:Y327)&gt;0),SUMPRODUCT((((TRANSPOSE(Cls1NCentDailyRng)&lt;INDEX(CDRANGE_CLS1,$A327-$A$286+1,AD$283))*TRANSPOSE(Cls1NCentDailyRng)+(TRANSPOSE(Cls1NCentDailyRng)&gt;INDEX(CDRANGE_CLS1,$A327-$A$286+1,AD$283))*INDEX(CDRANGE_CLS1,$A327-$A$286+1,AD$283))/TRANSPOSE(Cls1NCentDailyRng)),O327:Y327,TRANSPOSE(Cls1NCentVMTShr))/SUMPRODUCT(O327:Y327,TRANSPOSE(Cls1NCentVMTShr)),0)</f>
        <v>0</v>
      </c>
      <c r="AD327" s="1226">
        <f t="shared" si="149"/>
        <v>0</v>
      </c>
      <c r="AE327" s="937">
        <f t="shared" si="146"/>
        <v>0</v>
      </c>
      <c r="AF327" s="937">
        <f t="shared" si="147"/>
        <v>0</v>
      </c>
      <c r="AG327" s="937">
        <f t="shared" si="148"/>
        <v>0</v>
      </c>
      <c r="AH327" s="1172">
        <f t="shared" si="144"/>
        <v>0</v>
      </c>
      <c r="AI327" s="937">
        <f t="shared" si="145"/>
        <v>0</v>
      </c>
    </row>
    <row r="328" spans="1:35" x14ac:dyDescent="0.2">
      <c r="A328" s="330">
        <v>2049</v>
      </c>
      <c r="B328" s="344">
        <v>0</v>
      </c>
      <c r="C328" s="345">
        <v>0</v>
      </c>
      <c r="D328" s="345">
        <v>0</v>
      </c>
      <c r="E328" s="345">
        <v>0</v>
      </c>
      <c r="F328" s="345">
        <v>0</v>
      </c>
      <c r="G328" s="345">
        <v>0</v>
      </c>
      <c r="H328" s="345">
        <v>0</v>
      </c>
      <c r="I328" s="345">
        <v>0</v>
      </c>
      <c r="J328" s="345">
        <v>0</v>
      </c>
      <c r="K328" s="345">
        <v>0</v>
      </c>
      <c r="L328" s="380">
        <v>0</v>
      </c>
      <c r="M328" s="296">
        <f t="shared" si="136"/>
        <v>0</v>
      </c>
      <c r="N328" s="298">
        <f t="shared" si="137"/>
        <v>0</v>
      </c>
      <c r="O328" s="344">
        <v>0</v>
      </c>
      <c r="P328" s="345">
        <v>0</v>
      </c>
      <c r="Q328" s="345">
        <v>0</v>
      </c>
      <c r="R328" s="345">
        <v>0</v>
      </c>
      <c r="S328" s="345">
        <v>0</v>
      </c>
      <c r="T328" s="345">
        <v>0</v>
      </c>
      <c r="U328" s="345">
        <v>0</v>
      </c>
      <c r="V328" s="345">
        <v>0</v>
      </c>
      <c r="W328" s="345">
        <v>0</v>
      </c>
      <c r="X328" s="345">
        <v>0</v>
      </c>
      <c r="Y328" s="380">
        <v>0</v>
      </c>
      <c r="Z328" s="296">
        <f t="shared" si="138"/>
        <v>0</v>
      </c>
      <c r="AA328" s="298">
        <f t="shared" si="139"/>
        <v>0</v>
      </c>
      <c r="AB328" s="948">
        <f t="array" ref="AB328">IF(AND($AD$282=TRUE,SUM(B328:L328)&gt;0),SUMPRODUCT((((TRANSPOSE(Cls1CentDailyRng)&lt;INDEX(CDRANGE_CLS1,$A328-$A$286+1,AD$283))*TRANSPOSE(Cls1CentDailyRng)+(TRANSPOSE(Cls1CentDailyRng)&gt;INDEX(CDRANGE_CLS1,$A328-$A$286+1,AD$283))*INDEX(CDRANGE_CLS1,$A328-$A$286+1,AD$283))/TRANSPOSE(Cls1CentDailyRng)),B328:L328,TRANSPOSE(Cls1CentVMTShr))/SUMPRODUCT(B328:L328,TRANSPOSE(Cls1CentVMTShr)),0)</f>
        <v>0</v>
      </c>
      <c r="AC328" s="949">
        <f t="array" ref="AC328">IF(AND($AD$282=TRUE,SUM(O328:Y328)&gt;0),SUMPRODUCT((((TRANSPOSE(Cls1NCentDailyRng)&lt;INDEX(CDRANGE_CLS1,$A328-$A$286+1,AD$283))*TRANSPOSE(Cls1NCentDailyRng)+(TRANSPOSE(Cls1NCentDailyRng)&gt;INDEX(CDRANGE_CLS1,$A328-$A$286+1,AD$283))*INDEX(CDRANGE_CLS1,$A328-$A$286+1,AD$283))/TRANSPOSE(Cls1NCentDailyRng)),O328:Y328,TRANSPOSE(Cls1NCentVMTShr))/SUMPRODUCT(O328:Y328,TRANSPOSE(Cls1NCentVMTShr)),0)</f>
        <v>0</v>
      </c>
      <c r="AD328" s="1226">
        <f t="shared" si="149"/>
        <v>0</v>
      </c>
      <c r="AE328" s="937">
        <f t="shared" si="146"/>
        <v>0</v>
      </c>
      <c r="AF328" s="937">
        <f t="shared" si="147"/>
        <v>0</v>
      </c>
      <c r="AG328" s="937">
        <f t="shared" si="148"/>
        <v>0</v>
      </c>
      <c r="AH328" s="1172">
        <f t="shared" si="144"/>
        <v>0</v>
      </c>
      <c r="AI328" s="937">
        <f t="shared" si="145"/>
        <v>0</v>
      </c>
    </row>
    <row r="329" spans="1:35" ht="15" thickBot="1" x14ac:dyDescent="0.25">
      <c r="A329" s="328">
        <v>2050</v>
      </c>
      <c r="B329" s="346">
        <v>0</v>
      </c>
      <c r="C329" s="347">
        <v>0</v>
      </c>
      <c r="D329" s="347">
        <v>0</v>
      </c>
      <c r="E329" s="347">
        <v>0</v>
      </c>
      <c r="F329" s="347">
        <v>0</v>
      </c>
      <c r="G329" s="347">
        <v>0</v>
      </c>
      <c r="H329" s="347">
        <v>0</v>
      </c>
      <c r="I329" s="347">
        <v>0</v>
      </c>
      <c r="J329" s="347">
        <v>0</v>
      </c>
      <c r="K329" s="347">
        <v>0</v>
      </c>
      <c r="L329" s="381">
        <v>0</v>
      </c>
      <c r="M329" s="310">
        <f t="shared" si="136"/>
        <v>0</v>
      </c>
      <c r="N329" s="312">
        <f t="shared" si="137"/>
        <v>0</v>
      </c>
      <c r="O329" s="346">
        <v>0</v>
      </c>
      <c r="P329" s="347">
        <v>0</v>
      </c>
      <c r="Q329" s="347">
        <v>0</v>
      </c>
      <c r="R329" s="347">
        <v>0</v>
      </c>
      <c r="S329" s="347">
        <v>0</v>
      </c>
      <c r="T329" s="347">
        <v>0</v>
      </c>
      <c r="U329" s="347">
        <v>0</v>
      </c>
      <c r="V329" s="347">
        <v>0</v>
      </c>
      <c r="W329" s="347">
        <v>0</v>
      </c>
      <c r="X329" s="347">
        <v>0</v>
      </c>
      <c r="Y329" s="381">
        <v>0</v>
      </c>
      <c r="Z329" s="310">
        <f t="shared" si="138"/>
        <v>0</v>
      </c>
      <c r="AA329" s="312">
        <f t="shared" si="139"/>
        <v>0</v>
      </c>
      <c r="AB329" s="950">
        <f t="array" ref="AB329">IF(AND($AD$282=TRUE,SUM(B329:L329)&gt;0),SUMPRODUCT((((TRANSPOSE(Cls1CentDailyRng)&lt;INDEX(CDRANGE_CLS1,$A329-$A$286+1,AD$283))*TRANSPOSE(Cls1CentDailyRng)+(TRANSPOSE(Cls1CentDailyRng)&gt;INDEX(CDRANGE_CLS1,$A329-$A$286+1,AD$283))*INDEX(CDRANGE_CLS1,$A329-$A$286+1,AD$283))/TRANSPOSE(Cls1CentDailyRng)),B329:L329,TRANSPOSE(Cls1CentVMTShr))/SUMPRODUCT(B329:L329,TRANSPOSE(Cls1CentVMTShr)),0)</f>
        <v>0</v>
      </c>
      <c r="AC329" s="951">
        <f t="array" ref="AC329">IF(AND($AD$282=TRUE,SUM(O329:Y329)&gt;0),SUMPRODUCT((((TRANSPOSE(Cls1NCentDailyRng)&lt;INDEX(CDRANGE_CLS1,$A329-$A$286+1,AD$283))*TRANSPOSE(Cls1NCentDailyRng)+(TRANSPOSE(Cls1NCentDailyRng)&gt;INDEX(CDRANGE_CLS1,$A329-$A$286+1,AD$283))*INDEX(CDRANGE_CLS1,$A329-$A$286+1,AD$283))/TRANSPOSE(Cls1NCentDailyRng)),O329:Y329,TRANSPOSE(Cls1NCentVMTShr))/SUMPRODUCT(O329:Y329,TRANSPOSE(Cls1NCentVMTShr)),0)</f>
        <v>0</v>
      </c>
      <c r="AD329" s="1227">
        <f t="shared" si="149"/>
        <v>0</v>
      </c>
      <c r="AE329" s="937">
        <f t="shared" si="146"/>
        <v>0</v>
      </c>
      <c r="AF329" s="937">
        <f t="shared" si="147"/>
        <v>0</v>
      </c>
      <c r="AG329" s="937">
        <f t="shared" si="148"/>
        <v>0</v>
      </c>
      <c r="AH329" s="1172">
        <f t="shared" si="144"/>
        <v>0</v>
      </c>
      <c r="AI329" s="937">
        <f t="shared" si="145"/>
        <v>0</v>
      </c>
    </row>
    <row r="330" spans="1:35" x14ac:dyDescent="0.2">
      <c r="B330" s="227" t="str">
        <f>B$120</f>
        <v>Output generated: 7/21/2020 15:48</v>
      </c>
      <c r="U330" s="227" t="str">
        <f>U$120</f>
        <v>Output generated: 7/21/2020 15:48</v>
      </c>
    </row>
  </sheetData>
  <dataConsolidate/>
  <mergeCells count="39">
    <mergeCell ref="AB231:AD231"/>
    <mergeCell ref="AB284:AD284"/>
    <mergeCell ref="O174:AA174"/>
    <mergeCell ref="O175:Y175"/>
    <mergeCell ref="B175:L175"/>
    <mergeCell ref="B174:N174"/>
    <mergeCell ref="AB178:AD178"/>
    <mergeCell ref="BC19:BH19"/>
    <mergeCell ref="AX19:BB19"/>
    <mergeCell ref="AN19:AR19"/>
    <mergeCell ref="AD19:AH19"/>
    <mergeCell ref="Y19:AC19"/>
    <mergeCell ref="B4:C4"/>
    <mergeCell ref="J9:K9"/>
    <mergeCell ref="AS19:AW19"/>
    <mergeCell ref="AI19:AM19"/>
    <mergeCell ref="AB126:AD126"/>
    <mergeCell ref="AB74:AD74"/>
    <mergeCell ref="T21:X21"/>
    <mergeCell ref="N19:S19"/>
    <mergeCell ref="T19:X19"/>
    <mergeCell ref="O70:AA70"/>
    <mergeCell ref="B70:N70"/>
    <mergeCell ref="P3:U3"/>
    <mergeCell ref="B123:L123"/>
    <mergeCell ref="B122:N122"/>
    <mergeCell ref="O123:Y123"/>
    <mergeCell ref="O122:AA122"/>
    <mergeCell ref="B71:L71"/>
    <mergeCell ref="O71:Y71"/>
    <mergeCell ref="L9:M9"/>
    <mergeCell ref="H19:M19"/>
    <mergeCell ref="B19:G19"/>
    <mergeCell ref="P4:U4"/>
    <mergeCell ref="P5:U5"/>
    <mergeCell ref="N9:Q9"/>
    <mergeCell ref="B3:C3"/>
    <mergeCell ref="B6:C6"/>
    <mergeCell ref="B5:C5"/>
  </mergeCells>
  <phoneticPr fontId="27" type="noConversion"/>
  <conditionalFormatting sqref="AQ20 BA20 BG20 AV20:AV67 BF39 W20 AB20:AB67 AG20:AG67 AQ22:AQ67 BA22:BA67 BG22:BG67 R20:R67 S24 W22:W67 AL20:AL23 L20:L67">
    <cfRule type="expression" dxfId="75" priority="32">
      <formula>$C$15="not used"</formula>
    </cfRule>
  </conditionalFormatting>
  <conditionalFormatting sqref="BH20:BH67 BB20:BB67 AW20:AW67 AR20:AR67 AH20:AH67 AC20:AC67 X20 S20:S23 S25:S67 X22:X67 AM20:AM23 M20:M67">
    <cfRule type="expression" dxfId="74" priority="31">
      <formula>$C$16="not used"</formula>
    </cfRule>
  </conditionalFormatting>
  <conditionalFormatting sqref="V20 AA20:AA67 AF20:AF67 AP20:AP67 AU20:AU67 AZ20:AZ67 BF20:BF67 Q20:Q67 V22:V67 AK20:AK23 K20:K67">
    <cfRule type="expression" dxfId="73" priority="30">
      <formula>$C$14="not used"</formula>
    </cfRule>
  </conditionalFormatting>
  <conditionalFormatting sqref="AQ21">
    <cfRule type="expression" dxfId="72" priority="27">
      <formula>$C$15="not used"</formula>
    </cfRule>
  </conditionalFormatting>
  <conditionalFormatting sqref="AR21">
    <cfRule type="expression" dxfId="71" priority="26">
      <formula>$C$16="not used"</formula>
    </cfRule>
  </conditionalFormatting>
  <conditionalFormatting sqref="AP21">
    <cfRule type="expression" dxfId="70" priority="25">
      <formula>$C$14="not used"</formula>
    </cfRule>
  </conditionalFormatting>
  <conditionalFormatting sqref="AW21">
    <cfRule type="expression" dxfId="69" priority="23">
      <formula>$C$16="not used"</formula>
    </cfRule>
  </conditionalFormatting>
  <conditionalFormatting sqref="AU21">
    <cfRule type="expression" dxfId="68" priority="22">
      <formula>$C$14="not used"</formula>
    </cfRule>
  </conditionalFormatting>
  <conditionalFormatting sqref="BA21">
    <cfRule type="expression" dxfId="67" priority="21">
      <formula>$C$15="not used"</formula>
    </cfRule>
  </conditionalFormatting>
  <conditionalFormatting sqref="BB21">
    <cfRule type="expression" dxfId="66" priority="20">
      <formula>$C$16="not used"</formula>
    </cfRule>
  </conditionalFormatting>
  <conditionalFormatting sqref="AZ21">
    <cfRule type="expression" dxfId="65" priority="19">
      <formula>$C$14="not used"</formula>
    </cfRule>
  </conditionalFormatting>
  <conditionalFormatting sqref="BF21">
    <cfRule type="expression" dxfId="64" priority="16">
      <formula>$C$14="not used"</formula>
    </cfRule>
  </conditionalFormatting>
  <conditionalFormatting sqref="BG21">
    <cfRule type="expression" dxfId="63" priority="18">
      <formula>$C$15="not used"</formula>
    </cfRule>
  </conditionalFormatting>
  <conditionalFormatting sqref="BH21">
    <cfRule type="expression" dxfId="62" priority="17">
      <formula>$C$16="not used"</formula>
    </cfRule>
  </conditionalFormatting>
  <conditionalFormatting sqref="L20">
    <cfRule type="expression" dxfId="61" priority="12">
      <formula>$C$15="not used"</formula>
    </cfRule>
  </conditionalFormatting>
  <conditionalFormatting sqref="M20">
    <cfRule type="expression" dxfId="60" priority="11">
      <formula>$C$16="not used"</formula>
    </cfRule>
  </conditionalFormatting>
  <conditionalFormatting sqref="E20:E67">
    <cfRule type="expression" dxfId="59" priority="10">
      <formula>$C$14="not used"</formula>
    </cfRule>
  </conditionalFormatting>
  <conditionalFormatting sqref="F20">
    <cfRule type="expression" dxfId="58" priority="9">
      <formula>$C$15="not used"</formula>
    </cfRule>
  </conditionalFormatting>
  <conditionalFormatting sqref="G20">
    <cfRule type="expression" dxfId="57" priority="8">
      <formula>$C$16="not used"</formula>
    </cfRule>
  </conditionalFormatting>
  <conditionalFormatting sqref="F20">
    <cfRule type="expression" dxfId="56" priority="7">
      <formula>$C$15="not used"</formula>
    </cfRule>
  </conditionalFormatting>
  <conditionalFormatting sqref="G20">
    <cfRule type="expression" dxfId="55" priority="6">
      <formula>$C$16="not used"</formula>
    </cfRule>
  </conditionalFormatting>
  <conditionalFormatting sqref="E20">
    <cfRule type="expression" dxfId="54" priority="5">
      <formula>$C$14="not used"</formula>
    </cfRule>
  </conditionalFormatting>
  <conditionalFormatting sqref="N24">
    <cfRule type="expression" dxfId="53" priority="4">
      <formula>$C$15="not used"</formula>
    </cfRule>
  </conditionalFormatting>
  <conditionalFormatting sqref="AK24:AK67">
    <cfRule type="expression" dxfId="52" priority="1">
      <formula>$C$14="not used"</formula>
    </cfRule>
  </conditionalFormatting>
  <conditionalFormatting sqref="AL24:AL67">
    <cfRule type="expression" dxfId="51" priority="3">
      <formula>$C$15="not used"</formula>
    </cfRule>
  </conditionalFormatting>
  <conditionalFormatting sqref="AM24:AM67">
    <cfRule type="expression" dxfId="50" priority="2">
      <formula>$C$16="not used"</formula>
    </cfRule>
  </conditionalFormatting>
  <dataValidations disablePrompts="1" count="1">
    <dataValidation type="list" allowBlank="1" showInputMessage="1" showErrorMessage="1" sqref="E17" xr:uid="{00000000-0002-0000-06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44" max="1048575" man="1"/>
  </colBreaks>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CalcCls2">
    <tabColor indexed="48"/>
  </sheetPr>
  <dimension ref="A1:BH330"/>
  <sheetViews>
    <sheetView showZeros="0" topLeftCell="A18" zoomScale="85" zoomScaleNormal="85" workbookViewId="0">
      <pane xSplit="1" topLeftCell="AD1" activePane="topRight" state="frozen"/>
      <selection pane="topRight" activeCell="AN24" sqref="AN24:AR67"/>
    </sheetView>
  </sheetViews>
  <sheetFormatPr baseColWidth="10" defaultColWidth="8.5" defaultRowHeight="14" x14ac:dyDescent="0.2"/>
  <cols>
    <col min="1" max="1" width="6" style="227" customWidth="1"/>
    <col min="2" max="2" width="10.33203125" style="227" customWidth="1"/>
    <col min="3" max="3" width="11.83203125" style="227" customWidth="1"/>
    <col min="4" max="4" width="12.5" style="227" customWidth="1"/>
    <col min="5" max="5" width="12.6640625" style="227" customWidth="1"/>
    <col min="6" max="6" width="12" style="227" customWidth="1"/>
    <col min="7" max="7" width="11.83203125" style="227" customWidth="1"/>
    <col min="8" max="8" width="10.83203125" style="227" bestFit="1" customWidth="1"/>
    <col min="9" max="9" width="8.5" style="227" customWidth="1"/>
    <col min="10" max="10" width="12.1640625" style="227" customWidth="1"/>
    <col min="11" max="11" width="9.5" style="227" customWidth="1"/>
    <col min="12" max="12" width="10.83203125" style="227" bestFit="1" customWidth="1"/>
    <col min="13" max="13" width="9.83203125" style="227" customWidth="1"/>
    <col min="14" max="14" width="13" style="227" bestFit="1" customWidth="1"/>
    <col min="15" max="15" width="13.6640625" style="227" customWidth="1"/>
    <col min="16" max="16" width="12.5" style="227" customWidth="1"/>
    <col min="17" max="17" width="13.5" style="227" customWidth="1"/>
    <col min="18" max="18" width="11.5" style="227" customWidth="1"/>
    <col min="19" max="19" width="12.5" style="227" customWidth="1"/>
    <col min="20" max="22" width="8.5" style="227" customWidth="1"/>
    <col min="23" max="25" width="8.5" style="323" customWidth="1"/>
    <col min="26" max="28" width="8.5" style="227"/>
    <col min="29" max="29" width="10" style="227" customWidth="1"/>
    <col min="30" max="34" width="8.5" style="227"/>
    <col min="35" max="35" width="9.5" style="227" customWidth="1"/>
    <col min="36" max="42" width="8.5" style="227"/>
    <col min="43" max="43" width="9.5" style="227" bestFit="1" customWidth="1"/>
    <col min="44" max="44" width="7.5" style="227" bestFit="1" customWidth="1"/>
    <col min="45" max="47" width="8.5" style="227"/>
    <col min="48" max="48" width="9.5" style="227" bestFit="1" customWidth="1"/>
    <col min="49" max="52" width="8.5" style="227"/>
    <col min="53" max="53" width="9.5" style="227" bestFit="1" customWidth="1"/>
    <col min="54" max="58" width="8.5" style="227"/>
    <col min="59" max="59" width="9.5" style="227" bestFit="1" customWidth="1"/>
    <col min="60" max="16384" width="8.5" style="227"/>
  </cols>
  <sheetData>
    <row r="1" spans="2:60" ht="16" x14ac:dyDescent="0.2">
      <c r="B1" s="52" t="s">
        <v>243</v>
      </c>
      <c r="C1" s="232"/>
      <c r="D1" s="232"/>
      <c r="E1" s="232"/>
      <c r="F1" s="232"/>
      <c r="W1" s="227"/>
      <c r="X1" s="227"/>
      <c r="Y1" s="227"/>
    </row>
    <row r="2" spans="2:60" x14ac:dyDescent="0.2">
      <c r="Q2" s="235"/>
      <c r="W2" s="227"/>
      <c r="X2" s="227"/>
      <c r="Y2" s="227"/>
    </row>
    <row r="3" spans="2:60" x14ac:dyDescent="0.2">
      <c r="B3" s="1566" t="s">
        <v>53</v>
      </c>
      <c r="C3" s="1567"/>
      <c r="D3" s="236">
        <f>'Run Model'!C6</f>
        <v>7.4999999999999997E-2</v>
      </c>
      <c r="F3"/>
      <c r="G3"/>
      <c r="H3"/>
      <c r="J3" s="227" t="s">
        <v>127</v>
      </c>
      <c r="L3" s="1549" t="s">
        <v>374</v>
      </c>
      <c r="M3" s="1550"/>
      <c r="N3" s="1550"/>
      <c r="O3" s="1551"/>
      <c r="Q3" s="216"/>
      <c r="W3" s="227"/>
      <c r="X3" s="227"/>
      <c r="Y3" s="227"/>
    </row>
    <row r="4" spans="2:60" x14ac:dyDescent="0.2">
      <c r="B4" s="1566" t="s">
        <v>104</v>
      </c>
      <c r="C4" s="1567"/>
      <c r="D4" s="225" t="str">
        <f>'Run Model'!C7</f>
        <v>Moderate</v>
      </c>
      <c r="F4"/>
      <c r="G4"/>
      <c r="H4"/>
      <c r="J4" s="227" t="s">
        <v>126</v>
      </c>
      <c r="L4" s="1563">
        <v>44033.65898148148</v>
      </c>
      <c r="M4" s="1550"/>
      <c r="N4" s="1550"/>
      <c r="O4" s="1551"/>
      <c r="P4" s="227" t="s">
        <v>186</v>
      </c>
      <c r="W4" s="227"/>
      <c r="X4" s="227"/>
      <c r="Y4" s="227"/>
    </row>
    <row r="5" spans="2:60" x14ac:dyDescent="0.2">
      <c r="B5" s="1566" t="s">
        <v>118</v>
      </c>
      <c r="C5" s="1567"/>
      <c r="D5" s="225" t="s">
        <v>15</v>
      </c>
      <c r="F5"/>
      <c r="G5"/>
      <c r="H5"/>
      <c r="L5" s="1563">
        <v>44033.658993055556</v>
      </c>
      <c r="M5" s="1550"/>
      <c r="N5" s="1550"/>
      <c r="O5" s="1551"/>
      <c r="P5" s="227" t="s">
        <v>15</v>
      </c>
      <c r="W5" s="227"/>
      <c r="X5" s="227"/>
      <c r="Y5" s="227"/>
    </row>
    <row r="6" spans="2:60" x14ac:dyDescent="0.2">
      <c r="B6" s="1566" t="s">
        <v>68</v>
      </c>
      <c r="C6" s="1567"/>
      <c r="D6" s="238">
        <v>220702.9179341534</v>
      </c>
      <c r="F6"/>
      <c r="G6"/>
      <c r="H6"/>
      <c r="W6" s="227"/>
      <c r="X6" s="227"/>
      <c r="Y6" s="227"/>
    </row>
    <row r="7" spans="2:60" ht="6.75" customHeight="1" x14ac:dyDescent="0.2">
      <c r="Q7" s="239"/>
      <c r="W7" s="227"/>
      <c r="X7" s="227"/>
      <c r="Y7" s="227"/>
    </row>
    <row r="8" spans="2:60" s="240" customFormat="1" ht="16" thickBot="1" x14ac:dyDescent="0.25">
      <c r="B8" s="23" t="s">
        <v>74</v>
      </c>
      <c r="C8" s="227"/>
      <c r="D8" s="227"/>
      <c r="E8" s="227"/>
      <c r="F8" s="227"/>
      <c r="G8" s="227"/>
      <c r="H8" s="227"/>
      <c r="I8" s="227"/>
      <c r="J8" s="227"/>
      <c r="K8" s="227"/>
      <c r="L8" s="227"/>
      <c r="M8" s="227"/>
      <c r="N8" s="239"/>
      <c r="O8" s="239"/>
      <c r="P8" s="241"/>
      <c r="Q8" s="242"/>
      <c r="Z8" s="243"/>
      <c r="AA8" s="244"/>
      <c r="AO8" s="245"/>
      <c r="AP8" s="245"/>
      <c r="AQ8" s="245"/>
      <c r="AR8" s="245"/>
    </row>
    <row r="9" spans="2:60" s="1032" customFormat="1" ht="28.5" customHeight="1" x14ac:dyDescent="0.2">
      <c r="B9" s="1027"/>
      <c r="C9" s="1028"/>
      <c r="D9" s="1029"/>
      <c r="E9" s="1029"/>
      <c r="F9" s="1028"/>
      <c r="G9" s="1029"/>
      <c r="H9" s="1028"/>
      <c r="I9" s="1029"/>
      <c r="J9" s="1537" t="s">
        <v>76</v>
      </c>
      <c r="K9" s="1538"/>
      <c r="L9" s="1577" t="s">
        <v>83</v>
      </c>
      <c r="M9" s="1577"/>
      <c r="N9" s="1578" t="s">
        <v>109</v>
      </c>
      <c r="O9" s="1577"/>
      <c r="P9" s="1577"/>
      <c r="Q9" s="1579"/>
      <c r="R9" s="1030"/>
      <c r="S9" s="1031"/>
      <c r="AB9" s="1033"/>
      <c r="AC9" s="1034"/>
      <c r="AQ9" s="245"/>
      <c r="AR9" s="245"/>
      <c r="AS9" s="245"/>
      <c r="AT9" s="245"/>
    </row>
    <row r="10" spans="2:60" s="240" customFormat="1" ht="31" thickBot="1" x14ac:dyDescent="0.25">
      <c r="B10" s="249"/>
      <c r="C10" s="721" t="s">
        <v>75</v>
      </c>
      <c r="D10" s="712"/>
      <c r="E10" s="713"/>
      <c r="F10" s="646" t="s">
        <v>211</v>
      </c>
      <c r="G10" s="647" t="s">
        <v>210</v>
      </c>
      <c r="H10" s="646" t="s">
        <v>264</v>
      </c>
      <c r="I10" s="647" t="s">
        <v>81</v>
      </c>
      <c r="J10" s="1113" t="s">
        <v>283</v>
      </c>
      <c r="K10" s="1114" t="s">
        <v>284</v>
      </c>
      <c r="L10" s="572" t="s">
        <v>113</v>
      </c>
      <c r="M10" s="250" t="s">
        <v>84</v>
      </c>
      <c r="N10" s="251" t="s">
        <v>95</v>
      </c>
      <c r="O10" s="250" t="s">
        <v>112</v>
      </c>
      <c r="P10" s="250" t="s">
        <v>120</v>
      </c>
      <c r="Q10" s="252" t="s">
        <v>108</v>
      </c>
      <c r="R10" s="241"/>
      <c r="S10" s="242"/>
      <c r="AB10" s="243"/>
      <c r="AC10" s="244"/>
      <c r="AI10" s="783"/>
      <c r="AJ10" s="785"/>
      <c r="AO10" s="785"/>
      <c r="AQ10" s="245"/>
      <c r="AR10" s="245"/>
      <c r="AS10" s="245"/>
      <c r="AT10" s="245"/>
    </row>
    <row r="11" spans="2:60" s="240" customFormat="1" ht="15" thickTop="1" x14ac:dyDescent="0.2">
      <c r="B11" s="253" t="s">
        <v>69</v>
      </c>
      <c r="C11" s="862" t="str">
        <f t="shared" ref="C11:C16" si="0">INDEX(TECH_OPT_PARAMS_Cls2,MATCH($B11,TECH_OPT_ROWS_Cls2,0),MATCH(C$10,TECH_OPT_COLS_Cls2,0))</f>
        <v>Conventional Diesel ICE</v>
      </c>
      <c r="D11" s="863"/>
      <c r="E11" s="864"/>
      <c r="F11" s="874" t="str">
        <f t="shared" ref="F11:O16" si="1">INDEX(TECH_OPT_PARAMS_Cls2,MATCH($B11,TECH_OPT_ROWS_Cls2,0),MATCH(F$10,TECH_OPT_COLS_Cls2,0))</f>
        <v>Diesel</v>
      </c>
      <c r="G11" s="874" t="str">
        <f t="shared" si="1"/>
        <v>N/A</v>
      </c>
      <c r="H11" s="897" t="b">
        <f t="shared" si="1"/>
        <v>0</v>
      </c>
      <c r="I11" s="720">
        <f t="shared" si="1"/>
        <v>0</v>
      </c>
      <c r="J11" s="720">
        <f t="shared" si="1"/>
        <v>0</v>
      </c>
      <c r="K11" s="1035">
        <f t="shared" si="1"/>
        <v>0</v>
      </c>
      <c r="L11" s="1036">
        <f t="shared" si="1"/>
        <v>0</v>
      </c>
      <c r="M11" s="720">
        <f t="shared" si="1"/>
        <v>0</v>
      </c>
      <c r="N11" s="719">
        <f t="shared" si="1"/>
        <v>0</v>
      </c>
      <c r="O11" s="349">
        <f t="shared" si="1"/>
        <v>350</v>
      </c>
      <c r="P11" s="254">
        <f>$D$6*('Inputs 7&amp;8 Day'!$N8/('Inputs 7&amp;8 Day'!$O8*1000))/12</f>
        <v>0</v>
      </c>
      <c r="Q11" s="255"/>
      <c r="R11" s="256"/>
      <c r="S11" s="242"/>
      <c r="T11" s="242"/>
      <c r="U11" s="242"/>
      <c r="V11" s="242"/>
      <c r="AD11"/>
      <c r="AE11"/>
      <c r="AF11"/>
      <c r="AG11"/>
      <c r="AH11"/>
      <c r="AI11"/>
      <c r="AJ11"/>
      <c r="AK11"/>
      <c r="AL11"/>
      <c r="AM11"/>
      <c r="AN11"/>
      <c r="AO11"/>
      <c r="AP11"/>
      <c r="AQ11"/>
      <c r="AR11"/>
      <c r="AS11"/>
      <c r="AT11"/>
      <c r="AU11"/>
      <c r="AV11"/>
      <c r="AW11"/>
      <c r="AX11"/>
      <c r="AY11"/>
      <c r="AZ11"/>
      <c r="BA11"/>
      <c r="BB11"/>
      <c r="BC11"/>
      <c r="BD11"/>
      <c r="BE11"/>
      <c r="BF11"/>
      <c r="BG11"/>
      <c r="BH11"/>
    </row>
    <row r="12" spans="2:60" s="240" customFormat="1" x14ac:dyDescent="0.2">
      <c r="B12" s="257" t="s">
        <v>65</v>
      </c>
      <c r="C12" s="865" t="str">
        <f t="shared" si="0"/>
        <v>Adv Conv</v>
      </c>
      <c r="D12" s="866"/>
      <c r="E12" s="867"/>
      <c r="F12" s="875" t="str">
        <f t="shared" si="1"/>
        <v>Diesel</v>
      </c>
      <c r="G12" s="876" t="str">
        <f t="shared" si="1"/>
        <v>N/A</v>
      </c>
      <c r="H12" s="898" t="b">
        <f t="shared" si="1"/>
        <v>0</v>
      </c>
      <c r="I12" s="237">
        <f t="shared" si="1"/>
        <v>2020</v>
      </c>
      <c r="J12" s="237">
        <f t="shared" si="1"/>
        <v>0</v>
      </c>
      <c r="K12" s="986">
        <f t="shared" si="1"/>
        <v>0.5</v>
      </c>
      <c r="L12" s="738">
        <f t="shared" si="1"/>
        <v>5000</v>
      </c>
      <c r="M12" s="237">
        <f t="shared" si="1"/>
        <v>100</v>
      </c>
      <c r="N12" s="237">
        <f t="shared" si="1"/>
        <v>0</v>
      </c>
      <c r="O12" s="350">
        <f t="shared" si="1"/>
        <v>350</v>
      </c>
      <c r="P12" s="258">
        <f>$D$6*('Inputs 7&amp;8 Day'!$N9/('Inputs 7&amp;8 Day'!$O9*1000))/12</f>
        <v>0</v>
      </c>
      <c r="Q12" s="259">
        <f>P$11-P12</f>
        <v>0</v>
      </c>
      <c r="R12" s="256"/>
      <c r="S12" s="260"/>
      <c r="AD12"/>
      <c r="AE12"/>
      <c r="AF12"/>
      <c r="AG12"/>
      <c r="AH12"/>
      <c r="AI12"/>
      <c r="AJ12"/>
      <c r="AK12"/>
      <c r="AL12"/>
      <c r="AM12"/>
      <c r="AN12"/>
      <c r="AO12"/>
      <c r="AP12"/>
      <c r="AQ12"/>
      <c r="AR12"/>
      <c r="AS12"/>
      <c r="AT12"/>
      <c r="AU12"/>
      <c r="AV12"/>
      <c r="AW12"/>
      <c r="AX12"/>
      <c r="AY12"/>
      <c r="AZ12"/>
      <c r="BA12"/>
      <c r="BB12"/>
      <c r="BC12"/>
      <c r="BD12"/>
      <c r="BE12"/>
      <c r="BF12"/>
      <c r="BG12"/>
      <c r="BH12"/>
    </row>
    <row r="13" spans="2:60" s="240" customFormat="1" x14ac:dyDescent="0.2">
      <c r="B13" s="257" t="s">
        <v>66</v>
      </c>
      <c r="C13" s="865" t="str">
        <f t="shared" si="0"/>
        <v>ISG</v>
      </c>
      <c r="D13" s="866"/>
      <c r="E13" s="867"/>
      <c r="F13" s="875" t="str">
        <f t="shared" si="1"/>
        <v>Diesel</v>
      </c>
      <c r="G13" s="876" t="str">
        <f t="shared" si="1"/>
        <v>N/A</v>
      </c>
      <c r="H13" s="898" t="b">
        <f t="shared" si="1"/>
        <v>0</v>
      </c>
      <c r="I13" s="237">
        <f t="shared" si="1"/>
        <v>2020</v>
      </c>
      <c r="J13" s="237">
        <f t="shared" si="1"/>
        <v>0</v>
      </c>
      <c r="K13" s="986">
        <f t="shared" si="1"/>
        <v>0.5</v>
      </c>
      <c r="L13" s="738">
        <f t="shared" si="1"/>
        <v>5000</v>
      </c>
      <c r="M13" s="237">
        <f t="shared" si="1"/>
        <v>100</v>
      </c>
      <c r="N13" s="237">
        <f t="shared" si="1"/>
        <v>0</v>
      </c>
      <c r="O13" s="350">
        <f t="shared" si="1"/>
        <v>350</v>
      </c>
      <c r="P13" s="258">
        <f>$D$6*('Inputs 7&amp;8 Day'!$N10/('Inputs 7&amp;8 Day'!$O10*1000))/12</f>
        <v>0</v>
      </c>
      <c r="Q13" s="259">
        <f>P$11-P13</f>
        <v>0</v>
      </c>
      <c r="R13" s="256"/>
      <c r="S13" s="260"/>
      <c r="AD13"/>
      <c r="AE13"/>
      <c r="AF13"/>
      <c r="AG13"/>
      <c r="AH13"/>
      <c r="AI13"/>
      <c r="AJ13"/>
      <c r="AK13"/>
      <c r="AL13"/>
      <c r="AM13"/>
      <c r="AN13"/>
      <c r="AO13"/>
      <c r="AP13"/>
      <c r="AQ13"/>
      <c r="AR13"/>
      <c r="AS13"/>
      <c r="AT13"/>
      <c r="AU13"/>
      <c r="AV13"/>
      <c r="AW13"/>
      <c r="AX13"/>
      <c r="AY13"/>
      <c r="AZ13"/>
      <c r="BA13"/>
      <c r="BB13"/>
      <c r="BC13"/>
      <c r="BD13"/>
      <c r="BE13"/>
      <c r="BF13"/>
      <c r="BG13"/>
      <c r="BH13"/>
    </row>
    <row r="14" spans="2:60" s="240" customFormat="1" x14ac:dyDescent="0.2">
      <c r="B14" s="257" t="s">
        <v>67</v>
      </c>
      <c r="C14" s="865" t="str">
        <f t="shared" si="0"/>
        <v>PHEV</v>
      </c>
      <c r="D14" s="866"/>
      <c r="E14" s="867"/>
      <c r="F14" s="875" t="str">
        <f t="shared" si="1"/>
        <v>Diesel</v>
      </c>
      <c r="G14" s="876" t="str">
        <f t="shared" si="1"/>
        <v>Electricity</v>
      </c>
      <c r="H14" s="898" t="b">
        <f t="shared" si="1"/>
        <v>0</v>
      </c>
      <c r="I14" s="237">
        <f t="shared" si="1"/>
        <v>2020</v>
      </c>
      <c r="J14" s="237">
        <f t="shared" si="1"/>
        <v>0</v>
      </c>
      <c r="K14" s="986">
        <f t="shared" si="1"/>
        <v>0.5</v>
      </c>
      <c r="L14" s="738">
        <f t="shared" si="1"/>
        <v>5000</v>
      </c>
      <c r="M14" s="237">
        <f t="shared" si="1"/>
        <v>100</v>
      </c>
      <c r="N14" s="237">
        <f t="shared" si="1"/>
        <v>0</v>
      </c>
      <c r="O14" s="350">
        <f t="shared" si="1"/>
        <v>350</v>
      </c>
      <c r="P14" s="258">
        <f>$D$6*('Inputs 7&amp;8 Day'!$N11/('Inputs 7&amp;8 Day'!$O11*1000))/12</f>
        <v>0</v>
      </c>
      <c r="Q14" s="259">
        <f t="shared" ref="Q14:Q16" si="2">P$11-P14</f>
        <v>0</v>
      </c>
      <c r="R14" s="256"/>
      <c r="S14" s="260"/>
      <c r="AD14"/>
      <c r="AE14"/>
      <c r="AF14"/>
      <c r="AG14"/>
      <c r="AH14"/>
      <c r="AI14"/>
      <c r="AJ14"/>
      <c r="AK14"/>
      <c r="AL14"/>
      <c r="AM14"/>
      <c r="AN14"/>
      <c r="AO14"/>
      <c r="AP14"/>
      <c r="AQ14"/>
      <c r="AR14"/>
      <c r="AS14"/>
      <c r="AT14"/>
      <c r="AU14"/>
      <c r="AV14"/>
      <c r="AW14"/>
      <c r="AX14"/>
      <c r="AY14"/>
      <c r="AZ14"/>
      <c r="BA14"/>
      <c r="BB14"/>
      <c r="BC14"/>
      <c r="BD14"/>
      <c r="BE14"/>
      <c r="BF14"/>
      <c r="BG14"/>
      <c r="BH14"/>
    </row>
    <row r="15" spans="2:60" s="240" customFormat="1" x14ac:dyDescent="0.2">
      <c r="B15" s="257" t="s">
        <v>205</v>
      </c>
      <c r="C15" s="868" t="str">
        <f t="shared" si="0"/>
        <v>BEV</v>
      </c>
      <c r="D15" s="869"/>
      <c r="E15" s="870"/>
      <c r="F15" s="877" t="str">
        <f t="shared" si="1"/>
        <v>Electricity</v>
      </c>
      <c r="G15" s="878" t="str">
        <f t="shared" si="1"/>
        <v>N/A</v>
      </c>
      <c r="H15" s="898" t="b">
        <f t="shared" si="1"/>
        <v>1</v>
      </c>
      <c r="I15" s="237">
        <f t="shared" si="1"/>
        <v>2020</v>
      </c>
      <c r="J15" s="237">
        <f t="shared" si="1"/>
        <v>0</v>
      </c>
      <c r="K15" s="986">
        <f t="shared" si="1"/>
        <v>0.5</v>
      </c>
      <c r="L15" s="738">
        <f t="shared" si="1"/>
        <v>5000</v>
      </c>
      <c r="M15" s="237">
        <f t="shared" si="1"/>
        <v>100</v>
      </c>
      <c r="N15" s="237">
        <f t="shared" si="1"/>
        <v>0</v>
      </c>
      <c r="O15" s="350">
        <f t="shared" si="1"/>
        <v>350</v>
      </c>
      <c r="P15" s="258">
        <f>$D$6*('Inputs 7&amp;8 Day'!$N12/('Inputs 7&amp;8 Day'!$O12*1000))/12</f>
        <v>0</v>
      </c>
      <c r="Q15" s="259">
        <f t="shared" si="2"/>
        <v>0</v>
      </c>
      <c r="R15" s="256"/>
      <c r="S15" s="260"/>
      <c r="AD15"/>
      <c r="AE15"/>
      <c r="AF15"/>
      <c r="AG15"/>
      <c r="AH15"/>
      <c r="AI15"/>
      <c r="AJ15"/>
      <c r="AK15"/>
      <c r="AL15"/>
      <c r="AM15"/>
      <c r="AN15"/>
      <c r="AO15"/>
      <c r="AP15"/>
      <c r="AQ15"/>
      <c r="AR15"/>
      <c r="AS15"/>
      <c r="AT15"/>
      <c r="AU15"/>
      <c r="AV15"/>
      <c r="AW15"/>
      <c r="AX15"/>
      <c r="AY15"/>
      <c r="AZ15"/>
      <c r="BA15"/>
      <c r="BB15"/>
      <c r="BC15"/>
      <c r="BD15"/>
      <c r="BE15"/>
      <c r="BF15"/>
      <c r="BG15"/>
      <c r="BH15"/>
    </row>
    <row r="16" spans="2:60" s="240" customFormat="1" ht="15" thickBot="1" x14ac:dyDescent="0.25">
      <c r="B16" s="261" t="s">
        <v>206</v>
      </c>
      <c r="C16" s="871" t="str">
        <f t="shared" si="0"/>
        <v>FCHEV</v>
      </c>
      <c r="D16" s="872"/>
      <c r="E16" s="873"/>
      <c r="F16" s="879" t="str">
        <f t="shared" si="1"/>
        <v>Hydrogen</v>
      </c>
      <c r="G16" s="880" t="str">
        <f t="shared" si="1"/>
        <v>N/A</v>
      </c>
      <c r="H16" s="899" t="b">
        <f t="shared" si="1"/>
        <v>0</v>
      </c>
      <c r="I16" s="264">
        <f t="shared" si="1"/>
        <v>2020</v>
      </c>
      <c r="J16" s="264">
        <f t="shared" si="1"/>
        <v>0</v>
      </c>
      <c r="K16" s="987">
        <f t="shared" si="1"/>
        <v>0.5</v>
      </c>
      <c r="L16" s="739">
        <f t="shared" si="1"/>
        <v>5000</v>
      </c>
      <c r="M16" s="264">
        <f t="shared" si="1"/>
        <v>100</v>
      </c>
      <c r="N16" s="264">
        <f t="shared" si="1"/>
        <v>0</v>
      </c>
      <c r="O16" s="351">
        <f t="shared" si="1"/>
        <v>350</v>
      </c>
      <c r="P16" s="265">
        <f>$D$6*('Inputs 7&amp;8 Day'!$N13/('Inputs 7&amp;8 Day'!$O13*1000))/12</f>
        <v>0</v>
      </c>
      <c r="Q16" s="266">
        <f t="shared" si="2"/>
        <v>0</v>
      </c>
      <c r="R16" s="256"/>
      <c r="S16" s="260"/>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68"/>
      <c r="L17" s="241"/>
      <c r="M17" s="239"/>
      <c r="N17" s="239"/>
      <c r="O17" s="268"/>
      <c r="P17" s="241"/>
      <c r="Q17" s="242"/>
      <c r="R17" s="240">
        <f>VLOOKUP($A38,IF($D$5="Central",FuelPriceCent,FuelPriceNCent),MATCH(Q$21,FuelPriceCols,0),0)*(K38*$D$6)/(12*INDEX(FUEL1MPG_Cls2,$A38-($A$24-1),MATCH(Q$20,TECHOPTS_Cls2,0)))</f>
        <v>8306.5867067228919</v>
      </c>
      <c r="AD17"/>
      <c r="AE17"/>
      <c r="AF17"/>
      <c r="AG17"/>
      <c r="AH17"/>
      <c r="AI17"/>
      <c r="AJ17"/>
      <c r="AK17"/>
      <c r="AL17"/>
      <c r="AM17"/>
      <c r="AN17" s="792" t="s">
        <v>78</v>
      </c>
      <c r="AO17" s="796">
        <f>'S-curves'!Z4</f>
        <v>2</v>
      </c>
      <c r="AP17" s="793" t="s">
        <v>101</v>
      </c>
      <c r="AQ17" s="796">
        <f>'S-curves'!Z6</f>
        <v>1</v>
      </c>
      <c r="AR17" s="788"/>
      <c r="AS17" s="786" t="s">
        <v>233</v>
      </c>
      <c r="AT17" s="799"/>
      <c r="AU17" s="799"/>
      <c r="AV17" s="798"/>
      <c r="AW17" s="788"/>
      <c r="AX17" s="786"/>
      <c r="AY17" s="787"/>
      <c r="AZ17" s="787"/>
      <c r="BA17" s="787"/>
      <c r="BB17"/>
      <c r="BC17"/>
      <c r="BD17"/>
      <c r="BE17"/>
      <c r="BF17"/>
      <c r="BG17"/>
      <c r="BH17"/>
    </row>
    <row r="18" spans="1:60" ht="15" thickBot="1" x14ac:dyDescent="0.25">
      <c r="B18" s="229"/>
      <c r="D18" s="269"/>
      <c r="N18" s="270"/>
      <c r="Q18" s="270"/>
      <c r="W18" s="227"/>
      <c r="X18" s="227"/>
      <c r="Y18" s="227"/>
      <c r="AC18" s="270"/>
      <c r="AD18"/>
      <c r="AE18"/>
      <c r="AF18"/>
      <c r="AG18"/>
      <c r="AH18"/>
      <c r="AI18"/>
      <c r="AJ18"/>
      <c r="AK18"/>
      <c r="AL18"/>
      <c r="AM18"/>
      <c r="AN18" s="794" t="s">
        <v>79</v>
      </c>
      <c r="AO18" s="797">
        <f>'S-curves'!Z5</f>
        <v>0.6</v>
      </c>
      <c r="AP18" s="795"/>
      <c r="AQ18" s="795"/>
      <c r="AR18" s="791"/>
      <c r="AS18" s="801" t="s">
        <v>105</v>
      </c>
      <c r="AT18" s="802"/>
      <c r="AU18" s="803">
        <f>MATCH('Run Model'!C7,AdoptCols,0)</f>
        <v>4</v>
      </c>
      <c r="AV18" s="802" t="str">
        <f>INDEX(AdoptCols,AU18)</f>
        <v>Moderate</v>
      </c>
      <c r="AW18" s="791"/>
      <c r="AX18" s="789"/>
      <c r="AY18" s="800"/>
      <c r="AZ18" s="790"/>
      <c r="BA18" s="790"/>
      <c r="BB18"/>
      <c r="BC18"/>
      <c r="BD18"/>
      <c r="BE18"/>
      <c r="BF18"/>
      <c r="BG18"/>
      <c r="BH18"/>
    </row>
    <row r="19" spans="1:60" s="29" customFormat="1" ht="16" thickBot="1" x14ac:dyDescent="0.25">
      <c r="A19" s="804"/>
      <c r="B19" s="1560" t="s">
        <v>234</v>
      </c>
      <c r="C19" s="1561"/>
      <c r="D19" s="1561"/>
      <c r="E19" s="1561"/>
      <c r="F19" s="1561"/>
      <c r="G19" s="1562"/>
      <c r="H19" s="1580" t="s">
        <v>220</v>
      </c>
      <c r="I19" s="1581"/>
      <c r="J19" s="1581"/>
      <c r="K19" s="1581"/>
      <c r="L19" s="1581"/>
      <c r="M19" s="1582"/>
      <c r="N19" s="1561" t="s">
        <v>71</v>
      </c>
      <c r="O19" s="1561"/>
      <c r="P19" s="1561"/>
      <c r="Q19" s="1561"/>
      <c r="R19" s="1561"/>
      <c r="S19" s="1562"/>
      <c r="T19" s="1560" t="s">
        <v>107</v>
      </c>
      <c r="U19" s="1561"/>
      <c r="V19" s="1561"/>
      <c r="W19" s="1561"/>
      <c r="X19" s="1562"/>
      <c r="Y19" s="1560" t="s">
        <v>72</v>
      </c>
      <c r="Z19" s="1561"/>
      <c r="AA19" s="1561"/>
      <c r="AB19" s="1561"/>
      <c r="AC19" s="1562"/>
      <c r="AD19" s="1560" t="s">
        <v>92</v>
      </c>
      <c r="AE19" s="1561"/>
      <c r="AF19" s="1561"/>
      <c r="AG19" s="1561"/>
      <c r="AH19" s="1562"/>
      <c r="AI19" s="1560" t="s">
        <v>76</v>
      </c>
      <c r="AJ19" s="1561"/>
      <c r="AK19" s="1561"/>
      <c r="AL19" s="1561"/>
      <c r="AM19" s="1561"/>
      <c r="AN19" s="1560" t="s">
        <v>100</v>
      </c>
      <c r="AO19" s="1561"/>
      <c r="AP19" s="1561"/>
      <c r="AQ19" s="1561"/>
      <c r="AR19" s="1562"/>
      <c r="AS19" s="1560" t="s">
        <v>73</v>
      </c>
      <c r="AT19" s="1561"/>
      <c r="AU19" s="1561"/>
      <c r="AV19" s="1561"/>
      <c r="AW19" s="1562"/>
      <c r="AX19" s="1561" t="s">
        <v>102</v>
      </c>
      <c r="AY19" s="1561"/>
      <c r="AZ19" s="1561"/>
      <c r="BA19" s="1561"/>
      <c r="BB19" s="1562"/>
      <c r="BC19" s="1560" t="s">
        <v>82</v>
      </c>
      <c r="BD19" s="1561"/>
      <c r="BE19" s="1561"/>
      <c r="BF19" s="1561"/>
      <c r="BG19" s="1561"/>
      <c r="BH19" s="1562"/>
    </row>
    <row r="20" spans="1:60" ht="15" customHeight="1" x14ac:dyDescent="0.2">
      <c r="A20" s="272"/>
      <c r="B20" s="1037" t="s">
        <v>69</v>
      </c>
      <c r="C20" s="1038" t="s">
        <v>65</v>
      </c>
      <c r="D20" s="1038" t="s">
        <v>66</v>
      </c>
      <c r="E20" s="1038" t="s">
        <v>67</v>
      </c>
      <c r="F20" s="1038" t="s">
        <v>205</v>
      </c>
      <c r="G20" s="1084" t="s">
        <v>206</v>
      </c>
      <c r="H20" s="1097" t="s">
        <v>69</v>
      </c>
      <c r="I20" s="1098" t="s">
        <v>65</v>
      </c>
      <c r="J20" s="1098" t="s">
        <v>66</v>
      </c>
      <c r="K20" s="1098" t="s">
        <v>67</v>
      </c>
      <c r="L20" s="1098" t="s">
        <v>205</v>
      </c>
      <c r="M20" s="1099"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74" customFormat="1" ht="15" x14ac:dyDescent="0.2">
      <c r="A21" s="272"/>
      <c r="B21" s="1091"/>
      <c r="C21" s="1092"/>
      <c r="D21" s="1092"/>
      <c r="E21" s="1092"/>
      <c r="F21" s="1092"/>
      <c r="G21" s="1093"/>
      <c r="H21" s="1085" t="str">
        <f>IF(INDEX($G$11:$G$16,MATCH(H20,$B$11:$B$16,0))="N/A","Single-fuel","Dual-Fuel")</f>
        <v>Single-fuel</v>
      </c>
      <c r="I21" s="1086" t="str">
        <f t="shared" ref="I21:M21" si="3">IF(INDEX($G$11:$G$16,MATCH(I20,$B$11:$B$16,0))="N/A","Single-fuel","Dual-Fuel")</f>
        <v>Single-fuel</v>
      </c>
      <c r="J21" s="1086" t="str">
        <f t="shared" si="3"/>
        <v>Single-fuel</v>
      </c>
      <c r="K21" s="1086" t="str">
        <f t="shared" si="3"/>
        <v>Dual-Fuel</v>
      </c>
      <c r="L21" s="1086" t="str">
        <f t="shared" si="3"/>
        <v>Single-fuel</v>
      </c>
      <c r="M21" s="1087" t="str">
        <f t="shared" si="3"/>
        <v>Single-fuel</v>
      </c>
      <c r="N21" s="993" t="str">
        <f>INDEX($F$11:$F$16,MATCH(N20,$B$11:$B$16,0))</f>
        <v>Diesel</v>
      </c>
      <c r="O21" s="994" t="str">
        <f t="shared" ref="O21:S21" si="4">INDEX($F$11:$F$16,MATCH(RIGHT(O20),$B$11:$B$16,0))</f>
        <v>Diesel</v>
      </c>
      <c r="P21" s="994" t="str">
        <f t="shared" si="4"/>
        <v>Diesel</v>
      </c>
      <c r="Q21" s="994" t="str">
        <f t="shared" si="4"/>
        <v>Diesel</v>
      </c>
      <c r="R21" s="994" t="str">
        <f t="shared" si="4"/>
        <v>Electricity</v>
      </c>
      <c r="S21" s="995" t="str">
        <f t="shared" si="4"/>
        <v>Hydrogen</v>
      </c>
      <c r="T21" s="1574" t="s">
        <v>117</v>
      </c>
      <c r="U21" s="1575"/>
      <c r="V21" s="1575"/>
      <c r="W21" s="1575"/>
      <c r="X21" s="1576"/>
      <c r="Y21" s="1047" t="str">
        <f>INDEX($F$11:$F$16,MATCH(Y20,$B$11:$B$16,0))</f>
        <v>Diesel</v>
      </c>
      <c r="Z21" s="1048" t="str">
        <f t="shared" ref="Z21:AC21" si="5">INDEX($F$11:$F$16,MATCH(Z20,$B$11:$B$16,0))</f>
        <v>Diesel</v>
      </c>
      <c r="AA21" s="1048" t="str">
        <f t="shared" si="5"/>
        <v>Diesel</v>
      </c>
      <c r="AB21" s="1048" t="str">
        <f t="shared" si="5"/>
        <v>Electricity</v>
      </c>
      <c r="AC21" s="1049" t="str">
        <f t="shared" si="5"/>
        <v>Hydrogen</v>
      </c>
      <c r="AD21" s="1050">
        <f>INDEX($L$11:$L$16,MATCH(AD20,$B$11:$B$16,0))</f>
        <v>5000</v>
      </c>
      <c r="AE21" s="1019">
        <f>INDEX($L$11:$L$16,MATCH(AE20,$B$11:$B$16,0))</f>
        <v>5000</v>
      </c>
      <c r="AF21" s="1019">
        <f>INDEX($L$11:$L$16,MATCH(AF20,$B$11:$B$16,0))</f>
        <v>5000</v>
      </c>
      <c r="AG21" s="1019">
        <f>INDEX($L$11:$L$16,MATCH(AG20,$B$11:$B$16,0))</f>
        <v>5000</v>
      </c>
      <c r="AH21" s="1020">
        <f>INDEX($L$11:$L$16,MATCH(AH20,$B$11:$B$16,0))</f>
        <v>5000</v>
      </c>
      <c r="AI21" s="1052">
        <f>INDEX($J$11:$J$16,MATCH(AI20,$B$11:$B$16,0))</f>
        <v>0</v>
      </c>
      <c r="AJ21" s="1053">
        <f t="shared" ref="AJ21:AM21" si="6">INDEX($J$11:$J$16,MATCH(AJ20,$B$11:$B$16,0))</f>
        <v>0</v>
      </c>
      <c r="AK21" s="1053">
        <f t="shared" si="6"/>
        <v>0</v>
      </c>
      <c r="AL21" s="1053">
        <f t="shared" si="6"/>
        <v>0</v>
      </c>
      <c r="AM21" s="1054">
        <f t="shared" si="6"/>
        <v>0</v>
      </c>
      <c r="AN21" s="993" t="str">
        <f>INDEX($F$11:$F$16,MATCH(AN20,$B$11:$B$16,0))</f>
        <v>Diesel</v>
      </c>
      <c r="AO21" s="994" t="str">
        <f t="shared" ref="AO21" si="7">INDEX($F$11:$F$16,MATCH(AO20,$B$11:$B$16,0))</f>
        <v>Diesel</v>
      </c>
      <c r="AP21" s="994" t="str">
        <f t="shared" ref="AP21" si="8">INDEX($F$11:$F$16,MATCH(AP20,$B$11:$B$16,0))</f>
        <v>Diesel</v>
      </c>
      <c r="AQ21" s="994" t="str">
        <f t="shared" ref="AQ21" si="9">INDEX($F$11:$F$16,MATCH(AQ20,$B$11:$B$16,0))</f>
        <v>Electricity</v>
      </c>
      <c r="AR21" s="995" t="str">
        <f t="shared" ref="AR21" si="10">INDEX($F$11:$F$16,MATCH(AR20,$B$11:$B$16,0))</f>
        <v>Hydrogen</v>
      </c>
      <c r="AS21" s="1047" t="str">
        <f>INDEX($F$11:$F$16,MATCH(AS20,$B$11:$B$16,0))</f>
        <v>Diesel</v>
      </c>
      <c r="AT21" s="1048" t="str">
        <f t="shared" ref="AT21" si="11">INDEX($F$11:$F$16,MATCH(AT20,$B$11:$B$16,0))</f>
        <v>Diesel</v>
      </c>
      <c r="AU21" s="1048" t="str">
        <f t="shared" ref="AU21" si="12">INDEX($F$11:$F$16,MATCH(AU20,$B$11:$B$16,0))</f>
        <v>Diesel</v>
      </c>
      <c r="AV21" s="1048" t="str">
        <f t="shared" ref="AV21" si="13">INDEX($F$11:$F$16,MATCH(AV20,$B$11:$B$16,0))</f>
        <v>Electricity</v>
      </c>
      <c r="AW21" s="1049" t="str">
        <f t="shared" ref="AW21" si="14">INDEX($F$11:$F$16,MATCH(AW20,$B$11:$B$16,0))</f>
        <v>Hydrogen</v>
      </c>
      <c r="AX21" s="1047" t="str">
        <f>INDEX($F$11:$F$16,MATCH(AX20,$B$11:$B$16,0))</f>
        <v>Diesel</v>
      </c>
      <c r="AY21" s="1048" t="str">
        <f t="shared" ref="AY21" si="15">INDEX($F$11:$F$16,MATCH(AY20,$B$11:$B$16,0))</f>
        <v>Diesel</v>
      </c>
      <c r="AZ21" s="1048" t="str">
        <f t="shared" ref="AZ21" si="16">INDEX($F$11:$F$16,MATCH(AZ20,$B$11:$B$16,0))</f>
        <v>Diesel</v>
      </c>
      <c r="BA21" s="1048" t="str">
        <f t="shared" ref="BA21" si="17">INDEX($F$11:$F$16,MATCH(BA20,$B$11:$B$16,0))</f>
        <v>Electricity</v>
      </c>
      <c r="BB21" s="1049" t="str">
        <f t="shared" ref="BB21" si="18">INDEX($F$11:$F$16,MATCH(BB20,$B$11:$B$16,0))</f>
        <v>Hydrogen</v>
      </c>
      <c r="BC21" s="1058" t="str">
        <f>INDEX($F$11:$F$16,MATCH(BC20,$B$11:$B$16,0))</f>
        <v>Diesel</v>
      </c>
      <c r="BD21" s="1048" t="str">
        <f t="shared" ref="BD21" si="19">INDEX($F$11:$F$16,MATCH(BD20,$B$11:$B$16,0))</f>
        <v>Diesel</v>
      </c>
      <c r="BE21" s="1048" t="str">
        <f t="shared" ref="BE21" si="20">INDEX($F$11:$F$16,MATCH(BE20,$B$11:$B$16,0))</f>
        <v>Diesel</v>
      </c>
      <c r="BF21" s="1048" t="str">
        <f t="shared" ref="BF21" si="21">INDEX($F$11:$F$16,MATCH(BF20,$B$11:$B$16,0))</f>
        <v>Diesel</v>
      </c>
      <c r="BG21" s="1048" t="str">
        <f t="shared" ref="BG21:BH21" si="22">INDEX($F$11:$F$16,MATCH(BG20,$B$11:$B$16,0))</f>
        <v>Electricity</v>
      </c>
      <c r="BH21" s="1049" t="str">
        <f t="shared" si="22"/>
        <v>Hydrogen</v>
      </c>
    </row>
    <row r="22" spans="1:60" x14ac:dyDescent="0.2">
      <c r="A22" s="272"/>
      <c r="B22" s="1091"/>
      <c r="C22" s="1092"/>
      <c r="D22" s="1092"/>
      <c r="E22" s="1092"/>
      <c r="F22" s="1092"/>
      <c r="G22" s="1093"/>
      <c r="H22" s="1085"/>
      <c r="I22" s="1086"/>
      <c r="J22" s="1086"/>
      <c r="K22" s="1086"/>
      <c r="L22" s="1086"/>
      <c r="M22" s="1087"/>
      <c r="N22" s="1039"/>
      <c r="O22" s="1008"/>
      <c r="P22" s="1008"/>
      <c r="Q22" s="1008"/>
      <c r="R22" s="1008"/>
      <c r="S22" s="1009"/>
      <c r="T22" s="1002">
        <f>Q12</f>
        <v>0</v>
      </c>
      <c r="U22" s="1003">
        <f>Q13</f>
        <v>0</v>
      </c>
      <c r="V22" s="1045">
        <f>INDEX($Q$11:$Q$16,MATCH(V20,$B$11:$B$16,0))</f>
        <v>0</v>
      </c>
      <c r="W22" s="1003">
        <f>INDEX($Q$11:$Q$16,MATCH(W20,$B$11:$B$16,0))</f>
        <v>0</v>
      </c>
      <c r="X22" s="1004">
        <f>INDEX($Q$11:$Q$16,MATCH(X20,$B$11:$B$16,0))</f>
        <v>0</v>
      </c>
      <c r="Y22" s="1010" t="b">
        <f>INDEX($H$11:$H$16,MATCH(Y20,$B$11:$B$16,0))</f>
        <v>0</v>
      </c>
      <c r="Z22" s="1011" t="b">
        <f t="shared" ref="Z22:AC22" si="23">INDEX($H$11:$H$16,MATCH(Z20,$B$11:$B$16,0))</f>
        <v>0</v>
      </c>
      <c r="AA22" s="1011" t="b">
        <f t="shared" si="23"/>
        <v>0</v>
      </c>
      <c r="AB22" s="1011" t="b">
        <f t="shared" si="23"/>
        <v>1</v>
      </c>
      <c r="AC22" s="1012" t="b">
        <f t="shared" si="23"/>
        <v>0</v>
      </c>
      <c r="AD22" s="1050">
        <f>INDEX($M$11:$M$16,MATCH(AD20,$B$11:$B$16,0))</f>
        <v>100</v>
      </c>
      <c r="AE22" s="1019">
        <f>INDEX($M$11:$M$16,MATCH(AE20,$B$11:$B$16,0))</f>
        <v>100</v>
      </c>
      <c r="AF22" s="1019">
        <f>INDEX($M$11:$M$16,MATCH(AF20,$B$11:$B$16,0))</f>
        <v>100</v>
      </c>
      <c r="AG22" s="1019">
        <f>INDEX($M$11:$M$16,MATCH(AG20,$B$11:$B$16,0))</f>
        <v>100</v>
      </c>
      <c r="AH22" s="1020">
        <f>INDEX($M$11:$M$16,MATCH(AH20,$B$11:$B$16,0))</f>
        <v>100</v>
      </c>
      <c r="AI22" s="1052">
        <f>INDEX($K$11:$K$16,MATCH(AI20,$B$11:$B$16,0))</f>
        <v>0.5</v>
      </c>
      <c r="AJ22" s="1053">
        <f t="shared" ref="AJ22:AM22" si="24">INDEX($K$11:$K$16,MATCH(AJ20,$B$11:$B$16,0))</f>
        <v>0.5</v>
      </c>
      <c r="AK22" s="1053">
        <f t="shared" si="24"/>
        <v>0.5</v>
      </c>
      <c r="AL22" s="1053">
        <f t="shared" si="24"/>
        <v>0.5</v>
      </c>
      <c r="AM22" s="1054">
        <f t="shared" si="24"/>
        <v>0.5</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73"/>
      <c r="B23" s="1094"/>
      <c r="C23" s="1095"/>
      <c r="D23" s="1095"/>
      <c r="E23" s="1095"/>
      <c r="F23" s="1095"/>
      <c r="G23" s="1096"/>
      <c r="H23" s="1088"/>
      <c r="I23" s="1089"/>
      <c r="J23" s="1089"/>
      <c r="K23" s="1089"/>
      <c r="L23" s="1089"/>
      <c r="M23" s="1090"/>
      <c r="N23" s="1040"/>
      <c r="O23" s="1041"/>
      <c r="P23" s="1041"/>
      <c r="Q23" s="1041"/>
      <c r="R23" s="1041"/>
      <c r="S23" s="1042"/>
      <c r="T23" s="1005"/>
      <c r="U23" s="1006"/>
      <c r="V23" s="1046"/>
      <c r="W23" s="1006"/>
      <c r="X23" s="1007"/>
      <c r="Y23" s="1013"/>
      <c r="Z23" s="1014"/>
      <c r="AA23" s="1014"/>
      <c r="AB23" s="1014"/>
      <c r="AC23" s="1015"/>
      <c r="AD23" s="1051"/>
      <c r="AE23" s="1022"/>
      <c r="AF23" s="1022"/>
      <c r="AG23" s="1022"/>
      <c r="AH23" s="1023"/>
      <c r="AI23" s="1055">
        <f>INDEX($I$11:$I$16,MATCH(AI20,$B$11:$B$16,0))</f>
        <v>2020</v>
      </c>
      <c r="AJ23" s="1056">
        <f t="shared" ref="AJ23:AM23" si="25">INDEX($I$11:$I$16,MATCH(AJ20,$B$11:$B$16,0))</f>
        <v>2020</v>
      </c>
      <c r="AK23" s="1056">
        <f t="shared" si="25"/>
        <v>2020</v>
      </c>
      <c r="AL23" s="1056">
        <f t="shared" si="25"/>
        <v>2020</v>
      </c>
      <c r="AM23" s="1057">
        <f t="shared" si="25"/>
        <v>2020</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8">
        <f t="shared" ref="B24:G33" si="26">ROUND(INDEX(COST_Cls2,$A24-($A$24-1),MATCH(B$20,TECHOPTS_Cls2,0)),2)</f>
        <v>136900</v>
      </c>
      <c r="C24" s="808">
        <f t="shared" si="26"/>
        <v>1000000</v>
      </c>
      <c r="D24" s="808">
        <f t="shared" si="26"/>
        <v>1000000</v>
      </c>
      <c r="E24" s="808">
        <f t="shared" si="26"/>
        <v>1000000</v>
      </c>
      <c r="F24" s="808">
        <f t="shared" si="26"/>
        <v>1000000</v>
      </c>
      <c r="G24" s="809">
        <f t="shared" si="26"/>
        <v>1000000</v>
      </c>
      <c r="H24" s="971">
        <f t="shared" ref="H24:M33" si="27">IF(H$21="Single-fuel",1,1-MIN(INDEX(CDRANGE_CLS2,$A24-($A$24-1),MATCH(H$20,TECHOPTS_Cls2,0))*OPDAYS_Cls2/$D$6,1))</f>
        <v>1</v>
      </c>
      <c r="I24" s="972">
        <f t="shared" si="27"/>
        <v>1</v>
      </c>
      <c r="J24" s="972">
        <f t="shared" si="27"/>
        <v>1</v>
      </c>
      <c r="K24" s="972">
        <f t="shared" si="27"/>
        <v>1</v>
      </c>
      <c r="L24" s="972">
        <f t="shared" si="27"/>
        <v>1</v>
      </c>
      <c r="M24" s="973">
        <f t="shared" si="27"/>
        <v>1</v>
      </c>
      <c r="N24" s="275">
        <f t="shared" ref="N24:N67" si="28">VLOOKUP($A24,IF($D$5="Central",FuelPriceCent,FuelPriceNCent),MATCH(N$21,FuelPriceCols,0),0)*(H24*$D$6)/(12*INDEX(FUEL1MPG_Cls2,$A24-($A$24-1),MATCH(N$20,TECHOPTS_Cls2,0)))+IFERROR(VLOOKUP($A24,IF($D$5="Central",FuelPriceCent,FuelPriceNCent),MATCH(INDEX($G$11:$G$16,MATCH(N$20,$B$11:$B$16,0)),FuelPriceCols,0),0),0)*((1-H24)*$D$6)/(12*INDEX(FUEL2MPG_Cls2,$A24-($A$24-1),MATCH(N$20,TECHOPTS_Cls2,0)))</f>
        <v>7848.7604053474406</v>
      </c>
      <c r="O24" s="276">
        <f t="shared" ref="O24:O67" si="29">VLOOKUP($A24,IF($D$5="Central",FuelPriceCent,FuelPriceNCent),MATCH(O$21,FuelPriceCols,0),0)*(I24*$D$6)/(12*INDEX(FUEL1MPG_Cls2,$A24-($A$24-1),MATCH(O$20,TECHOPTS_Cls2,0)))+IFERROR(VLOOKUP($A24,IF($D$5="Central",FuelPriceCent,FuelPriceNCent),MATCH(INDEX($G$11:$G$16,MATCH(O$20,$B$11:$B$16,0)),FuelPriceCols,0),0),0)*((1-I24)*$D$6)/(12*INDEX(FUEL2MPG_Cls2,$A24-($A$24-1),MATCH(O$20,TECHOPTS_Cls2,0)))</f>
        <v>43034.780126912701</v>
      </c>
      <c r="P24" s="276">
        <f t="shared" ref="P24:P67" si="30">VLOOKUP($A24,IF($D$5="Central",FuelPriceCent,FuelPriceNCent),MATCH(P$21,FuelPriceCols,0),0)*(J24*$D$6)/(12*INDEX(FUEL1MPG_Cls2,$A24-($A$24-1),MATCH(P$20,TECHOPTS_Cls2,0)))+IFERROR(VLOOKUP($A24,IF($D$5="Central",FuelPriceCent,FuelPriceNCent),MATCH(INDEX($G$11:$G$16,MATCH(P$20,$B$11:$B$16,0)),FuelPriceCols,0),0),0)*((1-J24)*$D$6)/(12*INDEX(FUEL2MPG_Cls2,$A24-($A$24-1),MATCH(P$20,TECHOPTS_Cls2,0)))</f>
        <v>43034.780126912701</v>
      </c>
      <c r="Q24" s="276">
        <f t="shared" ref="Q24:Q67" si="31">VLOOKUP($A24,IF($D$5="Central",FuelPriceCent,FuelPriceNCent),MATCH(Q$21,FuelPriceCols,0),0)*(K24*$D$6)/(12*INDEX(FUEL1MPG_Cls2,$A24-($A$24-1),MATCH(Q$20,TECHOPTS_Cls2,0)))+IFERROR(VLOOKUP($A24,IF($D$5="Central",FuelPriceCent,FuelPriceNCent),MATCH(INDEX($G$11:$G$16,MATCH(Q$20,$B$11:$B$16,0)),FuelPriceCols,0),0),0)*((1-K24)*$D$6)/(12*INDEX(FUEL2MPG_Cls2,$A24-($A$24-1),MATCH(Q$20,TECHOPTS_Cls2,0)))</f>
        <v>43034.780126912701</v>
      </c>
      <c r="R24" s="276">
        <f t="shared" ref="R24:R67" si="32">VLOOKUP($A24,IF($D$5="Central",FuelPriceCent,FuelPriceNCent),MATCH(R$21,FuelPriceCols,0),0)*(L24*$D$6)/(12*INDEX(FUEL1MPG_Cls2,$A24-($A$24-1),MATCH(R$20,TECHOPTS_Cls2,0)))+IFERROR(VLOOKUP($A24,IF($D$5="Central",FuelPriceCent,FuelPriceNCent),MATCH(INDEX($G$11:$G$16,MATCH(R$20,$B$11:$B$16,0)),FuelPriceCols,0),0),0)*((1-L24)*$D$6)/(12*INDEX(FUEL2MPG_Cls2,$A24-($A$24-1),MATCH(R$20,TECHOPTS_Cls2,0)))</f>
        <v>163282.73320612666</v>
      </c>
      <c r="S24" s="278">
        <f t="shared" ref="S24:S67" si="33">VLOOKUP($A24,IF($D$5="Central",FuelPriceCent,FuelPriceNCent),MATCH(S$21,FuelPriceCols,0),0)*(M24*$D$6)/(12*INDEX(FUEL1MPG_Cls2,$A24-($A$24-1),MATCH(S$20,TECHOPTS_Cls2,0)))+IFERROR(VLOOKUP($A24,IF($D$5="Central",FuelPriceCent,FuelPriceNCent),MATCH(INDEX($G$11:$G$16,MATCH(S$20,$B$11:$B$16,0)),FuelPriceCols,0),0),0)*((1-M24)*$D$6)/(12*INDEX(FUEL2MPG_Cls2,$A24-($A$24-1),MATCH(S$20,TECHOPTS_Cls2,0)))</f>
        <v>19008.628115665098</v>
      </c>
      <c r="T24" s="275">
        <f t="shared" ref="T24:T67" si="34">$N24-O24+T$22</f>
        <v>-35186.019721565259</v>
      </c>
      <c r="U24" s="276">
        <f t="shared" ref="U24:U67" si="35">$N24-P24+U$22</f>
        <v>-35186.019721565259</v>
      </c>
      <c r="V24" s="276">
        <f t="shared" ref="V24:V67" si="36">$N24-Q24+V$22</f>
        <v>-35186.019721565259</v>
      </c>
      <c r="W24" s="276">
        <f t="shared" ref="W24:W67" si="37">$N24-R24+W$22</f>
        <v>-155433.97280077921</v>
      </c>
      <c r="X24" s="278">
        <f t="shared" ref="X24:X67" si="38">$N24-S24+X$22</f>
        <v>-11159.867710317658</v>
      </c>
      <c r="Y24" s="279">
        <f ca="1">IF(AND(Y$22=TRUE,INDEX(CDRANGE_CLS2,MATCH($A24,$A$24:$A$67,0),MATCH(Y$20,$B$20:$G$20,0))&lt;$D$6/OPDAYS_Cls2),86,payback(C24,T24,disc_rate/12,85))</f>
        <v>86</v>
      </c>
      <c r="Z24" s="280">
        <f ca="1">IF(AND(Z$22=TRUE,INDEX(CDRANGE_CLS2,MATCH($A24,$A$24:$A$67,0),MATCH(Z$20,$B$20:$G$20,0))&lt;$D$6/OPDAYS_Cls2),86,payback(D24,U24,disc_rate/12,85))</f>
        <v>86</v>
      </c>
      <c r="AA24" s="280">
        <f ca="1">IF(AND(AA$22=TRUE,INDEX(CDRANGE_CLS2,MATCH($A24,$A$24:$A$67,0),MATCH(AA$20,$B$20:$G$20,0))&lt;$D$6/OPDAYS_Cls2),86,payback(E24,V24,disc_rate/12,85))</f>
        <v>86</v>
      </c>
      <c r="AB24" s="280">
        <f>IF(AND(AB$22=TRUE,INDEX(CDRANGE_CLS2,MATCH($A24,$A$24:$A$67,0),MATCH(AB$20,$B$20:$G$20,0))&lt;$D$6/OPDAYS_Cls2),86,payback(F24,W24,disc_rate/12,85))</f>
        <v>86</v>
      </c>
      <c r="AC24" s="281">
        <f ca="1">IF(AND(AC$22=TRUE,INDEX(CDRANGE_CLS2,MATCH($A24,$A$24:$A$67,0),MATCH(AC$20,$B$20:$G$20,0))&lt;$D$6/OPDAYS_Cls2),86,payback(G24,X24,disc_rate/12,85))</f>
        <v>86</v>
      </c>
      <c r="AD24" s="282">
        <f t="shared" ref="AD24:AD67" si="39">IF(AND(C24&lt;=AD$21,$N24-O24&gt;=-AD$22),AI24*VLOOKUP(C24/AD$21,FirstCostInd,2,TRUE)*VLOOKUP(($N24-O24)/AD$22,FuelCostInd,2,1),0)</f>
        <v>0</v>
      </c>
      <c r="AE24" s="283">
        <f t="shared" ref="AE24:AE67" si="40">IF(AND(D24&lt;=AE$21,$N24-P24&gt;=-AE$22),AJ24*VLOOKUP(D24/AE$21,FirstCostInd,2,TRUE)*VLOOKUP(($N24-P24)/AE$22,FuelCostInd,2,1),0)</f>
        <v>0</v>
      </c>
      <c r="AF24" s="283">
        <f t="shared" ref="AF24:AF67" si="41">IF(AND(E24&lt;=AF$21,$N24-Q24&gt;=-AF$22),AK24*VLOOKUP(E24/AF$21,FirstCostInd,2,TRUE)*VLOOKUP(($N24-Q24)/AF$22,FuelCostInd,2,1),0)</f>
        <v>0</v>
      </c>
      <c r="AG24" s="283">
        <f t="shared" ref="AG24:AG67" si="42">IF(AND(F24&lt;=AG$21,$N24-R24&gt;=-AG$22),AL24*VLOOKUP(F24/AG$21,FirstCostInd,2,TRUE)*VLOOKUP(($N24-R24)/AG$22,FuelCostInd,2,1),0)</f>
        <v>0</v>
      </c>
      <c r="AH24" s="283">
        <f t="shared" ref="AH24:AH67" si="43">IF(AND(G24&lt;=AH$21,$N24-S24&gt;=-AH$22),AM24*VLOOKUP(G24/AH$21,FirstCostInd,2,TRUE)*VLOOKUP(($N24-S24)/AH$22,FuelCostInd,2,1),0)</f>
        <v>0</v>
      </c>
      <c r="AI24" s="285">
        <f t="shared" ref="AI24:AI67" si="44">IF($A24&lt;AI$23,0,AI$21+VLOOKUP($A24-AI$23,SCdata,2,1)*(AI$22-AI$21))*IF($D$5="Non-Central",INDEX(fuel_avail,$A24-$A$24+1,MATCH(O$21,Fuels,0)),1)</f>
        <v>0</v>
      </c>
      <c r="AJ24" s="286">
        <f t="shared" ref="AJ24:AJ67" si="45">IF($A24&lt;AJ$23,0,AJ$21+VLOOKUP($A24-AJ$23,SCdata,2,1)*(AJ$22-AJ$21))*IF($D$5="Non-Central",INDEX(fuel_avail,$A24-$A$24+1,MATCH(P$21,Fuels,0)),1)</f>
        <v>0</v>
      </c>
      <c r="AK24" s="286">
        <f t="shared" ref="AK24:AK67" si="46">IF($A24&lt;AK$23,0,AK$21+VLOOKUP($A24-AK$23,SCdata,2,1)*(AK$22-AK$21))*IF($D$5="Non-Central",INDEX(fuel_avail,$A24-$A$24+1,MATCH(Q$21,Fuels,0)),1)</f>
        <v>0</v>
      </c>
      <c r="AL24" s="286">
        <f t="shared" ref="AL24:AL67" si="47">IF($A24&lt;AL$23,0,AL$21+VLOOKUP($A24-AL$23,SCdata,2,1)*(AL$22-AL$21))*IF($D$5="Non-Central",INDEX(fuel_avail,$A24-$A$24+1,MATCH(R$21,Fuels,0)),1)</f>
        <v>0</v>
      </c>
      <c r="AM24" s="611">
        <f t="shared" ref="AM24:AM67" si="48">IF($A24&lt;AM$23,0,AM$21+VLOOKUP($A24-AM$23,SCdata,2,1)*(AM$22-AM$21))*IF($D$5="Non-Central",INDEX(fuel_avail,$A24-$A$24+1,MATCH(S$21,Fuels,0)),1)</f>
        <v>0</v>
      </c>
      <c r="AN24" s="285">
        <f>IF(C24&lt;0,1,$AQ$17*(1-WEIBULL(C24/$B24,$AO$17,$AO$18,1)))</f>
        <v>0</v>
      </c>
      <c r="AO24" s="286">
        <f t="shared" ref="AO24:AR39" si="49">IF(D24&lt;0,1,$AQ$17*(1-WEIBULL(D24/$B24,$AO$17,$AO$18,1)))</f>
        <v>0</v>
      </c>
      <c r="AP24" s="286">
        <f t="shared" si="49"/>
        <v>0</v>
      </c>
      <c r="AQ24" s="286">
        <f t="shared" si="49"/>
        <v>0</v>
      </c>
      <c r="AR24" s="287">
        <f t="shared" si="49"/>
        <v>0</v>
      </c>
      <c r="AS24" s="282">
        <f t="shared" ref="AS24:AS67" ca="1" si="50">MIN(1,MAX(AD24,IF(Y24&gt;85,0,(AI24/0.5)*VLOOKUP(Y24,AdoptDec,$AU$18,0))))</f>
        <v>0</v>
      </c>
      <c r="AT24" s="283">
        <f t="shared" ref="AT24:AT67" ca="1" si="51">MIN(1,MAX(AE24,IF(Z24&gt;85,0,(AJ24/0.5)*VLOOKUP(Z24,AdoptDec,$AU$18,0))))</f>
        <v>0</v>
      </c>
      <c r="AU24" s="283">
        <f t="shared" ref="AU24:AU67" ca="1" si="52">MIN(1,MAX(AF24,IF(AA24&gt;85,0,(AK24/0.5)*VLOOKUP(AA24,AdoptDec,$AU$18,0))))</f>
        <v>0</v>
      </c>
      <c r="AV24" s="283">
        <f t="shared" ref="AV24:AV67" si="53">MIN(1,MAX(AG24,IF(AB24&gt;85,0,(AL24/0.5)*VLOOKUP(AB24,AdoptDec,$AU$18,0))))</f>
        <v>0</v>
      </c>
      <c r="AW24" s="284">
        <f t="shared" ref="AW24:AW67" ca="1" si="54">MIN(1,MAX(AH24,IF(AC24&gt;85,0,(AM24/0.5)*VLOOKUP(AC24,AdoptDec,$AU$18,0))))</f>
        <v>0</v>
      </c>
      <c r="AX24" s="282">
        <f t="shared" ref="AX24:AX67" ca="1" si="55">MIN(AS24*AN24,1)</f>
        <v>0</v>
      </c>
      <c r="AY24" s="283">
        <f t="shared" ref="AY24:AY67" ca="1" si="56">MIN(AT24*AO24,1)</f>
        <v>0</v>
      </c>
      <c r="AZ24" s="283">
        <f t="shared" ref="AZ24:AZ67" ca="1" si="57">MIN(AU24*AP24,1)</f>
        <v>0</v>
      </c>
      <c r="BA24" s="283">
        <f t="shared" ref="BA24:BB24" si="58">MIN(AV24*AQ24,1)</f>
        <v>0</v>
      </c>
      <c r="BB24" s="284">
        <f t="shared" ca="1" si="58"/>
        <v>0</v>
      </c>
      <c r="BC24" s="282">
        <f ca="1">1-SUM(BD24:BH24)</f>
        <v>1</v>
      </c>
      <c r="BD24" s="283">
        <f ca="1">IF(SUM($AX24:$BB24)=0,0,MAX($AX24:$BB24)*(AI24*AX24/SUMPRODUCT($AI24:$AM24,$AX24:$BB24)))</f>
        <v>0</v>
      </c>
      <c r="BE24" s="283">
        <f t="shared" ref="BE24:BH24" ca="1" si="59">IF(SUM($AX24:$BB24)=0,0,MAX($AX24:$BB24)*(AJ24*AY24/SUMPRODUCT($AI24:$AM24,$AX24:$BB24)))</f>
        <v>0</v>
      </c>
      <c r="BF24" s="283">
        <f t="shared" ca="1" si="59"/>
        <v>0</v>
      </c>
      <c r="BG24" s="283">
        <f t="shared" ca="1" si="59"/>
        <v>0</v>
      </c>
      <c r="BH24" s="284">
        <f t="shared" ca="1" si="59"/>
        <v>0</v>
      </c>
    </row>
    <row r="25" spans="1:60" x14ac:dyDescent="0.2">
      <c r="A25" s="288">
        <v>2008</v>
      </c>
      <c r="B25" s="810">
        <f t="shared" si="26"/>
        <v>136900</v>
      </c>
      <c r="C25" s="811">
        <f t="shared" si="26"/>
        <v>1000000</v>
      </c>
      <c r="D25" s="811">
        <f t="shared" si="26"/>
        <v>1000000</v>
      </c>
      <c r="E25" s="811">
        <f t="shared" si="26"/>
        <v>1000000</v>
      </c>
      <c r="F25" s="811">
        <f t="shared" si="26"/>
        <v>1000000</v>
      </c>
      <c r="G25" s="812">
        <f t="shared" si="26"/>
        <v>1000000</v>
      </c>
      <c r="H25" s="974">
        <f t="shared" si="27"/>
        <v>1</v>
      </c>
      <c r="I25" s="975">
        <f t="shared" si="27"/>
        <v>1</v>
      </c>
      <c r="J25" s="975">
        <f t="shared" si="27"/>
        <v>1</v>
      </c>
      <c r="K25" s="975">
        <f t="shared" si="27"/>
        <v>1</v>
      </c>
      <c r="L25" s="975">
        <f t="shared" si="27"/>
        <v>1</v>
      </c>
      <c r="M25" s="976">
        <f t="shared" si="27"/>
        <v>1</v>
      </c>
      <c r="N25" s="289">
        <f t="shared" si="28"/>
        <v>10743.105857632985</v>
      </c>
      <c r="O25" s="290">
        <f t="shared" si="29"/>
        <v>58904.486133682345</v>
      </c>
      <c r="P25" s="290">
        <f t="shared" si="30"/>
        <v>58904.486133682345</v>
      </c>
      <c r="Q25" s="290">
        <f t="shared" si="31"/>
        <v>58904.486133682345</v>
      </c>
      <c r="R25" s="290">
        <f t="shared" si="32"/>
        <v>212071.67021326753</v>
      </c>
      <c r="S25" s="292">
        <f t="shared" si="33"/>
        <v>19008.628115665098</v>
      </c>
      <c r="T25" s="289">
        <f t="shared" si="34"/>
        <v>-48161.380276049356</v>
      </c>
      <c r="U25" s="290">
        <f t="shared" si="35"/>
        <v>-48161.380276049356</v>
      </c>
      <c r="V25" s="290">
        <f t="shared" si="36"/>
        <v>-48161.380276049356</v>
      </c>
      <c r="W25" s="290">
        <f t="shared" si="37"/>
        <v>-201328.56435563453</v>
      </c>
      <c r="X25" s="292">
        <f t="shared" si="38"/>
        <v>-8265.5222580321133</v>
      </c>
      <c r="Y25" s="293">
        <f ca="1">IF(AND(Y$22=TRUE,INDEX(CDRANGE_CLS2,MATCH($A25,$A$24:$A$67,0),MATCH(Y$20,$B$20:$G$20,0))&lt;$D$6/OPDAYS_Cls2),86,payback(C25,T25,disc_rate/12,85))</f>
        <v>86</v>
      </c>
      <c r="Z25" s="294">
        <f ca="1">IF(AND(Z$22=TRUE,INDEX(CDRANGE_CLS2,MATCH($A25,$A$24:$A$67,0),MATCH(Z$20,$B$20:$G$20,0))&lt;$D$6/OPDAYS_Cls2),86,payback(D25,U25,disc_rate/12,85))</f>
        <v>86</v>
      </c>
      <c r="AA25" s="294">
        <f ca="1">IF(AND(AA$22=TRUE,INDEX(CDRANGE_CLS2,MATCH($A25,$A$24:$A$67,0),MATCH(AA$20,$B$20:$G$20,0))&lt;$D$6/OPDAYS_Cls2),86,payback(E25,V25,disc_rate/12,85))</f>
        <v>86</v>
      </c>
      <c r="AB25" s="294">
        <f>IF(AND(AB$22=TRUE,INDEX(CDRANGE_CLS2,MATCH($A25,$A$24:$A$67,0),MATCH(AB$20,$B$20:$G$20,0))&lt;$D$6/OPDAYS_Cls2),86,payback(F25,W25,disc_rate/12,85))</f>
        <v>86</v>
      </c>
      <c r="AC25" s="295">
        <f ca="1">IF(AND(AC$22=TRUE,INDEX(CDRANGE_CLS2,MATCH($A25,$A$24:$A$67,0),MATCH(AC$20,$B$20:$G$20,0))&lt;$D$6/OPDAYS_Cls2),86,payback(G25,X25,disc_rate/12,85))</f>
        <v>86</v>
      </c>
      <c r="AD25" s="296">
        <f t="shared" si="39"/>
        <v>0</v>
      </c>
      <c r="AE25" s="297">
        <f t="shared" si="40"/>
        <v>0</v>
      </c>
      <c r="AF25" s="297">
        <f t="shared" si="41"/>
        <v>0</v>
      </c>
      <c r="AG25" s="297">
        <f t="shared" si="42"/>
        <v>0</v>
      </c>
      <c r="AH25" s="298">
        <f t="shared" si="43"/>
        <v>0</v>
      </c>
      <c r="AI25" s="299">
        <f t="shared" si="44"/>
        <v>0</v>
      </c>
      <c r="AJ25" s="300">
        <f t="shared" si="45"/>
        <v>0</v>
      </c>
      <c r="AK25" s="300">
        <f t="shared" si="46"/>
        <v>0</v>
      </c>
      <c r="AL25" s="300">
        <f t="shared" si="47"/>
        <v>0</v>
      </c>
      <c r="AM25" s="598">
        <f t="shared" si="48"/>
        <v>0</v>
      </c>
      <c r="AN25" s="299">
        <f t="shared" ref="AN25:AR67" si="60">IF(C25&lt;0,1,$AQ$17*(1-WEIBULL(C25/$B25,$AO$17,$AO$18,1)))</f>
        <v>0</v>
      </c>
      <c r="AO25" s="300">
        <f t="shared" si="49"/>
        <v>0</v>
      </c>
      <c r="AP25" s="300">
        <f t="shared" si="49"/>
        <v>0</v>
      </c>
      <c r="AQ25" s="300">
        <f t="shared" si="49"/>
        <v>0</v>
      </c>
      <c r="AR25" s="301">
        <f t="shared" si="49"/>
        <v>0</v>
      </c>
      <c r="AS25" s="282">
        <f t="shared" ca="1" si="50"/>
        <v>0</v>
      </c>
      <c r="AT25" s="283">
        <f t="shared" ca="1" si="51"/>
        <v>0</v>
      </c>
      <c r="AU25" s="283">
        <f t="shared" ca="1" si="52"/>
        <v>0</v>
      </c>
      <c r="AV25" s="283">
        <f t="shared" si="53"/>
        <v>0</v>
      </c>
      <c r="AW25" s="284">
        <f t="shared" ca="1" si="54"/>
        <v>0</v>
      </c>
      <c r="AX25" s="296">
        <f t="shared" ca="1" si="55"/>
        <v>0</v>
      </c>
      <c r="AY25" s="297">
        <f t="shared" ca="1" si="56"/>
        <v>0</v>
      </c>
      <c r="AZ25" s="297">
        <f t="shared" ca="1" si="57"/>
        <v>0</v>
      </c>
      <c r="BA25" s="283">
        <f t="shared" ref="BA25:BA67" si="61">MIN(AV25*AQ25,1)</f>
        <v>0</v>
      </c>
      <c r="BB25" s="284">
        <f t="shared" ref="BB25:BB67" ca="1" si="62">MIN(AW25*AR25,1)</f>
        <v>0</v>
      </c>
      <c r="BC25" s="282">
        <f t="shared" ref="BC25:BC67" ca="1" si="63">1-SUM(BD25:BH25)</f>
        <v>1</v>
      </c>
      <c r="BD25" s="283">
        <f t="shared" ref="BD25:BD67" ca="1" si="64">IF(SUM($AX25:$BB25)=0,0,MAX($AX25:$BB25)*(AI25*AX25/SUMPRODUCT($AI25:$AM25,$AX25:$BB25)))</f>
        <v>0</v>
      </c>
      <c r="BE25" s="283">
        <f t="shared" ref="BE25:BE67" ca="1" si="65">IF(SUM($AX25:$BB25)=0,0,MAX($AX25:$BB25)*(AJ25*AY25/SUMPRODUCT($AI25:$AM25,$AX25:$BB25)))</f>
        <v>0</v>
      </c>
      <c r="BF25" s="283">
        <f t="shared" ref="BF25:BF67" ca="1" si="66">IF(SUM($AX25:$BB25)=0,0,MAX($AX25:$BB25)*(AK25*AZ25/SUMPRODUCT($AI25:$AM25,$AX25:$BB25)))</f>
        <v>0</v>
      </c>
      <c r="BG25" s="283">
        <f t="shared" ref="BG25:BG67" ca="1" si="67">IF(SUM($AX25:$BB25)=0,0,MAX($AX25:$BB25)*(AL25*BA25/SUMPRODUCT($AI25:$AM25,$AX25:$BB25)))</f>
        <v>0</v>
      </c>
      <c r="BH25" s="284">
        <f t="shared" ref="BH25:BH67" ca="1" si="68">IF(SUM($AX25:$BB25)=0,0,MAX($AX25:$BB25)*(AM25*BB25/SUMPRODUCT($AI25:$AM25,$AX25:$BB25)))</f>
        <v>0</v>
      </c>
    </row>
    <row r="26" spans="1:60" x14ac:dyDescent="0.2">
      <c r="A26" s="288">
        <v>2009</v>
      </c>
      <c r="B26" s="810">
        <f t="shared" si="26"/>
        <v>136900</v>
      </c>
      <c r="C26" s="811">
        <f t="shared" si="26"/>
        <v>1000000</v>
      </c>
      <c r="D26" s="811">
        <f t="shared" si="26"/>
        <v>1000000</v>
      </c>
      <c r="E26" s="811">
        <f t="shared" si="26"/>
        <v>1000000</v>
      </c>
      <c r="F26" s="811">
        <f t="shared" si="26"/>
        <v>1000000</v>
      </c>
      <c r="G26" s="812">
        <f t="shared" si="26"/>
        <v>1000000</v>
      </c>
      <c r="H26" s="974">
        <f t="shared" si="27"/>
        <v>1</v>
      </c>
      <c r="I26" s="975">
        <f t="shared" si="27"/>
        <v>1</v>
      </c>
      <c r="J26" s="975">
        <f t="shared" si="27"/>
        <v>1</v>
      </c>
      <c r="K26" s="975">
        <f t="shared" si="27"/>
        <v>1</v>
      </c>
      <c r="L26" s="975">
        <f t="shared" si="27"/>
        <v>1</v>
      </c>
      <c r="M26" s="976">
        <f t="shared" si="27"/>
        <v>1</v>
      </c>
      <c r="N26" s="289">
        <f t="shared" si="28"/>
        <v>6943.917370564538</v>
      </c>
      <c r="O26" s="290">
        <f t="shared" si="29"/>
        <v>38073.522674752407</v>
      </c>
      <c r="P26" s="290">
        <f t="shared" si="30"/>
        <v>38073.522674752407</v>
      </c>
      <c r="Q26" s="290">
        <f t="shared" si="31"/>
        <v>38073.522674752407</v>
      </c>
      <c r="R26" s="290">
        <f t="shared" si="32"/>
        <v>317800.49753746408</v>
      </c>
      <c r="S26" s="292">
        <f t="shared" si="33"/>
        <v>19008.628115665098</v>
      </c>
      <c r="T26" s="289">
        <f t="shared" si="34"/>
        <v>-31129.605304187869</v>
      </c>
      <c r="U26" s="290">
        <f t="shared" si="35"/>
        <v>-31129.605304187869</v>
      </c>
      <c r="V26" s="290">
        <f t="shared" si="36"/>
        <v>-31129.605304187869</v>
      </c>
      <c r="W26" s="290">
        <f t="shared" si="37"/>
        <v>-310856.58016689954</v>
      </c>
      <c r="X26" s="292">
        <f t="shared" si="38"/>
        <v>-12064.710745100561</v>
      </c>
      <c r="Y26" s="293">
        <f ca="1">IF(AND(Y$22=TRUE,INDEX(CDRANGE_CLS2,MATCH($A26,$A$24:$A$67,0),MATCH(Y$20,$B$20:$G$20,0))&lt;$D$6/OPDAYS_Cls2),86,payback(C26,T26,disc_rate/12,85))</f>
        <v>86</v>
      </c>
      <c r="Z26" s="294">
        <f ca="1">IF(AND(Z$22=TRUE,INDEX(CDRANGE_CLS2,MATCH($A26,$A$24:$A$67,0),MATCH(Z$20,$B$20:$G$20,0))&lt;$D$6/OPDAYS_Cls2),86,payback(D26,U26,disc_rate/12,85))</f>
        <v>86</v>
      </c>
      <c r="AA26" s="294">
        <f ca="1">IF(AND(AA$22=TRUE,INDEX(CDRANGE_CLS2,MATCH($A26,$A$24:$A$67,0),MATCH(AA$20,$B$20:$G$20,0))&lt;$D$6/OPDAYS_Cls2),86,payback(E26,V26,disc_rate/12,85))</f>
        <v>86</v>
      </c>
      <c r="AB26" s="294">
        <f>IF(AND(AB$22=TRUE,INDEX(CDRANGE_CLS2,MATCH($A26,$A$24:$A$67,0),MATCH(AB$20,$B$20:$G$20,0))&lt;$D$6/OPDAYS_Cls2),86,payback(F26,W26,disc_rate/12,85))</f>
        <v>86</v>
      </c>
      <c r="AC26" s="295">
        <f ca="1">IF(AND(AC$22=TRUE,INDEX(CDRANGE_CLS2,MATCH($A26,$A$24:$A$67,0),MATCH(AC$20,$B$20:$G$20,0))&lt;$D$6/OPDAYS_Cls2),86,payback(G26,X26,disc_rate/12,85))</f>
        <v>86</v>
      </c>
      <c r="AD26" s="296">
        <f t="shared" si="39"/>
        <v>0</v>
      </c>
      <c r="AE26" s="297">
        <f t="shared" si="40"/>
        <v>0</v>
      </c>
      <c r="AF26" s="297">
        <f t="shared" si="41"/>
        <v>0</v>
      </c>
      <c r="AG26" s="297">
        <f t="shared" si="42"/>
        <v>0</v>
      </c>
      <c r="AH26" s="298">
        <f t="shared" si="43"/>
        <v>0</v>
      </c>
      <c r="AI26" s="299">
        <f t="shared" si="44"/>
        <v>0</v>
      </c>
      <c r="AJ26" s="300">
        <f t="shared" si="45"/>
        <v>0</v>
      </c>
      <c r="AK26" s="300">
        <f t="shared" si="46"/>
        <v>0</v>
      </c>
      <c r="AL26" s="300">
        <f t="shared" si="47"/>
        <v>0</v>
      </c>
      <c r="AM26" s="598">
        <f t="shared" si="48"/>
        <v>0</v>
      </c>
      <c r="AN26" s="299">
        <f t="shared" si="60"/>
        <v>0</v>
      </c>
      <c r="AO26" s="300">
        <f t="shared" si="49"/>
        <v>0</v>
      </c>
      <c r="AP26" s="300">
        <f t="shared" si="49"/>
        <v>0</v>
      </c>
      <c r="AQ26" s="300">
        <f t="shared" si="49"/>
        <v>0</v>
      </c>
      <c r="AR26" s="301">
        <f t="shared" si="49"/>
        <v>0</v>
      </c>
      <c r="AS26" s="282">
        <f t="shared" ca="1" si="50"/>
        <v>0</v>
      </c>
      <c r="AT26" s="283">
        <f t="shared" ca="1" si="51"/>
        <v>0</v>
      </c>
      <c r="AU26" s="283">
        <f t="shared" ca="1" si="52"/>
        <v>0</v>
      </c>
      <c r="AV26" s="283">
        <f t="shared" si="53"/>
        <v>0</v>
      </c>
      <c r="AW26" s="284">
        <f t="shared" ca="1" si="54"/>
        <v>0</v>
      </c>
      <c r="AX26" s="296">
        <f t="shared" ca="1" si="55"/>
        <v>0</v>
      </c>
      <c r="AY26" s="297">
        <f t="shared" ca="1" si="56"/>
        <v>0</v>
      </c>
      <c r="AZ26" s="297">
        <f t="shared" ca="1" si="57"/>
        <v>0</v>
      </c>
      <c r="BA26" s="283">
        <f t="shared" si="61"/>
        <v>0</v>
      </c>
      <c r="BB26" s="284">
        <f t="shared" ca="1" si="62"/>
        <v>0</v>
      </c>
      <c r="BC26" s="282">
        <f t="shared" ca="1" si="63"/>
        <v>1</v>
      </c>
      <c r="BD26" s="283">
        <f t="shared" ca="1" si="64"/>
        <v>0</v>
      </c>
      <c r="BE26" s="283">
        <f t="shared" ca="1" si="65"/>
        <v>0</v>
      </c>
      <c r="BF26" s="283">
        <f t="shared" ca="1" si="66"/>
        <v>0</v>
      </c>
      <c r="BG26" s="283">
        <f t="shared" ca="1" si="67"/>
        <v>0</v>
      </c>
      <c r="BH26" s="284">
        <f t="shared" ca="1" si="68"/>
        <v>0</v>
      </c>
    </row>
    <row r="27" spans="1:60" ht="15" thickBot="1" x14ac:dyDescent="0.25">
      <c r="A27" s="302">
        <v>2010</v>
      </c>
      <c r="B27" s="813">
        <f t="shared" si="26"/>
        <v>136900</v>
      </c>
      <c r="C27" s="814">
        <f t="shared" si="26"/>
        <v>1000000</v>
      </c>
      <c r="D27" s="814">
        <f t="shared" si="26"/>
        <v>1000000</v>
      </c>
      <c r="E27" s="814">
        <f t="shared" si="26"/>
        <v>1000000</v>
      </c>
      <c r="F27" s="814">
        <f t="shared" si="26"/>
        <v>1000000</v>
      </c>
      <c r="G27" s="815">
        <f t="shared" si="26"/>
        <v>1000000</v>
      </c>
      <c r="H27" s="977">
        <f t="shared" si="27"/>
        <v>1</v>
      </c>
      <c r="I27" s="978">
        <f t="shared" si="27"/>
        <v>1</v>
      </c>
      <c r="J27" s="978">
        <f t="shared" si="27"/>
        <v>1</v>
      </c>
      <c r="K27" s="978">
        <f t="shared" si="27"/>
        <v>1</v>
      </c>
      <c r="L27" s="978">
        <f t="shared" si="27"/>
        <v>1</v>
      </c>
      <c r="M27" s="979">
        <f t="shared" si="27"/>
        <v>1</v>
      </c>
      <c r="N27" s="303">
        <f t="shared" si="28"/>
        <v>8501.4674780623336</v>
      </c>
      <c r="O27" s="304">
        <f t="shared" si="29"/>
        <v>46935.908245807492</v>
      </c>
      <c r="P27" s="304">
        <f t="shared" si="30"/>
        <v>46935.908245807492</v>
      </c>
      <c r="Q27" s="304">
        <f t="shared" si="31"/>
        <v>46935.908245807492</v>
      </c>
      <c r="R27" s="304">
        <f t="shared" si="32"/>
        <v>228550.91432391098</v>
      </c>
      <c r="S27" s="306">
        <f t="shared" si="33"/>
        <v>19008.628115665098</v>
      </c>
      <c r="T27" s="303">
        <f t="shared" si="34"/>
        <v>-38434.44076774516</v>
      </c>
      <c r="U27" s="304">
        <f t="shared" si="35"/>
        <v>-38434.44076774516</v>
      </c>
      <c r="V27" s="304">
        <f t="shared" si="36"/>
        <v>-38434.44076774516</v>
      </c>
      <c r="W27" s="304">
        <f t="shared" si="37"/>
        <v>-220049.44684584864</v>
      </c>
      <c r="X27" s="306">
        <f t="shared" si="38"/>
        <v>-10507.160637602765</v>
      </c>
      <c r="Y27" s="307">
        <f ca="1">IF(AND(Y$22=TRUE,INDEX(CDRANGE_CLS2,MATCH($A27,$A$24:$A$67,0),MATCH(Y$20,$B$20:$G$20,0))&lt;$D$6/OPDAYS_Cls2),86,payback(C27,T27,disc_rate/12,85))</f>
        <v>86</v>
      </c>
      <c r="Z27" s="308">
        <f ca="1">IF(AND(Z$22=TRUE,INDEX(CDRANGE_CLS2,MATCH($A27,$A$24:$A$67,0),MATCH(Z$20,$B$20:$G$20,0))&lt;$D$6/OPDAYS_Cls2),86,payback(D27,U27,disc_rate/12,85))</f>
        <v>86</v>
      </c>
      <c r="AA27" s="308">
        <f ca="1">IF(AND(AA$22=TRUE,INDEX(CDRANGE_CLS2,MATCH($A27,$A$24:$A$67,0),MATCH(AA$20,$B$20:$G$20,0))&lt;$D$6/OPDAYS_Cls2),86,payback(E27,V27,disc_rate/12,85))</f>
        <v>86</v>
      </c>
      <c r="AB27" s="308">
        <f>IF(AND(AB$22=TRUE,INDEX(CDRANGE_CLS2,MATCH($A27,$A$24:$A$67,0),MATCH(AB$20,$B$20:$G$20,0))&lt;$D$6/OPDAYS_Cls2),86,payback(F27,W27,disc_rate/12,85))</f>
        <v>86</v>
      </c>
      <c r="AC27" s="309">
        <f ca="1">IF(AND(AC$22=TRUE,INDEX(CDRANGE_CLS2,MATCH($A27,$A$24:$A$67,0),MATCH(AC$20,$B$20:$G$20,0))&lt;$D$6/OPDAYS_Cls2),86,payback(G27,X27,disc_rate/12,85))</f>
        <v>86</v>
      </c>
      <c r="AD27" s="310">
        <f t="shared" si="39"/>
        <v>0</v>
      </c>
      <c r="AE27" s="311">
        <f t="shared" si="40"/>
        <v>0</v>
      </c>
      <c r="AF27" s="311">
        <f t="shared" si="41"/>
        <v>0</v>
      </c>
      <c r="AG27" s="311">
        <f t="shared" si="42"/>
        <v>0</v>
      </c>
      <c r="AH27" s="312">
        <f t="shared" si="43"/>
        <v>0</v>
      </c>
      <c r="AI27" s="313">
        <f t="shared" si="44"/>
        <v>0</v>
      </c>
      <c r="AJ27" s="314">
        <f t="shared" si="45"/>
        <v>0</v>
      </c>
      <c r="AK27" s="314">
        <f t="shared" si="46"/>
        <v>0</v>
      </c>
      <c r="AL27" s="314">
        <f t="shared" si="47"/>
        <v>0</v>
      </c>
      <c r="AM27" s="599">
        <f t="shared" si="48"/>
        <v>0</v>
      </c>
      <c r="AN27" s="313">
        <f t="shared" si="60"/>
        <v>0</v>
      </c>
      <c r="AO27" s="314">
        <f t="shared" si="49"/>
        <v>0</v>
      </c>
      <c r="AP27" s="314">
        <f t="shared" si="49"/>
        <v>0</v>
      </c>
      <c r="AQ27" s="314">
        <f t="shared" si="49"/>
        <v>0</v>
      </c>
      <c r="AR27" s="315">
        <f t="shared" si="49"/>
        <v>0</v>
      </c>
      <c r="AS27" s="319">
        <f t="shared" ca="1" si="50"/>
        <v>0</v>
      </c>
      <c r="AT27" s="320">
        <f t="shared" ca="1" si="51"/>
        <v>0</v>
      </c>
      <c r="AU27" s="320">
        <f t="shared" ca="1" si="52"/>
        <v>0</v>
      </c>
      <c r="AV27" s="320">
        <f t="shared" si="53"/>
        <v>0</v>
      </c>
      <c r="AW27" s="321">
        <f t="shared" ca="1" si="54"/>
        <v>0</v>
      </c>
      <c r="AX27" s="310">
        <f t="shared" ca="1" si="55"/>
        <v>0</v>
      </c>
      <c r="AY27" s="311">
        <f t="shared" ca="1" si="56"/>
        <v>0</v>
      </c>
      <c r="AZ27" s="311">
        <f t="shared" ca="1" si="57"/>
        <v>0</v>
      </c>
      <c r="BA27" s="311">
        <f t="shared" si="61"/>
        <v>0</v>
      </c>
      <c r="BB27" s="312">
        <f t="shared" ca="1" si="62"/>
        <v>0</v>
      </c>
      <c r="BC27" s="310">
        <f t="shared" ca="1" si="63"/>
        <v>1</v>
      </c>
      <c r="BD27" s="311">
        <f t="shared" ca="1" si="64"/>
        <v>0</v>
      </c>
      <c r="BE27" s="311">
        <f t="shared" ca="1" si="65"/>
        <v>0</v>
      </c>
      <c r="BF27" s="311">
        <f t="shared" ca="1" si="66"/>
        <v>0</v>
      </c>
      <c r="BG27" s="311">
        <f t="shared" ca="1" si="67"/>
        <v>0</v>
      </c>
      <c r="BH27" s="312">
        <f t="shared" ca="1" si="68"/>
        <v>0</v>
      </c>
    </row>
    <row r="28" spans="1:60" x14ac:dyDescent="0.2">
      <c r="A28" s="316">
        <v>2011</v>
      </c>
      <c r="B28" s="816">
        <f t="shared" si="26"/>
        <v>136900</v>
      </c>
      <c r="C28" s="817">
        <f t="shared" si="26"/>
        <v>1000000</v>
      </c>
      <c r="D28" s="817">
        <f t="shared" si="26"/>
        <v>1000000</v>
      </c>
      <c r="E28" s="817">
        <f t="shared" si="26"/>
        <v>1000000</v>
      </c>
      <c r="F28" s="817">
        <f t="shared" si="26"/>
        <v>1000000</v>
      </c>
      <c r="G28" s="818">
        <f t="shared" si="26"/>
        <v>1000000</v>
      </c>
      <c r="H28" s="980">
        <f t="shared" si="27"/>
        <v>1</v>
      </c>
      <c r="I28" s="981">
        <f t="shared" si="27"/>
        <v>1</v>
      </c>
      <c r="J28" s="981">
        <f t="shared" si="27"/>
        <v>1</v>
      </c>
      <c r="K28" s="981">
        <f t="shared" si="27"/>
        <v>1</v>
      </c>
      <c r="L28" s="981">
        <f t="shared" si="27"/>
        <v>1</v>
      </c>
      <c r="M28" s="982">
        <f t="shared" si="27"/>
        <v>1</v>
      </c>
      <c r="N28" s="275">
        <f t="shared" si="28"/>
        <v>11019.107932597239</v>
      </c>
      <c r="O28" s="276">
        <f t="shared" si="29"/>
        <v>62135.793122563649</v>
      </c>
      <c r="P28" s="276">
        <f t="shared" si="30"/>
        <v>62135.793122563649</v>
      </c>
      <c r="Q28" s="276">
        <f t="shared" si="31"/>
        <v>62135.793122563649</v>
      </c>
      <c r="R28" s="276">
        <f t="shared" si="32"/>
        <v>180550.88145288127</v>
      </c>
      <c r="S28" s="278">
        <f t="shared" si="33"/>
        <v>19008.628115665098</v>
      </c>
      <c r="T28" s="275">
        <f t="shared" si="34"/>
        <v>-51116.685189966411</v>
      </c>
      <c r="U28" s="276">
        <f t="shared" si="35"/>
        <v>-51116.685189966411</v>
      </c>
      <c r="V28" s="276">
        <f t="shared" si="36"/>
        <v>-51116.685189966411</v>
      </c>
      <c r="W28" s="276">
        <f t="shared" si="37"/>
        <v>-169531.77352028404</v>
      </c>
      <c r="X28" s="278">
        <f t="shared" si="38"/>
        <v>-7989.5201830678598</v>
      </c>
      <c r="Y28" s="279">
        <f ca="1">IF(AND(Y$22=TRUE,INDEX(CDRANGE_CLS2,MATCH($A28,$A$24:$A$67,0),MATCH(Y$20,$B$20:$G$20,0))&lt;$D$6/OPDAYS_Cls2),86,payback(C28,T28,disc_rate/12,85))</f>
        <v>86</v>
      </c>
      <c r="Z28" s="280">
        <f ca="1">IF(AND(Z$22=TRUE,INDEX(CDRANGE_CLS2,MATCH($A28,$A$24:$A$67,0),MATCH(Z$20,$B$20:$G$20,0))&lt;$D$6/OPDAYS_Cls2),86,payback(D28,U28,disc_rate/12,85))</f>
        <v>86</v>
      </c>
      <c r="AA28" s="280">
        <f ca="1">IF(AND(AA$22=TRUE,INDEX(CDRANGE_CLS2,MATCH($A28,$A$24:$A$67,0),MATCH(AA$20,$B$20:$G$20,0))&lt;$D$6/OPDAYS_Cls2),86,payback(E28,V28,disc_rate/12,85))</f>
        <v>86</v>
      </c>
      <c r="AB28" s="280">
        <f>IF(AND(AB$22=TRUE,INDEX(CDRANGE_CLS2,MATCH($A28,$A$24:$A$67,0),MATCH(AB$20,$B$20:$G$20,0))&lt;$D$6/OPDAYS_Cls2),86,payback(F28,W28,disc_rate/12,85))</f>
        <v>86</v>
      </c>
      <c r="AC28" s="281">
        <f ca="1">IF(AND(AC$22=TRUE,INDEX(CDRANGE_CLS2,MATCH($A28,$A$24:$A$67,0),MATCH(AC$20,$B$20:$G$20,0))&lt;$D$6/OPDAYS_Cls2),86,payback(G28,X28,disc_rate/12,85))</f>
        <v>86</v>
      </c>
      <c r="AD28" s="282">
        <f t="shared" si="39"/>
        <v>0</v>
      </c>
      <c r="AE28" s="283">
        <f t="shared" si="40"/>
        <v>0</v>
      </c>
      <c r="AF28" s="283">
        <f t="shared" si="41"/>
        <v>0</v>
      </c>
      <c r="AG28" s="283">
        <f t="shared" si="42"/>
        <v>0</v>
      </c>
      <c r="AH28" s="284">
        <f t="shared" si="43"/>
        <v>0</v>
      </c>
      <c r="AI28" s="285">
        <f t="shared" si="44"/>
        <v>0</v>
      </c>
      <c r="AJ28" s="286">
        <f t="shared" si="45"/>
        <v>0</v>
      </c>
      <c r="AK28" s="286">
        <f t="shared" si="46"/>
        <v>0</v>
      </c>
      <c r="AL28" s="286">
        <f t="shared" si="47"/>
        <v>0</v>
      </c>
      <c r="AM28" s="287">
        <f t="shared" si="48"/>
        <v>0</v>
      </c>
      <c r="AN28" s="643">
        <f t="shared" si="60"/>
        <v>0</v>
      </c>
      <c r="AO28" s="641">
        <f t="shared" si="49"/>
        <v>0</v>
      </c>
      <c r="AP28" s="641">
        <f t="shared" si="49"/>
        <v>0</v>
      </c>
      <c r="AQ28" s="641">
        <f t="shared" si="49"/>
        <v>0</v>
      </c>
      <c r="AR28" s="642">
        <f t="shared" si="49"/>
        <v>0</v>
      </c>
      <c r="AS28" s="282">
        <f t="shared" ca="1" si="50"/>
        <v>0</v>
      </c>
      <c r="AT28" s="283">
        <f t="shared" ca="1" si="51"/>
        <v>0</v>
      </c>
      <c r="AU28" s="283">
        <f t="shared" ca="1" si="52"/>
        <v>0</v>
      </c>
      <c r="AV28" s="283">
        <f t="shared" si="53"/>
        <v>0</v>
      </c>
      <c r="AW28" s="284">
        <f t="shared" ca="1" si="54"/>
        <v>0</v>
      </c>
      <c r="AX28" s="282">
        <f t="shared" ca="1" si="55"/>
        <v>0</v>
      </c>
      <c r="AY28" s="283">
        <f t="shared" ca="1" si="56"/>
        <v>0</v>
      </c>
      <c r="AZ28" s="283">
        <f t="shared" ca="1" si="57"/>
        <v>0</v>
      </c>
      <c r="BA28" s="283">
        <f t="shared" si="61"/>
        <v>0</v>
      </c>
      <c r="BB28" s="284">
        <f t="shared" ca="1" si="62"/>
        <v>0</v>
      </c>
      <c r="BC28" s="282">
        <f t="shared" ca="1" si="63"/>
        <v>1</v>
      </c>
      <c r="BD28" s="283">
        <f t="shared" ca="1" si="64"/>
        <v>0</v>
      </c>
      <c r="BE28" s="283">
        <f t="shared" ca="1" si="65"/>
        <v>0</v>
      </c>
      <c r="BF28" s="283">
        <f t="shared" ca="1" si="66"/>
        <v>0</v>
      </c>
      <c r="BG28" s="283">
        <f t="shared" ca="1" si="67"/>
        <v>0</v>
      </c>
      <c r="BH28" s="284">
        <f t="shared" ca="1" si="68"/>
        <v>0</v>
      </c>
    </row>
    <row r="29" spans="1:60" x14ac:dyDescent="0.2">
      <c r="A29" s="317">
        <v>2012</v>
      </c>
      <c r="B29" s="819">
        <f t="shared" si="26"/>
        <v>136900</v>
      </c>
      <c r="C29" s="820">
        <f t="shared" si="26"/>
        <v>1000000</v>
      </c>
      <c r="D29" s="820">
        <f t="shared" si="26"/>
        <v>1000000</v>
      </c>
      <c r="E29" s="820">
        <f t="shared" si="26"/>
        <v>1000000</v>
      </c>
      <c r="F29" s="820">
        <f t="shared" si="26"/>
        <v>1000000</v>
      </c>
      <c r="G29" s="821">
        <f t="shared" si="26"/>
        <v>1000000</v>
      </c>
      <c r="H29" s="983">
        <f t="shared" si="27"/>
        <v>1</v>
      </c>
      <c r="I29" s="984">
        <f t="shared" si="27"/>
        <v>1</v>
      </c>
      <c r="J29" s="984">
        <f t="shared" si="27"/>
        <v>1</v>
      </c>
      <c r="K29" s="984">
        <f t="shared" si="27"/>
        <v>1</v>
      </c>
      <c r="L29" s="984">
        <f t="shared" si="27"/>
        <v>1</v>
      </c>
      <c r="M29" s="985">
        <f t="shared" si="27"/>
        <v>1</v>
      </c>
      <c r="N29" s="289">
        <f t="shared" si="28"/>
        <v>11529.985542406041</v>
      </c>
      <c r="O29" s="290">
        <f t="shared" si="29"/>
        <v>65536.094100928531</v>
      </c>
      <c r="P29" s="290">
        <f t="shared" si="30"/>
        <v>65536.094100928531</v>
      </c>
      <c r="Q29" s="290">
        <f t="shared" si="31"/>
        <v>65536.094100928531</v>
      </c>
      <c r="R29" s="290">
        <f t="shared" si="32"/>
        <v>154327.28940737376</v>
      </c>
      <c r="S29" s="292">
        <f t="shared" si="33"/>
        <v>19008.628115665098</v>
      </c>
      <c r="T29" s="289">
        <f t="shared" si="34"/>
        <v>-54006.108558522494</v>
      </c>
      <c r="U29" s="290">
        <f t="shared" si="35"/>
        <v>-54006.108558522494</v>
      </c>
      <c r="V29" s="290">
        <f t="shared" si="36"/>
        <v>-54006.108558522494</v>
      </c>
      <c r="W29" s="290">
        <f t="shared" si="37"/>
        <v>-142797.30386496772</v>
      </c>
      <c r="X29" s="292">
        <f t="shared" si="38"/>
        <v>-7478.6425732590578</v>
      </c>
      <c r="Y29" s="293">
        <f ca="1">IF(AND(Y$22=TRUE,INDEX(CDRANGE_CLS2,MATCH($A29,$A$24:$A$67,0),MATCH(Y$20,$B$20:$G$20,0))&lt;$D$6/OPDAYS_Cls2),86,payback(C29,T29,disc_rate/12,85))</f>
        <v>86</v>
      </c>
      <c r="Z29" s="294">
        <f ca="1">IF(AND(Z$22=TRUE,INDEX(CDRANGE_CLS2,MATCH($A29,$A$24:$A$67,0),MATCH(Z$20,$B$20:$G$20,0))&lt;$D$6/OPDAYS_Cls2),86,payback(D29,U29,disc_rate/12,85))</f>
        <v>86</v>
      </c>
      <c r="AA29" s="294">
        <f ca="1">IF(AND(AA$22=TRUE,INDEX(CDRANGE_CLS2,MATCH($A29,$A$24:$A$67,0),MATCH(AA$20,$B$20:$G$20,0))&lt;$D$6/OPDAYS_Cls2),86,payback(E29,V29,disc_rate/12,85))</f>
        <v>86</v>
      </c>
      <c r="AB29" s="294">
        <f>IF(AND(AB$22=TRUE,INDEX(CDRANGE_CLS2,MATCH($A29,$A$24:$A$67,0),MATCH(AB$20,$B$20:$G$20,0))&lt;$D$6/OPDAYS_Cls2),86,payback(F29,W29,disc_rate/12,85))</f>
        <v>86</v>
      </c>
      <c r="AC29" s="295">
        <f ca="1">IF(AND(AC$22=TRUE,INDEX(CDRANGE_CLS2,MATCH($A29,$A$24:$A$67,0),MATCH(AC$20,$B$20:$G$20,0))&lt;$D$6/OPDAYS_Cls2),86,payback(G29,X29,disc_rate/12,85))</f>
        <v>86</v>
      </c>
      <c r="AD29" s="296">
        <f t="shared" si="39"/>
        <v>0</v>
      </c>
      <c r="AE29" s="297">
        <f t="shared" si="40"/>
        <v>0</v>
      </c>
      <c r="AF29" s="297">
        <f t="shared" si="41"/>
        <v>0</v>
      </c>
      <c r="AG29" s="297">
        <f t="shared" si="42"/>
        <v>0</v>
      </c>
      <c r="AH29" s="298">
        <f t="shared" si="43"/>
        <v>0</v>
      </c>
      <c r="AI29" s="299">
        <f t="shared" si="44"/>
        <v>0</v>
      </c>
      <c r="AJ29" s="300">
        <f t="shared" si="45"/>
        <v>0</v>
      </c>
      <c r="AK29" s="300">
        <f t="shared" si="46"/>
        <v>0</v>
      </c>
      <c r="AL29" s="300">
        <f t="shared" si="47"/>
        <v>0</v>
      </c>
      <c r="AM29" s="301">
        <f t="shared" si="48"/>
        <v>0</v>
      </c>
      <c r="AN29" s="299">
        <f t="shared" si="60"/>
        <v>0</v>
      </c>
      <c r="AO29" s="300">
        <f t="shared" si="49"/>
        <v>0</v>
      </c>
      <c r="AP29" s="300">
        <f t="shared" si="49"/>
        <v>0</v>
      </c>
      <c r="AQ29" s="300">
        <f t="shared" si="49"/>
        <v>0</v>
      </c>
      <c r="AR29" s="598">
        <f t="shared" si="49"/>
        <v>0</v>
      </c>
      <c r="AS29" s="282">
        <f t="shared" ca="1" si="50"/>
        <v>0</v>
      </c>
      <c r="AT29" s="283">
        <f t="shared" ca="1" si="51"/>
        <v>0</v>
      </c>
      <c r="AU29" s="283">
        <f t="shared" ca="1" si="52"/>
        <v>0</v>
      </c>
      <c r="AV29" s="283">
        <f t="shared" si="53"/>
        <v>0</v>
      </c>
      <c r="AW29" s="284">
        <f t="shared" ca="1" si="54"/>
        <v>0</v>
      </c>
      <c r="AX29" s="296">
        <f t="shared" ca="1" si="55"/>
        <v>0</v>
      </c>
      <c r="AY29" s="297">
        <f t="shared" ca="1" si="56"/>
        <v>0</v>
      </c>
      <c r="AZ29" s="297">
        <f t="shared" ca="1" si="57"/>
        <v>0</v>
      </c>
      <c r="BA29" s="283">
        <f t="shared" si="61"/>
        <v>0</v>
      </c>
      <c r="BB29" s="284">
        <f t="shared" ca="1" si="62"/>
        <v>0</v>
      </c>
      <c r="BC29" s="282">
        <f t="shared" ca="1" si="63"/>
        <v>1</v>
      </c>
      <c r="BD29" s="283">
        <f t="shared" ca="1" si="64"/>
        <v>0</v>
      </c>
      <c r="BE29" s="283">
        <f t="shared" ca="1" si="65"/>
        <v>0</v>
      </c>
      <c r="BF29" s="283">
        <f t="shared" ca="1" si="66"/>
        <v>0</v>
      </c>
      <c r="BG29" s="283">
        <f t="shared" ca="1" si="67"/>
        <v>0</v>
      </c>
      <c r="BH29" s="284">
        <f t="shared" ca="1" si="68"/>
        <v>0</v>
      </c>
    </row>
    <row r="30" spans="1:60" x14ac:dyDescent="0.2">
      <c r="A30" s="317">
        <v>2013</v>
      </c>
      <c r="B30" s="819">
        <f t="shared" si="26"/>
        <v>136900</v>
      </c>
      <c r="C30" s="820">
        <f t="shared" si="26"/>
        <v>1000000</v>
      </c>
      <c r="D30" s="820">
        <f t="shared" si="26"/>
        <v>1000000</v>
      </c>
      <c r="E30" s="820">
        <f t="shared" si="26"/>
        <v>1000000</v>
      </c>
      <c r="F30" s="820">
        <f t="shared" si="26"/>
        <v>1000000</v>
      </c>
      <c r="G30" s="821">
        <f t="shared" si="26"/>
        <v>1000000</v>
      </c>
      <c r="H30" s="983">
        <f t="shared" si="27"/>
        <v>1</v>
      </c>
      <c r="I30" s="984">
        <f t="shared" si="27"/>
        <v>1</v>
      </c>
      <c r="J30" s="984">
        <f t="shared" si="27"/>
        <v>1</v>
      </c>
      <c r="K30" s="984">
        <f t="shared" si="27"/>
        <v>1</v>
      </c>
      <c r="L30" s="984">
        <f t="shared" si="27"/>
        <v>1</v>
      </c>
      <c r="M30" s="985">
        <f t="shared" si="27"/>
        <v>1</v>
      </c>
      <c r="N30" s="289">
        <f t="shared" si="28"/>
        <v>11382.955567247591</v>
      </c>
      <c r="O30" s="290">
        <f t="shared" si="29"/>
        <v>65728.783480081052</v>
      </c>
      <c r="P30" s="290">
        <f t="shared" si="30"/>
        <v>65728.783480081052</v>
      </c>
      <c r="Q30" s="290">
        <f t="shared" si="31"/>
        <v>65728.783480081052</v>
      </c>
      <c r="R30" s="290">
        <f t="shared" si="32"/>
        <v>158190.65391351801</v>
      </c>
      <c r="S30" s="292">
        <f t="shared" si="33"/>
        <v>19008.628115665098</v>
      </c>
      <c r="T30" s="289">
        <f t="shared" si="34"/>
        <v>-54345.827912833462</v>
      </c>
      <c r="U30" s="290">
        <f t="shared" si="35"/>
        <v>-54345.827912833462</v>
      </c>
      <c r="V30" s="290">
        <f t="shared" si="36"/>
        <v>-54345.827912833462</v>
      </c>
      <c r="W30" s="290">
        <f t="shared" si="37"/>
        <v>-146807.69834627042</v>
      </c>
      <c r="X30" s="292">
        <f t="shared" si="38"/>
        <v>-7625.6725484175076</v>
      </c>
      <c r="Y30" s="293">
        <f ca="1">IF(AND(Y$22=TRUE,INDEX(CDRANGE_CLS2,MATCH($A30,$A$24:$A$67,0),MATCH(Y$20,$B$20:$G$20,0))&lt;$D$6/OPDAYS_Cls2),86,payback(C30,T30,disc_rate/12,85))</f>
        <v>86</v>
      </c>
      <c r="Z30" s="294">
        <f ca="1">IF(AND(Z$22=TRUE,INDEX(CDRANGE_CLS2,MATCH($A30,$A$24:$A$67,0),MATCH(Z$20,$B$20:$G$20,0))&lt;$D$6/OPDAYS_Cls2),86,payback(D30,U30,disc_rate/12,85))</f>
        <v>86</v>
      </c>
      <c r="AA30" s="294">
        <f ca="1">IF(AND(AA$22=TRUE,INDEX(CDRANGE_CLS2,MATCH($A30,$A$24:$A$67,0),MATCH(AA$20,$B$20:$G$20,0))&lt;$D$6/OPDAYS_Cls2),86,payback(E30,V30,disc_rate/12,85))</f>
        <v>86</v>
      </c>
      <c r="AB30" s="294">
        <f>IF(AND(AB$22=TRUE,INDEX(CDRANGE_CLS2,MATCH($A30,$A$24:$A$67,0),MATCH(AB$20,$B$20:$G$20,0))&lt;$D$6/OPDAYS_Cls2),86,payback(F30,W30,disc_rate/12,85))</f>
        <v>86</v>
      </c>
      <c r="AC30" s="295">
        <f ca="1">IF(AND(AC$22=TRUE,INDEX(CDRANGE_CLS2,MATCH($A30,$A$24:$A$67,0),MATCH(AC$20,$B$20:$G$20,0))&lt;$D$6/OPDAYS_Cls2),86,payback(G30,X30,disc_rate/12,85))</f>
        <v>86</v>
      </c>
      <c r="AD30" s="296">
        <f t="shared" si="39"/>
        <v>0</v>
      </c>
      <c r="AE30" s="297">
        <f t="shared" si="40"/>
        <v>0</v>
      </c>
      <c r="AF30" s="297">
        <f t="shared" si="41"/>
        <v>0</v>
      </c>
      <c r="AG30" s="297">
        <f t="shared" si="42"/>
        <v>0</v>
      </c>
      <c r="AH30" s="298">
        <f t="shared" si="43"/>
        <v>0</v>
      </c>
      <c r="AI30" s="299">
        <f t="shared" si="44"/>
        <v>0</v>
      </c>
      <c r="AJ30" s="300">
        <f t="shared" si="45"/>
        <v>0</v>
      </c>
      <c r="AK30" s="300">
        <f t="shared" si="46"/>
        <v>0</v>
      </c>
      <c r="AL30" s="300">
        <f t="shared" si="47"/>
        <v>0</v>
      </c>
      <c r="AM30" s="301">
        <f t="shared" si="48"/>
        <v>0</v>
      </c>
      <c r="AN30" s="299">
        <f t="shared" si="60"/>
        <v>0</v>
      </c>
      <c r="AO30" s="300">
        <f t="shared" si="49"/>
        <v>0</v>
      </c>
      <c r="AP30" s="300">
        <f t="shared" si="49"/>
        <v>0</v>
      </c>
      <c r="AQ30" s="300">
        <f t="shared" si="49"/>
        <v>0</v>
      </c>
      <c r="AR30" s="598">
        <f t="shared" si="49"/>
        <v>0</v>
      </c>
      <c r="AS30" s="282">
        <f t="shared" ca="1" si="50"/>
        <v>0</v>
      </c>
      <c r="AT30" s="283">
        <f t="shared" ca="1" si="51"/>
        <v>0</v>
      </c>
      <c r="AU30" s="283">
        <f t="shared" ca="1" si="52"/>
        <v>0</v>
      </c>
      <c r="AV30" s="283">
        <f t="shared" si="53"/>
        <v>0</v>
      </c>
      <c r="AW30" s="284">
        <f t="shared" ca="1" si="54"/>
        <v>0</v>
      </c>
      <c r="AX30" s="296">
        <f t="shared" ca="1" si="55"/>
        <v>0</v>
      </c>
      <c r="AY30" s="297">
        <f t="shared" ca="1" si="56"/>
        <v>0</v>
      </c>
      <c r="AZ30" s="297">
        <f t="shared" ca="1" si="57"/>
        <v>0</v>
      </c>
      <c r="BA30" s="283">
        <f t="shared" si="61"/>
        <v>0</v>
      </c>
      <c r="BB30" s="284">
        <f t="shared" ca="1" si="62"/>
        <v>0</v>
      </c>
      <c r="BC30" s="282">
        <f t="shared" ca="1" si="63"/>
        <v>1</v>
      </c>
      <c r="BD30" s="283">
        <f t="shared" ca="1" si="64"/>
        <v>0</v>
      </c>
      <c r="BE30" s="283">
        <f t="shared" ca="1" si="65"/>
        <v>0</v>
      </c>
      <c r="BF30" s="283">
        <f t="shared" ca="1" si="66"/>
        <v>0</v>
      </c>
      <c r="BG30" s="283">
        <f t="shared" ca="1" si="67"/>
        <v>0</v>
      </c>
      <c r="BH30" s="284">
        <f t="shared" ca="1" si="68"/>
        <v>0</v>
      </c>
    </row>
    <row r="31" spans="1:60" x14ac:dyDescent="0.2">
      <c r="A31" s="317">
        <v>2014</v>
      </c>
      <c r="B31" s="819">
        <f t="shared" si="26"/>
        <v>136900</v>
      </c>
      <c r="C31" s="820">
        <f t="shared" si="26"/>
        <v>1000000</v>
      </c>
      <c r="D31" s="820">
        <f t="shared" si="26"/>
        <v>1000000</v>
      </c>
      <c r="E31" s="820">
        <f t="shared" si="26"/>
        <v>1000000</v>
      </c>
      <c r="F31" s="820">
        <f t="shared" si="26"/>
        <v>1000000</v>
      </c>
      <c r="G31" s="821">
        <f t="shared" si="26"/>
        <v>1000000</v>
      </c>
      <c r="H31" s="983">
        <f t="shared" si="27"/>
        <v>1</v>
      </c>
      <c r="I31" s="984">
        <f t="shared" si="27"/>
        <v>1</v>
      </c>
      <c r="J31" s="984">
        <f t="shared" si="27"/>
        <v>1</v>
      </c>
      <c r="K31" s="984">
        <f t="shared" si="27"/>
        <v>1</v>
      </c>
      <c r="L31" s="984">
        <f t="shared" si="27"/>
        <v>1</v>
      </c>
      <c r="M31" s="985">
        <f t="shared" si="27"/>
        <v>1</v>
      </c>
      <c r="N31" s="289">
        <f t="shared" si="28"/>
        <v>11117.848665517491</v>
      </c>
      <c r="O31" s="290">
        <f t="shared" si="29"/>
        <v>65138.804843422527</v>
      </c>
      <c r="P31" s="290">
        <f t="shared" si="30"/>
        <v>65138.804843422527</v>
      </c>
      <c r="Q31" s="290">
        <f t="shared" si="31"/>
        <v>65138.804843422527</v>
      </c>
      <c r="R31" s="290">
        <f t="shared" si="32"/>
        <v>164185.43047193429</v>
      </c>
      <c r="S31" s="292">
        <f t="shared" si="33"/>
        <v>19008.628115665098</v>
      </c>
      <c r="T31" s="289">
        <f t="shared" si="34"/>
        <v>-54020.956177905035</v>
      </c>
      <c r="U31" s="290">
        <f t="shared" si="35"/>
        <v>-54020.956177905035</v>
      </c>
      <c r="V31" s="290">
        <f t="shared" si="36"/>
        <v>-54020.956177905035</v>
      </c>
      <c r="W31" s="290">
        <f t="shared" si="37"/>
        <v>-153067.5818064168</v>
      </c>
      <c r="X31" s="292">
        <f t="shared" si="38"/>
        <v>-7890.7794501476073</v>
      </c>
      <c r="Y31" s="293">
        <f ca="1">IF(AND(Y$22=TRUE,INDEX(CDRANGE_CLS2,MATCH($A31,$A$24:$A$67,0),MATCH(Y$20,$B$20:$G$20,0))&lt;$D$6/OPDAYS_Cls2),86,payback(C31,T31,disc_rate/12,85))</f>
        <v>86</v>
      </c>
      <c r="Z31" s="294">
        <f ca="1">IF(AND(Z$22=TRUE,INDEX(CDRANGE_CLS2,MATCH($A31,$A$24:$A$67,0),MATCH(Z$20,$B$20:$G$20,0))&lt;$D$6/OPDAYS_Cls2),86,payback(D31,U31,disc_rate/12,85))</f>
        <v>86</v>
      </c>
      <c r="AA31" s="294">
        <f ca="1">IF(AND(AA$22=TRUE,INDEX(CDRANGE_CLS2,MATCH($A31,$A$24:$A$67,0),MATCH(AA$20,$B$20:$G$20,0))&lt;$D$6/OPDAYS_Cls2),86,payback(E31,V31,disc_rate/12,85))</f>
        <v>86</v>
      </c>
      <c r="AB31" s="294">
        <f>IF(AND(AB$22=TRUE,INDEX(CDRANGE_CLS2,MATCH($A31,$A$24:$A$67,0),MATCH(AB$20,$B$20:$G$20,0))&lt;$D$6/OPDAYS_Cls2),86,payback(F31,W31,disc_rate/12,85))</f>
        <v>86</v>
      </c>
      <c r="AC31" s="295">
        <f ca="1">IF(AND(AC$22=TRUE,INDEX(CDRANGE_CLS2,MATCH($A31,$A$24:$A$67,0),MATCH(AC$20,$B$20:$G$20,0))&lt;$D$6/OPDAYS_Cls2),86,payback(G31,X31,disc_rate/12,85))</f>
        <v>86</v>
      </c>
      <c r="AD31" s="296">
        <f t="shared" si="39"/>
        <v>0</v>
      </c>
      <c r="AE31" s="297">
        <f t="shared" si="40"/>
        <v>0</v>
      </c>
      <c r="AF31" s="297">
        <f t="shared" si="41"/>
        <v>0</v>
      </c>
      <c r="AG31" s="297">
        <f t="shared" si="42"/>
        <v>0</v>
      </c>
      <c r="AH31" s="298">
        <f t="shared" si="43"/>
        <v>0</v>
      </c>
      <c r="AI31" s="299">
        <f t="shared" si="44"/>
        <v>0</v>
      </c>
      <c r="AJ31" s="300">
        <f t="shared" si="45"/>
        <v>0</v>
      </c>
      <c r="AK31" s="300">
        <f t="shared" si="46"/>
        <v>0</v>
      </c>
      <c r="AL31" s="300">
        <f t="shared" si="47"/>
        <v>0</v>
      </c>
      <c r="AM31" s="301">
        <f t="shared" si="48"/>
        <v>0</v>
      </c>
      <c r="AN31" s="299">
        <f t="shared" si="60"/>
        <v>0</v>
      </c>
      <c r="AO31" s="300">
        <f t="shared" si="49"/>
        <v>0</v>
      </c>
      <c r="AP31" s="300">
        <f t="shared" si="49"/>
        <v>0</v>
      </c>
      <c r="AQ31" s="300">
        <f t="shared" si="49"/>
        <v>0</v>
      </c>
      <c r="AR31" s="598">
        <f t="shared" si="49"/>
        <v>0</v>
      </c>
      <c r="AS31" s="282">
        <f t="shared" ca="1" si="50"/>
        <v>0</v>
      </c>
      <c r="AT31" s="283">
        <f t="shared" ca="1" si="51"/>
        <v>0</v>
      </c>
      <c r="AU31" s="283">
        <f t="shared" ca="1" si="52"/>
        <v>0</v>
      </c>
      <c r="AV31" s="283">
        <f t="shared" si="53"/>
        <v>0</v>
      </c>
      <c r="AW31" s="284">
        <f t="shared" ca="1" si="54"/>
        <v>0</v>
      </c>
      <c r="AX31" s="296">
        <f t="shared" ca="1" si="55"/>
        <v>0</v>
      </c>
      <c r="AY31" s="297">
        <f t="shared" ca="1" si="56"/>
        <v>0</v>
      </c>
      <c r="AZ31" s="297">
        <f t="shared" ca="1" si="57"/>
        <v>0</v>
      </c>
      <c r="BA31" s="283">
        <f t="shared" si="61"/>
        <v>0</v>
      </c>
      <c r="BB31" s="284">
        <f t="shared" ca="1" si="62"/>
        <v>0</v>
      </c>
      <c r="BC31" s="282">
        <f t="shared" ca="1" si="63"/>
        <v>1</v>
      </c>
      <c r="BD31" s="283">
        <f t="shared" ca="1" si="64"/>
        <v>0</v>
      </c>
      <c r="BE31" s="283">
        <f t="shared" ca="1" si="65"/>
        <v>0</v>
      </c>
      <c r="BF31" s="283">
        <f t="shared" ca="1" si="66"/>
        <v>0</v>
      </c>
      <c r="BG31" s="283">
        <f t="shared" ca="1" si="67"/>
        <v>0</v>
      </c>
      <c r="BH31" s="284">
        <f t="shared" ca="1" si="68"/>
        <v>0</v>
      </c>
    </row>
    <row r="32" spans="1:60" ht="15" thickBot="1" x14ac:dyDescent="0.25">
      <c r="A32" s="302">
        <v>2015</v>
      </c>
      <c r="B32" s="822">
        <f t="shared" si="26"/>
        <v>136900</v>
      </c>
      <c r="C32" s="823">
        <f t="shared" si="26"/>
        <v>1000000</v>
      </c>
      <c r="D32" s="823">
        <f t="shared" si="26"/>
        <v>1000000</v>
      </c>
      <c r="E32" s="823">
        <f t="shared" si="26"/>
        <v>1000000</v>
      </c>
      <c r="F32" s="823">
        <f t="shared" si="26"/>
        <v>1000000</v>
      </c>
      <c r="G32" s="824">
        <f t="shared" si="26"/>
        <v>1000000</v>
      </c>
      <c r="H32" s="977">
        <f t="shared" si="27"/>
        <v>1</v>
      </c>
      <c r="I32" s="978">
        <f t="shared" si="27"/>
        <v>1</v>
      </c>
      <c r="J32" s="978">
        <f t="shared" si="27"/>
        <v>1</v>
      </c>
      <c r="K32" s="978">
        <f t="shared" si="27"/>
        <v>1</v>
      </c>
      <c r="L32" s="978">
        <f t="shared" si="27"/>
        <v>1</v>
      </c>
      <c r="M32" s="979">
        <f t="shared" si="27"/>
        <v>1</v>
      </c>
      <c r="N32" s="303">
        <f t="shared" si="28"/>
        <v>7684.4411381369355</v>
      </c>
      <c r="O32" s="304">
        <f t="shared" si="29"/>
        <v>46159.989605920513</v>
      </c>
      <c r="P32" s="304">
        <f t="shared" si="30"/>
        <v>46159.989605920513</v>
      </c>
      <c r="Q32" s="304">
        <f t="shared" si="31"/>
        <v>46159.989605920513</v>
      </c>
      <c r="R32" s="304">
        <f t="shared" si="32"/>
        <v>150432.47159040737</v>
      </c>
      <c r="S32" s="306">
        <f t="shared" si="33"/>
        <v>19584.74612465005</v>
      </c>
      <c r="T32" s="303">
        <f t="shared" si="34"/>
        <v>-38475.548467783578</v>
      </c>
      <c r="U32" s="304">
        <f t="shared" si="35"/>
        <v>-38475.548467783578</v>
      </c>
      <c r="V32" s="304">
        <f t="shared" si="36"/>
        <v>-38475.548467783578</v>
      </c>
      <c r="W32" s="304">
        <f t="shared" si="37"/>
        <v>-142748.03045227044</v>
      </c>
      <c r="X32" s="306">
        <f t="shared" si="38"/>
        <v>-11900.304986513114</v>
      </c>
      <c r="Y32" s="307">
        <f ca="1">IF(AND(Y$22=TRUE,INDEX(CDRANGE_CLS2,MATCH($A32,$A$24:$A$67,0),MATCH(Y$20,$B$20:$G$20,0))&lt;$D$6/OPDAYS_Cls2),86,payback(C32,T32,disc_rate/12,85))</f>
        <v>86</v>
      </c>
      <c r="Z32" s="308">
        <f ca="1">IF(AND(Z$22=TRUE,INDEX(CDRANGE_CLS2,MATCH($A32,$A$24:$A$67,0),MATCH(Z$20,$B$20:$G$20,0))&lt;$D$6/OPDAYS_Cls2),86,payback(D32,U32,disc_rate/12,85))</f>
        <v>86</v>
      </c>
      <c r="AA32" s="308">
        <f ca="1">IF(AND(AA$22=TRUE,INDEX(CDRANGE_CLS2,MATCH($A32,$A$24:$A$67,0),MATCH(AA$20,$B$20:$G$20,0))&lt;$D$6/OPDAYS_Cls2),86,payback(E32,V32,disc_rate/12,85))</f>
        <v>86</v>
      </c>
      <c r="AB32" s="308">
        <f>IF(AND(AB$22=TRUE,INDEX(CDRANGE_CLS2,MATCH($A32,$A$24:$A$67,0),MATCH(AB$20,$B$20:$G$20,0))&lt;$D$6/OPDAYS_Cls2),86,payback(F32,W32,disc_rate/12,85))</f>
        <v>86</v>
      </c>
      <c r="AC32" s="309">
        <f ca="1">IF(AND(AC$22=TRUE,INDEX(CDRANGE_CLS2,MATCH($A32,$A$24:$A$67,0),MATCH(AC$20,$B$20:$G$20,0))&lt;$D$6/OPDAYS_Cls2),86,payback(G32,X32,disc_rate/12,85))</f>
        <v>86</v>
      </c>
      <c r="AD32" s="310">
        <f t="shared" si="39"/>
        <v>0</v>
      </c>
      <c r="AE32" s="311">
        <f t="shared" si="40"/>
        <v>0</v>
      </c>
      <c r="AF32" s="311">
        <f t="shared" si="41"/>
        <v>0</v>
      </c>
      <c r="AG32" s="311">
        <f t="shared" si="42"/>
        <v>0</v>
      </c>
      <c r="AH32" s="312">
        <f t="shared" si="43"/>
        <v>0</v>
      </c>
      <c r="AI32" s="313">
        <f t="shared" si="44"/>
        <v>0</v>
      </c>
      <c r="AJ32" s="314">
        <f t="shared" si="45"/>
        <v>0</v>
      </c>
      <c r="AK32" s="314">
        <f t="shared" si="46"/>
        <v>0</v>
      </c>
      <c r="AL32" s="314">
        <f t="shared" si="47"/>
        <v>0</v>
      </c>
      <c r="AM32" s="315">
        <f t="shared" si="48"/>
        <v>0</v>
      </c>
      <c r="AN32" s="313">
        <f t="shared" si="60"/>
        <v>0</v>
      </c>
      <c r="AO32" s="314">
        <f t="shared" si="49"/>
        <v>0</v>
      </c>
      <c r="AP32" s="314">
        <f t="shared" si="49"/>
        <v>0</v>
      </c>
      <c r="AQ32" s="314">
        <f t="shared" si="49"/>
        <v>0</v>
      </c>
      <c r="AR32" s="599">
        <f t="shared" si="49"/>
        <v>0</v>
      </c>
      <c r="AS32" s="829">
        <f t="shared" ca="1" si="50"/>
        <v>0</v>
      </c>
      <c r="AT32" s="830">
        <f t="shared" ca="1" si="51"/>
        <v>0</v>
      </c>
      <c r="AU32" s="830">
        <f t="shared" ca="1" si="52"/>
        <v>0</v>
      </c>
      <c r="AV32" s="830">
        <f t="shared" si="53"/>
        <v>0</v>
      </c>
      <c r="AW32" s="831">
        <f t="shared" ca="1" si="54"/>
        <v>0</v>
      </c>
      <c r="AX32" s="310">
        <f t="shared" ca="1" si="55"/>
        <v>0</v>
      </c>
      <c r="AY32" s="311">
        <f t="shared" ca="1" si="56"/>
        <v>0</v>
      </c>
      <c r="AZ32" s="311">
        <f t="shared" ca="1" si="57"/>
        <v>0</v>
      </c>
      <c r="BA32" s="311">
        <f t="shared" si="61"/>
        <v>0</v>
      </c>
      <c r="BB32" s="312">
        <f t="shared" ca="1" si="62"/>
        <v>0</v>
      </c>
      <c r="BC32" s="310">
        <f t="shared" ca="1" si="63"/>
        <v>1</v>
      </c>
      <c r="BD32" s="311">
        <f t="shared" ca="1" si="64"/>
        <v>0</v>
      </c>
      <c r="BE32" s="311">
        <f t="shared" ca="1" si="65"/>
        <v>0</v>
      </c>
      <c r="BF32" s="311">
        <f t="shared" ca="1" si="66"/>
        <v>0</v>
      </c>
      <c r="BG32" s="311">
        <f t="shared" ca="1" si="67"/>
        <v>0</v>
      </c>
      <c r="BH32" s="312">
        <f t="shared" ca="1" si="68"/>
        <v>0</v>
      </c>
    </row>
    <row r="33" spans="1:60" x14ac:dyDescent="0.2">
      <c r="A33" s="316">
        <v>2016</v>
      </c>
      <c r="B33" s="825">
        <f t="shared" si="26"/>
        <v>136900</v>
      </c>
      <c r="C33" s="826">
        <f t="shared" si="26"/>
        <v>1000000</v>
      </c>
      <c r="D33" s="826">
        <f t="shared" si="26"/>
        <v>1000000</v>
      </c>
      <c r="E33" s="826">
        <f t="shared" si="26"/>
        <v>1000000</v>
      </c>
      <c r="F33" s="826">
        <f t="shared" si="26"/>
        <v>1000000</v>
      </c>
      <c r="G33" s="827">
        <f t="shared" si="26"/>
        <v>1000000</v>
      </c>
      <c r="H33" s="980">
        <f t="shared" si="27"/>
        <v>1</v>
      </c>
      <c r="I33" s="981">
        <f t="shared" si="27"/>
        <v>1</v>
      </c>
      <c r="J33" s="981">
        <f t="shared" si="27"/>
        <v>1</v>
      </c>
      <c r="K33" s="981">
        <f t="shared" si="27"/>
        <v>1</v>
      </c>
      <c r="L33" s="981">
        <f t="shared" si="27"/>
        <v>1</v>
      </c>
      <c r="M33" s="982">
        <f t="shared" si="27"/>
        <v>1</v>
      </c>
      <c r="N33" s="275">
        <f t="shared" si="28"/>
        <v>6483.5034791606613</v>
      </c>
      <c r="O33" s="276">
        <f t="shared" si="29"/>
        <v>39783.19988851255</v>
      </c>
      <c r="P33" s="276">
        <f t="shared" si="30"/>
        <v>39783.19988851255</v>
      </c>
      <c r="Q33" s="276">
        <f t="shared" si="31"/>
        <v>39783.19988851255</v>
      </c>
      <c r="R33" s="276">
        <f t="shared" si="32"/>
        <v>147370.93947497665</v>
      </c>
      <c r="S33" s="278">
        <f t="shared" si="33"/>
        <v>19584.74612465005</v>
      </c>
      <c r="T33" s="275">
        <f t="shared" si="34"/>
        <v>-33299.696409351891</v>
      </c>
      <c r="U33" s="276">
        <f t="shared" si="35"/>
        <v>-33299.696409351891</v>
      </c>
      <c r="V33" s="276">
        <f t="shared" si="36"/>
        <v>-33299.696409351891</v>
      </c>
      <c r="W33" s="276">
        <f t="shared" si="37"/>
        <v>-140887.43599581599</v>
      </c>
      <c r="X33" s="278">
        <f t="shared" si="38"/>
        <v>-13101.242645489388</v>
      </c>
      <c r="Y33" s="279">
        <f ca="1">IF(AND(Y$22=TRUE,INDEX(CDRANGE_CLS2,MATCH($A33,$A$24:$A$67,0),MATCH(Y$20,$B$20:$G$20,0))&lt;$D$6/OPDAYS_Cls2),86,payback(C33,T33,disc_rate/12,85))</f>
        <v>86</v>
      </c>
      <c r="Z33" s="280">
        <f ca="1">IF(AND(Z$22=TRUE,INDEX(CDRANGE_CLS2,MATCH($A33,$A$24:$A$67,0),MATCH(Z$20,$B$20:$G$20,0))&lt;$D$6/OPDAYS_Cls2),86,payback(D33,U33,disc_rate/12,85))</f>
        <v>86</v>
      </c>
      <c r="AA33" s="280">
        <f ca="1">IF(AND(AA$22=TRUE,INDEX(CDRANGE_CLS2,MATCH($A33,$A$24:$A$67,0),MATCH(AA$20,$B$20:$G$20,0))&lt;$D$6/OPDAYS_Cls2),86,payback(E33,V33,disc_rate/12,85))</f>
        <v>86</v>
      </c>
      <c r="AB33" s="280">
        <f>IF(AND(AB$22=TRUE,INDEX(CDRANGE_CLS2,MATCH($A33,$A$24:$A$67,0),MATCH(AB$20,$B$20:$G$20,0))&lt;$D$6/OPDAYS_Cls2),86,payback(F33,W33,disc_rate/12,85))</f>
        <v>86</v>
      </c>
      <c r="AC33" s="281">
        <f ca="1">IF(AND(AC$22=TRUE,INDEX(CDRANGE_CLS2,MATCH($A33,$A$24:$A$67,0),MATCH(AC$20,$B$20:$G$20,0))&lt;$D$6/OPDAYS_Cls2),86,payback(G33,X33,disc_rate/12,85))</f>
        <v>86</v>
      </c>
      <c r="AD33" s="282">
        <f t="shared" si="39"/>
        <v>0</v>
      </c>
      <c r="AE33" s="283">
        <f t="shared" si="40"/>
        <v>0</v>
      </c>
      <c r="AF33" s="283">
        <f t="shared" si="41"/>
        <v>0</v>
      </c>
      <c r="AG33" s="283">
        <f t="shared" si="42"/>
        <v>0</v>
      </c>
      <c r="AH33" s="284">
        <f t="shared" si="43"/>
        <v>0</v>
      </c>
      <c r="AI33" s="285">
        <f t="shared" si="44"/>
        <v>0</v>
      </c>
      <c r="AJ33" s="286">
        <f t="shared" si="45"/>
        <v>0</v>
      </c>
      <c r="AK33" s="286">
        <f t="shared" si="46"/>
        <v>0</v>
      </c>
      <c r="AL33" s="286">
        <f t="shared" si="47"/>
        <v>0</v>
      </c>
      <c r="AM33" s="287">
        <f t="shared" si="48"/>
        <v>0</v>
      </c>
      <c r="AN33" s="285">
        <f t="shared" si="60"/>
        <v>0</v>
      </c>
      <c r="AO33" s="286">
        <f t="shared" si="49"/>
        <v>0</v>
      </c>
      <c r="AP33" s="286">
        <f t="shared" si="49"/>
        <v>0</v>
      </c>
      <c r="AQ33" s="286">
        <f t="shared" si="49"/>
        <v>0</v>
      </c>
      <c r="AR33" s="611">
        <f t="shared" si="49"/>
        <v>0</v>
      </c>
      <c r="AS33" s="637">
        <f t="shared" ca="1" si="50"/>
        <v>0</v>
      </c>
      <c r="AT33" s="638">
        <f t="shared" ca="1" si="51"/>
        <v>0</v>
      </c>
      <c r="AU33" s="638">
        <f t="shared" ca="1" si="52"/>
        <v>0</v>
      </c>
      <c r="AV33" s="638">
        <f t="shared" si="53"/>
        <v>0</v>
      </c>
      <c r="AW33" s="639">
        <f t="shared" ca="1" si="54"/>
        <v>0</v>
      </c>
      <c r="AX33" s="282">
        <f t="shared" ca="1" si="55"/>
        <v>0</v>
      </c>
      <c r="AY33" s="283">
        <f t="shared" ca="1" si="56"/>
        <v>0</v>
      </c>
      <c r="AZ33" s="283">
        <f t="shared" ca="1" si="57"/>
        <v>0</v>
      </c>
      <c r="BA33" s="283">
        <f t="shared" si="61"/>
        <v>0</v>
      </c>
      <c r="BB33" s="284">
        <f t="shared" ca="1" si="62"/>
        <v>0</v>
      </c>
      <c r="BC33" s="282">
        <f t="shared" ca="1" si="63"/>
        <v>1</v>
      </c>
      <c r="BD33" s="283">
        <f t="shared" ca="1" si="64"/>
        <v>0</v>
      </c>
      <c r="BE33" s="283">
        <f t="shared" ca="1" si="65"/>
        <v>0</v>
      </c>
      <c r="BF33" s="283">
        <f t="shared" ca="1" si="66"/>
        <v>0</v>
      </c>
      <c r="BG33" s="283">
        <f t="shared" ca="1" si="67"/>
        <v>0</v>
      </c>
      <c r="BH33" s="284">
        <f t="shared" ca="1" si="68"/>
        <v>0</v>
      </c>
    </row>
    <row r="34" spans="1:60" x14ac:dyDescent="0.2">
      <c r="A34" s="317">
        <v>2017</v>
      </c>
      <c r="B34" s="819">
        <f t="shared" ref="B34:G43" si="69">ROUND(INDEX(COST_Cls2,$A34-($A$24-1),MATCH(B$20,TECHOPTS_Cls2,0)),2)</f>
        <v>136900</v>
      </c>
      <c r="C34" s="820">
        <f t="shared" si="69"/>
        <v>1000000</v>
      </c>
      <c r="D34" s="820">
        <f t="shared" si="69"/>
        <v>1000000</v>
      </c>
      <c r="E34" s="820">
        <f t="shared" si="69"/>
        <v>1000000</v>
      </c>
      <c r="F34" s="820">
        <f t="shared" si="69"/>
        <v>1000000</v>
      </c>
      <c r="G34" s="821">
        <f t="shared" si="69"/>
        <v>1000000</v>
      </c>
      <c r="H34" s="983">
        <f t="shared" ref="H34:M43" si="70">IF(H$21="Single-fuel",1,1-MIN(INDEX(CDRANGE_CLS2,$A34-($A$24-1),MATCH(H$20,TECHOPTS_Cls2,0))*OPDAYS_Cls2/$D$6,1))</f>
        <v>1</v>
      </c>
      <c r="I34" s="984">
        <f t="shared" si="70"/>
        <v>1</v>
      </c>
      <c r="J34" s="984">
        <f t="shared" si="70"/>
        <v>1</v>
      </c>
      <c r="K34" s="984">
        <f t="shared" si="70"/>
        <v>1</v>
      </c>
      <c r="L34" s="984">
        <f t="shared" si="70"/>
        <v>1</v>
      </c>
      <c r="M34" s="985">
        <f t="shared" si="70"/>
        <v>1</v>
      </c>
      <c r="N34" s="289">
        <f t="shared" si="28"/>
        <v>7404.0793510607273</v>
      </c>
      <c r="O34" s="290">
        <f t="shared" si="29"/>
        <v>46733.985229121143</v>
      </c>
      <c r="P34" s="290">
        <f t="shared" si="30"/>
        <v>46733.985229121143</v>
      </c>
      <c r="Q34" s="290">
        <f t="shared" si="31"/>
        <v>46733.985229121143</v>
      </c>
      <c r="R34" s="290">
        <f t="shared" si="32"/>
        <v>148473.15736143693</v>
      </c>
      <c r="S34" s="292">
        <f t="shared" si="33"/>
        <v>19584.74612465005</v>
      </c>
      <c r="T34" s="289">
        <f t="shared" si="34"/>
        <v>-39329.905878060417</v>
      </c>
      <c r="U34" s="290">
        <f t="shared" si="35"/>
        <v>-39329.905878060417</v>
      </c>
      <c r="V34" s="290">
        <f t="shared" si="36"/>
        <v>-39329.905878060417</v>
      </c>
      <c r="W34" s="290">
        <f t="shared" si="37"/>
        <v>-141069.07801037619</v>
      </c>
      <c r="X34" s="292">
        <f t="shared" si="38"/>
        <v>-12180.666773589322</v>
      </c>
      <c r="Y34" s="293">
        <f ca="1">IF(AND(Y$22=TRUE,INDEX(CDRANGE_CLS2,MATCH($A34,$A$24:$A$67,0),MATCH(Y$20,$B$20:$G$20,0))&lt;$D$6/OPDAYS_Cls2),86,payback(C34,T34,disc_rate/12,85))</f>
        <v>86</v>
      </c>
      <c r="Z34" s="294">
        <f ca="1">IF(AND(Z$22=TRUE,INDEX(CDRANGE_CLS2,MATCH($A34,$A$24:$A$67,0),MATCH(Z$20,$B$20:$G$20,0))&lt;$D$6/OPDAYS_Cls2),86,payback(D34,U34,disc_rate/12,85))</f>
        <v>86</v>
      </c>
      <c r="AA34" s="294">
        <f ca="1">IF(AND(AA$22=TRUE,INDEX(CDRANGE_CLS2,MATCH($A34,$A$24:$A$67,0),MATCH(AA$20,$B$20:$G$20,0))&lt;$D$6/OPDAYS_Cls2),86,payback(E34,V34,disc_rate/12,85))</f>
        <v>86</v>
      </c>
      <c r="AB34" s="294">
        <f>IF(AND(AB$22=TRUE,INDEX(CDRANGE_CLS2,MATCH($A34,$A$24:$A$67,0),MATCH(AB$20,$B$20:$G$20,0))&lt;$D$6/OPDAYS_Cls2),86,payback(F34,W34,disc_rate/12,85))</f>
        <v>86</v>
      </c>
      <c r="AC34" s="295">
        <f ca="1">IF(AND(AC$22=TRUE,INDEX(CDRANGE_CLS2,MATCH($A34,$A$24:$A$67,0),MATCH(AC$20,$B$20:$G$20,0))&lt;$D$6/OPDAYS_Cls2),86,payback(G34,X34,disc_rate/12,85))</f>
        <v>86</v>
      </c>
      <c r="AD34" s="296">
        <f t="shared" si="39"/>
        <v>0</v>
      </c>
      <c r="AE34" s="297">
        <f t="shared" si="40"/>
        <v>0</v>
      </c>
      <c r="AF34" s="297">
        <f t="shared" si="41"/>
        <v>0</v>
      </c>
      <c r="AG34" s="297">
        <f t="shared" si="42"/>
        <v>0</v>
      </c>
      <c r="AH34" s="298">
        <f t="shared" si="43"/>
        <v>0</v>
      </c>
      <c r="AI34" s="299">
        <f t="shared" si="44"/>
        <v>0</v>
      </c>
      <c r="AJ34" s="300">
        <f t="shared" si="45"/>
        <v>0</v>
      </c>
      <c r="AK34" s="300">
        <f t="shared" si="46"/>
        <v>0</v>
      </c>
      <c r="AL34" s="300">
        <f t="shared" si="47"/>
        <v>0</v>
      </c>
      <c r="AM34" s="301">
        <f t="shared" si="48"/>
        <v>0</v>
      </c>
      <c r="AN34" s="299">
        <f t="shared" si="60"/>
        <v>0</v>
      </c>
      <c r="AO34" s="300">
        <f t="shared" si="49"/>
        <v>0</v>
      </c>
      <c r="AP34" s="300">
        <f t="shared" si="49"/>
        <v>0</v>
      </c>
      <c r="AQ34" s="300">
        <f t="shared" si="49"/>
        <v>0</v>
      </c>
      <c r="AR34" s="598">
        <f t="shared" si="49"/>
        <v>0</v>
      </c>
      <c r="AS34" s="282">
        <f t="shared" ca="1" si="50"/>
        <v>0</v>
      </c>
      <c r="AT34" s="283">
        <f t="shared" ca="1" si="51"/>
        <v>0</v>
      </c>
      <c r="AU34" s="283">
        <f t="shared" ca="1" si="52"/>
        <v>0</v>
      </c>
      <c r="AV34" s="283">
        <f t="shared" si="53"/>
        <v>0</v>
      </c>
      <c r="AW34" s="284">
        <f t="shared" ca="1" si="54"/>
        <v>0</v>
      </c>
      <c r="AX34" s="296">
        <f t="shared" ca="1" si="55"/>
        <v>0</v>
      </c>
      <c r="AY34" s="297">
        <f t="shared" ca="1" si="56"/>
        <v>0</v>
      </c>
      <c r="AZ34" s="297">
        <f t="shared" ca="1" si="57"/>
        <v>0</v>
      </c>
      <c r="BA34" s="283">
        <f t="shared" si="61"/>
        <v>0</v>
      </c>
      <c r="BB34" s="284">
        <f t="shared" ca="1" si="62"/>
        <v>0</v>
      </c>
      <c r="BC34" s="282">
        <f t="shared" ca="1" si="63"/>
        <v>1</v>
      </c>
      <c r="BD34" s="283">
        <f t="shared" ca="1" si="64"/>
        <v>0</v>
      </c>
      <c r="BE34" s="283">
        <f t="shared" ca="1" si="65"/>
        <v>0</v>
      </c>
      <c r="BF34" s="283">
        <f t="shared" ca="1" si="66"/>
        <v>0</v>
      </c>
      <c r="BG34" s="283">
        <f t="shared" ca="1" si="67"/>
        <v>0</v>
      </c>
      <c r="BH34" s="284">
        <f t="shared" ca="1" si="68"/>
        <v>0</v>
      </c>
    </row>
    <row r="35" spans="1:60" x14ac:dyDescent="0.2">
      <c r="A35" s="317">
        <v>2018</v>
      </c>
      <c r="B35" s="819">
        <f t="shared" si="69"/>
        <v>136900</v>
      </c>
      <c r="C35" s="820">
        <f t="shared" si="69"/>
        <v>1000000</v>
      </c>
      <c r="D35" s="820">
        <f t="shared" si="69"/>
        <v>1000000</v>
      </c>
      <c r="E35" s="820">
        <f t="shared" si="69"/>
        <v>1000000</v>
      </c>
      <c r="F35" s="820">
        <f t="shared" si="69"/>
        <v>1000000</v>
      </c>
      <c r="G35" s="821">
        <f t="shared" si="69"/>
        <v>1000000</v>
      </c>
      <c r="H35" s="983">
        <f t="shared" si="70"/>
        <v>1</v>
      </c>
      <c r="I35" s="984">
        <f t="shared" si="70"/>
        <v>1</v>
      </c>
      <c r="J35" s="984">
        <f t="shared" si="70"/>
        <v>1</v>
      </c>
      <c r="K35" s="984">
        <f t="shared" si="70"/>
        <v>1</v>
      </c>
      <c r="L35" s="984">
        <f t="shared" si="70"/>
        <v>1</v>
      </c>
      <c r="M35" s="985">
        <f t="shared" si="70"/>
        <v>1</v>
      </c>
      <c r="N35" s="289">
        <f t="shared" si="28"/>
        <v>8845.4191327210337</v>
      </c>
      <c r="O35" s="290">
        <f t="shared" si="29"/>
        <v>57411.609593215391</v>
      </c>
      <c r="P35" s="290">
        <f t="shared" si="30"/>
        <v>57411.609593215391</v>
      </c>
      <c r="Q35" s="290">
        <f t="shared" si="31"/>
        <v>57411.609593215391</v>
      </c>
      <c r="R35" s="290">
        <f t="shared" si="32"/>
        <v>169829.87888097219</v>
      </c>
      <c r="S35" s="292">
        <f t="shared" si="33"/>
        <v>19584.74612465005</v>
      </c>
      <c r="T35" s="289">
        <f t="shared" si="34"/>
        <v>-48566.190460494356</v>
      </c>
      <c r="U35" s="290">
        <f t="shared" si="35"/>
        <v>-48566.190460494356</v>
      </c>
      <c r="V35" s="290">
        <f t="shared" si="36"/>
        <v>-48566.190460494356</v>
      </c>
      <c r="W35" s="290">
        <f t="shared" si="37"/>
        <v>-160984.45974825116</v>
      </c>
      <c r="X35" s="292">
        <f t="shared" si="38"/>
        <v>-10739.326991929016</v>
      </c>
      <c r="Y35" s="293">
        <f ca="1">IF(AND(Y$22=TRUE,INDEX(CDRANGE_CLS2,MATCH($A35,$A$24:$A$67,0),MATCH(Y$20,$B$20:$G$20,0))&lt;$D$6/OPDAYS_Cls2),86,payback(C35,T35,disc_rate/12,85))</f>
        <v>86</v>
      </c>
      <c r="Z35" s="294">
        <f ca="1">IF(AND(Z$22=TRUE,INDEX(CDRANGE_CLS2,MATCH($A35,$A$24:$A$67,0),MATCH(Z$20,$B$20:$G$20,0))&lt;$D$6/OPDAYS_Cls2),86,payback(D35,U35,disc_rate/12,85))</f>
        <v>86</v>
      </c>
      <c r="AA35" s="294">
        <f ca="1">IF(AND(AA$22=TRUE,INDEX(CDRANGE_CLS2,MATCH($A35,$A$24:$A$67,0),MATCH(AA$20,$B$20:$G$20,0))&lt;$D$6/OPDAYS_Cls2),86,payback(E35,V35,disc_rate/12,85))</f>
        <v>86</v>
      </c>
      <c r="AB35" s="294">
        <f>IF(AND(AB$22=TRUE,INDEX(CDRANGE_CLS2,MATCH($A35,$A$24:$A$67,0),MATCH(AB$20,$B$20:$G$20,0))&lt;$D$6/OPDAYS_Cls2),86,payback(F35,W35,disc_rate/12,85))</f>
        <v>86</v>
      </c>
      <c r="AC35" s="295">
        <f ca="1">IF(AND(AC$22=TRUE,INDEX(CDRANGE_CLS2,MATCH($A35,$A$24:$A$67,0),MATCH(AC$20,$B$20:$G$20,0))&lt;$D$6/OPDAYS_Cls2),86,payback(G35,X35,disc_rate/12,85))</f>
        <v>86</v>
      </c>
      <c r="AD35" s="296">
        <f t="shared" si="39"/>
        <v>0</v>
      </c>
      <c r="AE35" s="297">
        <f t="shared" si="40"/>
        <v>0</v>
      </c>
      <c r="AF35" s="297">
        <f t="shared" si="41"/>
        <v>0</v>
      </c>
      <c r="AG35" s="297">
        <f t="shared" si="42"/>
        <v>0</v>
      </c>
      <c r="AH35" s="298">
        <f t="shared" si="43"/>
        <v>0</v>
      </c>
      <c r="AI35" s="299">
        <f t="shared" si="44"/>
        <v>0</v>
      </c>
      <c r="AJ35" s="300">
        <f t="shared" si="45"/>
        <v>0</v>
      </c>
      <c r="AK35" s="300">
        <f t="shared" si="46"/>
        <v>0</v>
      </c>
      <c r="AL35" s="300">
        <f t="shared" si="47"/>
        <v>0</v>
      </c>
      <c r="AM35" s="301">
        <f t="shared" si="48"/>
        <v>0</v>
      </c>
      <c r="AN35" s="299">
        <f t="shared" si="60"/>
        <v>0</v>
      </c>
      <c r="AO35" s="300">
        <f t="shared" si="49"/>
        <v>0</v>
      </c>
      <c r="AP35" s="300">
        <f t="shared" si="49"/>
        <v>0</v>
      </c>
      <c r="AQ35" s="300">
        <f t="shared" si="49"/>
        <v>0</v>
      </c>
      <c r="AR35" s="598">
        <f t="shared" si="49"/>
        <v>0</v>
      </c>
      <c r="AS35" s="282">
        <f t="shared" ca="1" si="50"/>
        <v>0</v>
      </c>
      <c r="AT35" s="283">
        <f t="shared" ca="1" si="51"/>
        <v>0</v>
      </c>
      <c r="AU35" s="283">
        <f t="shared" ca="1" si="52"/>
        <v>0</v>
      </c>
      <c r="AV35" s="283">
        <f t="shared" si="53"/>
        <v>0</v>
      </c>
      <c r="AW35" s="284">
        <f t="shared" ca="1" si="54"/>
        <v>0</v>
      </c>
      <c r="AX35" s="296">
        <f t="shared" ca="1" si="55"/>
        <v>0</v>
      </c>
      <c r="AY35" s="297">
        <f t="shared" ca="1" si="56"/>
        <v>0</v>
      </c>
      <c r="AZ35" s="297">
        <f t="shared" ca="1" si="57"/>
        <v>0</v>
      </c>
      <c r="BA35" s="283">
        <f t="shared" si="61"/>
        <v>0</v>
      </c>
      <c r="BB35" s="284">
        <f t="shared" ca="1" si="62"/>
        <v>0</v>
      </c>
      <c r="BC35" s="282">
        <f t="shared" ca="1" si="63"/>
        <v>1</v>
      </c>
      <c r="BD35" s="283">
        <f t="shared" ca="1" si="64"/>
        <v>0</v>
      </c>
      <c r="BE35" s="283">
        <f t="shared" ca="1" si="65"/>
        <v>0</v>
      </c>
      <c r="BF35" s="283">
        <f t="shared" ca="1" si="66"/>
        <v>0</v>
      </c>
      <c r="BG35" s="283">
        <f t="shared" ca="1" si="67"/>
        <v>0</v>
      </c>
      <c r="BH35" s="284">
        <f t="shared" ca="1" si="68"/>
        <v>0</v>
      </c>
    </row>
    <row r="36" spans="1:60" x14ac:dyDescent="0.2">
      <c r="A36" s="317">
        <v>2019</v>
      </c>
      <c r="B36" s="819">
        <f t="shared" si="69"/>
        <v>136900</v>
      </c>
      <c r="C36" s="820">
        <f t="shared" si="69"/>
        <v>1000000</v>
      </c>
      <c r="D36" s="820">
        <f t="shared" si="69"/>
        <v>1000000</v>
      </c>
      <c r="E36" s="820">
        <f t="shared" si="69"/>
        <v>1000000</v>
      </c>
      <c r="F36" s="820">
        <f t="shared" si="69"/>
        <v>1000000</v>
      </c>
      <c r="G36" s="821">
        <f t="shared" si="69"/>
        <v>1000000</v>
      </c>
      <c r="H36" s="983">
        <f t="shared" si="70"/>
        <v>1</v>
      </c>
      <c r="I36" s="984">
        <f t="shared" si="70"/>
        <v>1</v>
      </c>
      <c r="J36" s="984">
        <f t="shared" si="70"/>
        <v>1</v>
      </c>
      <c r="K36" s="984">
        <f t="shared" si="70"/>
        <v>1</v>
      </c>
      <c r="L36" s="984">
        <f t="shared" si="70"/>
        <v>1</v>
      </c>
      <c r="M36" s="985">
        <f t="shared" si="70"/>
        <v>1</v>
      </c>
      <c r="N36" s="289">
        <f t="shared" si="28"/>
        <v>8632.9644198474525</v>
      </c>
      <c r="O36" s="290">
        <f t="shared" si="29"/>
        <v>56403.689171752871</v>
      </c>
      <c r="P36" s="290">
        <f t="shared" si="30"/>
        <v>56403.689171752871</v>
      </c>
      <c r="Q36" s="290">
        <f t="shared" si="31"/>
        <v>56403.689171752871</v>
      </c>
      <c r="R36" s="290">
        <f t="shared" si="32"/>
        <v>169651.95466984273</v>
      </c>
      <c r="S36" s="292">
        <f t="shared" si="33"/>
        <v>19584.74612465005</v>
      </c>
      <c r="T36" s="289">
        <f t="shared" si="34"/>
        <v>-47770.724751905422</v>
      </c>
      <c r="U36" s="290">
        <f t="shared" si="35"/>
        <v>-47770.724751905422</v>
      </c>
      <c r="V36" s="290">
        <f t="shared" si="36"/>
        <v>-47770.724751905422</v>
      </c>
      <c r="W36" s="290">
        <f t="shared" si="37"/>
        <v>-161018.99024999529</v>
      </c>
      <c r="X36" s="292">
        <f t="shared" si="38"/>
        <v>-10951.781704802597</v>
      </c>
      <c r="Y36" s="293">
        <f ca="1">IF(AND(Y$22=TRUE,INDEX(CDRANGE_CLS2,MATCH($A36,$A$24:$A$67,0),MATCH(Y$20,$B$20:$G$20,0))&lt;$D$6/OPDAYS_Cls2),86,payback(C36,T36,disc_rate/12,85))</f>
        <v>86</v>
      </c>
      <c r="Z36" s="294">
        <f ca="1">IF(AND(Z$22=TRUE,INDEX(CDRANGE_CLS2,MATCH($A36,$A$24:$A$67,0),MATCH(Z$20,$B$20:$G$20,0))&lt;$D$6/OPDAYS_Cls2),86,payback(D36,U36,disc_rate/12,85))</f>
        <v>86</v>
      </c>
      <c r="AA36" s="294">
        <f ca="1">IF(AND(AA$22=TRUE,INDEX(CDRANGE_CLS2,MATCH($A36,$A$24:$A$67,0),MATCH(AA$20,$B$20:$G$20,0))&lt;$D$6/OPDAYS_Cls2),86,payback(E36,V36,disc_rate/12,85))</f>
        <v>86</v>
      </c>
      <c r="AB36" s="294">
        <f>IF(AND(AB$22=TRUE,INDEX(CDRANGE_CLS2,MATCH($A36,$A$24:$A$67,0),MATCH(AB$20,$B$20:$G$20,0))&lt;$D$6/OPDAYS_Cls2),86,payback(F36,W36,disc_rate/12,85))</f>
        <v>86</v>
      </c>
      <c r="AC36" s="295">
        <f ca="1">IF(AND(AC$22=TRUE,INDEX(CDRANGE_CLS2,MATCH($A36,$A$24:$A$67,0),MATCH(AC$20,$B$20:$G$20,0))&lt;$D$6/OPDAYS_Cls2),86,payback(G36,X36,disc_rate/12,85))</f>
        <v>86</v>
      </c>
      <c r="AD36" s="296">
        <f t="shared" si="39"/>
        <v>0</v>
      </c>
      <c r="AE36" s="297">
        <f t="shared" si="40"/>
        <v>0</v>
      </c>
      <c r="AF36" s="297">
        <f t="shared" si="41"/>
        <v>0</v>
      </c>
      <c r="AG36" s="297">
        <f t="shared" si="42"/>
        <v>0</v>
      </c>
      <c r="AH36" s="298">
        <f t="shared" si="43"/>
        <v>0</v>
      </c>
      <c r="AI36" s="299">
        <f t="shared" si="44"/>
        <v>0</v>
      </c>
      <c r="AJ36" s="300">
        <f t="shared" si="45"/>
        <v>0</v>
      </c>
      <c r="AK36" s="300">
        <f t="shared" si="46"/>
        <v>0</v>
      </c>
      <c r="AL36" s="300">
        <f t="shared" si="47"/>
        <v>0</v>
      </c>
      <c r="AM36" s="301">
        <f t="shared" si="48"/>
        <v>0</v>
      </c>
      <c r="AN36" s="299">
        <f t="shared" si="60"/>
        <v>0</v>
      </c>
      <c r="AO36" s="300">
        <f t="shared" si="49"/>
        <v>0</v>
      </c>
      <c r="AP36" s="300">
        <f t="shared" si="49"/>
        <v>0</v>
      </c>
      <c r="AQ36" s="300">
        <f t="shared" si="49"/>
        <v>0</v>
      </c>
      <c r="AR36" s="598">
        <f t="shared" si="49"/>
        <v>0</v>
      </c>
      <c r="AS36" s="282">
        <f t="shared" ca="1" si="50"/>
        <v>0</v>
      </c>
      <c r="AT36" s="283">
        <f t="shared" ca="1" si="51"/>
        <v>0</v>
      </c>
      <c r="AU36" s="283">
        <f t="shared" ca="1" si="52"/>
        <v>0</v>
      </c>
      <c r="AV36" s="283">
        <f t="shared" si="53"/>
        <v>0</v>
      </c>
      <c r="AW36" s="284">
        <f t="shared" ca="1" si="54"/>
        <v>0</v>
      </c>
      <c r="AX36" s="296">
        <f t="shared" ca="1" si="55"/>
        <v>0</v>
      </c>
      <c r="AY36" s="297">
        <f t="shared" ca="1" si="56"/>
        <v>0</v>
      </c>
      <c r="AZ36" s="297">
        <f t="shared" ca="1" si="57"/>
        <v>0</v>
      </c>
      <c r="BA36" s="283">
        <f t="shared" si="61"/>
        <v>0</v>
      </c>
      <c r="BB36" s="284">
        <f t="shared" ca="1" si="62"/>
        <v>0</v>
      </c>
      <c r="BC36" s="282">
        <f t="shared" ca="1" si="63"/>
        <v>1</v>
      </c>
      <c r="BD36" s="283">
        <f t="shared" ca="1" si="64"/>
        <v>0</v>
      </c>
      <c r="BE36" s="283">
        <f t="shared" ca="1" si="65"/>
        <v>0</v>
      </c>
      <c r="BF36" s="283">
        <f t="shared" ca="1" si="66"/>
        <v>0</v>
      </c>
      <c r="BG36" s="283">
        <f t="shared" ca="1" si="67"/>
        <v>0</v>
      </c>
      <c r="BH36" s="284">
        <f t="shared" ca="1" si="68"/>
        <v>0</v>
      </c>
    </row>
    <row r="37" spans="1:60" ht="15" thickBot="1" x14ac:dyDescent="0.25">
      <c r="A37" s="302">
        <v>2020</v>
      </c>
      <c r="B37" s="813">
        <f t="shared" si="69"/>
        <v>136900</v>
      </c>
      <c r="C37" s="814">
        <f t="shared" si="69"/>
        <v>1000000</v>
      </c>
      <c r="D37" s="814">
        <f t="shared" si="69"/>
        <v>1000000</v>
      </c>
      <c r="E37" s="814">
        <f t="shared" si="69"/>
        <v>1000000</v>
      </c>
      <c r="F37" s="814">
        <f t="shared" si="69"/>
        <v>1000000</v>
      </c>
      <c r="G37" s="815">
        <f t="shared" si="69"/>
        <v>1000000</v>
      </c>
      <c r="H37" s="977">
        <f t="shared" si="70"/>
        <v>1</v>
      </c>
      <c r="I37" s="978">
        <f t="shared" si="70"/>
        <v>1</v>
      </c>
      <c r="J37" s="978">
        <f t="shared" si="70"/>
        <v>1</v>
      </c>
      <c r="K37" s="978">
        <f t="shared" si="70"/>
        <v>1</v>
      </c>
      <c r="L37" s="978">
        <f t="shared" si="70"/>
        <v>1</v>
      </c>
      <c r="M37" s="979">
        <f t="shared" si="70"/>
        <v>1</v>
      </c>
      <c r="N37" s="303">
        <f t="shared" si="28"/>
        <v>8257.4225146529334</v>
      </c>
      <c r="O37" s="304">
        <f t="shared" si="29"/>
        <v>54447.453948959454</v>
      </c>
      <c r="P37" s="304">
        <f t="shared" si="30"/>
        <v>54447.453948959454</v>
      </c>
      <c r="Q37" s="304">
        <f t="shared" si="31"/>
        <v>54447.453948959454</v>
      </c>
      <c r="R37" s="304">
        <f t="shared" si="32"/>
        <v>173020.17314701612</v>
      </c>
      <c r="S37" s="306">
        <f t="shared" si="33"/>
        <v>19584.74612465005</v>
      </c>
      <c r="T37" s="303">
        <f t="shared" si="34"/>
        <v>-46190.031434306518</v>
      </c>
      <c r="U37" s="304">
        <f t="shared" si="35"/>
        <v>-46190.031434306518</v>
      </c>
      <c r="V37" s="304">
        <f t="shared" si="36"/>
        <v>-46190.031434306518</v>
      </c>
      <c r="W37" s="304">
        <f t="shared" si="37"/>
        <v>-164762.7506323632</v>
      </c>
      <c r="X37" s="306">
        <f t="shared" si="38"/>
        <v>-11327.323609997116</v>
      </c>
      <c r="Y37" s="307">
        <f ca="1">IF(AND(Y$22=TRUE,INDEX(CDRANGE_CLS2,MATCH($A37,$A$24:$A$67,0),MATCH(Y$20,$B$20:$G$20,0))&lt;$D$6/OPDAYS_Cls2),86,payback(C37,T37,disc_rate/12,85))</f>
        <v>86</v>
      </c>
      <c r="Z37" s="308">
        <f ca="1">IF(AND(Z$22=TRUE,INDEX(CDRANGE_CLS2,MATCH($A37,$A$24:$A$67,0),MATCH(Z$20,$B$20:$G$20,0))&lt;$D$6/OPDAYS_Cls2),86,payback(D37,U37,disc_rate/12,85))</f>
        <v>86</v>
      </c>
      <c r="AA37" s="308">
        <f ca="1">IF(AND(AA$22=TRUE,INDEX(CDRANGE_CLS2,MATCH($A37,$A$24:$A$67,0),MATCH(AA$20,$B$20:$G$20,0))&lt;$D$6/OPDAYS_Cls2),86,payback(E37,V37,disc_rate/12,85))</f>
        <v>86</v>
      </c>
      <c r="AB37" s="308">
        <f>IF(AND(AB$22=TRUE,INDEX(CDRANGE_CLS2,MATCH($A37,$A$24:$A$67,0),MATCH(AB$20,$B$20:$G$20,0))&lt;$D$6/OPDAYS_Cls2),86,payback(F37,W37,disc_rate/12,85))</f>
        <v>86</v>
      </c>
      <c r="AC37" s="309">
        <f ca="1">IF(AND(AC$22=TRUE,INDEX(CDRANGE_CLS2,MATCH($A37,$A$24:$A$67,0),MATCH(AC$20,$B$20:$G$20,0))&lt;$D$6/OPDAYS_Cls2),86,payback(G37,X37,disc_rate/12,85))</f>
        <v>86</v>
      </c>
      <c r="AD37" s="310">
        <f t="shared" si="39"/>
        <v>0</v>
      </c>
      <c r="AE37" s="311">
        <f t="shared" si="40"/>
        <v>0</v>
      </c>
      <c r="AF37" s="311">
        <f t="shared" si="41"/>
        <v>0</v>
      </c>
      <c r="AG37" s="311">
        <f t="shared" si="42"/>
        <v>0</v>
      </c>
      <c r="AH37" s="312">
        <f t="shared" si="43"/>
        <v>0</v>
      </c>
      <c r="AI37" s="313">
        <f t="shared" si="44"/>
        <v>0</v>
      </c>
      <c r="AJ37" s="314">
        <f t="shared" si="45"/>
        <v>0</v>
      </c>
      <c r="AK37" s="314">
        <f t="shared" si="46"/>
        <v>0</v>
      </c>
      <c r="AL37" s="314">
        <f t="shared" si="47"/>
        <v>0</v>
      </c>
      <c r="AM37" s="315">
        <f t="shared" si="48"/>
        <v>0</v>
      </c>
      <c r="AN37" s="630">
        <f t="shared" si="60"/>
        <v>0</v>
      </c>
      <c r="AO37" s="628">
        <f t="shared" si="49"/>
        <v>0</v>
      </c>
      <c r="AP37" s="628">
        <f t="shared" si="49"/>
        <v>0</v>
      </c>
      <c r="AQ37" s="628">
        <f t="shared" si="49"/>
        <v>0</v>
      </c>
      <c r="AR37" s="629">
        <f t="shared" si="49"/>
        <v>0</v>
      </c>
      <c r="AS37" s="319">
        <f t="shared" ca="1" si="50"/>
        <v>0</v>
      </c>
      <c r="AT37" s="320">
        <f t="shared" ca="1" si="51"/>
        <v>0</v>
      </c>
      <c r="AU37" s="320">
        <f t="shared" ca="1" si="52"/>
        <v>0</v>
      </c>
      <c r="AV37" s="320">
        <f t="shared" si="53"/>
        <v>0</v>
      </c>
      <c r="AW37" s="321">
        <f t="shared" ca="1" si="54"/>
        <v>0</v>
      </c>
      <c r="AX37" s="310">
        <f t="shared" ca="1" si="55"/>
        <v>0</v>
      </c>
      <c r="AY37" s="311">
        <f t="shared" ca="1" si="56"/>
        <v>0</v>
      </c>
      <c r="AZ37" s="311">
        <f t="shared" ca="1" si="57"/>
        <v>0</v>
      </c>
      <c r="BA37" s="311">
        <f t="shared" si="61"/>
        <v>0</v>
      </c>
      <c r="BB37" s="312">
        <f t="shared" ca="1" si="62"/>
        <v>0</v>
      </c>
      <c r="BC37" s="310">
        <f t="shared" ca="1" si="63"/>
        <v>1</v>
      </c>
      <c r="BD37" s="311">
        <f t="shared" ca="1" si="64"/>
        <v>0</v>
      </c>
      <c r="BE37" s="311">
        <f t="shared" ca="1" si="65"/>
        <v>0</v>
      </c>
      <c r="BF37" s="311">
        <f t="shared" ca="1" si="66"/>
        <v>0</v>
      </c>
      <c r="BG37" s="311">
        <f t="shared" ca="1" si="67"/>
        <v>0</v>
      </c>
      <c r="BH37" s="312">
        <f t="shared" ca="1" si="68"/>
        <v>0</v>
      </c>
    </row>
    <row r="38" spans="1:60" x14ac:dyDescent="0.2">
      <c r="A38" s="316">
        <v>2021</v>
      </c>
      <c r="B38" s="816">
        <f t="shared" si="69"/>
        <v>137205.79</v>
      </c>
      <c r="C38" s="817">
        <f t="shared" si="69"/>
        <v>1120.5899999999999</v>
      </c>
      <c r="D38" s="817">
        <f t="shared" si="69"/>
        <v>2646.16</v>
      </c>
      <c r="E38" s="817">
        <f t="shared" si="69"/>
        <v>197847.31</v>
      </c>
      <c r="F38" s="817">
        <f t="shared" si="69"/>
        <v>355973.77</v>
      </c>
      <c r="G38" s="818">
        <f t="shared" si="69"/>
        <v>167338.79999999999</v>
      </c>
      <c r="H38" s="980">
        <f t="shared" si="70"/>
        <v>1</v>
      </c>
      <c r="I38" s="981">
        <f t="shared" si="70"/>
        <v>1</v>
      </c>
      <c r="J38" s="981">
        <f t="shared" si="70"/>
        <v>1</v>
      </c>
      <c r="K38" s="981">
        <f t="shared" si="70"/>
        <v>0.84828067940018892</v>
      </c>
      <c r="L38" s="981">
        <f t="shared" si="70"/>
        <v>1</v>
      </c>
      <c r="M38" s="982">
        <f t="shared" si="70"/>
        <v>1</v>
      </c>
      <c r="N38" s="1342">
        <f t="shared" si="28"/>
        <v>8280.348588571791</v>
      </c>
      <c r="O38" s="1343">
        <f t="shared" si="29"/>
        <v>8114.6915537717559</v>
      </c>
      <c r="P38" s="1343">
        <f t="shared" si="30"/>
        <v>8109.0978662886137</v>
      </c>
      <c r="Q38" s="1343">
        <f t="shared" si="31"/>
        <v>10036.415984660865</v>
      </c>
      <c r="R38" s="1343">
        <f t="shared" si="32"/>
        <v>12378.605036150399</v>
      </c>
      <c r="S38" s="1344">
        <f t="shared" si="33"/>
        <v>2830.4066399994522</v>
      </c>
      <c r="T38" s="1342">
        <f t="shared" si="34"/>
        <v>165.65703480003504</v>
      </c>
      <c r="U38" s="1343">
        <f t="shared" si="35"/>
        <v>171.25072228317731</v>
      </c>
      <c r="V38" s="1343">
        <f t="shared" si="36"/>
        <v>-1756.0673960890745</v>
      </c>
      <c r="W38" s="1343">
        <f t="shared" si="37"/>
        <v>-4098.2564475786075</v>
      </c>
      <c r="X38" s="278">
        <f t="shared" si="38"/>
        <v>5449.9419485723392</v>
      </c>
      <c r="Y38" s="279">
        <f ca="1">IF(AND(Y$22=TRUE,INDEX(CDRANGE_CLS2,MATCH($A38,$A$24:$A$67,0),MATCH(Y$20,$B$20:$G$20,0))&lt;$D$6/OPDAYS_Cls2),86,payback(C38,T38,disc_rate/12,85))</f>
        <v>7</v>
      </c>
      <c r="Z38" s="280">
        <f ca="1">IF(AND(Z$22=TRUE,INDEX(CDRANGE_CLS2,MATCH($A38,$A$24:$A$67,0),MATCH(Z$20,$B$20:$G$20,0))&lt;$D$6/OPDAYS_Cls2),86,payback(D38,U38,disc_rate/12,85))</f>
        <v>17</v>
      </c>
      <c r="AA38" s="280">
        <f ca="1">IF(AND(AA$22=TRUE,INDEX(CDRANGE_CLS2,MATCH($A38,$A$24:$A$67,0),MATCH(AA$20,$B$20:$G$20,0))&lt;$D$6/OPDAYS_Cls2),86,payback(E38,V38,disc_rate/12,85))</f>
        <v>86</v>
      </c>
      <c r="AB38" s="280">
        <f>IF(AND(AB$22=TRUE,INDEX(CDRANGE_CLS2,MATCH($A38,$A$24:$A$67,0),MATCH(AB$20,$B$20:$G$20,0))&lt;$D$6/OPDAYS_Cls2),86,payback(F38,W38,disc_rate/12,85))</f>
        <v>86</v>
      </c>
      <c r="AC38" s="281">
        <f ca="1">IF(AND(AC$22=TRUE,INDEX(CDRANGE_CLS2,MATCH($A38,$A$24:$A$67,0),MATCH(AC$20,$B$20:$G$20,0))&lt;$D$6/OPDAYS_Cls2),86,payback(G38,X38,disc_rate/12,85))</f>
        <v>35</v>
      </c>
      <c r="AD38" s="282">
        <f t="shared" si="39"/>
        <v>2.3711489310161437E-2</v>
      </c>
      <c r="AE38" s="283">
        <f t="shared" si="40"/>
        <v>2.2501954482207008E-2</v>
      </c>
      <c r="AF38" s="283">
        <f t="shared" si="41"/>
        <v>0</v>
      </c>
      <c r="AG38" s="283">
        <f t="shared" si="42"/>
        <v>0</v>
      </c>
      <c r="AH38" s="284">
        <f t="shared" si="43"/>
        <v>0</v>
      </c>
      <c r="AI38" s="285">
        <f t="shared" si="44"/>
        <v>2.3712936588783391E-2</v>
      </c>
      <c r="AJ38" s="286">
        <f t="shared" si="45"/>
        <v>2.3712936588783391E-2</v>
      </c>
      <c r="AK38" s="286">
        <f t="shared" si="46"/>
        <v>2.3712936588783391E-2</v>
      </c>
      <c r="AL38" s="286">
        <f t="shared" si="47"/>
        <v>1.4366941996126522E-3</v>
      </c>
      <c r="AM38" s="287">
        <f t="shared" si="48"/>
        <v>2.2094167260173447E-2</v>
      </c>
      <c r="AN38" s="643">
        <f t="shared" si="60"/>
        <v>0.99981472967093798</v>
      </c>
      <c r="AO38" s="641">
        <f t="shared" si="49"/>
        <v>0.99896733255778014</v>
      </c>
      <c r="AP38" s="641">
        <f t="shared" si="49"/>
        <v>3.1016833227346385E-3</v>
      </c>
      <c r="AQ38" s="641">
        <f t="shared" si="49"/>
        <v>7.5802584209583301E-9</v>
      </c>
      <c r="AR38" s="642">
        <f t="shared" si="49"/>
        <v>1.6052942907732071E-2</v>
      </c>
      <c r="AS38" s="282">
        <f t="shared" ca="1" si="50"/>
        <v>4.7270661830334203E-2</v>
      </c>
      <c r="AT38" s="283">
        <f t="shared" ca="1" si="51"/>
        <v>3.7100315361030492E-2</v>
      </c>
      <c r="AU38" s="283">
        <f t="shared" ca="1" si="52"/>
        <v>0</v>
      </c>
      <c r="AV38" s="283">
        <f t="shared" si="53"/>
        <v>0</v>
      </c>
      <c r="AW38" s="284">
        <f t="shared" ca="1" si="54"/>
        <v>1.0833248514240477E-2</v>
      </c>
      <c r="AX38" s="282">
        <f t="shared" ca="1" si="55"/>
        <v>4.7261903979261916E-2</v>
      </c>
      <c r="AY38" s="283">
        <f t="shared" ca="1" si="56"/>
        <v>3.7062003073261067E-2</v>
      </c>
      <c r="AZ38" s="283">
        <f t="shared" ca="1" si="57"/>
        <v>0</v>
      </c>
      <c r="BA38" s="283">
        <f t="shared" si="61"/>
        <v>0</v>
      </c>
      <c r="BB38" s="284">
        <f t="shared" ca="1" si="62"/>
        <v>1.7390551990437565E-4</v>
      </c>
      <c r="BC38" s="282">
        <f t="shared" ca="1" si="63"/>
        <v>0.95273809602073811</v>
      </c>
      <c r="BD38" s="283">
        <f t="shared" ca="1" si="64"/>
        <v>2.6438571255023725E-2</v>
      </c>
      <c r="BE38" s="283">
        <f t="shared" ca="1" si="65"/>
        <v>2.0732690107793311E-2</v>
      </c>
      <c r="BF38" s="283">
        <f t="shared" ca="1" si="66"/>
        <v>0</v>
      </c>
      <c r="BG38" s="283">
        <f t="shared" ca="1" si="67"/>
        <v>0</v>
      </c>
      <c r="BH38" s="284">
        <f t="shared" ca="1" si="68"/>
        <v>9.0642616444877014E-5</v>
      </c>
    </row>
    <row r="39" spans="1:60" x14ac:dyDescent="0.2">
      <c r="A39" s="317">
        <v>2022</v>
      </c>
      <c r="B39" s="819">
        <f t="shared" si="69"/>
        <v>137511.57999999999</v>
      </c>
      <c r="C39" s="820">
        <f t="shared" si="69"/>
        <v>2241.1799999999998</v>
      </c>
      <c r="D39" s="820">
        <f t="shared" si="69"/>
        <v>3521.06</v>
      </c>
      <c r="E39" s="820">
        <f t="shared" si="69"/>
        <v>166082.54999999999</v>
      </c>
      <c r="F39" s="820">
        <f t="shared" si="69"/>
        <v>298100.67</v>
      </c>
      <c r="G39" s="821">
        <f t="shared" si="69"/>
        <v>144302.41</v>
      </c>
      <c r="H39" s="983">
        <f t="shared" si="70"/>
        <v>1</v>
      </c>
      <c r="I39" s="984">
        <f t="shared" si="70"/>
        <v>1</v>
      </c>
      <c r="J39" s="984">
        <f t="shared" si="70"/>
        <v>1</v>
      </c>
      <c r="K39" s="984">
        <f t="shared" si="70"/>
        <v>0.84772039251442688</v>
      </c>
      <c r="L39" s="984">
        <f t="shared" si="70"/>
        <v>1</v>
      </c>
      <c r="M39" s="985">
        <f t="shared" si="70"/>
        <v>1</v>
      </c>
      <c r="N39" s="1345">
        <f t="shared" si="28"/>
        <v>8296.5961225612609</v>
      </c>
      <c r="O39" s="258">
        <f t="shared" si="29"/>
        <v>7976.8982181174488</v>
      </c>
      <c r="P39" s="258">
        <f t="shared" si="30"/>
        <v>7965.8177448841134</v>
      </c>
      <c r="Q39" s="258">
        <f t="shared" si="31"/>
        <v>9731.230413447036</v>
      </c>
      <c r="R39" s="258">
        <f t="shared" si="32"/>
        <v>12117.045725555026</v>
      </c>
      <c r="S39" s="1346">
        <f t="shared" si="33"/>
        <v>2734.6828690133461</v>
      </c>
      <c r="T39" s="1345">
        <f t="shared" si="34"/>
        <v>319.69790444381215</v>
      </c>
      <c r="U39" s="258">
        <f t="shared" si="35"/>
        <v>330.77837767714755</v>
      </c>
      <c r="V39" s="258">
        <f t="shared" si="36"/>
        <v>-1434.634290885775</v>
      </c>
      <c r="W39" s="258">
        <f t="shared" si="37"/>
        <v>-3820.4496029937654</v>
      </c>
      <c r="X39" s="292">
        <f t="shared" si="38"/>
        <v>5561.9132535479148</v>
      </c>
      <c r="Y39" s="293">
        <f ca="1">IF(AND(Y$22=TRUE,INDEX(CDRANGE_CLS2,MATCH($A39,$A$24:$A$67,0),MATCH(Y$20,$B$20:$G$20,0))&lt;$D$6/OPDAYS_Cls2),86,payback(C39,T39,disc_rate/12,85))</f>
        <v>8</v>
      </c>
      <c r="Z39" s="294">
        <f ca="1">IF(AND(Z$22=TRUE,INDEX(CDRANGE_CLS2,MATCH($A39,$A$24:$A$67,0),MATCH(Z$20,$B$20:$G$20,0))&lt;$D$6/OPDAYS_Cls2),86,payback(D39,U39,disc_rate/12,85))</f>
        <v>12</v>
      </c>
      <c r="AA39" s="294">
        <f ca="1">IF(AND(AA$22=TRUE,INDEX(CDRANGE_CLS2,MATCH($A39,$A$24:$A$67,0),MATCH(AA$20,$B$20:$G$20,0))&lt;$D$6/OPDAYS_Cls2),86,payback(E39,V39,disc_rate/12,85))</f>
        <v>86</v>
      </c>
      <c r="AB39" s="294">
        <f>IF(AND(AB$22=TRUE,INDEX(CDRANGE_CLS2,MATCH($A39,$A$24:$A$67,0),MATCH(AB$20,$B$20:$G$20,0))&lt;$D$6/OPDAYS_Cls2),86,payback(F39,W39,disc_rate/12,85))</f>
        <v>86</v>
      </c>
      <c r="AC39" s="295">
        <f ca="1">IF(AND(AC$22=TRUE,INDEX(CDRANGE_CLS2,MATCH($A39,$A$24:$A$67,0),MATCH(AC$20,$B$20:$G$20,0))&lt;$D$6/OPDAYS_Cls2),86,payback(G39,X39,disc_rate/12,85))</f>
        <v>29</v>
      </c>
      <c r="AD39" s="296">
        <f t="shared" si="39"/>
        <v>5.8893908261703612E-2</v>
      </c>
      <c r="AE39" s="297">
        <f t="shared" si="40"/>
        <v>4.0244936052977236E-2</v>
      </c>
      <c r="AF39" s="297">
        <f t="shared" si="41"/>
        <v>0</v>
      </c>
      <c r="AG39" s="297">
        <f t="shared" si="42"/>
        <v>0</v>
      </c>
      <c r="AH39" s="298">
        <f t="shared" si="43"/>
        <v>0</v>
      </c>
      <c r="AI39" s="299">
        <f t="shared" si="44"/>
        <v>5.9601461011058773E-2</v>
      </c>
      <c r="AJ39" s="300">
        <f t="shared" si="45"/>
        <v>5.9601461011058773E-2</v>
      </c>
      <c r="AK39" s="300">
        <f t="shared" si="46"/>
        <v>5.9601461011058773E-2</v>
      </c>
      <c r="AL39" s="300">
        <f t="shared" si="47"/>
        <v>5.5824993187033227E-3</v>
      </c>
      <c r="AM39" s="301">
        <f t="shared" si="48"/>
        <v>5.5532752917322271E-2</v>
      </c>
      <c r="AN39" s="299">
        <f t="shared" si="60"/>
        <v>0.99926241475958566</v>
      </c>
      <c r="AO39" s="300">
        <f t="shared" si="49"/>
        <v>0.99818042320214884</v>
      </c>
      <c r="AP39" s="300">
        <f t="shared" si="49"/>
        <v>1.7387965919802295E-2</v>
      </c>
      <c r="AQ39" s="300">
        <f t="shared" si="49"/>
        <v>2.1414281323739459E-6</v>
      </c>
      <c r="AR39" s="598">
        <f t="shared" si="49"/>
        <v>4.6939020974193224E-2</v>
      </c>
      <c r="AS39" s="282">
        <f t="shared" ca="1" si="50"/>
        <v>0.11784996409069659</v>
      </c>
      <c r="AT39" s="283">
        <f t="shared" ca="1" si="51"/>
        <v>0.10976678991293028</v>
      </c>
      <c r="AU39" s="283">
        <f t="shared" ca="1" si="52"/>
        <v>0</v>
      </c>
      <c r="AV39" s="283">
        <f t="shared" si="53"/>
        <v>0</v>
      </c>
      <c r="AW39" s="284">
        <f t="shared" ca="1" si="54"/>
        <v>4.3985791154648166E-2</v>
      </c>
      <c r="AX39" s="296">
        <f t="shared" ca="1" si="55"/>
        <v>0.11776303969659993</v>
      </c>
      <c r="AY39" s="297">
        <f t="shared" ca="1" si="56"/>
        <v>0.10956706080883011</v>
      </c>
      <c r="AZ39" s="297">
        <f t="shared" ca="1" si="57"/>
        <v>0</v>
      </c>
      <c r="BA39" s="283">
        <f t="shared" si="61"/>
        <v>0</v>
      </c>
      <c r="BB39" s="284">
        <f t="shared" ca="1" si="62"/>
        <v>2.0646499735745131E-3</v>
      </c>
      <c r="BC39" s="282">
        <f t="shared" ca="1" si="63"/>
        <v>0.88223696030340004</v>
      </c>
      <c r="BD39" s="283">
        <f t="shared" ca="1" si="64"/>
        <v>6.0492489617340717E-2</v>
      </c>
      <c r="BE39" s="283">
        <f t="shared" ca="1" si="65"/>
        <v>5.6282381173726262E-2</v>
      </c>
      <c r="BF39" s="283">
        <f t="shared" ca="1" si="66"/>
        <v>0</v>
      </c>
      <c r="BG39" s="283">
        <f t="shared" ca="1" si="67"/>
        <v>0</v>
      </c>
      <c r="BH39" s="284">
        <f t="shared" ca="1" si="68"/>
        <v>9.8816890553294788E-4</v>
      </c>
    </row>
    <row r="40" spans="1:60" x14ac:dyDescent="0.2">
      <c r="A40" s="317">
        <v>2023</v>
      </c>
      <c r="B40" s="819">
        <f t="shared" si="69"/>
        <v>137817.37</v>
      </c>
      <c r="C40" s="820">
        <f t="shared" si="69"/>
        <v>3361.77</v>
      </c>
      <c r="D40" s="820">
        <f t="shared" si="69"/>
        <v>4395.95</v>
      </c>
      <c r="E40" s="820">
        <f t="shared" si="69"/>
        <v>134317.79999999999</v>
      </c>
      <c r="F40" s="820">
        <f t="shared" si="69"/>
        <v>240227.56</v>
      </c>
      <c r="G40" s="821">
        <f t="shared" si="69"/>
        <v>121266.01</v>
      </c>
      <c r="H40" s="983">
        <f t="shared" si="70"/>
        <v>1</v>
      </c>
      <c r="I40" s="984">
        <f t="shared" si="70"/>
        <v>1</v>
      </c>
      <c r="J40" s="984">
        <f t="shared" si="70"/>
        <v>1</v>
      </c>
      <c r="K40" s="984">
        <f t="shared" si="70"/>
        <v>0.84716010562866484</v>
      </c>
      <c r="L40" s="984">
        <f t="shared" si="70"/>
        <v>1</v>
      </c>
      <c r="M40" s="985">
        <f t="shared" si="70"/>
        <v>1</v>
      </c>
      <c r="N40" s="1345">
        <f t="shared" si="28"/>
        <v>8241.9967771600968</v>
      </c>
      <c r="O40" s="258">
        <f t="shared" si="29"/>
        <v>7782.5814417850152</v>
      </c>
      <c r="P40" s="258">
        <f t="shared" si="30"/>
        <v>7766.7200252378543</v>
      </c>
      <c r="Q40" s="258">
        <f t="shared" si="31"/>
        <v>9398.7399177526022</v>
      </c>
      <c r="R40" s="258">
        <f t="shared" si="32"/>
        <v>11937.273599743512</v>
      </c>
      <c r="S40" s="1346">
        <f t="shared" si="33"/>
        <v>2648.577825904687</v>
      </c>
      <c r="T40" s="1345">
        <f t="shared" si="34"/>
        <v>459.41533537508167</v>
      </c>
      <c r="U40" s="258">
        <f t="shared" si="35"/>
        <v>475.27675192224251</v>
      </c>
      <c r="V40" s="258">
        <f t="shared" si="36"/>
        <v>-1156.7431405925054</v>
      </c>
      <c r="W40" s="258">
        <f t="shared" si="37"/>
        <v>-3695.2768225834152</v>
      </c>
      <c r="X40" s="292">
        <f t="shared" si="38"/>
        <v>5593.4189512554094</v>
      </c>
      <c r="Y40" s="293">
        <f ca="1">IF(AND(Y$22=TRUE,INDEX(CDRANGE_CLS2,MATCH($A40,$A$24:$A$67,0),MATCH(Y$20,$B$20:$G$20,0))&lt;$D$6/OPDAYS_Cls2),86,payback(C40,T40,disc_rate/12,85))</f>
        <v>8</v>
      </c>
      <c r="Z40" s="294">
        <f ca="1">IF(AND(Z$22=TRUE,INDEX(CDRANGE_CLS2,MATCH($A40,$A$24:$A$67,0),MATCH(Z$20,$B$20:$G$20,0))&lt;$D$6/OPDAYS_Cls2),86,payback(D40,U40,disc_rate/12,85))</f>
        <v>10</v>
      </c>
      <c r="AA40" s="294">
        <f ca="1">IF(AND(AA$22=TRUE,INDEX(CDRANGE_CLS2,MATCH($A40,$A$24:$A$67,0),MATCH(AA$20,$B$20:$G$20,0))&lt;$D$6/OPDAYS_Cls2),86,payback(E40,V40,disc_rate/12,85))</f>
        <v>86</v>
      </c>
      <c r="AB40" s="294">
        <f>IF(AND(AB$22=TRUE,INDEX(CDRANGE_CLS2,MATCH($A40,$A$24:$A$67,0),MATCH(AB$20,$B$20:$G$20,0))&lt;$D$6/OPDAYS_Cls2),86,payback(F40,W40,disc_rate/12,85))</f>
        <v>86</v>
      </c>
      <c r="AC40" s="295">
        <f ca="1">IF(AND(AC$22=TRUE,INDEX(CDRANGE_CLS2,MATCH($A40,$A$24:$A$67,0),MATCH(AC$20,$B$20:$G$20,0))&lt;$D$6/OPDAYS_Cls2),86,payback(G40,X40,disc_rate/12,85))</f>
        <v>24</v>
      </c>
      <c r="AD40" s="296">
        <f t="shared" si="39"/>
        <v>0.10644090721024145</v>
      </c>
      <c r="AE40" s="297">
        <f t="shared" si="40"/>
        <v>2.0672957039593567E-2</v>
      </c>
      <c r="AF40" s="297">
        <f t="shared" si="41"/>
        <v>0</v>
      </c>
      <c r="AG40" s="297">
        <f t="shared" si="42"/>
        <v>0</v>
      </c>
      <c r="AH40" s="298">
        <f t="shared" si="43"/>
        <v>0</v>
      </c>
      <c r="AI40" s="299">
        <f t="shared" si="44"/>
        <v>0.13447071068499755</v>
      </c>
      <c r="AJ40" s="300">
        <f t="shared" si="45"/>
        <v>0.13447071068499755</v>
      </c>
      <c r="AK40" s="300">
        <f t="shared" si="46"/>
        <v>0.13447071068499755</v>
      </c>
      <c r="AL40" s="300">
        <f t="shared" si="47"/>
        <v>1.6345353345693502E-2</v>
      </c>
      <c r="AM40" s="301">
        <f t="shared" si="48"/>
        <v>0.12529103522648768</v>
      </c>
      <c r="AN40" s="299">
        <f t="shared" si="60"/>
        <v>0.99834854508424764</v>
      </c>
      <c r="AO40" s="300">
        <f t="shared" si="60"/>
        <v>0.99717784069203363</v>
      </c>
      <c r="AP40" s="300">
        <f t="shared" si="60"/>
        <v>7.1468554786606964E-2</v>
      </c>
      <c r="AQ40" s="300">
        <f t="shared" si="60"/>
        <v>2.1608039479859009E-4</v>
      </c>
      <c r="AR40" s="598">
        <f t="shared" si="60"/>
        <v>0.11640960818605151</v>
      </c>
      <c r="AS40" s="282">
        <f t="shared" ca="1" si="50"/>
        <v>0.26588892548350462</v>
      </c>
      <c r="AT40" s="283">
        <f t="shared" ca="1" si="51"/>
        <v>0.25846090647897763</v>
      </c>
      <c r="AU40" s="283">
        <f t="shared" ca="1" si="52"/>
        <v>0</v>
      </c>
      <c r="AV40" s="283">
        <f t="shared" si="53"/>
        <v>0</v>
      </c>
      <c r="AW40" s="284">
        <f t="shared" ca="1" si="54"/>
        <v>0.13809931259800098</v>
      </c>
      <c r="AX40" s="296">
        <f t="shared" ca="1" si="55"/>
        <v>0.26544982191047078</v>
      </c>
      <c r="AY40" s="297">
        <f t="shared" ca="1" si="56"/>
        <v>0.25773148862601253</v>
      </c>
      <c r="AZ40" s="297">
        <f t="shared" ca="1" si="57"/>
        <v>0</v>
      </c>
      <c r="BA40" s="283">
        <f t="shared" si="61"/>
        <v>0</v>
      </c>
      <c r="BB40" s="284">
        <f t="shared" ca="1" si="62"/>
        <v>1.6076086870296342E-2</v>
      </c>
      <c r="BC40" s="282">
        <f t="shared" ca="1" si="63"/>
        <v>0.73455017808952927</v>
      </c>
      <c r="BD40" s="283">
        <f t="shared" ca="1" si="64"/>
        <v>0.13093431927283283</v>
      </c>
      <c r="BE40" s="283">
        <f t="shared" ca="1" si="65"/>
        <v>0.1271272166451195</v>
      </c>
      <c r="BF40" s="283">
        <f t="shared" ca="1" si="66"/>
        <v>0</v>
      </c>
      <c r="BG40" s="283">
        <f t="shared" ca="1" si="67"/>
        <v>0</v>
      </c>
      <c r="BH40" s="284">
        <f t="shared" ca="1" si="68"/>
        <v>7.3882859925184169E-3</v>
      </c>
    </row>
    <row r="41" spans="1:60" x14ac:dyDescent="0.2">
      <c r="A41" s="317">
        <v>2024</v>
      </c>
      <c r="B41" s="819">
        <f t="shared" si="69"/>
        <v>138123.16</v>
      </c>
      <c r="C41" s="820">
        <f t="shared" si="69"/>
        <v>4482.3599999999997</v>
      </c>
      <c r="D41" s="820">
        <f t="shared" si="69"/>
        <v>5270.85</v>
      </c>
      <c r="E41" s="820">
        <f t="shared" si="69"/>
        <v>102553.04</v>
      </c>
      <c r="F41" s="820">
        <f t="shared" si="69"/>
        <v>182354.46</v>
      </c>
      <c r="G41" s="821">
        <f t="shared" si="69"/>
        <v>98229.62</v>
      </c>
      <c r="H41" s="983">
        <f t="shared" si="70"/>
        <v>1</v>
      </c>
      <c r="I41" s="984">
        <f t="shared" si="70"/>
        <v>1</v>
      </c>
      <c r="J41" s="984">
        <f t="shared" si="70"/>
        <v>1</v>
      </c>
      <c r="K41" s="984">
        <f t="shared" si="70"/>
        <v>0.8465998187429028</v>
      </c>
      <c r="L41" s="984">
        <f t="shared" si="70"/>
        <v>1</v>
      </c>
      <c r="M41" s="985">
        <f t="shared" si="70"/>
        <v>1</v>
      </c>
      <c r="N41" s="1345">
        <f t="shared" si="28"/>
        <v>8256.9105159683186</v>
      </c>
      <c r="O41" s="258">
        <f t="shared" si="29"/>
        <v>7664.3630898151041</v>
      </c>
      <c r="P41" s="258">
        <f t="shared" si="30"/>
        <v>7644.1165784140912</v>
      </c>
      <c r="Q41" s="258">
        <f t="shared" si="31"/>
        <v>9150.0573436319955</v>
      </c>
      <c r="R41" s="258">
        <f t="shared" si="32"/>
        <v>11708.618188121636</v>
      </c>
      <c r="S41" s="1346">
        <f t="shared" si="33"/>
        <v>2558.3215618735417</v>
      </c>
      <c r="T41" s="1345">
        <f t="shared" si="34"/>
        <v>592.54742615321447</v>
      </c>
      <c r="U41" s="258">
        <f t="shared" si="35"/>
        <v>612.79393755422734</v>
      </c>
      <c r="V41" s="258">
        <f t="shared" si="36"/>
        <v>-893.14682766367696</v>
      </c>
      <c r="W41" s="258">
        <f t="shared" si="37"/>
        <v>-3451.7076721533176</v>
      </c>
      <c r="X41" s="292">
        <f t="shared" si="38"/>
        <v>5698.5889540947774</v>
      </c>
      <c r="Y41" s="293">
        <f ca="1">IF(AND(Y$22=TRUE,INDEX(CDRANGE_CLS2,MATCH($A41,$A$24:$A$67,0),MATCH(Y$20,$B$20:$G$20,0))&lt;$D$6/OPDAYS_Cls2),86,payback(C41,T41,disc_rate/12,85))</f>
        <v>8</v>
      </c>
      <c r="Z41" s="294">
        <f ca="1">IF(AND(Z$22=TRUE,INDEX(CDRANGE_CLS2,MATCH($A41,$A$24:$A$67,0),MATCH(Z$20,$B$20:$G$20,0))&lt;$D$6/OPDAYS_Cls2),86,payback(D41,U41,disc_rate/12,85))</f>
        <v>9</v>
      </c>
      <c r="AA41" s="294">
        <f ca="1">IF(AND(AA$22=TRUE,INDEX(CDRANGE_CLS2,MATCH($A41,$A$24:$A$67,0),MATCH(AA$20,$B$20:$G$20,0))&lt;$D$6/OPDAYS_Cls2),86,payback(E41,V41,disc_rate/12,85))</f>
        <v>86</v>
      </c>
      <c r="AB41" s="294">
        <f>IF(AND(AB$22=TRUE,INDEX(CDRANGE_CLS2,MATCH($A41,$A$24:$A$67,0),MATCH(AB$20,$B$20:$G$20,0))&lt;$D$6/OPDAYS_Cls2),86,payback(F41,W41,disc_rate/12,85))</f>
        <v>86</v>
      </c>
      <c r="AC41" s="295">
        <f ca="1">IF(AND(AC$22=TRUE,INDEX(CDRANGE_CLS2,MATCH($A41,$A$24:$A$67,0),MATCH(AC$20,$B$20:$G$20,0))&lt;$D$6/OPDAYS_Cls2),86,payback(G41,X41,disc_rate/12,85))</f>
        <v>19</v>
      </c>
      <c r="AD41" s="296">
        <f t="shared" si="39"/>
        <v>3.8433940250417631E-2</v>
      </c>
      <c r="AE41" s="297">
        <f t="shared" si="40"/>
        <v>0</v>
      </c>
      <c r="AF41" s="297">
        <f t="shared" si="41"/>
        <v>0</v>
      </c>
      <c r="AG41" s="297">
        <f t="shared" si="42"/>
        <v>0</v>
      </c>
      <c r="AH41" s="298">
        <f t="shared" si="43"/>
        <v>0</v>
      </c>
      <c r="AI41" s="299">
        <f t="shared" si="44"/>
        <v>0.25</v>
      </c>
      <c r="AJ41" s="300">
        <f t="shared" si="45"/>
        <v>0.25</v>
      </c>
      <c r="AK41" s="300">
        <f t="shared" si="46"/>
        <v>0.25</v>
      </c>
      <c r="AL41" s="300">
        <f t="shared" si="47"/>
        <v>3.861338448859282E-2</v>
      </c>
      <c r="AM41" s="301">
        <f t="shared" si="48"/>
        <v>0.23293368977573564</v>
      </c>
      <c r="AN41" s="299">
        <f t="shared" si="60"/>
        <v>0.99707892385054442</v>
      </c>
      <c r="AO41" s="300">
        <f t="shared" si="60"/>
        <v>0.99596310249635522</v>
      </c>
      <c r="AP41" s="300">
        <f t="shared" si="60"/>
        <v>0.2162533755682291</v>
      </c>
      <c r="AQ41" s="300">
        <f t="shared" si="60"/>
        <v>7.8936770691019342E-3</v>
      </c>
      <c r="AR41" s="598">
        <f t="shared" si="60"/>
        <v>0.24538841639763576</v>
      </c>
      <c r="AS41" s="282">
        <f t="shared" ca="1" si="50"/>
        <v>0.49432498000690822</v>
      </c>
      <c r="AT41" s="283">
        <f t="shared" ca="1" si="51"/>
        <v>0.48829758585216049</v>
      </c>
      <c r="AU41" s="283">
        <f t="shared" ca="1" si="52"/>
        <v>0</v>
      </c>
      <c r="AV41" s="283">
        <f t="shared" si="53"/>
        <v>0</v>
      </c>
      <c r="AW41" s="284">
        <f t="shared" ca="1" si="54"/>
        <v>0.33436129671600306</v>
      </c>
      <c r="AX41" s="296">
        <f t="shared" ca="1" si="55"/>
        <v>0.49288101909772991</v>
      </c>
      <c r="AY41" s="297">
        <f t="shared" ca="1" si="56"/>
        <v>0.48632637854679811</v>
      </c>
      <c r="AZ41" s="297">
        <f t="shared" ca="1" si="57"/>
        <v>0</v>
      </c>
      <c r="BA41" s="283">
        <f t="shared" si="61"/>
        <v>0</v>
      </c>
      <c r="BB41" s="284">
        <f t="shared" ca="1" si="62"/>
        <v>8.2048389105800007E-2</v>
      </c>
      <c r="BC41" s="282">
        <f t="shared" ca="1" si="63"/>
        <v>0.50711898090227003</v>
      </c>
      <c r="BD41" s="283">
        <f t="shared" ca="1" si="64"/>
        <v>0.23012419802704975</v>
      </c>
      <c r="BE41" s="283">
        <f t="shared" ca="1" si="65"/>
        <v>0.2270638622833443</v>
      </c>
      <c r="BF41" s="283">
        <f t="shared" ca="1" si="66"/>
        <v>0</v>
      </c>
      <c r="BG41" s="283">
        <f t="shared" ca="1" si="67"/>
        <v>0</v>
      </c>
      <c r="BH41" s="284">
        <f t="shared" ca="1" si="68"/>
        <v>3.569295878733586E-2</v>
      </c>
    </row>
    <row r="42" spans="1:60" ht="15" thickBot="1" x14ac:dyDescent="0.25">
      <c r="A42" s="302">
        <v>2025</v>
      </c>
      <c r="B42" s="822">
        <f t="shared" si="69"/>
        <v>138428.95000000001</v>
      </c>
      <c r="C42" s="823">
        <f t="shared" si="69"/>
        <v>5602.95</v>
      </c>
      <c r="D42" s="823">
        <f t="shared" si="69"/>
        <v>6145.74</v>
      </c>
      <c r="E42" s="823">
        <f t="shared" si="69"/>
        <v>70788.28</v>
      </c>
      <c r="F42" s="823">
        <f t="shared" si="69"/>
        <v>124481.35</v>
      </c>
      <c r="G42" s="824">
        <f t="shared" si="69"/>
        <v>75193.23</v>
      </c>
      <c r="H42" s="977">
        <f t="shared" si="70"/>
        <v>1</v>
      </c>
      <c r="I42" s="978">
        <f t="shared" si="70"/>
        <v>1</v>
      </c>
      <c r="J42" s="978">
        <f t="shared" si="70"/>
        <v>1</v>
      </c>
      <c r="K42" s="978">
        <f t="shared" si="70"/>
        <v>0.84603953185714076</v>
      </c>
      <c r="L42" s="978">
        <f t="shared" si="70"/>
        <v>1</v>
      </c>
      <c r="M42" s="979">
        <f t="shared" si="70"/>
        <v>1</v>
      </c>
      <c r="N42" s="1347">
        <f t="shared" si="28"/>
        <v>8169.7959553785822</v>
      </c>
      <c r="O42" s="265">
        <f t="shared" si="29"/>
        <v>7461.3039093414027</v>
      </c>
      <c r="P42" s="265">
        <f t="shared" si="30"/>
        <v>7437.3948513908617</v>
      </c>
      <c r="Q42" s="265">
        <f t="shared" si="31"/>
        <v>8844.7070931600319</v>
      </c>
      <c r="R42" s="265">
        <f t="shared" si="32"/>
        <v>11571.141445315729</v>
      </c>
      <c r="S42" s="1348">
        <f t="shared" si="33"/>
        <v>2472.3405648252933</v>
      </c>
      <c r="T42" s="1347">
        <f t="shared" si="34"/>
        <v>708.49204603717953</v>
      </c>
      <c r="U42" s="265">
        <f t="shared" si="35"/>
        <v>732.40110398772049</v>
      </c>
      <c r="V42" s="265">
        <f t="shared" si="36"/>
        <v>-674.91113778144972</v>
      </c>
      <c r="W42" s="265">
        <f t="shared" si="37"/>
        <v>-3401.3454899371463</v>
      </c>
      <c r="X42" s="306">
        <f t="shared" si="38"/>
        <v>5697.4553905532885</v>
      </c>
      <c r="Y42" s="307">
        <f ca="1">IF(AND(Y$22=TRUE,INDEX(CDRANGE_CLS2,MATCH($A42,$A$24:$A$67,0),MATCH(Y$20,$B$20:$G$20,0))&lt;$D$6/OPDAYS_Cls2),86,payback(C42,T42,disc_rate/12,85))</f>
        <v>9</v>
      </c>
      <c r="Z42" s="308">
        <f ca="1">IF(AND(Z$22=TRUE,INDEX(CDRANGE_CLS2,MATCH($A42,$A$24:$A$67,0),MATCH(Z$20,$B$20:$G$20,0))&lt;$D$6/OPDAYS_Cls2),86,payback(D42,U42,disc_rate/12,85))</f>
        <v>9</v>
      </c>
      <c r="AA42" s="308">
        <f ca="1">IF(AND(AA$22=TRUE,INDEX(CDRANGE_CLS2,MATCH($A42,$A$24:$A$67,0),MATCH(AA$20,$B$20:$G$20,0))&lt;$D$6/OPDAYS_Cls2),86,payback(E42,V42,disc_rate/12,85))</f>
        <v>86</v>
      </c>
      <c r="AB42" s="308">
        <f>IF(AND(AB$22=TRUE,INDEX(CDRANGE_CLS2,MATCH($A42,$A$24:$A$67,0),MATCH(AB$20,$B$20:$G$20,0))&lt;$D$6/OPDAYS_Cls2),86,payback(F42,W42,disc_rate/12,85))</f>
        <v>86</v>
      </c>
      <c r="AC42" s="309">
        <f ca="1">IF(AND(AC$22=TRUE,INDEX(CDRANGE_CLS2,MATCH($A42,$A$24:$A$67,0),MATCH(AC$20,$B$20:$G$20,0))&lt;$D$6/OPDAYS_Cls2),86,payback(G42,X42,disc_rate/12,85))</f>
        <v>14</v>
      </c>
      <c r="AD42" s="310">
        <f t="shared" si="39"/>
        <v>0</v>
      </c>
      <c r="AE42" s="311">
        <f t="shared" si="40"/>
        <v>0</v>
      </c>
      <c r="AF42" s="311">
        <f t="shared" si="41"/>
        <v>0</v>
      </c>
      <c r="AG42" s="311">
        <f t="shared" si="42"/>
        <v>0</v>
      </c>
      <c r="AH42" s="312">
        <f t="shared" si="43"/>
        <v>0</v>
      </c>
      <c r="AI42" s="313">
        <f t="shared" si="44"/>
        <v>0.36552928931500245</v>
      </c>
      <c r="AJ42" s="314">
        <f t="shared" si="45"/>
        <v>0.36552928931500245</v>
      </c>
      <c r="AK42" s="314">
        <f t="shared" si="46"/>
        <v>0.36552928931500245</v>
      </c>
      <c r="AL42" s="314">
        <f t="shared" si="47"/>
        <v>7.8022518418636222E-2</v>
      </c>
      <c r="AM42" s="315">
        <f t="shared" si="48"/>
        <v>0.34057634432498363</v>
      </c>
      <c r="AN42" s="313">
        <f t="shared" si="60"/>
        <v>0.99545964982910806</v>
      </c>
      <c r="AO42" s="314">
        <f t="shared" si="60"/>
        <v>0.99453986154045781</v>
      </c>
      <c r="AP42" s="314">
        <f t="shared" si="60"/>
        <v>0.48365464615396625</v>
      </c>
      <c r="AQ42" s="314">
        <f t="shared" si="60"/>
        <v>0.10579842087909286</v>
      </c>
      <c r="AR42" s="599">
        <f t="shared" si="60"/>
        <v>0.44060854292563045</v>
      </c>
      <c r="AS42" s="829">
        <f t="shared" ca="1" si="50"/>
        <v>0.71394827812308648</v>
      </c>
      <c r="AT42" s="830">
        <f t="shared" ca="1" si="51"/>
        <v>0.71394827812308648</v>
      </c>
      <c r="AU42" s="830">
        <f t="shared" ca="1" si="52"/>
        <v>0</v>
      </c>
      <c r="AV42" s="830">
        <f t="shared" si="53"/>
        <v>0</v>
      </c>
      <c r="AW42" s="831">
        <f t="shared" ca="1" si="54"/>
        <v>0.5931052938770498</v>
      </c>
      <c r="AX42" s="310">
        <f t="shared" ca="1" si="55"/>
        <v>0.71070670293650229</v>
      </c>
      <c r="AY42" s="311">
        <f t="shared" ca="1" si="56"/>
        <v>0.71005002167158271</v>
      </c>
      <c r="AZ42" s="311">
        <f t="shared" ca="1" si="57"/>
        <v>0</v>
      </c>
      <c r="BA42" s="311">
        <f t="shared" si="61"/>
        <v>0</v>
      </c>
      <c r="BB42" s="312">
        <f t="shared" ca="1" si="62"/>
        <v>0.26132725933664475</v>
      </c>
      <c r="BC42" s="310">
        <f t="shared" ca="1" si="63"/>
        <v>0.28929329706349782</v>
      </c>
      <c r="BD42" s="311">
        <f t="shared" ca="1" si="64"/>
        <v>0.30350350757025774</v>
      </c>
      <c r="BE42" s="311">
        <f t="shared" ca="1" si="65"/>
        <v>0.30322307533789622</v>
      </c>
      <c r="BF42" s="311">
        <f t="shared" ca="1" si="66"/>
        <v>0</v>
      </c>
      <c r="BG42" s="311">
        <f t="shared" ca="1" si="67"/>
        <v>0</v>
      </c>
      <c r="BH42" s="312">
        <f t="shared" ca="1" si="68"/>
        <v>0.10398012002834824</v>
      </c>
    </row>
    <row r="43" spans="1:60" x14ac:dyDescent="0.2">
      <c r="A43" s="316">
        <v>2026</v>
      </c>
      <c r="B43" s="825">
        <f t="shared" si="69"/>
        <v>139088.32000000001</v>
      </c>
      <c r="C43" s="826">
        <f t="shared" si="69"/>
        <v>5829.52</v>
      </c>
      <c r="D43" s="826">
        <f t="shared" si="69"/>
        <v>6311.03</v>
      </c>
      <c r="E43" s="826">
        <f t="shared" si="69"/>
        <v>63439.25</v>
      </c>
      <c r="F43" s="826">
        <f t="shared" si="69"/>
        <v>111055.28</v>
      </c>
      <c r="G43" s="827">
        <f t="shared" si="69"/>
        <v>64934.81</v>
      </c>
      <c r="H43" s="980">
        <f t="shared" si="70"/>
        <v>1</v>
      </c>
      <c r="I43" s="981">
        <f t="shared" si="70"/>
        <v>1</v>
      </c>
      <c r="J43" s="981">
        <f t="shared" si="70"/>
        <v>1</v>
      </c>
      <c r="K43" s="981">
        <f t="shared" si="70"/>
        <v>0.84567612477810628</v>
      </c>
      <c r="L43" s="981">
        <f t="shared" si="70"/>
        <v>1</v>
      </c>
      <c r="M43" s="982">
        <f t="shared" si="70"/>
        <v>1</v>
      </c>
      <c r="N43" s="275">
        <f t="shared" si="28"/>
        <v>8152.8306306051591</v>
      </c>
      <c r="O43" s="276">
        <f t="shared" si="29"/>
        <v>7331.7185487555762</v>
      </c>
      <c r="P43" s="276">
        <f t="shared" si="30"/>
        <v>7304.3685727460406</v>
      </c>
      <c r="Q43" s="276">
        <f t="shared" si="31"/>
        <v>8610.4745046562257</v>
      </c>
      <c r="R43" s="276">
        <f t="shared" si="32"/>
        <v>11356.39292579231</v>
      </c>
      <c r="S43" s="278">
        <f t="shared" si="33"/>
        <v>2382.5706312006732</v>
      </c>
      <c r="T43" s="275">
        <f t="shared" si="34"/>
        <v>821.11208184958286</v>
      </c>
      <c r="U43" s="276">
        <f t="shared" si="35"/>
        <v>848.46205785911843</v>
      </c>
      <c r="V43" s="276">
        <f t="shared" si="36"/>
        <v>-457.64387405106663</v>
      </c>
      <c r="W43" s="276">
        <f t="shared" si="37"/>
        <v>-3203.562295187151</v>
      </c>
      <c r="X43" s="278">
        <f t="shared" si="38"/>
        <v>5770.2599994044858</v>
      </c>
      <c r="Y43" s="279">
        <f ca="1">IF(AND(Y$22=TRUE,INDEX(CDRANGE_CLS2,MATCH($A43,$A$24:$A$67,0),MATCH(Y$20,$B$20:$G$20,0))&lt;$D$6/OPDAYS_Cls2),86,payback(C43,T43,disc_rate/12,85))</f>
        <v>8</v>
      </c>
      <c r="Z43" s="280">
        <f ca="1">IF(AND(Z$22=TRUE,INDEX(CDRANGE_CLS2,MATCH($A43,$A$24:$A$67,0),MATCH(Z$20,$B$20:$G$20,0))&lt;$D$6/OPDAYS_Cls2),86,payback(D43,U43,disc_rate/12,85))</f>
        <v>8</v>
      </c>
      <c r="AA43" s="280">
        <f ca="1">IF(AND(AA$22=TRUE,INDEX(CDRANGE_CLS2,MATCH($A43,$A$24:$A$67,0),MATCH(AA$20,$B$20:$G$20,0))&lt;$D$6/OPDAYS_Cls2),86,payback(E43,V43,disc_rate/12,85))</f>
        <v>86</v>
      </c>
      <c r="AB43" s="280">
        <f>IF(AND(AB$22=TRUE,INDEX(CDRANGE_CLS2,MATCH($A43,$A$24:$A$67,0),MATCH(AB$20,$B$20:$G$20,0))&lt;$D$6/OPDAYS_Cls2),86,payback(F43,W43,disc_rate/12,85))</f>
        <v>86</v>
      </c>
      <c r="AC43" s="281">
        <f ca="1">IF(AND(AC$22=TRUE,INDEX(CDRANGE_CLS2,MATCH($A43,$A$24:$A$67,0),MATCH(AC$20,$B$20:$G$20,0))&lt;$D$6/OPDAYS_Cls2),86,payback(G43,X43,disc_rate/12,85))</f>
        <v>12</v>
      </c>
      <c r="AD43" s="282">
        <f t="shared" si="39"/>
        <v>0</v>
      </c>
      <c r="AE43" s="283">
        <f t="shared" si="40"/>
        <v>0</v>
      </c>
      <c r="AF43" s="283">
        <f t="shared" si="41"/>
        <v>0</v>
      </c>
      <c r="AG43" s="283">
        <f t="shared" si="42"/>
        <v>0</v>
      </c>
      <c r="AH43" s="284">
        <f t="shared" si="43"/>
        <v>0</v>
      </c>
      <c r="AI43" s="285">
        <f t="shared" si="44"/>
        <v>0.44039853898894116</v>
      </c>
      <c r="AJ43" s="286">
        <f t="shared" si="45"/>
        <v>0.44039853898894116</v>
      </c>
      <c r="AK43" s="286">
        <f t="shared" si="46"/>
        <v>0.44039853898894116</v>
      </c>
      <c r="AL43" s="286">
        <f t="shared" si="47"/>
        <v>0.11409947749819586</v>
      </c>
      <c r="AM43" s="287">
        <f t="shared" si="48"/>
        <v>0.41033462663414894</v>
      </c>
      <c r="AN43" s="285">
        <f t="shared" si="60"/>
        <v>0.99513231333522112</v>
      </c>
      <c r="AO43" s="286">
        <f t="shared" si="60"/>
        <v>0.99429736727267792</v>
      </c>
      <c r="AP43" s="286">
        <f t="shared" si="60"/>
        <v>0.56109064766104122</v>
      </c>
      <c r="AQ43" s="286">
        <f t="shared" si="60"/>
        <v>0.17017936865305994</v>
      </c>
      <c r="AR43" s="611">
        <f t="shared" si="60"/>
        <v>0.54583404378001765</v>
      </c>
      <c r="AS43" s="637">
        <f t="shared" ca="1" si="50"/>
        <v>0.87079999592311974</v>
      </c>
      <c r="AT43" s="638">
        <f t="shared" ca="1" si="51"/>
        <v>0.87079999592311974</v>
      </c>
      <c r="AU43" s="638">
        <f t="shared" ca="1" si="52"/>
        <v>0</v>
      </c>
      <c r="AV43" s="638">
        <f t="shared" si="53"/>
        <v>0</v>
      </c>
      <c r="AW43" s="639">
        <f t="shared" ca="1" si="54"/>
        <v>0.75570487688874166</v>
      </c>
      <c r="AX43" s="282">
        <f t="shared" ca="1" si="55"/>
        <v>0.86656121439527523</v>
      </c>
      <c r="AY43" s="283">
        <f t="shared" ca="1" si="56"/>
        <v>0.8658341433674166</v>
      </c>
      <c r="AZ43" s="283">
        <f t="shared" ca="1" si="57"/>
        <v>0</v>
      </c>
      <c r="BA43" s="283">
        <f t="shared" si="61"/>
        <v>0</v>
      </c>
      <c r="BB43" s="284">
        <f t="shared" ca="1" si="62"/>
        <v>0.41248944885646227</v>
      </c>
      <c r="BC43" s="282">
        <f t="shared" ca="1" si="63"/>
        <v>0.13343878560472466</v>
      </c>
      <c r="BD43" s="283">
        <f t="shared" ca="1" si="64"/>
        <v>0.35475932996894938</v>
      </c>
      <c r="BE43" s="283">
        <f t="shared" ca="1" si="65"/>
        <v>0.35446167617785174</v>
      </c>
      <c r="BF43" s="283">
        <f t="shared" ca="1" si="66"/>
        <v>0</v>
      </c>
      <c r="BG43" s="283">
        <f t="shared" ca="1" si="67"/>
        <v>0</v>
      </c>
      <c r="BH43" s="284">
        <f t="shared" ca="1" si="68"/>
        <v>0.15734020824847414</v>
      </c>
    </row>
    <row r="44" spans="1:60" x14ac:dyDescent="0.2">
      <c r="A44" s="317">
        <v>2027</v>
      </c>
      <c r="B44" s="819">
        <f t="shared" ref="B44:G53" si="71">ROUND(INDEX(COST_Cls2,$A44-($A$24-1),MATCH(B$20,TECHOPTS_Cls2,0)),2)</f>
        <v>139747.70000000001</v>
      </c>
      <c r="C44" s="820">
        <f t="shared" si="71"/>
        <v>6056.08</v>
      </c>
      <c r="D44" s="820">
        <f t="shared" si="71"/>
        <v>6476.32</v>
      </c>
      <c r="E44" s="820">
        <f t="shared" si="71"/>
        <v>56090.22</v>
      </c>
      <c r="F44" s="820">
        <f t="shared" si="71"/>
        <v>97629.2</v>
      </c>
      <c r="G44" s="821">
        <f t="shared" si="71"/>
        <v>54676.38</v>
      </c>
      <c r="H44" s="983">
        <f t="shared" ref="H44:M53" si="72">IF(H$21="Single-fuel",1,1-MIN(INDEX(CDRANGE_CLS2,$A44-($A$24-1),MATCH(H$20,TECHOPTS_Cls2,0))*OPDAYS_Cls2/$D$6,1))</f>
        <v>1</v>
      </c>
      <c r="I44" s="984">
        <f t="shared" si="72"/>
        <v>1</v>
      </c>
      <c r="J44" s="984">
        <f t="shared" si="72"/>
        <v>1</v>
      </c>
      <c r="K44" s="984">
        <f t="shared" si="72"/>
        <v>0.84531271769907179</v>
      </c>
      <c r="L44" s="984">
        <f t="shared" si="72"/>
        <v>1</v>
      </c>
      <c r="M44" s="985">
        <f t="shared" si="72"/>
        <v>1</v>
      </c>
      <c r="N44" s="289">
        <f t="shared" si="28"/>
        <v>8023.1554360919436</v>
      </c>
      <c r="O44" s="290">
        <f t="shared" si="29"/>
        <v>7109.8304457077184</v>
      </c>
      <c r="P44" s="290">
        <f t="shared" si="30"/>
        <v>7079.8055725574841</v>
      </c>
      <c r="Q44" s="290">
        <f t="shared" si="31"/>
        <v>8287.664415905796</v>
      </c>
      <c r="R44" s="290">
        <f t="shared" si="32"/>
        <v>11065.193583629398</v>
      </c>
      <c r="S44" s="292">
        <f t="shared" si="33"/>
        <v>2301.8659420484405</v>
      </c>
      <c r="T44" s="289">
        <f t="shared" si="34"/>
        <v>913.3249903842252</v>
      </c>
      <c r="U44" s="290">
        <f t="shared" si="35"/>
        <v>943.34986353445947</v>
      </c>
      <c r="V44" s="290">
        <f t="shared" si="36"/>
        <v>-264.50897981385242</v>
      </c>
      <c r="W44" s="290">
        <f t="shared" si="37"/>
        <v>-3042.0381475374543</v>
      </c>
      <c r="X44" s="292">
        <f t="shared" si="38"/>
        <v>5721.2894940435035</v>
      </c>
      <c r="Y44" s="293">
        <f ca="1">IF(AND(Y$22=TRUE,INDEX(CDRANGE_CLS2,MATCH($A44,$A$24:$A$67,0),MATCH(Y$20,$B$20:$G$20,0))&lt;$D$6/OPDAYS_Cls2),86,payback(C44,T44,disc_rate/12,85))</f>
        <v>7</v>
      </c>
      <c r="Z44" s="294">
        <f ca="1">IF(AND(Z$22=TRUE,INDEX(CDRANGE_CLS2,MATCH($A44,$A$24:$A$67,0),MATCH(Z$20,$B$20:$G$20,0))&lt;$D$6/OPDAYS_Cls2),86,payback(D44,U44,disc_rate/12,85))</f>
        <v>8</v>
      </c>
      <c r="AA44" s="294">
        <f ca="1">IF(AND(AA$22=TRUE,INDEX(CDRANGE_CLS2,MATCH($A44,$A$24:$A$67,0),MATCH(AA$20,$B$20:$G$20,0))&lt;$D$6/OPDAYS_Cls2),86,payback(E44,V44,disc_rate/12,85))</f>
        <v>86</v>
      </c>
      <c r="AB44" s="294">
        <f>IF(AND(AB$22=TRUE,INDEX(CDRANGE_CLS2,MATCH($A44,$A$24:$A$67,0),MATCH(AB$20,$B$20:$G$20,0))&lt;$D$6/OPDAYS_Cls2),86,payback(F44,W44,disc_rate/12,85))</f>
        <v>86</v>
      </c>
      <c r="AC44" s="295">
        <f ca="1">IF(AND(AC$22=TRUE,INDEX(CDRANGE_CLS2,MATCH($A44,$A$24:$A$67,0),MATCH(AC$20,$B$20:$G$20,0))&lt;$D$6/OPDAYS_Cls2),86,payback(G44,X44,disc_rate/12,85))</f>
        <v>10</v>
      </c>
      <c r="AD44" s="296">
        <f t="shared" si="39"/>
        <v>0</v>
      </c>
      <c r="AE44" s="297">
        <f t="shared" si="40"/>
        <v>0</v>
      </c>
      <c r="AF44" s="297">
        <f t="shared" si="41"/>
        <v>0</v>
      </c>
      <c r="AG44" s="297">
        <f t="shared" si="42"/>
        <v>0</v>
      </c>
      <c r="AH44" s="298">
        <f t="shared" si="43"/>
        <v>0</v>
      </c>
      <c r="AI44" s="299">
        <f t="shared" si="44"/>
        <v>0.47628706341121668</v>
      </c>
      <c r="AJ44" s="300">
        <f t="shared" si="45"/>
        <v>0.47628706341121668</v>
      </c>
      <c r="AK44" s="300">
        <f t="shared" si="46"/>
        <v>0.47628706341121668</v>
      </c>
      <c r="AL44" s="300">
        <f t="shared" si="47"/>
        <v>0.1600725741397479</v>
      </c>
      <c r="AM44" s="301">
        <f t="shared" si="48"/>
        <v>0.4437732122912979</v>
      </c>
      <c r="AN44" s="299">
        <f t="shared" si="60"/>
        <v>0.99479693704652883</v>
      </c>
      <c r="AO44" s="300">
        <f t="shared" si="60"/>
        <v>0.99405201370671159</v>
      </c>
      <c r="AP44" s="300">
        <f t="shared" si="60"/>
        <v>0.63923119232214531</v>
      </c>
      <c r="AQ44" s="300">
        <f t="shared" si="60"/>
        <v>0.25776355454788979</v>
      </c>
      <c r="AR44" s="598">
        <f t="shared" si="60"/>
        <v>0.65362982120613489</v>
      </c>
      <c r="AS44" s="282">
        <f t="shared" ca="1" si="50"/>
        <v>0.94945662357669569</v>
      </c>
      <c r="AT44" s="283">
        <f t="shared" ca="1" si="51"/>
        <v>0.94176237239319482</v>
      </c>
      <c r="AU44" s="283">
        <f t="shared" ca="1" si="52"/>
        <v>0</v>
      </c>
      <c r="AV44" s="283">
        <f t="shared" si="53"/>
        <v>0</v>
      </c>
      <c r="AW44" s="284">
        <f t="shared" ca="1" si="54"/>
        <v>0.85295917702540347</v>
      </c>
      <c r="AX44" s="296">
        <f t="shared" ca="1" si="55"/>
        <v>0.94451654099263593</v>
      </c>
      <c r="AY44" s="297">
        <f t="shared" ca="1" si="56"/>
        <v>0.93616078271066527</v>
      </c>
      <c r="AZ44" s="297">
        <f t="shared" ca="1" si="57"/>
        <v>0</v>
      </c>
      <c r="BA44" s="283">
        <f t="shared" si="61"/>
        <v>0</v>
      </c>
      <c r="BB44" s="284">
        <f t="shared" ca="1" si="62"/>
        <v>0.55751955437524647</v>
      </c>
      <c r="BC44" s="282">
        <f t="shared" ca="1" si="63"/>
        <v>5.5483459007364067E-2</v>
      </c>
      <c r="BD44" s="283">
        <f t="shared" ca="1" si="64"/>
        <v>0.37169180203335728</v>
      </c>
      <c r="BE44" s="283">
        <f t="shared" ca="1" si="65"/>
        <v>0.3684035940259921</v>
      </c>
      <c r="BF44" s="283">
        <f t="shared" ca="1" si="66"/>
        <v>0</v>
      </c>
      <c r="BG44" s="283">
        <f t="shared" ca="1" si="67"/>
        <v>0</v>
      </c>
      <c r="BH44" s="284">
        <f t="shared" ca="1" si="68"/>
        <v>0.20442114493328656</v>
      </c>
    </row>
    <row r="45" spans="1:60" x14ac:dyDescent="0.2">
      <c r="A45" s="317">
        <v>2028</v>
      </c>
      <c r="B45" s="819">
        <f t="shared" si="71"/>
        <v>140407.07</v>
      </c>
      <c r="C45" s="820">
        <f t="shared" si="71"/>
        <v>6282.65</v>
      </c>
      <c r="D45" s="820">
        <f t="shared" si="71"/>
        <v>6641.61</v>
      </c>
      <c r="E45" s="820">
        <f t="shared" si="71"/>
        <v>48741.19</v>
      </c>
      <c r="F45" s="820">
        <f t="shared" si="71"/>
        <v>84203.12</v>
      </c>
      <c r="G45" s="821">
        <f t="shared" si="71"/>
        <v>44417.96</v>
      </c>
      <c r="H45" s="983">
        <f t="shared" si="72"/>
        <v>1</v>
      </c>
      <c r="I45" s="984">
        <f t="shared" si="72"/>
        <v>1</v>
      </c>
      <c r="J45" s="984">
        <f t="shared" si="72"/>
        <v>1</v>
      </c>
      <c r="K45" s="984">
        <f t="shared" si="72"/>
        <v>0.84494931062003731</v>
      </c>
      <c r="L45" s="984">
        <f t="shared" si="72"/>
        <v>1</v>
      </c>
      <c r="M45" s="985">
        <f t="shared" si="72"/>
        <v>1</v>
      </c>
      <c r="N45" s="289">
        <f t="shared" si="28"/>
        <v>8075.1690186996075</v>
      </c>
      <c r="O45" s="290">
        <f t="shared" si="29"/>
        <v>7056.3766632980605</v>
      </c>
      <c r="P45" s="290">
        <f t="shared" si="30"/>
        <v>7023.3146514653426</v>
      </c>
      <c r="Q45" s="290">
        <f t="shared" si="31"/>
        <v>8135.8382743387083</v>
      </c>
      <c r="R45" s="290">
        <f t="shared" si="32"/>
        <v>10801.58547120474</v>
      </c>
      <c r="S45" s="292">
        <f t="shared" si="33"/>
        <v>2247.4811240070676</v>
      </c>
      <c r="T45" s="289">
        <f t="shared" si="34"/>
        <v>1018.792355401547</v>
      </c>
      <c r="U45" s="290">
        <f t="shared" si="35"/>
        <v>1051.8543672342648</v>
      </c>
      <c r="V45" s="290">
        <f t="shared" si="36"/>
        <v>-60.669255639100811</v>
      </c>
      <c r="W45" s="290">
        <f t="shared" si="37"/>
        <v>-2726.4164525051328</v>
      </c>
      <c r="X45" s="292">
        <f t="shared" si="38"/>
        <v>5827.6878946925399</v>
      </c>
      <c r="Y45" s="293">
        <f ca="1">IF(AND(Y$22=TRUE,INDEX(CDRANGE_CLS2,MATCH($A45,$A$24:$A$67,0),MATCH(Y$20,$B$20:$G$20,0))&lt;$D$6/OPDAYS_Cls2),86,payback(C45,T45,disc_rate/12,85))</f>
        <v>7</v>
      </c>
      <c r="Z45" s="294">
        <f ca="1">IF(AND(Z$22=TRUE,INDEX(CDRANGE_CLS2,MATCH($A45,$A$24:$A$67,0),MATCH(Z$20,$B$20:$G$20,0))&lt;$D$6/OPDAYS_Cls2),86,payback(D45,U45,disc_rate/12,85))</f>
        <v>7</v>
      </c>
      <c r="AA45" s="294">
        <f ca="1">IF(AND(AA$22=TRUE,INDEX(CDRANGE_CLS2,MATCH($A45,$A$24:$A$67,0),MATCH(AA$20,$B$20:$G$20,0))&lt;$D$6/OPDAYS_Cls2),86,payback(E45,V45,disc_rate/12,85))</f>
        <v>86</v>
      </c>
      <c r="AB45" s="294">
        <f>IF(AND(AB$22=TRUE,INDEX(CDRANGE_CLS2,MATCH($A45,$A$24:$A$67,0),MATCH(AB$20,$B$20:$G$20,0))&lt;$D$6/OPDAYS_Cls2),86,payback(F45,W45,disc_rate/12,85))</f>
        <v>86</v>
      </c>
      <c r="AC45" s="295">
        <f ca="1">IF(AND(AC$22=TRUE,INDEX(CDRANGE_CLS2,MATCH($A45,$A$24:$A$67,0),MATCH(AC$20,$B$20:$G$20,0))&lt;$D$6/OPDAYS_Cls2),86,payback(G45,X45,disc_rate/12,85))</f>
        <v>8</v>
      </c>
      <c r="AD45" s="296">
        <f t="shared" si="39"/>
        <v>0</v>
      </c>
      <c r="AE45" s="297">
        <f t="shared" si="40"/>
        <v>0</v>
      </c>
      <c r="AF45" s="297">
        <f t="shared" si="41"/>
        <v>0</v>
      </c>
      <c r="AG45" s="297">
        <f t="shared" si="42"/>
        <v>0</v>
      </c>
      <c r="AH45" s="298">
        <f t="shared" si="43"/>
        <v>0</v>
      </c>
      <c r="AI45" s="299">
        <f t="shared" si="44"/>
        <v>0.49100689501895423</v>
      </c>
      <c r="AJ45" s="300">
        <f t="shared" si="45"/>
        <v>0.49100689501895423</v>
      </c>
      <c r="AK45" s="300">
        <f t="shared" si="46"/>
        <v>0.49100689501895423</v>
      </c>
      <c r="AL45" s="300">
        <f t="shared" si="47"/>
        <v>0.19256155202933228</v>
      </c>
      <c r="AM45" s="301">
        <f t="shared" si="48"/>
        <v>0.45748819104836913</v>
      </c>
      <c r="AN45" s="299">
        <f t="shared" si="60"/>
        <v>0.99445376666456653</v>
      </c>
      <c r="AO45" s="300">
        <f t="shared" si="60"/>
        <v>0.99380391543241542</v>
      </c>
      <c r="AP45" s="300">
        <f t="shared" si="60"/>
        <v>0.71552178738648076</v>
      </c>
      <c r="AQ45" s="300">
        <f t="shared" si="60"/>
        <v>0.36823867354165363</v>
      </c>
      <c r="AR45" s="598">
        <f t="shared" si="60"/>
        <v>0.75730071537523025</v>
      </c>
      <c r="AS45" s="282">
        <f t="shared" ca="1" si="50"/>
        <v>0.97879993917675334</v>
      </c>
      <c r="AT45" s="283">
        <f t="shared" ca="1" si="51"/>
        <v>0.97879993917675334</v>
      </c>
      <c r="AU45" s="283">
        <f t="shared" ca="1" si="52"/>
        <v>0</v>
      </c>
      <c r="AV45" s="283">
        <f t="shared" si="53"/>
        <v>0</v>
      </c>
      <c r="AW45" s="284">
        <f t="shared" ca="1" si="54"/>
        <v>0.90459136357352676</v>
      </c>
      <c r="AX45" s="296">
        <f t="shared" ca="1" si="55"/>
        <v>0.97337128632537095</v>
      </c>
      <c r="AY45" s="297">
        <f t="shared" ca="1" si="56"/>
        <v>0.97273521197886759</v>
      </c>
      <c r="AZ45" s="297">
        <f t="shared" ca="1" si="57"/>
        <v>0</v>
      </c>
      <c r="BA45" s="283">
        <f t="shared" si="61"/>
        <v>0</v>
      </c>
      <c r="BB45" s="284">
        <f t="shared" ca="1" si="62"/>
        <v>0.68504768675648686</v>
      </c>
      <c r="BC45" s="282">
        <f t="shared" ca="1" si="63"/>
        <v>2.6628713674629045E-2</v>
      </c>
      <c r="BD45" s="283">
        <f t="shared" ca="1" si="64"/>
        <v>0.36660563605863955</v>
      </c>
      <c r="BE45" s="283">
        <f t="shared" ca="1" si="65"/>
        <v>0.36636606823528539</v>
      </c>
      <c r="BF45" s="283">
        <f t="shared" ca="1" si="66"/>
        <v>0</v>
      </c>
      <c r="BG45" s="283">
        <f t="shared" ca="1" si="67"/>
        <v>0</v>
      </c>
      <c r="BH45" s="284">
        <f t="shared" ca="1" si="68"/>
        <v>0.24039958203144599</v>
      </c>
    </row>
    <row r="46" spans="1:60" x14ac:dyDescent="0.2">
      <c r="A46" s="317">
        <v>2029</v>
      </c>
      <c r="B46" s="819">
        <f t="shared" si="71"/>
        <v>141066.45000000001</v>
      </c>
      <c r="C46" s="820">
        <f t="shared" si="71"/>
        <v>6509.21</v>
      </c>
      <c r="D46" s="820">
        <f t="shared" si="71"/>
        <v>6806.91</v>
      </c>
      <c r="E46" s="820">
        <f t="shared" si="71"/>
        <v>41392.160000000003</v>
      </c>
      <c r="F46" s="820">
        <f t="shared" si="71"/>
        <v>70777.039999999994</v>
      </c>
      <c r="G46" s="821">
        <f t="shared" si="71"/>
        <v>34159.54</v>
      </c>
      <c r="H46" s="983">
        <f t="shared" si="72"/>
        <v>1</v>
      </c>
      <c r="I46" s="984">
        <f t="shared" si="72"/>
        <v>1</v>
      </c>
      <c r="J46" s="984">
        <f t="shared" si="72"/>
        <v>1</v>
      </c>
      <c r="K46" s="984">
        <f t="shared" si="72"/>
        <v>0.84458590354100282</v>
      </c>
      <c r="L46" s="984">
        <f t="shared" si="72"/>
        <v>1</v>
      </c>
      <c r="M46" s="985">
        <f t="shared" si="72"/>
        <v>1</v>
      </c>
      <c r="N46" s="289">
        <f t="shared" si="28"/>
        <v>8066.3731676033985</v>
      </c>
      <c r="O46" s="290">
        <f t="shared" si="29"/>
        <v>6955.0910574300469</v>
      </c>
      <c r="P46" s="290">
        <f t="shared" si="30"/>
        <v>6919.479125808517</v>
      </c>
      <c r="Q46" s="290">
        <f t="shared" si="31"/>
        <v>7941.7314588444042</v>
      </c>
      <c r="R46" s="290">
        <f t="shared" si="32"/>
        <v>10511.022972198221</v>
      </c>
      <c r="S46" s="292">
        <f t="shared" si="33"/>
        <v>2192.3875445426488</v>
      </c>
      <c r="T46" s="289">
        <f t="shared" si="34"/>
        <v>1111.2821101733516</v>
      </c>
      <c r="U46" s="290">
        <f t="shared" si="35"/>
        <v>1146.8940417948816</v>
      </c>
      <c r="V46" s="290">
        <f t="shared" si="36"/>
        <v>124.64170875899435</v>
      </c>
      <c r="W46" s="290">
        <f t="shared" si="37"/>
        <v>-2444.6498045948229</v>
      </c>
      <c r="X46" s="292">
        <f t="shared" si="38"/>
        <v>5873.9856230607493</v>
      </c>
      <c r="Y46" s="293">
        <f ca="1">IF(AND(Y$22=TRUE,INDEX(CDRANGE_CLS2,MATCH($A46,$A$24:$A$67,0),MATCH(Y$20,$B$20:$G$20,0))&lt;$D$6/OPDAYS_Cls2),86,payback(C46,T46,disc_rate/12,85))</f>
        <v>6</v>
      </c>
      <c r="Z46" s="294">
        <f ca="1">IF(AND(Z$22=TRUE,INDEX(CDRANGE_CLS2,MATCH($A46,$A$24:$A$67,0),MATCH(Z$20,$B$20:$G$20,0))&lt;$D$6/OPDAYS_Cls2),86,payback(D46,U46,disc_rate/12,85))</f>
        <v>7</v>
      </c>
      <c r="AA46" s="294">
        <f ca="1">IF(AND(AA$22=TRUE,INDEX(CDRANGE_CLS2,MATCH($A46,$A$24:$A$67,0),MATCH(AA$20,$B$20:$G$20,0))&lt;$D$6/OPDAYS_Cls2),86,payback(E46,V46,disc_rate/12,85))</f>
        <v>86</v>
      </c>
      <c r="AB46" s="294">
        <f>IF(AND(AB$22=TRUE,INDEX(CDRANGE_CLS2,MATCH($A46,$A$24:$A$67,0),MATCH(AB$20,$B$20:$G$20,0))&lt;$D$6/OPDAYS_Cls2),86,payback(F46,W46,disc_rate/12,85))</f>
        <v>86</v>
      </c>
      <c r="AC46" s="295">
        <f ca="1">IF(AND(AC$22=TRUE,INDEX(CDRANGE_CLS2,MATCH($A46,$A$24:$A$67,0),MATCH(AC$20,$B$20:$G$20,0))&lt;$D$6/OPDAYS_Cls2),86,payback(G46,X46,disc_rate/12,85))</f>
        <v>6</v>
      </c>
      <c r="AD46" s="296">
        <f t="shared" si="39"/>
        <v>0</v>
      </c>
      <c r="AE46" s="297">
        <f t="shared" si="40"/>
        <v>0</v>
      </c>
      <c r="AF46" s="297">
        <f t="shared" si="41"/>
        <v>0</v>
      </c>
      <c r="AG46" s="297">
        <f t="shared" si="42"/>
        <v>0</v>
      </c>
      <c r="AH46" s="298">
        <f t="shared" si="43"/>
        <v>0</v>
      </c>
      <c r="AI46" s="299">
        <f t="shared" si="44"/>
        <v>0.49665357453785763</v>
      </c>
      <c r="AJ46" s="300">
        <f t="shared" si="45"/>
        <v>0.49665357453785763</v>
      </c>
      <c r="AK46" s="300">
        <f t="shared" si="46"/>
        <v>0.49665357453785763</v>
      </c>
      <c r="AL46" s="300">
        <f t="shared" si="47"/>
        <v>0.2240012655749237</v>
      </c>
      <c r="AM46" s="301">
        <f t="shared" si="48"/>
        <v>0.46274939862964609</v>
      </c>
      <c r="AN46" s="299">
        <f t="shared" si="60"/>
        <v>0.99410311117407502</v>
      </c>
      <c r="AO46" s="300">
        <f t="shared" si="60"/>
        <v>0.99355316797229531</v>
      </c>
      <c r="AP46" s="300">
        <f t="shared" si="60"/>
        <v>0.78728992048447477</v>
      </c>
      <c r="AQ46" s="300">
        <f t="shared" si="60"/>
        <v>0.49695600905255921</v>
      </c>
      <c r="AR46" s="598">
        <f t="shared" si="60"/>
        <v>0.84969114051637828</v>
      </c>
      <c r="AS46" s="282">
        <f t="shared" ca="1" si="50"/>
        <v>0.99330714907571527</v>
      </c>
      <c r="AT46" s="283">
        <f t="shared" ca="1" si="51"/>
        <v>0.99005633827363348</v>
      </c>
      <c r="AU46" s="283">
        <f t="shared" ca="1" si="52"/>
        <v>0</v>
      </c>
      <c r="AV46" s="283">
        <f t="shared" si="53"/>
        <v>0</v>
      </c>
      <c r="AW46" s="284">
        <f t="shared" ca="1" si="54"/>
        <v>0.92549879725929218</v>
      </c>
      <c r="AX46" s="296">
        <f t="shared" ca="1" si="55"/>
        <v>0.98744972724761926</v>
      </c>
      <c r="AY46" s="297">
        <f t="shared" ca="1" si="56"/>
        <v>0.98367361136281906</v>
      </c>
      <c r="AZ46" s="297">
        <f t="shared" ca="1" si="57"/>
        <v>0</v>
      </c>
      <c r="BA46" s="283">
        <f t="shared" si="61"/>
        <v>0</v>
      </c>
      <c r="BB46" s="284">
        <f t="shared" ca="1" si="62"/>
        <v>0.78638812858978435</v>
      </c>
      <c r="BC46" s="282">
        <f t="shared" ca="1" si="63"/>
        <v>1.2550272752380742E-2</v>
      </c>
      <c r="BD46" s="283">
        <f t="shared" ca="1" si="64"/>
        <v>0.36062086284962946</v>
      </c>
      <c r="BE46" s="283">
        <f t="shared" ca="1" si="65"/>
        <v>0.35924180918135562</v>
      </c>
      <c r="BF46" s="283">
        <f t="shared" ca="1" si="66"/>
        <v>0</v>
      </c>
      <c r="BG46" s="283">
        <f t="shared" ca="1" si="67"/>
        <v>0</v>
      </c>
      <c r="BH46" s="284">
        <f t="shared" ca="1" si="68"/>
        <v>0.26758705521663417</v>
      </c>
    </row>
    <row r="47" spans="1:60" ht="15" thickBot="1" x14ac:dyDescent="0.25">
      <c r="A47" s="302">
        <v>2030</v>
      </c>
      <c r="B47" s="813">
        <f t="shared" si="71"/>
        <v>141725.82999999999</v>
      </c>
      <c r="C47" s="814">
        <f t="shared" si="71"/>
        <v>6735.78</v>
      </c>
      <c r="D47" s="814">
        <f t="shared" si="71"/>
        <v>6972.2</v>
      </c>
      <c r="E47" s="814">
        <f t="shared" si="71"/>
        <v>34043.129999999997</v>
      </c>
      <c r="F47" s="814">
        <f t="shared" si="71"/>
        <v>57350.96</v>
      </c>
      <c r="G47" s="815">
        <f t="shared" si="71"/>
        <v>23901.119999999999</v>
      </c>
      <c r="H47" s="977">
        <f t="shared" si="72"/>
        <v>1</v>
      </c>
      <c r="I47" s="978">
        <f t="shared" si="72"/>
        <v>1</v>
      </c>
      <c r="J47" s="978">
        <f t="shared" si="72"/>
        <v>1</v>
      </c>
      <c r="K47" s="978">
        <f t="shared" si="72"/>
        <v>0.84422249646196834</v>
      </c>
      <c r="L47" s="978">
        <f t="shared" si="72"/>
        <v>1</v>
      </c>
      <c r="M47" s="979">
        <f t="shared" si="72"/>
        <v>1</v>
      </c>
      <c r="N47" s="303">
        <f t="shared" si="28"/>
        <v>8229.955413761536</v>
      </c>
      <c r="O47" s="304">
        <f t="shared" si="29"/>
        <v>7006.0865751100882</v>
      </c>
      <c r="P47" s="304">
        <f t="shared" si="30"/>
        <v>6967.3430914937617</v>
      </c>
      <c r="Q47" s="304">
        <f t="shared" si="31"/>
        <v>7908.6677624249269</v>
      </c>
      <c r="R47" s="304">
        <f t="shared" si="32"/>
        <v>10329.464482153919</v>
      </c>
      <c r="S47" s="306">
        <f t="shared" si="33"/>
        <v>2161.1588124502641</v>
      </c>
      <c r="T47" s="303">
        <f t="shared" si="34"/>
        <v>1223.8688386514477</v>
      </c>
      <c r="U47" s="304">
        <f t="shared" si="35"/>
        <v>1262.6123222677743</v>
      </c>
      <c r="V47" s="304">
        <f t="shared" si="36"/>
        <v>321.28765133660909</v>
      </c>
      <c r="W47" s="304">
        <f t="shared" si="37"/>
        <v>-2099.5090683923827</v>
      </c>
      <c r="X47" s="306">
        <f t="shared" si="38"/>
        <v>6068.7966013112718</v>
      </c>
      <c r="Y47" s="307">
        <f ca="1">IF(AND(Y$22=TRUE,INDEX(CDRANGE_CLS2,MATCH($A47,$A$24:$A$67,0),MATCH(Y$20,$B$20:$G$20,0))&lt;$D$6/OPDAYS_Cls2),86,payback(C47,T47,disc_rate/12,85))</f>
        <v>6</v>
      </c>
      <c r="Z47" s="308">
        <f ca="1">IF(AND(Z$22=TRUE,INDEX(CDRANGE_CLS2,MATCH($A47,$A$24:$A$67,0),MATCH(Z$20,$B$20:$G$20,0))&lt;$D$6/OPDAYS_Cls2),86,payback(D47,U47,disc_rate/12,85))</f>
        <v>6</v>
      </c>
      <c r="AA47" s="308">
        <f ca="1">IF(AND(AA$22=TRUE,INDEX(CDRANGE_CLS2,MATCH($A47,$A$24:$A$67,0),MATCH(AA$20,$B$20:$G$20,0))&lt;$D$6/OPDAYS_Cls2),86,payback(E47,V47,disc_rate/12,85))</f>
        <v>86</v>
      </c>
      <c r="AB47" s="308">
        <f>IF(AND(AB$22=TRUE,INDEX(CDRANGE_CLS2,MATCH($A47,$A$24:$A$67,0),MATCH(AB$20,$B$20:$G$20,0))&lt;$D$6/OPDAYS_Cls2),86,payback(F47,W47,disc_rate/12,85))</f>
        <v>86</v>
      </c>
      <c r="AC47" s="309">
        <f ca="1">IF(AND(AC$22=TRUE,INDEX(CDRANGE_CLS2,MATCH($A47,$A$24:$A$67,0),MATCH(AC$20,$B$20:$G$20,0))&lt;$D$6/OPDAYS_Cls2),86,payback(G47,X47,disc_rate/12,85))</f>
        <v>5</v>
      </c>
      <c r="AD47" s="310">
        <f t="shared" si="39"/>
        <v>0</v>
      </c>
      <c r="AE47" s="311">
        <f t="shared" si="40"/>
        <v>0</v>
      </c>
      <c r="AF47" s="311">
        <f t="shared" si="41"/>
        <v>0</v>
      </c>
      <c r="AG47" s="311">
        <f t="shared" si="42"/>
        <v>0</v>
      </c>
      <c r="AH47" s="312">
        <f t="shared" si="43"/>
        <v>0</v>
      </c>
      <c r="AI47" s="313">
        <f t="shared" si="44"/>
        <v>0.49876368842168267</v>
      </c>
      <c r="AJ47" s="314">
        <f t="shared" si="45"/>
        <v>0.49876368842168267</v>
      </c>
      <c r="AK47" s="314">
        <f t="shared" si="46"/>
        <v>0.49876368842168267</v>
      </c>
      <c r="AL47" s="314">
        <f t="shared" si="47"/>
        <v>0.27029859074170631</v>
      </c>
      <c r="AM47" s="315">
        <f t="shared" si="48"/>
        <v>0.46471546508087158</v>
      </c>
      <c r="AN47" s="630">
        <f t="shared" si="60"/>
        <v>0.99374519890748736</v>
      </c>
      <c r="AO47" s="628">
        <f t="shared" si="60"/>
        <v>0.99329991717245192</v>
      </c>
      <c r="AP47" s="628">
        <f t="shared" si="60"/>
        <v>0.85191178864680217</v>
      </c>
      <c r="AQ47" s="628">
        <f t="shared" si="60"/>
        <v>0.63453472468632444</v>
      </c>
      <c r="AR47" s="629">
        <f t="shared" si="60"/>
        <v>0.92403842938167757</v>
      </c>
      <c r="AS47" s="319">
        <f t="shared" ca="1" si="50"/>
        <v>0.99752737684336534</v>
      </c>
      <c r="AT47" s="320">
        <f t="shared" ca="1" si="51"/>
        <v>0.99752737684336534</v>
      </c>
      <c r="AU47" s="320">
        <f t="shared" ca="1" si="52"/>
        <v>0</v>
      </c>
      <c r="AV47" s="320">
        <f t="shared" si="53"/>
        <v>0</v>
      </c>
      <c r="AW47" s="321">
        <f t="shared" ca="1" si="54"/>
        <v>0.92943093016174316</v>
      </c>
      <c r="AX47" s="310">
        <f t="shared" ca="1" si="55"/>
        <v>0.99128804151687422</v>
      </c>
      <c r="AY47" s="311">
        <f t="shared" ca="1" si="56"/>
        <v>0.99084386079576803</v>
      </c>
      <c r="AZ47" s="311">
        <f t="shared" ca="1" si="57"/>
        <v>0</v>
      </c>
      <c r="BA47" s="311">
        <f t="shared" si="61"/>
        <v>0</v>
      </c>
      <c r="BB47" s="312">
        <f t="shared" ca="1" si="62"/>
        <v>0.85882989692540879</v>
      </c>
      <c r="BC47" s="310">
        <f t="shared" ca="1" si="63"/>
        <v>8.7119584831258923E-3</v>
      </c>
      <c r="BD47" s="311">
        <f t="shared" ca="1" si="64"/>
        <v>0.35317547545313183</v>
      </c>
      <c r="BE47" s="311">
        <f t="shared" ca="1" si="65"/>
        <v>0.35301722302720351</v>
      </c>
      <c r="BF47" s="311">
        <f t="shared" ca="1" si="66"/>
        <v>0</v>
      </c>
      <c r="BG47" s="311">
        <f t="shared" ca="1" si="67"/>
        <v>0</v>
      </c>
      <c r="BH47" s="312">
        <f t="shared" ca="1" si="68"/>
        <v>0.28509534303653877</v>
      </c>
    </row>
    <row r="48" spans="1:60" x14ac:dyDescent="0.2">
      <c r="A48" s="316">
        <v>2031</v>
      </c>
      <c r="B48" s="816">
        <f t="shared" si="71"/>
        <v>141725.82999999999</v>
      </c>
      <c r="C48" s="817">
        <f t="shared" si="71"/>
        <v>6735.78</v>
      </c>
      <c r="D48" s="817">
        <f t="shared" si="71"/>
        <v>6972.2</v>
      </c>
      <c r="E48" s="817">
        <f t="shared" si="71"/>
        <v>31513.34</v>
      </c>
      <c r="F48" s="817">
        <f t="shared" si="71"/>
        <v>52004.51</v>
      </c>
      <c r="G48" s="818">
        <f t="shared" si="71"/>
        <v>21656.23</v>
      </c>
      <c r="H48" s="980">
        <f t="shared" si="72"/>
        <v>1</v>
      </c>
      <c r="I48" s="981">
        <f t="shared" si="72"/>
        <v>1</v>
      </c>
      <c r="J48" s="981">
        <f t="shared" si="72"/>
        <v>1</v>
      </c>
      <c r="K48" s="981">
        <f t="shared" si="72"/>
        <v>0.84396704763393293</v>
      </c>
      <c r="L48" s="981">
        <f t="shared" si="72"/>
        <v>1</v>
      </c>
      <c r="M48" s="982">
        <f t="shared" si="72"/>
        <v>1</v>
      </c>
      <c r="N48" s="275">
        <f t="shared" si="28"/>
        <v>8317.5219447875952</v>
      </c>
      <c r="O48" s="276">
        <f t="shared" si="29"/>
        <v>7080.6311706281595</v>
      </c>
      <c r="P48" s="276">
        <f t="shared" si="30"/>
        <v>7041.4754572621487</v>
      </c>
      <c r="Q48" s="276">
        <f t="shared" si="31"/>
        <v>7819.2274907559167</v>
      </c>
      <c r="R48" s="276">
        <f t="shared" si="32"/>
        <v>10175.513207459113</v>
      </c>
      <c r="S48" s="278">
        <f t="shared" si="33"/>
        <v>2117.2584485174139</v>
      </c>
      <c r="T48" s="275">
        <f t="shared" si="34"/>
        <v>1236.8907741594358</v>
      </c>
      <c r="U48" s="276">
        <f t="shared" si="35"/>
        <v>1276.0464875254465</v>
      </c>
      <c r="V48" s="276">
        <f t="shared" si="36"/>
        <v>498.29445403167847</v>
      </c>
      <c r="W48" s="276">
        <f t="shared" si="37"/>
        <v>-1857.9912626715177</v>
      </c>
      <c r="X48" s="278">
        <f t="shared" si="38"/>
        <v>6200.2634962701813</v>
      </c>
      <c r="Y48" s="279">
        <f ca="1">IF(AND(Y$22=TRUE,INDEX(CDRANGE_CLS2,MATCH($A48,$A$24:$A$67,0),MATCH(Y$20,$B$20:$G$20,0))&lt;$D$6/OPDAYS_Cls2),86,payback(C48,T48,disc_rate/12,85))</f>
        <v>6</v>
      </c>
      <c r="Z48" s="280">
        <f ca="1">IF(AND(Z$22=TRUE,INDEX(CDRANGE_CLS2,MATCH($A48,$A$24:$A$67,0),MATCH(Z$20,$B$20:$G$20,0))&lt;$D$6/OPDAYS_Cls2),86,payback(D48,U48,disc_rate/12,85))</f>
        <v>6</v>
      </c>
      <c r="AA48" s="280">
        <f ca="1">IF(AND(AA$22=TRUE,INDEX(CDRANGE_CLS2,MATCH($A48,$A$24:$A$67,0),MATCH(AA$20,$B$20:$G$20,0))&lt;$D$6/OPDAYS_Cls2),86,payback(E48,V48,disc_rate/12,85))</f>
        <v>81</v>
      </c>
      <c r="AB48" s="280">
        <f>IF(AND(AB$22=TRUE,INDEX(CDRANGE_CLS2,MATCH($A48,$A$24:$A$67,0),MATCH(AB$20,$B$20:$G$20,0))&lt;$D$6/OPDAYS_Cls2),86,payback(F48,W48,disc_rate/12,85))</f>
        <v>86</v>
      </c>
      <c r="AC48" s="281">
        <f ca="1">IF(AND(AC$22=TRUE,INDEX(CDRANGE_CLS2,MATCH($A48,$A$24:$A$67,0),MATCH(AC$20,$B$20:$G$20,0))&lt;$D$6/OPDAYS_Cls2),86,payback(G48,X48,disc_rate/12,85))</f>
        <v>4</v>
      </c>
      <c r="AD48" s="282">
        <f t="shared" si="39"/>
        <v>0</v>
      </c>
      <c r="AE48" s="283">
        <f t="shared" si="40"/>
        <v>0</v>
      </c>
      <c r="AF48" s="283">
        <f t="shared" si="41"/>
        <v>0</v>
      </c>
      <c r="AG48" s="283">
        <f t="shared" si="42"/>
        <v>0</v>
      </c>
      <c r="AH48" s="284">
        <f t="shared" si="43"/>
        <v>0</v>
      </c>
      <c r="AI48" s="285">
        <f t="shared" si="44"/>
        <v>0.4995444744027997</v>
      </c>
      <c r="AJ48" s="286">
        <f t="shared" si="45"/>
        <v>0.4995444744027997</v>
      </c>
      <c r="AK48" s="286">
        <f t="shared" si="46"/>
        <v>0.4995444744027997</v>
      </c>
      <c r="AL48" s="286">
        <f t="shared" si="47"/>
        <v>0.30093738021312855</v>
      </c>
      <c r="AM48" s="287">
        <f t="shared" si="48"/>
        <v>0.46544295051889861</v>
      </c>
      <c r="AN48" s="643">
        <f t="shared" si="60"/>
        <v>0.99374519890748736</v>
      </c>
      <c r="AO48" s="641">
        <f t="shared" si="60"/>
        <v>0.99329991717245192</v>
      </c>
      <c r="AP48" s="641">
        <f t="shared" si="60"/>
        <v>0.87167620254576139</v>
      </c>
      <c r="AQ48" s="641">
        <f t="shared" si="60"/>
        <v>0.68797104859774594</v>
      </c>
      <c r="AR48" s="642">
        <f t="shared" si="60"/>
        <v>0.93720030698511869</v>
      </c>
      <c r="AS48" s="282">
        <f t="shared" ca="1" si="50"/>
        <v>0.9990889488055994</v>
      </c>
      <c r="AT48" s="283">
        <f t="shared" ca="1" si="51"/>
        <v>0.9990889488055994</v>
      </c>
      <c r="AU48" s="283">
        <f t="shared" ca="1" si="52"/>
        <v>4.1950205166635179E-4</v>
      </c>
      <c r="AV48" s="283">
        <f t="shared" si="53"/>
        <v>0</v>
      </c>
      <c r="AW48" s="284">
        <f t="shared" ca="1" si="54"/>
        <v>0.93088590103779723</v>
      </c>
      <c r="AX48" s="282">
        <f t="shared" ca="1" si="55"/>
        <v>0.99283984615709286</v>
      </c>
      <c r="AY48" s="283">
        <f t="shared" ca="1" si="56"/>
        <v>0.9923949700965139</v>
      </c>
      <c r="AZ48" s="283">
        <f t="shared" ca="1" si="57"/>
        <v>3.656699553566813E-4</v>
      </c>
      <c r="BA48" s="283">
        <f t="shared" si="61"/>
        <v>0</v>
      </c>
      <c r="BB48" s="284">
        <f t="shared" ca="1" si="62"/>
        <v>0.87242655222074239</v>
      </c>
      <c r="BC48" s="282">
        <f t="shared" ca="1" si="63"/>
        <v>7.1601538429071354E-3</v>
      </c>
      <c r="BD48" s="283">
        <f t="shared" ca="1" si="64"/>
        <v>0.35223916580138764</v>
      </c>
      <c r="BE48" s="283">
        <f t="shared" ca="1" si="65"/>
        <v>0.35208133292122079</v>
      </c>
      <c r="BF48" s="283">
        <f t="shared" ca="1" si="66"/>
        <v>1.2973218241795677E-4</v>
      </c>
      <c r="BG48" s="283">
        <f t="shared" ca="1" si="67"/>
        <v>0</v>
      </c>
      <c r="BH48" s="284">
        <f t="shared" ca="1" si="68"/>
        <v>0.28838961525206652</v>
      </c>
    </row>
    <row r="49" spans="1:60" x14ac:dyDescent="0.2">
      <c r="A49" s="317">
        <v>2032</v>
      </c>
      <c r="B49" s="819">
        <f t="shared" si="71"/>
        <v>141725.82999999999</v>
      </c>
      <c r="C49" s="820">
        <f t="shared" si="71"/>
        <v>6735.78</v>
      </c>
      <c r="D49" s="820">
        <f t="shared" si="71"/>
        <v>6972.2</v>
      </c>
      <c r="E49" s="820">
        <f t="shared" si="71"/>
        <v>28983.55</v>
      </c>
      <c r="F49" s="820">
        <f t="shared" si="71"/>
        <v>46658.06</v>
      </c>
      <c r="G49" s="821">
        <f t="shared" si="71"/>
        <v>19411.330000000002</v>
      </c>
      <c r="H49" s="983">
        <f t="shared" si="72"/>
        <v>1</v>
      </c>
      <c r="I49" s="984">
        <f t="shared" si="72"/>
        <v>1</v>
      </c>
      <c r="J49" s="984">
        <f t="shared" si="72"/>
        <v>1</v>
      </c>
      <c r="K49" s="984">
        <f t="shared" si="72"/>
        <v>0.84371159880589763</v>
      </c>
      <c r="L49" s="984">
        <f t="shared" si="72"/>
        <v>1</v>
      </c>
      <c r="M49" s="985">
        <f t="shared" si="72"/>
        <v>1</v>
      </c>
      <c r="N49" s="289">
        <f t="shared" si="28"/>
        <v>8373.1369669480846</v>
      </c>
      <c r="O49" s="290">
        <f t="shared" si="29"/>
        <v>7127.97573576171</v>
      </c>
      <c r="P49" s="290">
        <f t="shared" si="30"/>
        <v>7088.558208134069</v>
      </c>
      <c r="Q49" s="290">
        <f t="shared" si="31"/>
        <v>7710.6722574499236</v>
      </c>
      <c r="R49" s="290">
        <f t="shared" si="32"/>
        <v>10035.34956964519</v>
      </c>
      <c r="S49" s="292">
        <f t="shared" si="33"/>
        <v>2075.0608260733943</v>
      </c>
      <c r="T49" s="289">
        <f t="shared" si="34"/>
        <v>1245.1612311863746</v>
      </c>
      <c r="U49" s="290">
        <f t="shared" si="35"/>
        <v>1284.5787588140156</v>
      </c>
      <c r="V49" s="290">
        <f t="shared" si="36"/>
        <v>662.46470949816103</v>
      </c>
      <c r="W49" s="290">
        <f t="shared" si="37"/>
        <v>-1662.2126026971055</v>
      </c>
      <c r="X49" s="292">
        <f t="shared" si="38"/>
        <v>6298.0761408746903</v>
      </c>
      <c r="Y49" s="293">
        <f ca="1">IF(AND(Y$22=TRUE,INDEX(CDRANGE_CLS2,MATCH($A49,$A$24:$A$67,0),MATCH(Y$20,$B$20:$G$20,0))&lt;$D$6/OPDAYS_Cls2),86,payback(C49,T49,disc_rate/12,85))</f>
        <v>6</v>
      </c>
      <c r="Z49" s="294">
        <f ca="1">IF(AND(Z$22=TRUE,INDEX(CDRANGE_CLS2,MATCH($A49,$A$24:$A$67,0),MATCH(Z$20,$B$20:$G$20,0))&lt;$D$6/OPDAYS_Cls2),86,payback(D49,U49,disc_rate/12,85))</f>
        <v>6</v>
      </c>
      <c r="AA49" s="294">
        <f ca="1">IF(AND(AA$22=TRUE,INDEX(CDRANGE_CLS2,MATCH($A49,$A$24:$A$67,0),MATCH(AA$20,$B$20:$G$20,0))&lt;$D$6/OPDAYS_Cls2),86,payback(E49,V49,disc_rate/12,85))</f>
        <v>52</v>
      </c>
      <c r="AB49" s="294">
        <f>IF(AND(AB$22=TRUE,INDEX(CDRANGE_CLS2,MATCH($A49,$A$24:$A$67,0),MATCH(AB$20,$B$20:$G$20,0))&lt;$D$6/OPDAYS_Cls2),86,payback(F49,W49,disc_rate/12,85))</f>
        <v>86</v>
      </c>
      <c r="AC49" s="295">
        <f ca="1">IF(AND(AC$22=TRUE,INDEX(CDRANGE_CLS2,MATCH($A49,$A$24:$A$67,0),MATCH(AC$20,$B$20:$G$20,0))&lt;$D$6/OPDAYS_Cls2),86,payback(G49,X49,disc_rate/12,85))</f>
        <v>4</v>
      </c>
      <c r="AD49" s="296">
        <f t="shared" si="39"/>
        <v>0</v>
      </c>
      <c r="AE49" s="297">
        <f t="shared" si="40"/>
        <v>0</v>
      </c>
      <c r="AF49" s="297">
        <f t="shared" si="41"/>
        <v>0</v>
      </c>
      <c r="AG49" s="297">
        <f t="shared" si="42"/>
        <v>0</v>
      </c>
      <c r="AH49" s="298">
        <f t="shared" si="43"/>
        <v>0</v>
      </c>
      <c r="AI49" s="299">
        <f t="shared" si="44"/>
        <v>0.49983232493476681</v>
      </c>
      <c r="AJ49" s="300">
        <f t="shared" si="45"/>
        <v>0.49983232493476681</v>
      </c>
      <c r="AK49" s="300">
        <f t="shared" si="46"/>
        <v>0.49983232493476681</v>
      </c>
      <c r="AL49" s="300">
        <f t="shared" si="47"/>
        <v>0.34467895175791513</v>
      </c>
      <c r="AM49" s="301">
        <f t="shared" si="48"/>
        <v>0.46571115086495868</v>
      </c>
      <c r="AN49" s="299">
        <f t="shared" si="60"/>
        <v>0.99374519890748736</v>
      </c>
      <c r="AO49" s="300">
        <f t="shared" si="60"/>
        <v>0.99329991717245192</v>
      </c>
      <c r="AP49" s="300">
        <f t="shared" si="60"/>
        <v>0.89032179576672776</v>
      </c>
      <c r="AQ49" s="300">
        <f t="shared" si="60"/>
        <v>0.74003348312836037</v>
      </c>
      <c r="AR49" s="598">
        <f t="shared" si="60"/>
        <v>0.94922569997339845</v>
      </c>
      <c r="AS49" s="282">
        <f t="shared" ca="1" si="50"/>
        <v>0.99966464986953363</v>
      </c>
      <c r="AT49" s="283">
        <f t="shared" ca="1" si="51"/>
        <v>0.99966464986953363</v>
      </c>
      <c r="AU49" s="283">
        <f t="shared" ca="1" si="52"/>
        <v>3.9726472959716666E-2</v>
      </c>
      <c r="AV49" s="283">
        <f t="shared" si="53"/>
        <v>0</v>
      </c>
      <c r="AW49" s="284">
        <f t="shared" ca="1" si="54"/>
        <v>0.93142230172991736</v>
      </c>
      <c r="AX49" s="296">
        <f t="shared" ca="1" si="55"/>
        <v>0.99341194632538343</v>
      </c>
      <c r="AY49" s="297">
        <f t="shared" ca="1" si="56"/>
        <v>0.9929668139156359</v>
      </c>
      <c r="AZ49" s="297">
        <f t="shared" ca="1" si="57"/>
        <v>3.5369344744973295E-2</v>
      </c>
      <c r="BA49" s="283">
        <f t="shared" si="61"/>
        <v>0</v>
      </c>
      <c r="BB49" s="284">
        <f t="shared" ca="1" si="62"/>
        <v>0.88412998633041473</v>
      </c>
      <c r="BC49" s="282">
        <f t="shared" ca="1" si="63"/>
        <v>6.5880536746166785E-3</v>
      </c>
      <c r="BD49" s="283">
        <f t="shared" ca="1" si="64"/>
        <v>0.34681405970137857</v>
      </c>
      <c r="BE49" s="283">
        <f t="shared" ca="1" si="65"/>
        <v>0.34665865772669896</v>
      </c>
      <c r="BF49" s="283">
        <f t="shared" ca="1" si="66"/>
        <v>1.2347934897859578E-2</v>
      </c>
      <c r="BG49" s="283">
        <f t="shared" ca="1" si="67"/>
        <v>0</v>
      </c>
      <c r="BH49" s="284">
        <f t="shared" ca="1" si="68"/>
        <v>0.28759129399944627</v>
      </c>
    </row>
    <row r="50" spans="1:60" x14ac:dyDescent="0.2">
      <c r="A50" s="317">
        <v>2033</v>
      </c>
      <c r="B50" s="819">
        <f t="shared" si="71"/>
        <v>141725.82999999999</v>
      </c>
      <c r="C50" s="820">
        <f t="shared" si="71"/>
        <v>6735.78</v>
      </c>
      <c r="D50" s="820">
        <f t="shared" si="71"/>
        <v>6972.2</v>
      </c>
      <c r="E50" s="820">
        <f t="shared" si="71"/>
        <v>26453.759999999998</v>
      </c>
      <c r="F50" s="820">
        <f t="shared" si="71"/>
        <v>41311.620000000003</v>
      </c>
      <c r="G50" s="821">
        <f t="shared" si="71"/>
        <v>17166.43</v>
      </c>
      <c r="H50" s="983">
        <f t="shared" si="72"/>
        <v>1</v>
      </c>
      <c r="I50" s="984">
        <f t="shared" si="72"/>
        <v>1</v>
      </c>
      <c r="J50" s="984">
        <f t="shared" si="72"/>
        <v>1</v>
      </c>
      <c r="K50" s="984">
        <f t="shared" si="72"/>
        <v>0.84345614997786222</v>
      </c>
      <c r="L50" s="984">
        <f t="shared" si="72"/>
        <v>1</v>
      </c>
      <c r="M50" s="985">
        <f t="shared" si="72"/>
        <v>1</v>
      </c>
      <c r="N50" s="289">
        <f t="shared" si="28"/>
        <v>8503.0649539035694</v>
      </c>
      <c r="O50" s="290">
        <f t="shared" si="29"/>
        <v>7238.5822554055212</v>
      </c>
      <c r="P50" s="290">
        <f t="shared" si="30"/>
        <v>7198.5530764892846</v>
      </c>
      <c r="Q50" s="290">
        <f t="shared" si="31"/>
        <v>7669.1444477724226</v>
      </c>
      <c r="R50" s="290">
        <f t="shared" si="32"/>
        <v>9957.8893997883133</v>
      </c>
      <c r="S50" s="292">
        <f t="shared" si="33"/>
        <v>2034.4688362741506</v>
      </c>
      <c r="T50" s="289">
        <f t="shared" si="34"/>
        <v>1264.4826984980482</v>
      </c>
      <c r="U50" s="290">
        <f t="shared" si="35"/>
        <v>1304.5118774142848</v>
      </c>
      <c r="V50" s="290">
        <f t="shared" si="36"/>
        <v>833.92050613114679</v>
      </c>
      <c r="W50" s="290">
        <f t="shared" si="37"/>
        <v>-1454.8244458847439</v>
      </c>
      <c r="X50" s="292">
        <f t="shared" si="38"/>
        <v>6468.5961176294186</v>
      </c>
      <c r="Y50" s="293">
        <f ca="1">IF(AND(Y$22=TRUE,INDEX(CDRANGE_CLS2,MATCH($A50,$A$24:$A$67,0),MATCH(Y$20,$B$20:$G$20,0))&lt;$D$6/OPDAYS_Cls2),86,payback(C50,T50,disc_rate/12,85))</f>
        <v>6</v>
      </c>
      <c r="Z50" s="294">
        <f ca="1">IF(AND(Z$22=TRUE,INDEX(CDRANGE_CLS2,MATCH($A50,$A$24:$A$67,0),MATCH(Z$20,$B$20:$G$20,0))&lt;$D$6/OPDAYS_Cls2),86,payback(D50,U50,disc_rate/12,85))</f>
        <v>6</v>
      </c>
      <c r="AA50" s="294">
        <f ca="1">IF(AND(AA$22=TRUE,INDEX(CDRANGE_CLS2,MATCH($A50,$A$24:$A$67,0),MATCH(AA$20,$B$20:$G$20,0))&lt;$D$6/OPDAYS_Cls2),86,payback(E50,V50,disc_rate/12,85))</f>
        <v>36</v>
      </c>
      <c r="AB50" s="294">
        <f>IF(AND(AB$22=TRUE,INDEX(CDRANGE_CLS2,MATCH($A50,$A$24:$A$67,0),MATCH(AB$20,$B$20:$G$20,0))&lt;$D$6/OPDAYS_Cls2),86,payback(F50,W50,disc_rate/12,85))</f>
        <v>86</v>
      </c>
      <c r="AC50" s="295">
        <f ca="1">IF(AND(AC$22=TRUE,INDEX(CDRANGE_CLS2,MATCH($A50,$A$24:$A$67,0),MATCH(AC$20,$B$20:$G$20,0))&lt;$D$6/OPDAYS_Cls2),86,payback(G50,X50,disc_rate/12,85))</f>
        <v>3</v>
      </c>
      <c r="AD50" s="296">
        <f t="shared" si="39"/>
        <v>0</v>
      </c>
      <c r="AE50" s="297">
        <f t="shared" si="40"/>
        <v>0</v>
      </c>
      <c r="AF50" s="297">
        <f t="shared" si="41"/>
        <v>0</v>
      </c>
      <c r="AG50" s="297">
        <f t="shared" si="42"/>
        <v>0</v>
      </c>
      <c r="AH50" s="298">
        <f t="shared" si="43"/>
        <v>0</v>
      </c>
      <c r="AI50" s="299">
        <f t="shared" si="44"/>
        <v>0.49993830271200684</v>
      </c>
      <c r="AJ50" s="300">
        <f t="shared" si="45"/>
        <v>0.49993830271200684</v>
      </c>
      <c r="AK50" s="300">
        <f t="shared" si="46"/>
        <v>0.49993830271200684</v>
      </c>
      <c r="AL50" s="300">
        <f t="shared" si="47"/>
        <v>0.37168647485669287</v>
      </c>
      <c r="AM50" s="301">
        <f t="shared" si="48"/>
        <v>0.46580989404370565</v>
      </c>
      <c r="AN50" s="299">
        <f t="shared" si="60"/>
        <v>0.99374519890748736</v>
      </c>
      <c r="AO50" s="300">
        <f t="shared" si="60"/>
        <v>0.99329991717245192</v>
      </c>
      <c r="AP50" s="300">
        <f t="shared" si="60"/>
        <v>0.90775797997488383</v>
      </c>
      <c r="AQ50" s="300">
        <f t="shared" si="60"/>
        <v>0.78976697011126062</v>
      </c>
      <c r="AR50" s="598">
        <f t="shared" si="60"/>
        <v>0.96006624869588109</v>
      </c>
      <c r="AS50" s="282">
        <f t="shared" ca="1" si="50"/>
        <v>0.99987660542401369</v>
      </c>
      <c r="AT50" s="283">
        <f t="shared" ca="1" si="51"/>
        <v>0.99987660542401369</v>
      </c>
      <c r="AU50" s="283">
        <f t="shared" ca="1" si="52"/>
        <v>0.22437776804796766</v>
      </c>
      <c r="AV50" s="283">
        <f t="shared" si="53"/>
        <v>0</v>
      </c>
      <c r="AW50" s="284">
        <f t="shared" ca="1" si="54"/>
        <v>0.9316197880874113</v>
      </c>
      <c r="AX50" s="296">
        <f t="shared" ca="1" si="55"/>
        <v>0.99362257614002969</v>
      </c>
      <c r="AY50" s="297">
        <f t="shared" ca="1" si="56"/>
        <v>0.99317734935034518</v>
      </c>
      <c r="AZ50" s="297">
        <f t="shared" ca="1" si="57"/>
        <v>0.20368070947449615</v>
      </c>
      <c r="BA50" s="283">
        <f t="shared" si="61"/>
        <v>0</v>
      </c>
      <c r="BB50" s="284">
        <f t="shared" ca="1" si="62"/>
        <v>0.89441671515993271</v>
      </c>
      <c r="BC50" s="282">
        <f t="shared" ca="1" si="63"/>
        <v>6.3774238599703104E-3</v>
      </c>
      <c r="BD50" s="283">
        <f t="shared" ca="1" si="64"/>
        <v>0.3265007065282009</v>
      </c>
      <c r="BE50" s="283">
        <f t="shared" ca="1" si="65"/>
        <v>0.32635440665047266</v>
      </c>
      <c r="BF50" s="283">
        <f t="shared" ca="1" si="66"/>
        <v>6.692872841912581E-2</v>
      </c>
      <c r="BG50" s="283">
        <f t="shared" ca="1" si="67"/>
        <v>0</v>
      </c>
      <c r="BH50" s="284">
        <f t="shared" ca="1" si="68"/>
        <v>0.27383873454223034</v>
      </c>
    </row>
    <row r="51" spans="1:60" x14ac:dyDescent="0.2">
      <c r="A51" s="317">
        <v>2034</v>
      </c>
      <c r="B51" s="819">
        <f t="shared" si="71"/>
        <v>141725.82999999999</v>
      </c>
      <c r="C51" s="820">
        <f t="shared" si="71"/>
        <v>6735.78</v>
      </c>
      <c r="D51" s="820">
        <f t="shared" si="71"/>
        <v>6972.2</v>
      </c>
      <c r="E51" s="820">
        <f t="shared" si="71"/>
        <v>23923.97</v>
      </c>
      <c r="F51" s="820">
        <f t="shared" si="71"/>
        <v>35965.17</v>
      </c>
      <c r="G51" s="821">
        <f t="shared" si="71"/>
        <v>14921.53</v>
      </c>
      <c r="H51" s="983">
        <f t="shared" si="72"/>
        <v>1</v>
      </c>
      <c r="I51" s="984">
        <f t="shared" si="72"/>
        <v>1</v>
      </c>
      <c r="J51" s="984">
        <f t="shared" si="72"/>
        <v>1</v>
      </c>
      <c r="K51" s="984">
        <f t="shared" si="72"/>
        <v>0.84320070114982693</v>
      </c>
      <c r="L51" s="984">
        <f t="shared" si="72"/>
        <v>1</v>
      </c>
      <c r="M51" s="985">
        <f t="shared" si="72"/>
        <v>1</v>
      </c>
      <c r="N51" s="289">
        <f t="shared" si="28"/>
        <v>8566.8591256864074</v>
      </c>
      <c r="O51" s="290">
        <f t="shared" si="29"/>
        <v>7292.8896566036683</v>
      </c>
      <c r="P51" s="290">
        <f t="shared" si="30"/>
        <v>7252.5601591164286</v>
      </c>
      <c r="Q51" s="290">
        <f t="shared" si="31"/>
        <v>7577.0517575113754</v>
      </c>
      <c r="R51" s="290">
        <f t="shared" si="32"/>
        <v>9850.6416561050646</v>
      </c>
      <c r="S51" s="292">
        <f t="shared" si="33"/>
        <v>1995.3926166326828</v>
      </c>
      <c r="T51" s="289">
        <f t="shared" si="34"/>
        <v>1273.9694690827391</v>
      </c>
      <c r="U51" s="290">
        <f t="shared" si="35"/>
        <v>1314.2989665699788</v>
      </c>
      <c r="V51" s="290">
        <f t="shared" si="36"/>
        <v>989.80736817503202</v>
      </c>
      <c r="W51" s="290">
        <f t="shared" si="37"/>
        <v>-1283.7825304186572</v>
      </c>
      <c r="X51" s="292">
        <f t="shared" si="38"/>
        <v>6571.4665090537246</v>
      </c>
      <c r="Y51" s="293">
        <f ca="1">IF(AND(Y$22=TRUE,INDEX(CDRANGE_CLS2,MATCH($A51,$A$24:$A$67,0),MATCH(Y$20,$B$20:$G$20,0))&lt;$D$6/OPDAYS_Cls2),86,payback(C51,T51,disc_rate/12,85))</f>
        <v>6</v>
      </c>
      <c r="Z51" s="294">
        <f ca="1">IF(AND(Z$22=TRUE,INDEX(CDRANGE_CLS2,MATCH($A51,$A$24:$A$67,0),MATCH(Z$20,$B$20:$G$20,0))&lt;$D$6/OPDAYS_Cls2),86,payback(D51,U51,disc_rate/12,85))</f>
        <v>6</v>
      </c>
      <c r="AA51" s="294">
        <f ca="1">IF(AND(AA$22=TRUE,INDEX(CDRANGE_CLS2,MATCH($A51,$A$24:$A$67,0),MATCH(AA$20,$B$20:$G$20,0))&lt;$D$6/OPDAYS_Cls2),86,payback(E51,V51,disc_rate/12,85))</f>
        <v>27</v>
      </c>
      <c r="AB51" s="294">
        <f>IF(AND(AB$22=TRUE,INDEX(CDRANGE_CLS2,MATCH($A51,$A$24:$A$67,0),MATCH(AB$20,$B$20:$G$20,0))&lt;$D$6/OPDAYS_Cls2),86,payback(F51,W51,disc_rate/12,85))</f>
        <v>86</v>
      </c>
      <c r="AC51" s="295">
        <f ca="1">IF(AND(AC$22=TRUE,INDEX(CDRANGE_CLS2,MATCH($A51,$A$24:$A$67,0),MATCH(AC$20,$B$20:$G$20,0))&lt;$D$6/OPDAYS_Cls2),86,payback(G51,X51,disc_rate/12,85))</f>
        <v>3</v>
      </c>
      <c r="AD51" s="296">
        <f t="shared" si="39"/>
        <v>0</v>
      </c>
      <c r="AE51" s="297">
        <f t="shared" si="40"/>
        <v>0</v>
      </c>
      <c r="AF51" s="297">
        <f t="shared" si="41"/>
        <v>0</v>
      </c>
      <c r="AG51" s="297">
        <f t="shared" si="42"/>
        <v>0</v>
      </c>
      <c r="AH51" s="298">
        <f t="shared" si="43"/>
        <v>0</v>
      </c>
      <c r="AI51" s="299">
        <f t="shared" si="44"/>
        <v>0.4999773010656488</v>
      </c>
      <c r="AJ51" s="300">
        <f t="shared" si="45"/>
        <v>0.4999773010656488</v>
      </c>
      <c r="AK51" s="300">
        <f t="shared" si="46"/>
        <v>0.4999773010656488</v>
      </c>
      <c r="AL51" s="300">
        <f t="shared" si="47"/>
        <v>0.39632486519556798</v>
      </c>
      <c r="AM51" s="301">
        <f t="shared" si="48"/>
        <v>0.46584623016534166</v>
      </c>
      <c r="AN51" s="299">
        <f t="shared" si="60"/>
        <v>0.99374519890748736</v>
      </c>
      <c r="AO51" s="300">
        <f t="shared" si="60"/>
        <v>0.99329991717245192</v>
      </c>
      <c r="AP51" s="300">
        <f t="shared" si="60"/>
        <v>0.92389879296407074</v>
      </c>
      <c r="AQ51" s="300">
        <f t="shared" si="60"/>
        <v>0.83620557344943125</v>
      </c>
      <c r="AR51" s="598">
        <f t="shared" si="60"/>
        <v>0.96967804963336635</v>
      </c>
      <c r="AS51" s="282">
        <f t="shared" ca="1" si="50"/>
        <v>0.99995460213129761</v>
      </c>
      <c r="AT51" s="283">
        <f t="shared" ca="1" si="51"/>
        <v>0.99995460213129761</v>
      </c>
      <c r="AU51" s="283">
        <f t="shared" ca="1" si="52"/>
        <v>0.45548482775499993</v>
      </c>
      <c r="AV51" s="283">
        <f t="shared" si="53"/>
        <v>0</v>
      </c>
      <c r="AW51" s="284">
        <f t="shared" ca="1" si="54"/>
        <v>0.93169246033068331</v>
      </c>
      <c r="AX51" s="296">
        <f t="shared" ca="1" si="55"/>
        <v>0.99370008499342377</v>
      </c>
      <c r="AY51" s="297">
        <f t="shared" ca="1" si="56"/>
        <v>0.99325482347323002</v>
      </c>
      <c r="AZ51" s="297">
        <f t="shared" ca="1" si="57"/>
        <v>0.42082188257629211</v>
      </c>
      <c r="BA51" s="283">
        <f t="shared" si="61"/>
        <v>0</v>
      </c>
      <c r="BB51" s="284">
        <f t="shared" ca="1" si="62"/>
        <v>0.9034417277915695</v>
      </c>
      <c r="BC51" s="282">
        <f t="shared" ca="1" si="63"/>
        <v>6.2999150065761178E-3</v>
      </c>
      <c r="BD51" s="283">
        <f t="shared" ca="1" si="64"/>
        <v>0.30387020459632658</v>
      </c>
      <c r="BE51" s="283">
        <f t="shared" ca="1" si="65"/>
        <v>0.30373404509379309</v>
      </c>
      <c r="BF51" s="283">
        <f t="shared" ca="1" si="66"/>
        <v>0.12868594205455408</v>
      </c>
      <c r="BG51" s="283">
        <f t="shared" ca="1" si="67"/>
        <v>0</v>
      </c>
      <c r="BH51" s="284">
        <f t="shared" ca="1" si="68"/>
        <v>0.25740989324875002</v>
      </c>
    </row>
    <row r="52" spans="1:60" ht="15" thickBot="1" x14ac:dyDescent="0.25">
      <c r="A52" s="302">
        <v>2035</v>
      </c>
      <c r="B52" s="822">
        <f t="shared" si="71"/>
        <v>141725.82999999999</v>
      </c>
      <c r="C52" s="823">
        <f t="shared" si="71"/>
        <v>6735.78</v>
      </c>
      <c r="D52" s="823">
        <f t="shared" si="71"/>
        <v>6972.2</v>
      </c>
      <c r="E52" s="823">
        <f t="shared" si="71"/>
        <v>21394.18</v>
      </c>
      <c r="F52" s="823">
        <f t="shared" si="71"/>
        <v>30618.720000000001</v>
      </c>
      <c r="G52" s="824">
        <f t="shared" si="71"/>
        <v>12676.64</v>
      </c>
      <c r="H52" s="977">
        <f t="shared" si="72"/>
        <v>1</v>
      </c>
      <c r="I52" s="978">
        <f t="shared" si="72"/>
        <v>1</v>
      </c>
      <c r="J52" s="978">
        <f t="shared" si="72"/>
        <v>1</v>
      </c>
      <c r="K52" s="978">
        <f t="shared" si="72"/>
        <v>0.84294525232179152</v>
      </c>
      <c r="L52" s="978">
        <f t="shared" si="72"/>
        <v>1</v>
      </c>
      <c r="M52" s="979">
        <f t="shared" si="72"/>
        <v>1</v>
      </c>
      <c r="N52" s="303">
        <f t="shared" si="28"/>
        <v>8638.7599851703344</v>
      </c>
      <c r="O52" s="304">
        <f t="shared" si="29"/>
        <v>7354.0982076885139</v>
      </c>
      <c r="P52" s="304">
        <f t="shared" si="30"/>
        <v>7313.4302284439182</v>
      </c>
      <c r="Q52" s="304">
        <f t="shared" si="31"/>
        <v>7477.798242329528</v>
      </c>
      <c r="R52" s="304">
        <f t="shared" si="32"/>
        <v>9634.9766134416604</v>
      </c>
      <c r="S52" s="306">
        <f t="shared" si="33"/>
        <v>1957.7488874850426</v>
      </c>
      <c r="T52" s="303">
        <f t="shared" si="34"/>
        <v>1284.6617774818205</v>
      </c>
      <c r="U52" s="304">
        <f t="shared" si="35"/>
        <v>1325.3297567264162</v>
      </c>
      <c r="V52" s="304">
        <f t="shared" si="36"/>
        <v>1160.9617428408064</v>
      </c>
      <c r="W52" s="304">
        <f t="shared" si="37"/>
        <v>-996.21662827132604</v>
      </c>
      <c r="X52" s="306">
        <f t="shared" si="38"/>
        <v>6681.011097685292</v>
      </c>
      <c r="Y52" s="307">
        <f ca="1">IF(AND(Y$22=TRUE,INDEX(CDRANGE_CLS2,MATCH($A52,$A$24:$A$67,0),MATCH(Y$20,$B$20:$G$20,0))&lt;$D$6/OPDAYS_Cls2),86,payback(C52,T52,disc_rate/12,85))</f>
        <v>6</v>
      </c>
      <c r="Z52" s="308">
        <f ca="1">IF(AND(Z$22=TRUE,INDEX(CDRANGE_CLS2,MATCH($A52,$A$24:$A$67,0),MATCH(Z$20,$B$20:$G$20,0))&lt;$D$6/OPDAYS_Cls2),86,payback(D52,U52,disc_rate/12,85))</f>
        <v>6</v>
      </c>
      <c r="AA52" s="308">
        <f ca="1">IF(AND(AA$22=TRUE,INDEX(CDRANGE_CLS2,MATCH($A52,$A$24:$A$67,0),MATCH(AA$20,$B$20:$G$20,0))&lt;$D$6/OPDAYS_Cls2),86,payback(E52,V52,disc_rate/12,85))</f>
        <v>20</v>
      </c>
      <c r="AB52" s="308">
        <f>IF(AND(AB$22=TRUE,INDEX(CDRANGE_CLS2,MATCH($A52,$A$24:$A$67,0),MATCH(AB$20,$B$20:$G$20,0))&lt;$D$6/OPDAYS_Cls2),86,payback(F52,W52,disc_rate/12,85))</f>
        <v>86</v>
      </c>
      <c r="AC52" s="309">
        <f ca="1">IF(AND(AC$22=TRUE,INDEX(CDRANGE_CLS2,MATCH($A52,$A$24:$A$67,0),MATCH(AC$20,$B$20:$G$20,0))&lt;$D$6/OPDAYS_Cls2),86,payback(G52,X52,disc_rate/12,85))</f>
        <v>2</v>
      </c>
      <c r="AD52" s="310">
        <f t="shared" si="39"/>
        <v>0</v>
      </c>
      <c r="AE52" s="311">
        <f t="shared" si="40"/>
        <v>0</v>
      </c>
      <c r="AF52" s="311">
        <f t="shared" si="41"/>
        <v>0</v>
      </c>
      <c r="AG52" s="311">
        <f t="shared" si="42"/>
        <v>0</v>
      </c>
      <c r="AH52" s="312">
        <f t="shared" si="43"/>
        <v>0</v>
      </c>
      <c r="AI52" s="313">
        <f t="shared" si="44"/>
        <v>0.49999164928907602</v>
      </c>
      <c r="AJ52" s="314">
        <f t="shared" si="45"/>
        <v>0.49999164928907602</v>
      </c>
      <c r="AK52" s="314">
        <f t="shared" si="46"/>
        <v>0.49999164928907602</v>
      </c>
      <c r="AL52" s="314">
        <f t="shared" si="47"/>
        <v>0.42805300184955236</v>
      </c>
      <c r="AM52" s="315">
        <f t="shared" si="48"/>
        <v>0.46585959890384021</v>
      </c>
      <c r="AN52" s="313">
        <f t="shared" si="60"/>
        <v>0.99374519890748736</v>
      </c>
      <c r="AO52" s="314">
        <f t="shared" si="60"/>
        <v>0.99329991717245192</v>
      </c>
      <c r="AP52" s="314">
        <f t="shared" si="60"/>
        <v>0.93866360297126727</v>
      </c>
      <c r="AQ52" s="314">
        <f t="shared" si="60"/>
        <v>0.8784025499636815</v>
      </c>
      <c r="AR52" s="599">
        <f t="shared" si="60"/>
        <v>0.97802185611245773</v>
      </c>
      <c r="AS52" s="829">
        <f t="shared" ca="1" si="50"/>
        <v>0.99998329857815205</v>
      </c>
      <c r="AT52" s="830">
        <f t="shared" ca="1" si="51"/>
        <v>0.99998329857815205</v>
      </c>
      <c r="AU52" s="830">
        <f t="shared" ca="1" si="52"/>
        <v>0.68452759710620825</v>
      </c>
      <c r="AV52" s="830">
        <f t="shared" si="53"/>
        <v>0</v>
      </c>
      <c r="AW52" s="831">
        <f t="shared" ca="1" si="54"/>
        <v>0.93171919780768042</v>
      </c>
      <c r="AX52" s="310">
        <f t="shared" ca="1" si="55"/>
        <v>0.99372860194971102</v>
      </c>
      <c r="AY52" s="311">
        <f t="shared" ca="1" si="56"/>
        <v>0.99328332765151373</v>
      </c>
      <c r="AZ52" s="311">
        <f t="shared" ca="1" si="57"/>
        <v>0.64254114063297751</v>
      </c>
      <c r="BA52" s="311">
        <f t="shared" si="61"/>
        <v>0</v>
      </c>
      <c r="BB52" s="312">
        <f t="shared" ca="1" si="62"/>
        <v>0.9112417392154778</v>
      </c>
      <c r="BC52" s="310">
        <f t="shared" ca="1" si="63"/>
        <v>6.2713980502888678E-3</v>
      </c>
      <c r="BD52" s="311">
        <f t="shared" ca="1" si="64"/>
        <v>0.28387849995295544</v>
      </c>
      <c r="BE52" s="311">
        <f t="shared" ca="1" si="65"/>
        <v>0.28375129842168034</v>
      </c>
      <c r="BF52" s="311">
        <f t="shared" ca="1" si="66"/>
        <v>0.18355476012572436</v>
      </c>
      <c r="BG52" s="311">
        <f t="shared" ca="1" si="67"/>
        <v>0</v>
      </c>
      <c r="BH52" s="312">
        <f t="shared" ca="1" si="68"/>
        <v>0.24254404344935093</v>
      </c>
    </row>
    <row r="53" spans="1:60" x14ac:dyDescent="0.2">
      <c r="A53" s="316">
        <v>2036</v>
      </c>
      <c r="B53" s="825">
        <f t="shared" si="71"/>
        <v>141725.82999999999</v>
      </c>
      <c r="C53" s="826">
        <f t="shared" si="71"/>
        <v>6735.78</v>
      </c>
      <c r="D53" s="826">
        <f t="shared" si="71"/>
        <v>6972.2</v>
      </c>
      <c r="E53" s="826">
        <f t="shared" si="71"/>
        <v>21247.83</v>
      </c>
      <c r="F53" s="826">
        <f t="shared" si="71"/>
        <v>30039.75</v>
      </c>
      <c r="G53" s="827">
        <f t="shared" si="71"/>
        <v>12143.89</v>
      </c>
      <c r="H53" s="980">
        <f t="shared" si="72"/>
        <v>1</v>
      </c>
      <c r="I53" s="981">
        <f t="shared" si="72"/>
        <v>1</v>
      </c>
      <c r="J53" s="981">
        <f t="shared" si="72"/>
        <v>1</v>
      </c>
      <c r="K53" s="981">
        <f t="shared" si="72"/>
        <v>0.84284272171022323</v>
      </c>
      <c r="L53" s="981">
        <f t="shared" si="72"/>
        <v>1</v>
      </c>
      <c r="M53" s="982">
        <f t="shared" si="72"/>
        <v>1</v>
      </c>
      <c r="N53" s="275">
        <f t="shared" si="28"/>
        <v>8722.3544525773323</v>
      </c>
      <c r="O53" s="276">
        <f t="shared" si="29"/>
        <v>7425.2614213888355</v>
      </c>
      <c r="P53" s="276">
        <f t="shared" si="30"/>
        <v>7384.1999113514757</v>
      </c>
      <c r="Q53" s="276">
        <f t="shared" si="31"/>
        <v>7477.947033930669</v>
      </c>
      <c r="R53" s="276">
        <f t="shared" si="32"/>
        <v>9519.0123178959439</v>
      </c>
      <c r="S53" s="278">
        <f t="shared" si="33"/>
        <v>1936.8415315196389</v>
      </c>
      <c r="T53" s="275">
        <f t="shared" si="34"/>
        <v>1297.0930311884968</v>
      </c>
      <c r="U53" s="276">
        <f t="shared" si="35"/>
        <v>1338.1545412258565</v>
      </c>
      <c r="V53" s="276">
        <f t="shared" si="36"/>
        <v>1244.4074186466632</v>
      </c>
      <c r="W53" s="276">
        <f t="shared" si="37"/>
        <v>-796.65786531861158</v>
      </c>
      <c r="X53" s="278">
        <f t="shared" si="38"/>
        <v>6785.5129210576933</v>
      </c>
      <c r="Y53" s="279">
        <f ca="1">IF(AND(Y$22=TRUE,INDEX(CDRANGE_CLS2,MATCH($A53,$A$24:$A$67,0),MATCH(Y$20,$B$20:$G$20,0))&lt;$D$6/OPDAYS_Cls2),86,payback(C53,T53,disc_rate/12,85))</f>
        <v>6</v>
      </c>
      <c r="Z53" s="280">
        <f ca="1">IF(AND(Z$22=TRUE,INDEX(CDRANGE_CLS2,MATCH($A53,$A$24:$A$67,0),MATCH(Z$20,$B$20:$G$20,0))&lt;$D$6/OPDAYS_Cls2),86,payback(D53,U53,disc_rate/12,85))</f>
        <v>6</v>
      </c>
      <c r="AA53" s="280">
        <f ca="1">IF(AND(AA$22=TRUE,INDEX(CDRANGE_CLS2,MATCH($A53,$A$24:$A$67,0),MATCH(AA$20,$B$20:$G$20,0))&lt;$D$6/OPDAYS_Cls2),86,payback(E53,V53,disc_rate/12,85))</f>
        <v>19</v>
      </c>
      <c r="AB53" s="280">
        <f>IF(AND(AB$22=TRUE,INDEX(CDRANGE_CLS2,MATCH($A53,$A$24:$A$67,0),MATCH(AB$20,$B$20:$G$20,0))&lt;$D$6/OPDAYS_Cls2),86,payback(F53,W53,disc_rate/12,85))</f>
        <v>86</v>
      </c>
      <c r="AC53" s="281">
        <f ca="1">IF(AND(AC$22=TRUE,INDEX(CDRANGE_CLS2,MATCH($A53,$A$24:$A$67,0),MATCH(AC$20,$B$20:$G$20,0))&lt;$D$6/OPDAYS_Cls2),86,payback(G53,X53,disc_rate/12,85))</f>
        <v>2</v>
      </c>
      <c r="AD53" s="282">
        <f t="shared" si="39"/>
        <v>0</v>
      </c>
      <c r="AE53" s="283">
        <f t="shared" si="40"/>
        <v>0</v>
      </c>
      <c r="AF53" s="283">
        <f t="shared" si="41"/>
        <v>0</v>
      </c>
      <c r="AG53" s="283">
        <f t="shared" si="42"/>
        <v>0</v>
      </c>
      <c r="AH53" s="284">
        <f t="shared" si="43"/>
        <v>0</v>
      </c>
      <c r="AI53" s="285">
        <f t="shared" si="44"/>
        <v>0.4999969279126989</v>
      </c>
      <c r="AJ53" s="286">
        <f t="shared" si="45"/>
        <v>0.4999969279126989</v>
      </c>
      <c r="AK53" s="286">
        <f t="shared" si="46"/>
        <v>0.4999969279126989</v>
      </c>
      <c r="AL53" s="286">
        <f t="shared" si="47"/>
        <v>0.4454387621512283</v>
      </c>
      <c r="AM53" s="287">
        <f t="shared" si="48"/>
        <v>0.46586451718094984</v>
      </c>
      <c r="AN53" s="285">
        <f t="shared" si="60"/>
        <v>0.99374519890748736</v>
      </c>
      <c r="AO53" s="286">
        <f t="shared" si="60"/>
        <v>0.99329991717245192</v>
      </c>
      <c r="AP53" s="286">
        <f t="shared" si="60"/>
        <v>0.9394740549251035</v>
      </c>
      <c r="AQ53" s="286">
        <f t="shared" si="60"/>
        <v>0.88267912051781494</v>
      </c>
      <c r="AR53" s="611">
        <f t="shared" si="60"/>
        <v>0.97981196603758702</v>
      </c>
      <c r="AS53" s="637">
        <f t="shared" ca="1" si="50"/>
        <v>0.99999385582539779</v>
      </c>
      <c r="AT53" s="638">
        <f t="shared" ca="1" si="51"/>
        <v>0.99999385582539779</v>
      </c>
      <c r="AU53" s="638">
        <f t="shared" ca="1" si="52"/>
        <v>0.71771336010632658</v>
      </c>
      <c r="AV53" s="638">
        <f t="shared" si="53"/>
        <v>0</v>
      </c>
      <c r="AW53" s="639">
        <f t="shared" ca="1" si="54"/>
        <v>0.93172903436189969</v>
      </c>
      <c r="AX53" s="282">
        <f t="shared" ca="1" si="55"/>
        <v>0.9937390931634752</v>
      </c>
      <c r="AY53" s="283">
        <f t="shared" ca="1" si="56"/>
        <v>0.99329381416432849</v>
      </c>
      <c r="AZ53" s="283">
        <f t="shared" ca="1" si="57"/>
        <v>0.67427308069301162</v>
      </c>
      <c r="BA53" s="283">
        <f t="shared" si="61"/>
        <v>0</v>
      </c>
      <c r="BB53" s="284">
        <f t="shared" ca="1" si="62"/>
        <v>0.91291925697243537</v>
      </c>
      <c r="BC53" s="282">
        <f t="shared" ca="1" si="63"/>
        <v>6.2609068365246934E-3</v>
      </c>
      <c r="BD53" s="283">
        <f t="shared" ca="1" si="64"/>
        <v>0.28119140466739656</v>
      </c>
      <c r="BE53" s="283">
        <f t="shared" ca="1" si="65"/>
        <v>0.28106540718163764</v>
      </c>
      <c r="BF53" s="283">
        <f t="shared" ca="1" si="66"/>
        <v>0.19079434027890316</v>
      </c>
      <c r="BG53" s="283">
        <f t="shared" ca="1" si="67"/>
        <v>0</v>
      </c>
      <c r="BH53" s="284">
        <f t="shared" ca="1" si="68"/>
        <v>0.24068794103553792</v>
      </c>
    </row>
    <row r="54" spans="1:60" x14ac:dyDescent="0.2">
      <c r="A54" s="317">
        <v>2037</v>
      </c>
      <c r="B54" s="819">
        <f t="shared" ref="B54:G67" si="73">ROUND(INDEX(COST_Cls2,$A54-($A$24-1),MATCH(B$20,TECHOPTS_Cls2,0)),2)</f>
        <v>141725.82999999999</v>
      </c>
      <c r="C54" s="820">
        <f t="shared" si="73"/>
        <v>6735.78</v>
      </c>
      <c r="D54" s="820">
        <f t="shared" si="73"/>
        <v>6972.2</v>
      </c>
      <c r="E54" s="820">
        <f t="shared" si="73"/>
        <v>21101.47</v>
      </c>
      <c r="F54" s="820">
        <f t="shared" si="73"/>
        <v>29460.78</v>
      </c>
      <c r="G54" s="821">
        <f t="shared" si="73"/>
        <v>11611.15</v>
      </c>
      <c r="H54" s="983">
        <f t="shared" ref="H54:M67" si="74">IF(H$21="Single-fuel",1,1-MIN(INDEX(CDRANGE_CLS2,$A54-($A$24-1),MATCH(H$20,TECHOPTS_Cls2,0))*OPDAYS_Cls2/$D$6,1))</f>
        <v>1</v>
      </c>
      <c r="I54" s="984">
        <f t="shared" si="74"/>
        <v>1</v>
      </c>
      <c r="J54" s="984">
        <f t="shared" si="74"/>
        <v>1</v>
      </c>
      <c r="K54" s="984">
        <f t="shared" si="74"/>
        <v>0.84274019109865506</v>
      </c>
      <c r="L54" s="984">
        <f t="shared" si="74"/>
        <v>1</v>
      </c>
      <c r="M54" s="985">
        <f t="shared" si="74"/>
        <v>1</v>
      </c>
      <c r="N54" s="289">
        <f t="shared" si="28"/>
        <v>8781.6036001024077</v>
      </c>
      <c r="O54" s="290">
        <f t="shared" si="29"/>
        <v>7475.6996845619324</v>
      </c>
      <c r="P54" s="290">
        <f t="shared" si="30"/>
        <v>7434.3592521901237</v>
      </c>
      <c r="Q54" s="290">
        <f t="shared" si="31"/>
        <v>7464.4991030623614</v>
      </c>
      <c r="R54" s="290">
        <f t="shared" si="32"/>
        <v>9427.2127934837499</v>
      </c>
      <c r="S54" s="292">
        <f t="shared" si="33"/>
        <v>1917.2576659720328</v>
      </c>
      <c r="T54" s="289">
        <f t="shared" si="34"/>
        <v>1305.9039155404753</v>
      </c>
      <c r="U54" s="290">
        <f t="shared" si="35"/>
        <v>1347.244347912284</v>
      </c>
      <c r="V54" s="290">
        <f t="shared" si="36"/>
        <v>1317.1044970400462</v>
      </c>
      <c r="W54" s="290">
        <f t="shared" si="37"/>
        <v>-645.60919338134227</v>
      </c>
      <c r="X54" s="292">
        <f t="shared" si="38"/>
        <v>6864.3459341303751</v>
      </c>
      <c r="Y54" s="293">
        <f ca="1">IF(AND(Y$22=TRUE,INDEX(CDRANGE_CLS2,MATCH($A54,$A$24:$A$67,0),MATCH(Y$20,$B$20:$G$20,0))&lt;$D$6/OPDAYS_Cls2),86,payback(C54,T54,disc_rate/12,85))</f>
        <v>6</v>
      </c>
      <c r="Z54" s="294">
        <f ca="1">IF(AND(Z$22=TRUE,INDEX(CDRANGE_CLS2,MATCH($A54,$A$24:$A$67,0),MATCH(Z$20,$B$20:$G$20,0))&lt;$D$6/OPDAYS_Cls2),86,payback(D54,U54,disc_rate/12,85))</f>
        <v>6</v>
      </c>
      <c r="AA54" s="294">
        <f ca="1">IF(AND(AA$22=TRUE,INDEX(CDRANGE_CLS2,MATCH($A54,$A$24:$A$67,0),MATCH(AA$20,$B$20:$G$20,0))&lt;$D$6/OPDAYS_Cls2),86,payback(E54,V54,disc_rate/12,85))</f>
        <v>17</v>
      </c>
      <c r="AB54" s="294">
        <f>IF(AND(AB$22=TRUE,INDEX(CDRANGE_CLS2,MATCH($A54,$A$24:$A$67,0),MATCH(AB$20,$B$20:$G$20,0))&lt;$D$6/OPDAYS_Cls2),86,payback(F54,W54,disc_rate/12,85))</f>
        <v>86</v>
      </c>
      <c r="AC54" s="295">
        <f ca="1">IF(AND(AC$22=TRUE,INDEX(CDRANGE_CLS2,MATCH($A54,$A$24:$A$67,0),MATCH(AC$20,$B$20:$G$20,0))&lt;$D$6/OPDAYS_Cls2),86,payback(G54,X54,disc_rate/12,85))</f>
        <v>2</v>
      </c>
      <c r="AD54" s="296">
        <f t="shared" si="39"/>
        <v>0</v>
      </c>
      <c r="AE54" s="297">
        <f t="shared" si="40"/>
        <v>0</v>
      </c>
      <c r="AF54" s="297">
        <f t="shared" si="41"/>
        <v>0</v>
      </c>
      <c r="AG54" s="297">
        <f t="shared" si="42"/>
        <v>0</v>
      </c>
      <c r="AH54" s="298">
        <f t="shared" si="43"/>
        <v>0</v>
      </c>
      <c r="AI54" s="299">
        <f t="shared" si="44"/>
        <v>0.49999886983785102</v>
      </c>
      <c r="AJ54" s="300">
        <f t="shared" si="45"/>
        <v>0.49999886983785102</v>
      </c>
      <c r="AK54" s="300">
        <f t="shared" si="46"/>
        <v>0.49999886983785102</v>
      </c>
      <c r="AL54" s="300">
        <f t="shared" si="47"/>
        <v>0.46586632654011367</v>
      </c>
      <c r="AM54" s="301">
        <f t="shared" si="48"/>
        <v>0.46586632654011367</v>
      </c>
      <c r="AN54" s="299">
        <f t="shared" si="60"/>
        <v>0.99374519890748736</v>
      </c>
      <c r="AO54" s="300">
        <f t="shared" si="60"/>
        <v>0.99329991717245192</v>
      </c>
      <c r="AP54" s="300">
        <f t="shared" si="60"/>
        <v>0.94027969127821909</v>
      </c>
      <c r="AQ54" s="300">
        <f t="shared" si="60"/>
        <v>0.88689428126154379</v>
      </c>
      <c r="AR54" s="598">
        <f t="shared" si="60"/>
        <v>0.98152826675521443</v>
      </c>
      <c r="AS54" s="282">
        <f t="shared" ca="1" si="50"/>
        <v>0.99999773967570205</v>
      </c>
      <c r="AT54" s="283">
        <f t="shared" ca="1" si="51"/>
        <v>0.99999773967570205</v>
      </c>
      <c r="AU54" s="283">
        <f t="shared" ca="1" si="52"/>
        <v>0.78227830120026642</v>
      </c>
      <c r="AV54" s="283">
        <f t="shared" si="53"/>
        <v>0</v>
      </c>
      <c r="AW54" s="284">
        <f t="shared" ca="1" si="54"/>
        <v>0.93173265308022735</v>
      </c>
      <c r="AX54" s="296">
        <f t="shared" ca="1" si="55"/>
        <v>0.99374295272106827</v>
      </c>
      <c r="AY54" s="297">
        <f t="shared" ca="1" si="56"/>
        <v>0.99329767199251395</v>
      </c>
      <c r="AZ54" s="297">
        <f t="shared" ca="1" si="57"/>
        <v>0.7355603995462362</v>
      </c>
      <c r="BA54" s="283">
        <f t="shared" si="61"/>
        <v>0</v>
      </c>
      <c r="BB54" s="284">
        <f t="shared" ca="1" si="62"/>
        <v>0.9145219360570731</v>
      </c>
      <c r="BC54" s="282">
        <f t="shared" ca="1" si="63"/>
        <v>6.2570472789317266E-3</v>
      </c>
      <c r="BD54" s="283">
        <f t="shared" ca="1" si="64"/>
        <v>0.27625451575714194</v>
      </c>
      <c r="BE54" s="283">
        <f t="shared" ca="1" si="65"/>
        <v>0.27613073041435693</v>
      </c>
      <c r="BF54" s="283">
        <f t="shared" ca="1" si="66"/>
        <v>0.20448133134465774</v>
      </c>
      <c r="BG54" s="283">
        <f t="shared" ca="1" si="67"/>
        <v>0</v>
      </c>
      <c r="BH54" s="284">
        <f t="shared" ca="1" si="68"/>
        <v>0.23687637520491164</v>
      </c>
    </row>
    <row r="55" spans="1:60" x14ac:dyDescent="0.2">
      <c r="A55" s="317">
        <v>2038</v>
      </c>
      <c r="B55" s="819">
        <f t="shared" si="73"/>
        <v>141725.82999999999</v>
      </c>
      <c r="C55" s="820">
        <f t="shared" si="73"/>
        <v>6735.78</v>
      </c>
      <c r="D55" s="820">
        <f t="shared" si="73"/>
        <v>6972.2</v>
      </c>
      <c r="E55" s="820">
        <f t="shared" si="73"/>
        <v>20955.12</v>
      </c>
      <c r="F55" s="820">
        <f t="shared" si="73"/>
        <v>28881.82</v>
      </c>
      <c r="G55" s="821">
        <f t="shared" si="73"/>
        <v>11078.4</v>
      </c>
      <c r="H55" s="983">
        <f t="shared" si="74"/>
        <v>1</v>
      </c>
      <c r="I55" s="984">
        <f t="shared" si="74"/>
        <v>1</v>
      </c>
      <c r="J55" s="984">
        <f t="shared" si="74"/>
        <v>1</v>
      </c>
      <c r="K55" s="984">
        <f t="shared" si="74"/>
        <v>0.84263766048708677</v>
      </c>
      <c r="L55" s="984">
        <f t="shared" si="74"/>
        <v>1</v>
      </c>
      <c r="M55" s="985">
        <f t="shared" si="74"/>
        <v>1</v>
      </c>
      <c r="N55" s="289">
        <f t="shared" si="28"/>
        <v>8855.7978948772979</v>
      </c>
      <c r="O55" s="290">
        <f t="shared" si="29"/>
        <v>7538.8606163578597</v>
      </c>
      <c r="P55" s="290">
        <f t="shared" si="30"/>
        <v>7497.1709056121699</v>
      </c>
      <c r="Q55" s="290">
        <f t="shared" si="31"/>
        <v>7458.0867571054023</v>
      </c>
      <c r="R55" s="290">
        <f t="shared" si="32"/>
        <v>9313.2100243559853</v>
      </c>
      <c r="S55" s="292">
        <f t="shared" si="33"/>
        <v>1898.0657860062017</v>
      </c>
      <c r="T55" s="289">
        <f t="shared" si="34"/>
        <v>1316.9372785194382</v>
      </c>
      <c r="U55" s="290">
        <f t="shared" si="35"/>
        <v>1358.626989265128</v>
      </c>
      <c r="V55" s="290">
        <f t="shared" si="36"/>
        <v>1397.7111377718957</v>
      </c>
      <c r="W55" s="290">
        <f t="shared" si="37"/>
        <v>-457.41212947868735</v>
      </c>
      <c r="X55" s="292">
        <f t="shared" si="38"/>
        <v>6957.732108871096</v>
      </c>
      <c r="Y55" s="293">
        <f ca="1">IF(AND(Y$22=TRUE,INDEX(CDRANGE_CLS2,MATCH($A55,$A$24:$A$67,0),MATCH(Y$20,$B$20:$G$20,0))&lt;$D$6/OPDAYS_Cls2),86,payback(C55,T55,disc_rate/12,85))</f>
        <v>6</v>
      </c>
      <c r="Z55" s="294">
        <f ca="1">IF(AND(Z$22=TRUE,INDEX(CDRANGE_CLS2,MATCH($A55,$A$24:$A$67,0),MATCH(Z$20,$B$20:$G$20,0))&lt;$D$6/OPDAYS_Cls2),86,payback(D55,U55,disc_rate/12,85))</f>
        <v>6</v>
      </c>
      <c r="AA55" s="294">
        <f ca="1">IF(AND(AA$22=TRUE,INDEX(CDRANGE_CLS2,MATCH($A55,$A$24:$A$67,0),MATCH(AA$20,$B$20:$G$20,0))&lt;$D$6/OPDAYS_Cls2),86,payback(E55,V55,disc_rate/12,85))</f>
        <v>16</v>
      </c>
      <c r="AB55" s="294">
        <f>IF(AND(AB$22=TRUE,INDEX(CDRANGE_CLS2,MATCH($A55,$A$24:$A$67,0),MATCH(AB$20,$B$20:$G$20,0))&lt;$D$6/OPDAYS_Cls2),86,payback(F55,W55,disc_rate/12,85))</f>
        <v>86</v>
      </c>
      <c r="AC55" s="295">
        <f ca="1">IF(AND(AC$22=TRUE,INDEX(CDRANGE_CLS2,MATCH($A55,$A$24:$A$67,0),MATCH(AC$20,$B$20:$G$20,0))&lt;$D$6/OPDAYS_Cls2),86,payback(G55,X55,disc_rate/12,85))</f>
        <v>2</v>
      </c>
      <c r="AD55" s="296">
        <f t="shared" si="39"/>
        <v>0</v>
      </c>
      <c r="AE55" s="297">
        <f t="shared" si="40"/>
        <v>0</v>
      </c>
      <c r="AF55" s="297">
        <f t="shared" si="41"/>
        <v>0</v>
      </c>
      <c r="AG55" s="297">
        <f t="shared" si="42"/>
        <v>0</v>
      </c>
      <c r="AH55" s="298">
        <f t="shared" si="43"/>
        <v>0</v>
      </c>
      <c r="AI55" s="299">
        <f t="shared" si="44"/>
        <v>0.49999958423598612</v>
      </c>
      <c r="AJ55" s="300">
        <f t="shared" si="45"/>
        <v>0.49999958423598612</v>
      </c>
      <c r="AK55" s="300">
        <f t="shared" si="46"/>
        <v>0.49999958423598612</v>
      </c>
      <c r="AL55" s="300">
        <f t="shared" si="47"/>
        <v>0.47598528374007315</v>
      </c>
      <c r="AM55" s="301">
        <f t="shared" si="48"/>
        <v>0.46586699216968797</v>
      </c>
      <c r="AN55" s="299">
        <f t="shared" si="60"/>
        <v>0.99374519890748736</v>
      </c>
      <c r="AO55" s="300">
        <f t="shared" si="60"/>
        <v>0.99329991717245192</v>
      </c>
      <c r="AP55" s="300">
        <f t="shared" si="60"/>
        <v>0.94108038821520967</v>
      </c>
      <c r="AQ55" s="300">
        <f t="shared" si="60"/>
        <v>0.89104688432593881</v>
      </c>
      <c r="AR55" s="598">
        <f t="shared" si="60"/>
        <v>0.98317042377456954</v>
      </c>
      <c r="AS55" s="282">
        <f t="shared" ca="1" si="50"/>
        <v>0.99999916847197223</v>
      </c>
      <c r="AT55" s="283">
        <f t="shared" ca="1" si="51"/>
        <v>0.99999916847197223</v>
      </c>
      <c r="AU55" s="283">
        <f t="shared" ca="1" si="52"/>
        <v>0.81315478511521033</v>
      </c>
      <c r="AV55" s="283">
        <f t="shared" si="53"/>
        <v>0</v>
      </c>
      <c r="AW55" s="284">
        <f t="shared" ca="1" si="54"/>
        <v>0.93173398433937593</v>
      </c>
      <c r="AX55" s="296">
        <f t="shared" ca="1" si="55"/>
        <v>0.99374437258050197</v>
      </c>
      <c r="AY55" s="297">
        <f t="shared" ca="1" si="56"/>
        <v>0.99329909121573079</v>
      </c>
      <c r="AZ55" s="297">
        <f t="shared" ca="1" si="57"/>
        <v>0.76524402085527754</v>
      </c>
      <c r="BA55" s="283">
        <f t="shared" si="61"/>
        <v>0</v>
      </c>
      <c r="BB55" s="284">
        <f t="shared" ca="1" si="62"/>
        <v>0.91605329622811238</v>
      </c>
      <c r="BC55" s="282">
        <f t="shared" ca="1" si="63"/>
        <v>6.2556274194980332E-3</v>
      </c>
      <c r="BD55" s="283">
        <f t="shared" ca="1" si="64"/>
        <v>0.27387159159637192</v>
      </c>
      <c r="BE55" s="283">
        <f t="shared" ca="1" si="65"/>
        <v>0.27374887400476294</v>
      </c>
      <c r="BF55" s="283">
        <f t="shared" ca="1" si="66"/>
        <v>0.21089789661602776</v>
      </c>
      <c r="BG55" s="283">
        <f t="shared" ca="1" si="67"/>
        <v>0</v>
      </c>
      <c r="BH55" s="284">
        <f t="shared" ca="1" si="68"/>
        <v>0.23522601036333929</v>
      </c>
    </row>
    <row r="56" spans="1:60" x14ac:dyDescent="0.2">
      <c r="A56" s="317">
        <v>2039</v>
      </c>
      <c r="B56" s="819">
        <f t="shared" si="73"/>
        <v>141725.82999999999</v>
      </c>
      <c r="C56" s="820">
        <f t="shared" si="73"/>
        <v>6735.78</v>
      </c>
      <c r="D56" s="820">
        <f t="shared" si="73"/>
        <v>6972.2</v>
      </c>
      <c r="E56" s="820">
        <f t="shared" si="73"/>
        <v>20808.759999999998</v>
      </c>
      <c r="F56" s="820">
        <f t="shared" si="73"/>
        <v>28302.85</v>
      </c>
      <c r="G56" s="821">
        <f t="shared" si="73"/>
        <v>10545.66</v>
      </c>
      <c r="H56" s="983">
        <f t="shared" si="74"/>
        <v>1</v>
      </c>
      <c r="I56" s="984">
        <f t="shared" si="74"/>
        <v>1</v>
      </c>
      <c r="J56" s="984">
        <f t="shared" si="74"/>
        <v>1</v>
      </c>
      <c r="K56" s="984">
        <f t="shared" si="74"/>
        <v>0.84253512987551848</v>
      </c>
      <c r="L56" s="984">
        <f t="shared" si="74"/>
        <v>1</v>
      </c>
      <c r="M56" s="985">
        <f t="shared" si="74"/>
        <v>1</v>
      </c>
      <c r="N56" s="289">
        <f t="shared" si="28"/>
        <v>8931.8604600391445</v>
      </c>
      <c r="O56" s="290">
        <f t="shared" si="29"/>
        <v>7603.6119898291854</v>
      </c>
      <c r="P56" s="290">
        <f t="shared" si="30"/>
        <v>7561.5642056069082</v>
      </c>
      <c r="Q56" s="290">
        <f t="shared" si="31"/>
        <v>7438.9175830977429</v>
      </c>
      <c r="R56" s="290">
        <f t="shared" si="32"/>
        <v>9104.2315004902612</v>
      </c>
      <c r="S56" s="292">
        <f t="shared" si="33"/>
        <v>1879.2542394136387</v>
      </c>
      <c r="T56" s="289">
        <f t="shared" si="34"/>
        <v>1328.2484702099591</v>
      </c>
      <c r="U56" s="290">
        <f t="shared" si="35"/>
        <v>1370.2962544322363</v>
      </c>
      <c r="V56" s="290">
        <f t="shared" si="36"/>
        <v>1492.9428769414017</v>
      </c>
      <c r="W56" s="290">
        <f t="shared" si="37"/>
        <v>-172.37104045111664</v>
      </c>
      <c r="X56" s="292">
        <f t="shared" si="38"/>
        <v>7052.6062206255056</v>
      </c>
      <c r="Y56" s="293">
        <f ca="1">IF(AND(Y$22=TRUE,INDEX(CDRANGE_CLS2,MATCH($A56,$A$24:$A$67,0),MATCH(Y$20,$B$20:$G$20,0))&lt;$D$6/OPDAYS_Cls2),86,payback(C56,T56,disc_rate/12,85))</f>
        <v>6</v>
      </c>
      <c r="Z56" s="294">
        <f ca="1">IF(AND(Z$22=TRUE,INDEX(CDRANGE_CLS2,MATCH($A56,$A$24:$A$67,0),MATCH(Z$20,$B$20:$G$20,0))&lt;$D$6/OPDAYS_Cls2),86,payback(D56,U56,disc_rate/12,85))</f>
        <v>6</v>
      </c>
      <c r="AA56" s="294">
        <f ca="1">IF(AND(AA$22=TRUE,INDEX(CDRANGE_CLS2,MATCH($A56,$A$24:$A$67,0),MATCH(AA$20,$B$20:$G$20,0))&lt;$D$6/OPDAYS_Cls2),86,payback(E56,V56,disc_rate/12,85))</f>
        <v>15</v>
      </c>
      <c r="AB56" s="294">
        <f>IF(AND(AB$22=TRUE,INDEX(CDRANGE_CLS2,MATCH($A56,$A$24:$A$67,0),MATCH(AB$20,$B$20:$G$20,0))&lt;$D$6/OPDAYS_Cls2),86,payback(F56,W56,disc_rate/12,85))</f>
        <v>86</v>
      </c>
      <c r="AC56" s="295">
        <f ca="1">IF(AND(AC$22=TRUE,INDEX(CDRANGE_CLS2,MATCH($A56,$A$24:$A$67,0),MATCH(AC$20,$B$20:$G$20,0))&lt;$D$6/OPDAYS_Cls2),86,payback(G56,X56,disc_rate/12,85))</f>
        <v>2</v>
      </c>
      <c r="AD56" s="296">
        <f t="shared" si="39"/>
        <v>0</v>
      </c>
      <c r="AE56" s="297">
        <f t="shared" si="40"/>
        <v>0</v>
      </c>
      <c r="AF56" s="297">
        <f t="shared" si="41"/>
        <v>0</v>
      </c>
      <c r="AG56" s="297">
        <f t="shared" si="42"/>
        <v>0</v>
      </c>
      <c r="AH56" s="298">
        <f t="shared" si="43"/>
        <v>0</v>
      </c>
      <c r="AI56" s="299">
        <f t="shared" si="44"/>
        <v>0.4999998470488865</v>
      </c>
      <c r="AJ56" s="300">
        <f t="shared" si="45"/>
        <v>0.4999998470488865</v>
      </c>
      <c r="AK56" s="300">
        <f t="shared" si="46"/>
        <v>0.4999998470488865</v>
      </c>
      <c r="AL56" s="300">
        <f t="shared" si="47"/>
        <v>0.48366031202821175</v>
      </c>
      <c r="AM56" s="301">
        <f t="shared" si="48"/>
        <v>0.46586723704160238</v>
      </c>
      <c r="AN56" s="299">
        <f t="shared" si="60"/>
        <v>0.99374519890748736</v>
      </c>
      <c r="AO56" s="300">
        <f t="shared" si="60"/>
        <v>0.99329991717245192</v>
      </c>
      <c r="AP56" s="300">
        <f t="shared" si="60"/>
        <v>0.94187624150643323</v>
      </c>
      <c r="AQ56" s="300">
        <f t="shared" si="60"/>
        <v>0.89513600881586164</v>
      </c>
      <c r="AR56" s="598">
        <f t="shared" si="60"/>
        <v>0.98473799333265943</v>
      </c>
      <c r="AS56" s="282">
        <f t="shared" ca="1" si="50"/>
        <v>0.99999969409777301</v>
      </c>
      <c r="AT56" s="283">
        <f t="shared" ca="1" si="51"/>
        <v>0.99999969409777301</v>
      </c>
      <c r="AU56" s="283">
        <f t="shared" ca="1" si="52"/>
        <v>0.84273495519967667</v>
      </c>
      <c r="AV56" s="283">
        <f t="shared" si="53"/>
        <v>0</v>
      </c>
      <c r="AW56" s="284">
        <f t="shared" ca="1" si="54"/>
        <v>0.93173447408320476</v>
      </c>
      <c r="AX56" s="296">
        <f t="shared" ca="1" si="55"/>
        <v>0.99374489491861795</v>
      </c>
      <c r="AY56" s="297">
        <f t="shared" ca="1" si="56"/>
        <v>0.99329961331979522</v>
      </c>
      <c r="AZ56" s="297">
        <f t="shared" ca="1" si="57"/>
        <v>0.79375203218956381</v>
      </c>
      <c r="BA56" s="283">
        <f t="shared" si="61"/>
        <v>0</v>
      </c>
      <c r="BB56" s="284">
        <f t="shared" ca="1" si="62"/>
        <v>0.91751433632755586</v>
      </c>
      <c r="BC56" s="282">
        <f t="shared" ca="1" si="63"/>
        <v>6.2551050813821618E-3</v>
      </c>
      <c r="BD56" s="283">
        <f t="shared" ca="1" si="64"/>
        <v>0.27162177532339815</v>
      </c>
      <c r="BE56" s="283">
        <f t="shared" ca="1" si="65"/>
        <v>0.27150006583939523</v>
      </c>
      <c r="BF56" s="283">
        <f t="shared" ca="1" si="66"/>
        <v>0.21695742765807197</v>
      </c>
      <c r="BG56" s="283">
        <f t="shared" ca="1" si="67"/>
        <v>0</v>
      </c>
      <c r="BH56" s="284">
        <f t="shared" ca="1" si="68"/>
        <v>0.2336656260977526</v>
      </c>
    </row>
    <row r="57" spans="1:60" ht="15" thickBot="1" x14ac:dyDescent="0.25">
      <c r="A57" s="302">
        <v>2040</v>
      </c>
      <c r="B57" s="813">
        <f t="shared" si="73"/>
        <v>141725.82999999999</v>
      </c>
      <c r="C57" s="814">
        <f t="shared" si="73"/>
        <v>6735.78</v>
      </c>
      <c r="D57" s="814">
        <f t="shared" si="73"/>
        <v>6972.2</v>
      </c>
      <c r="E57" s="814">
        <f t="shared" si="73"/>
        <v>20662.41</v>
      </c>
      <c r="F57" s="814">
        <f t="shared" si="73"/>
        <v>27723.88</v>
      </c>
      <c r="G57" s="815">
        <f t="shared" si="73"/>
        <v>10012.92</v>
      </c>
      <c r="H57" s="977">
        <f t="shared" si="74"/>
        <v>1</v>
      </c>
      <c r="I57" s="978">
        <f t="shared" si="74"/>
        <v>1</v>
      </c>
      <c r="J57" s="978">
        <f t="shared" si="74"/>
        <v>1</v>
      </c>
      <c r="K57" s="978">
        <f t="shared" si="74"/>
        <v>0.84243259926395031</v>
      </c>
      <c r="L57" s="978">
        <f t="shared" si="74"/>
        <v>1</v>
      </c>
      <c r="M57" s="979">
        <f t="shared" si="74"/>
        <v>1</v>
      </c>
      <c r="N57" s="303">
        <f t="shared" si="28"/>
        <v>8932.2375465703208</v>
      </c>
      <c r="O57" s="304">
        <f t="shared" si="29"/>
        <v>7603.9330001811131</v>
      </c>
      <c r="P57" s="304">
        <f t="shared" si="30"/>
        <v>7561.8834407796157</v>
      </c>
      <c r="Q57" s="304">
        <f t="shared" si="31"/>
        <v>7349.9248281809287</v>
      </c>
      <c r="R57" s="304">
        <f t="shared" si="32"/>
        <v>8770.5626884415506</v>
      </c>
      <c r="S57" s="306">
        <f t="shared" si="33"/>
        <v>1860.8118312877571</v>
      </c>
      <c r="T57" s="303">
        <f t="shared" si="34"/>
        <v>1328.3045463892076</v>
      </c>
      <c r="U57" s="304">
        <f t="shared" si="35"/>
        <v>1370.354105790705</v>
      </c>
      <c r="V57" s="304">
        <f t="shared" si="36"/>
        <v>1582.3127183893921</v>
      </c>
      <c r="W57" s="304">
        <f t="shared" si="37"/>
        <v>161.67485812877021</v>
      </c>
      <c r="X57" s="306">
        <f t="shared" si="38"/>
        <v>7071.4257152825639</v>
      </c>
      <c r="Y57" s="307">
        <f ca="1">IF(AND(Y$22=TRUE,INDEX(CDRANGE_CLS2,MATCH($A57,$A$24:$A$67,0),MATCH(Y$20,$B$20:$G$20,0))&lt;$D$6/OPDAYS_Cls2),86,payback(C57,T57,disc_rate/12,85))</f>
        <v>6</v>
      </c>
      <c r="Z57" s="308">
        <f ca="1">IF(AND(Z$22=TRUE,INDEX(CDRANGE_CLS2,MATCH($A57,$A$24:$A$67,0),MATCH(Z$20,$B$20:$G$20,0))&lt;$D$6/OPDAYS_Cls2),86,payback(D57,U57,disc_rate/12,85))</f>
        <v>6</v>
      </c>
      <c r="AA57" s="308">
        <f ca="1">IF(AND(AA$22=TRUE,INDEX(CDRANGE_CLS2,MATCH($A57,$A$24:$A$67,0),MATCH(AA$20,$B$20:$G$20,0))&lt;$D$6/OPDAYS_Cls2),86,payback(E57,V57,disc_rate/12,85))</f>
        <v>14</v>
      </c>
      <c r="AB57" s="308">
        <f>IF(AND(AB$22=TRUE,INDEX(CDRANGE_CLS2,MATCH($A57,$A$24:$A$67,0),MATCH(AB$20,$B$20:$G$20,0))&lt;$D$6/OPDAYS_Cls2),86,payback(F57,W57,disc_rate/12,85))</f>
        <v>86</v>
      </c>
      <c r="AC57" s="309">
        <f ca="1">IF(AND(AC$22=TRUE,INDEX(CDRANGE_CLS2,MATCH($A57,$A$24:$A$67,0),MATCH(AC$20,$B$20:$G$20,0))&lt;$D$6/OPDAYS_Cls2),86,payback(G57,X57,disc_rate/12,85))</f>
        <v>2</v>
      </c>
      <c r="AD57" s="310">
        <f t="shared" si="39"/>
        <v>0</v>
      </c>
      <c r="AE57" s="311">
        <f t="shared" si="40"/>
        <v>0</v>
      </c>
      <c r="AF57" s="311">
        <f t="shared" si="41"/>
        <v>0</v>
      </c>
      <c r="AG57" s="311">
        <f t="shared" si="42"/>
        <v>0</v>
      </c>
      <c r="AH57" s="312">
        <f t="shared" si="43"/>
        <v>0</v>
      </c>
      <c r="AI57" s="313">
        <f t="shared" si="44"/>
        <v>0.49999994373241896</v>
      </c>
      <c r="AJ57" s="314">
        <f t="shared" si="45"/>
        <v>0.49999994373241896</v>
      </c>
      <c r="AK57" s="314">
        <f t="shared" si="46"/>
        <v>0.49999994373241896</v>
      </c>
      <c r="AL57" s="314">
        <f t="shared" si="47"/>
        <v>0.49142590379710988</v>
      </c>
      <c r="AM57" s="315">
        <f t="shared" si="48"/>
        <v>0.46586732712501022</v>
      </c>
      <c r="AN57" s="630">
        <f t="shared" si="60"/>
        <v>0.99374519890748736</v>
      </c>
      <c r="AO57" s="628">
        <f t="shared" si="60"/>
        <v>0.99329991717245192</v>
      </c>
      <c r="AP57" s="628">
        <f t="shared" si="60"/>
        <v>0.94266712882395709</v>
      </c>
      <c r="AQ57" s="628">
        <f t="shared" si="60"/>
        <v>0.8991605308844326</v>
      </c>
      <c r="AR57" s="629">
        <f t="shared" si="60"/>
        <v>0.98623064178930175</v>
      </c>
      <c r="AS57" s="319">
        <f t="shared" ca="1" si="50"/>
        <v>0.99999988746483792</v>
      </c>
      <c r="AT57" s="320">
        <f t="shared" ca="1" si="51"/>
        <v>0.99999988746483792</v>
      </c>
      <c r="AU57" s="320">
        <f t="shared" ca="1" si="52"/>
        <v>0.8707375556387712</v>
      </c>
      <c r="AV57" s="320">
        <f t="shared" si="53"/>
        <v>0</v>
      </c>
      <c r="AW57" s="321">
        <f t="shared" ca="1" si="54"/>
        <v>0.93173465425002044</v>
      </c>
      <c r="AX57" s="310">
        <f t="shared" ca="1" si="55"/>
        <v>0.99374508707621034</v>
      </c>
      <c r="AY57" s="311">
        <f t="shared" ca="1" si="56"/>
        <v>0.99329980539128471</v>
      </c>
      <c r="AZ57" s="311">
        <f t="shared" ca="1" si="57"/>
        <v>0.82081567153319102</v>
      </c>
      <c r="BA57" s="311">
        <f t="shared" si="61"/>
        <v>0</v>
      </c>
      <c r="BB57" s="312">
        <f t="shared" ca="1" si="62"/>
        <v>0.91890526603833078</v>
      </c>
      <c r="BC57" s="310">
        <f t="shared" ca="1" si="63"/>
        <v>6.2549129237897683E-3</v>
      </c>
      <c r="BD57" s="311">
        <f t="shared" ca="1" si="64"/>
        <v>0.26951950045284656</v>
      </c>
      <c r="BE57" s="311">
        <f t="shared" ca="1" si="65"/>
        <v>0.26939873296544692</v>
      </c>
      <c r="BF57" s="311">
        <f t="shared" ca="1" si="66"/>
        <v>0.22261828776067963</v>
      </c>
      <c r="BG57" s="311">
        <f t="shared" ca="1" si="67"/>
        <v>0</v>
      </c>
      <c r="BH57" s="312">
        <f t="shared" ca="1" si="68"/>
        <v>0.23220856589723715</v>
      </c>
    </row>
    <row r="58" spans="1:60" x14ac:dyDescent="0.2">
      <c r="A58" s="316">
        <v>2041</v>
      </c>
      <c r="B58" s="816">
        <f t="shared" si="73"/>
        <v>141725.82999999999</v>
      </c>
      <c r="C58" s="817">
        <f t="shared" si="73"/>
        <v>6735.78</v>
      </c>
      <c r="D58" s="817">
        <f t="shared" si="73"/>
        <v>6972.2</v>
      </c>
      <c r="E58" s="817">
        <f t="shared" si="73"/>
        <v>20516.060000000001</v>
      </c>
      <c r="F58" s="817">
        <f t="shared" si="73"/>
        <v>27144.91</v>
      </c>
      <c r="G58" s="818">
        <f t="shared" si="73"/>
        <v>9480.17</v>
      </c>
      <c r="H58" s="980">
        <f t="shared" si="74"/>
        <v>1</v>
      </c>
      <c r="I58" s="981">
        <f t="shared" si="74"/>
        <v>1</v>
      </c>
      <c r="J58" s="981">
        <f t="shared" si="74"/>
        <v>1</v>
      </c>
      <c r="K58" s="981">
        <f t="shared" si="74"/>
        <v>0.84233006865238202</v>
      </c>
      <c r="L58" s="981">
        <f t="shared" si="74"/>
        <v>1</v>
      </c>
      <c r="M58" s="982">
        <f t="shared" si="74"/>
        <v>1</v>
      </c>
      <c r="N58" s="275">
        <f t="shared" si="28"/>
        <v>8989.3286608131184</v>
      </c>
      <c r="O58" s="276">
        <f t="shared" si="29"/>
        <v>7652.5341491479367</v>
      </c>
      <c r="P58" s="276">
        <f t="shared" si="30"/>
        <v>7610.2158266076258</v>
      </c>
      <c r="Q58" s="276">
        <f t="shared" si="31"/>
        <v>7277.6595055531698</v>
      </c>
      <c r="R58" s="276">
        <f t="shared" si="32"/>
        <v>8286.2757987849254</v>
      </c>
      <c r="S58" s="278">
        <f t="shared" si="33"/>
        <v>1842.7278018078005</v>
      </c>
      <c r="T58" s="275">
        <f t="shared" si="34"/>
        <v>1336.7945116651817</v>
      </c>
      <c r="U58" s="276">
        <f t="shared" si="35"/>
        <v>1379.1128342054926</v>
      </c>
      <c r="V58" s="276">
        <f t="shared" si="36"/>
        <v>1711.6691552599486</v>
      </c>
      <c r="W58" s="276">
        <f t="shared" si="37"/>
        <v>703.05286202819298</v>
      </c>
      <c r="X58" s="278">
        <f t="shared" si="38"/>
        <v>7146.6008590053179</v>
      </c>
      <c r="Y58" s="279">
        <f ca="1">IF(AND(Y$22=TRUE,INDEX(CDRANGE_CLS2,MATCH($A58,$A$24:$A$67,0),MATCH(Y$20,$B$20:$G$20,0))&lt;$D$6/OPDAYS_Cls2),86,payback(C58,T58,disc_rate/12,85))</f>
        <v>6</v>
      </c>
      <c r="Z58" s="280">
        <f ca="1">IF(AND(Z$22=TRUE,INDEX(CDRANGE_CLS2,MATCH($A58,$A$24:$A$67,0),MATCH(Z$20,$B$20:$G$20,0))&lt;$D$6/OPDAYS_Cls2),86,payback(D58,U58,disc_rate/12,85))</f>
        <v>6</v>
      </c>
      <c r="AA58" s="280">
        <f ca="1">IF(AND(AA$22=TRUE,INDEX(CDRANGE_CLS2,MATCH($A58,$A$24:$A$67,0),MATCH(AA$20,$B$20:$G$20,0))&lt;$D$6/OPDAYS_Cls2),86,payback(E58,V58,disc_rate/12,85))</f>
        <v>13</v>
      </c>
      <c r="AB58" s="280">
        <f>IF(AND(AB$22=TRUE,INDEX(CDRANGE_CLS2,MATCH($A58,$A$24:$A$67,0),MATCH(AB$20,$B$20:$G$20,0))&lt;$D$6/OPDAYS_Cls2),86,payback(F58,W58,disc_rate/12,85))</f>
        <v>86</v>
      </c>
      <c r="AC58" s="281">
        <f ca="1">IF(AND(AC$22=TRUE,INDEX(CDRANGE_CLS2,MATCH($A58,$A$24:$A$67,0),MATCH(AC$20,$B$20:$G$20,0))&lt;$D$6/OPDAYS_Cls2),86,payback(G58,X58,disc_rate/12,85))</f>
        <v>2</v>
      </c>
      <c r="AD58" s="282">
        <f t="shared" si="39"/>
        <v>0</v>
      </c>
      <c r="AE58" s="283">
        <f t="shared" si="40"/>
        <v>0</v>
      </c>
      <c r="AF58" s="283">
        <f t="shared" si="41"/>
        <v>0</v>
      </c>
      <c r="AG58" s="283">
        <f t="shared" si="42"/>
        <v>0</v>
      </c>
      <c r="AH58" s="284">
        <f t="shared" si="43"/>
        <v>0</v>
      </c>
      <c r="AI58" s="285">
        <f t="shared" si="44"/>
        <v>0.4999999793003122</v>
      </c>
      <c r="AJ58" s="286">
        <f t="shared" si="45"/>
        <v>0.4999999793003122</v>
      </c>
      <c r="AK58" s="286">
        <f t="shared" si="46"/>
        <v>0.4999999793003122</v>
      </c>
      <c r="AL58" s="286">
        <f t="shared" si="47"/>
        <v>0.49468308424356083</v>
      </c>
      <c r="AM58" s="287">
        <f t="shared" si="48"/>
        <v>0.46586736026485265</v>
      </c>
      <c r="AN58" s="643">
        <f t="shared" si="60"/>
        <v>0.99374519890748736</v>
      </c>
      <c r="AO58" s="641">
        <f t="shared" si="60"/>
        <v>0.99329991717245192</v>
      </c>
      <c r="AP58" s="641">
        <f t="shared" si="60"/>
        <v>0.94345309121325815</v>
      </c>
      <c r="AQ58" s="641">
        <f t="shared" si="60"/>
        <v>0.90311941218425806</v>
      </c>
      <c r="AR58" s="642">
        <f t="shared" si="60"/>
        <v>0.9876480469682839</v>
      </c>
      <c r="AS58" s="282">
        <f t="shared" ca="1" si="50"/>
        <v>0.99999995860062441</v>
      </c>
      <c r="AT58" s="283">
        <f t="shared" ca="1" si="51"/>
        <v>0.99999995860062441</v>
      </c>
      <c r="AU58" s="283">
        <f t="shared" ca="1" si="52"/>
        <v>0.89687213711961367</v>
      </c>
      <c r="AV58" s="283">
        <f t="shared" si="53"/>
        <v>0</v>
      </c>
      <c r="AW58" s="284">
        <f t="shared" ca="1" si="54"/>
        <v>0.9317347205297053</v>
      </c>
      <c r="AX58" s="282">
        <f t="shared" ca="1" si="55"/>
        <v>0.99374515776705663</v>
      </c>
      <c r="AY58" s="283">
        <f t="shared" ca="1" si="56"/>
        <v>0.99329987605045555</v>
      </c>
      <c r="AZ58" s="283">
        <f t="shared" ca="1" si="57"/>
        <v>0.84615679018854062</v>
      </c>
      <c r="BA58" s="283">
        <f t="shared" si="61"/>
        <v>0</v>
      </c>
      <c r="BB58" s="284">
        <f t="shared" ca="1" si="62"/>
        <v>0.92022597702370323</v>
      </c>
      <c r="BC58" s="282">
        <f t="shared" ca="1" si="63"/>
        <v>6.2548422329433695E-3</v>
      </c>
      <c r="BD58" s="283">
        <f t="shared" ca="1" si="64"/>
        <v>0.26757903958438412</v>
      </c>
      <c r="BE58" s="283">
        <f t="shared" ca="1" si="65"/>
        <v>0.26745914158725537</v>
      </c>
      <c r="BF58" s="283">
        <f t="shared" ca="1" si="66"/>
        <v>0.22783891774145223</v>
      </c>
      <c r="BG58" s="283">
        <f t="shared" ca="1" si="67"/>
        <v>0</v>
      </c>
      <c r="BH58" s="284">
        <f t="shared" ca="1" si="68"/>
        <v>0.23086805885396494</v>
      </c>
    </row>
    <row r="59" spans="1:60" x14ac:dyDescent="0.2">
      <c r="A59" s="317">
        <v>2042</v>
      </c>
      <c r="B59" s="819">
        <f t="shared" si="73"/>
        <v>141725.82999999999</v>
      </c>
      <c r="C59" s="820">
        <f t="shared" si="73"/>
        <v>6735.78</v>
      </c>
      <c r="D59" s="820">
        <f t="shared" si="73"/>
        <v>6972.2</v>
      </c>
      <c r="E59" s="820">
        <f t="shared" si="73"/>
        <v>20369.7</v>
      </c>
      <c r="F59" s="820">
        <f t="shared" si="73"/>
        <v>26565.95</v>
      </c>
      <c r="G59" s="821">
        <f t="shared" si="73"/>
        <v>8947.43</v>
      </c>
      <c r="H59" s="983">
        <f t="shared" si="74"/>
        <v>1</v>
      </c>
      <c r="I59" s="984">
        <f t="shared" si="74"/>
        <v>1</v>
      </c>
      <c r="J59" s="984">
        <f t="shared" si="74"/>
        <v>1</v>
      </c>
      <c r="K59" s="984">
        <f t="shared" si="74"/>
        <v>0.84222753804081374</v>
      </c>
      <c r="L59" s="984">
        <f t="shared" si="74"/>
        <v>1</v>
      </c>
      <c r="M59" s="985">
        <f t="shared" si="74"/>
        <v>1</v>
      </c>
      <c r="N59" s="289">
        <f t="shared" si="28"/>
        <v>9120.8143474413391</v>
      </c>
      <c r="O59" s="290">
        <f t="shared" si="29"/>
        <v>7764.4667244283264</v>
      </c>
      <c r="P59" s="290">
        <f t="shared" si="30"/>
        <v>7721.5294175448989</v>
      </c>
      <c r="Q59" s="290">
        <f t="shared" si="31"/>
        <v>7231.4610618722609</v>
      </c>
      <c r="R59" s="290">
        <f t="shared" si="32"/>
        <v>7639.687651490156</v>
      </c>
      <c r="S59" s="292">
        <f t="shared" si="33"/>
        <v>1824.9918053054323</v>
      </c>
      <c r="T59" s="289">
        <f t="shared" si="34"/>
        <v>1356.3476230130127</v>
      </c>
      <c r="U59" s="290">
        <f t="shared" si="35"/>
        <v>1399.2849298964402</v>
      </c>
      <c r="V59" s="290">
        <f t="shared" si="36"/>
        <v>1889.3532855690783</v>
      </c>
      <c r="W59" s="290">
        <f t="shared" si="37"/>
        <v>1481.1266959511831</v>
      </c>
      <c r="X59" s="292">
        <f t="shared" si="38"/>
        <v>7295.8225421359066</v>
      </c>
      <c r="Y59" s="293">
        <f ca="1">IF(AND(Y$22=TRUE,INDEX(CDRANGE_CLS2,MATCH($A59,$A$24:$A$67,0),MATCH(Y$20,$B$20:$G$20,0))&lt;$D$6/OPDAYS_Cls2),86,payback(C59,T59,disc_rate/12,85))</f>
        <v>6</v>
      </c>
      <c r="Z59" s="294">
        <f ca="1">IF(AND(Z$22=TRUE,INDEX(CDRANGE_CLS2,MATCH($A59,$A$24:$A$67,0),MATCH(Z$20,$B$20:$G$20,0))&lt;$D$6/OPDAYS_Cls2),86,payback(D59,U59,disc_rate/12,85))</f>
        <v>6</v>
      </c>
      <c r="AA59" s="294">
        <f ca="1">IF(AND(AA$22=TRUE,INDEX(CDRANGE_CLS2,MATCH($A59,$A$24:$A$67,0),MATCH(AA$20,$B$20:$G$20,0))&lt;$D$6/OPDAYS_Cls2),86,payback(E59,V59,disc_rate/12,85))</f>
        <v>12</v>
      </c>
      <c r="AB59" s="294">
        <f>IF(AND(AB$22=TRUE,INDEX(CDRANGE_CLS2,MATCH($A59,$A$24:$A$67,0),MATCH(AB$20,$B$20:$G$20,0))&lt;$D$6/OPDAYS_Cls2),86,payback(F59,W59,disc_rate/12,85))</f>
        <v>86</v>
      </c>
      <c r="AC59" s="295">
        <f ca="1">IF(AND(AC$22=TRUE,INDEX(CDRANGE_CLS2,MATCH($A59,$A$24:$A$67,0),MATCH(AC$20,$B$20:$G$20,0))&lt;$D$6/OPDAYS_Cls2),86,payback(G59,X59,disc_rate/12,85))</f>
        <v>2</v>
      </c>
      <c r="AD59" s="296">
        <f t="shared" si="39"/>
        <v>0</v>
      </c>
      <c r="AE59" s="297">
        <f t="shared" si="40"/>
        <v>0</v>
      </c>
      <c r="AF59" s="297">
        <f t="shared" si="41"/>
        <v>0</v>
      </c>
      <c r="AG59" s="297">
        <f t="shared" si="42"/>
        <v>0</v>
      </c>
      <c r="AH59" s="298">
        <f t="shared" si="43"/>
        <v>0</v>
      </c>
      <c r="AI59" s="299">
        <f t="shared" si="44"/>
        <v>0.49999999238501025</v>
      </c>
      <c r="AJ59" s="300">
        <f t="shared" si="45"/>
        <v>0.49999999238501025</v>
      </c>
      <c r="AK59" s="300">
        <f t="shared" si="46"/>
        <v>0.49999999238501025</v>
      </c>
      <c r="AL59" s="300">
        <f t="shared" si="47"/>
        <v>0.4975971318356136</v>
      </c>
      <c r="AM59" s="301">
        <f t="shared" si="48"/>
        <v>0.46586737245632065</v>
      </c>
      <c r="AN59" s="299">
        <f t="shared" si="60"/>
        <v>0.99374519890748736</v>
      </c>
      <c r="AO59" s="300">
        <f t="shared" si="60"/>
        <v>0.99329991717245192</v>
      </c>
      <c r="AP59" s="300">
        <f t="shared" si="60"/>
        <v>0.94423416845000174</v>
      </c>
      <c r="AQ59" s="300">
        <f t="shared" si="60"/>
        <v>0.90701156139989514</v>
      </c>
      <c r="AR59" s="598">
        <f t="shared" si="60"/>
        <v>0.98898982480443098</v>
      </c>
      <c r="AS59" s="282">
        <f t="shared" ca="1" si="50"/>
        <v>0.9999999847700205</v>
      </c>
      <c r="AT59" s="283">
        <f t="shared" ca="1" si="51"/>
        <v>0.9999999847700205</v>
      </c>
      <c r="AU59" s="283">
        <f t="shared" ca="1" si="52"/>
        <v>0.92083974435473648</v>
      </c>
      <c r="AV59" s="283">
        <f t="shared" si="53"/>
        <v>0</v>
      </c>
      <c r="AW59" s="284">
        <f t="shared" ca="1" si="54"/>
        <v>0.9317347449126413</v>
      </c>
      <c r="AX59" s="296">
        <f t="shared" ca="1" si="55"/>
        <v>0.99374518377276833</v>
      </c>
      <c r="AY59" s="297">
        <f t="shared" ca="1" si="56"/>
        <v>0.99329990204451457</v>
      </c>
      <c r="AZ59" s="297">
        <f t="shared" ca="1" si="57"/>
        <v>0.86948835028650684</v>
      </c>
      <c r="BA59" s="283">
        <f t="shared" si="61"/>
        <v>0</v>
      </c>
      <c r="BB59" s="284">
        <f t="shared" ca="1" si="62"/>
        <v>0.92147618213535432</v>
      </c>
      <c r="BC59" s="282">
        <f t="shared" ca="1" si="63"/>
        <v>6.2548162272315633E-3</v>
      </c>
      <c r="BD59" s="283">
        <f t="shared" ca="1" si="64"/>
        <v>0.26581470426083198</v>
      </c>
      <c r="BE59" s="283">
        <f t="shared" ca="1" si="65"/>
        <v>0.26569559683486271</v>
      </c>
      <c r="BF59" s="283">
        <f t="shared" ca="1" si="66"/>
        <v>0.23257751832535722</v>
      </c>
      <c r="BG59" s="283">
        <f t="shared" ca="1" si="67"/>
        <v>0</v>
      </c>
      <c r="BH59" s="284">
        <f t="shared" ca="1" si="68"/>
        <v>0.22965736435171641</v>
      </c>
    </row>
    <row r="60" spans="1:60" x14ac:dyDescent="0.2">
      <c r="A60" s="317">
        <v>2043</v>
      </c>
      <c r="B60" s="819">
        <f t="shared" si="73"/>
        <v>141725.82999999999</v>
      </c>
      <c r="C60" s="820">
        <f t="shared" si="73"/>
        <v>6735.78</v>
      </c>
      <c r="D60" s="820">
        <f t="shared" si="73"/>
        <v>6972.2</v>
      </c>
      <c r="E60" s="820">
        <f t="shared" si="73"/>
        <v>20223.349999999999</v>
      </c>
      <c r="F60" s="820">
        <f t="shared" si="73"/>
        <v>25986.98</v>
      </c>
      <c r="G60" s="821">
        <f t="shared" si="73"/>
        <v>8414.69</v>
      </c>
      <c r="H60" s="983">
        <f t="shared" si="74"/>
        <v>1</v>
      </c>
      <c r="I60" s="984">
        <f t="shared" si="74"/>
        <v>1</v>
      </c>
      <c r="J60" s="984">
        <f t="shared" si="74"/>
        <v>1</v>
      </c>
      <c r="K60" s="984">
        <f t="shared" si="74"/>
        <v>0.84212500742924545</v>
      </c>
      <c r="L60" s="984">
        <f t="shared" si="74"/>
        <v>1</v>
      </c>
      <c r="M60" s="985">
        <f t="shared" si="74"/>
        <v>1</v>
      </c>
      <c r="N60" s="289">
        <f t="shared" si="28"/>
        <v>9176.1114833074062</v>
      </c>
      <c r="O60" s="290">
        <f t="shared" si="29"/>
        <v>7811.540675835824</v>
      </c>
      <c r="P60" s="290">
        <f t="shared" si="30"/>
        <v>7768.343051177907</v>
      </c>
      <c r="Q60" s="290">
        <f t="shared" si="31"/>
        <v>7112.2589115934534</v>
      </c>
      <c r="R60" s="290">
        <f t="shared" si="32"/>
        <v>6845.9131618439533</v>
      </c>
      <c r="S60" s="292">
        <f t="shared" si="33"/>
        <v>1807.5938905284083</v>
      </c>
      <c r="T60" s="289">
        <f t="shared" si="34"/>
        <v>1364.5708074715822</v>
      </c>
      <c r="U60" s="290">
        <f t="shared" si="35"/>
        <v>1407.7684321294992</v>
      </c>
      <c r="V60" s="290">
        <f t="shared" si="36"/>
        <v>2063.8525717139528</v>
      </c>
      <c r="W60" s="290">
        <f t="shared" si="37"/>
        <v>2330.1983214634529</v>
      </c>
      <c r="X60" s="292">
        <f t="shared" si="38"/>
        <v>7368.5175927789978</v>
      </c>
      <c r="Y60" s="293">
        <f ca="1">IF(AND(Y$22=TRUE,INDEX(CDRANGE_CLS2,MATCH($A60,$A$24:$A$67,0),MATCH(Y$20,$B$20:$G$20,0))&lt;$D$6/OPDAYS_Cls2),86,payback(C60,T60,disc_rate/12,85))</f>
        <v>6</v>
      </c>
      <c r="Z60" s="294">
        <f ca="1">IF(AND(Z$22=TRUE,INDEX(CDRANGE_CLS2,MATCH($A60,$A$24:$A$67,0),MATCH(Z$20,$B$20:$G$20,0))&lt;$D$6/OPDAYS_Cls2),86,payback(D60,U60,disc_rate/12,85))</f>
        <v>6</v>
      </c>
      <c r="AA60" s="294">
        <f ca="1">IF(AND(AA$22=TRUE,INDEX(CDRANGE_CLS2,MATCH($A60,$A$24:$A$67,0),MATCH(AA$20,$B$20:$G$20,0))&lt;$D$6/OPDAYS_Cls2),86,payback(E60,V60,disc_rate/12,85))</f>
        <v>11</v>
      </c>
      <c r="AB60" s="294">
        <f>IF(AND(AB$22=TRUE,INDEX(CDRANGE_CLS2,MATCH($A60,$A$24:$A$67,0),MATCH(AB$20,$B$20:$G$20,0))&lt;$D$6/OPDAYS_Cls2),86,payback(F60,W60,disc_rate/12,85))</f>
        <v>86</v>
      </c>
      <c r="AC60" s="295">
        <f ca="1">IF(AND(AC$22=TRUE,INDEX(CDRANGE_CLS2,MATCH($A60,$A$24:$A$67,0),MATCH(AC$20,$B$20:$G$20,0))&lt;$D$6/OPDAYS_Cls2),86,payback(G60,X60,disc_rate/12,85))</f>
        <v>2</v>
      </c>
      <c r="AD60" s="296">
        <f t="shared" si="39"/>
        <v>0</v>
      </c>
      <c r="AE60" s="297">
        <f t="shared" si="40"/>
        <v>0</v>
      </c>
      <c r="AF60" s="297">
        <f t="shared" si="41"/>
        <v>0</v>
      </c>
      <c r="AG60" s="297">
        <f t="shared" si="42"/>
        <v>0</v>
      </c>
      <c r="AH60" s="298">
        <f t="shared" si="43"/>
        <v>0</v>
      </c>
      <c r="AI60" s="299">
        <f t="shared" si="44"/>
        <v>0.49999999719860178</v>
      </c>
      <c r="AJ60" s="300">
        <f t="shared" si="45"/>
        <v>0.49999999719860178</v>
      </c>
      <c r="AK60" s="300">
        <f t="shared" si="46"/>
        <v>0.49999999719860178</v>
      </c>
      <c r="AL60" s="300">
        <f t="shared" si="47"/>
        <v>0.49866062749505108</v>
      </c>
      <c r="AM60" s="301">
        <f t="shared" si="48"/>
        <v>0.4658673769413112</v>
      </c>
      <c r="AN60" s="299">
        <f t="shared" si="60"/>
        <v>0.99374519890748736</v>
      </c>
      <c r="AO60" s="300">
        <f t="shared" si="60"/>
        <v>0.99329991717245192</v>
      </c>
      <c r="AP60" s="300">
        <f t="shared" si="60"/>
        <v>0.94501024045421267</v>
      </c>
      <c r="AQ60" s="300">
        <f t="shared" si="60"/>
        <v>0.91083610244643431</v>
      </c>
      <c r="AR60" s="598">
        <f t="shared" si="60"/>
        <v>0.99025568911430906</v>
      </c>
      <c r="AS60" s="282">
        <f t="shared" ca="1" si="50"/>
        <v>0.99999999439720355</v>
      </c>
      <c r="AT60" s="283">
        <f t="shared" ca="1" si="51"/>
        <v>0.99999999439720355</v>
      </c>
      <c r="AU60" s="283">
        <f t="shared" ca="1" si="52"/>
        <v>0.94233242087681213</v>
      </c>
      <c r="AV60" s="283">
        <f t="shared" si="53"/>
        <v>0</v>
      </c>
      <c r="AW60" s="284">
        <f t="shared" ca="1" si="54"/>
        <v>0.93173475388262239</v>
      </c>
      <c r="AX60" s="296">
        <f t="shared" ca="1" si="55"/>
        <v>0.99374519333973532</v>
      </c>
      <c r="AY60" s="297">
        <f t="shared" ca="1" si="56"/>
        <v>0.99329991160719466</v>
      </c>
      <c r="AZ60" s="297">
        <f t="shared" ca="1" si="57"/>
        <v>0.89051378764059652</v>
      </c>
      <c r="BA60" s="283">
        <f t="shared" si="61"/>
        <v>0</v>
      </c>
      <c r="BB60" s="284">
        <f t="shared" ca="1" si="62"/>
        <v>0.92265564077778739</v>
      </c>
      <c r="BC60" s="282">
        <f t="shared" ca="1" si="63"/>
        <v>6.2548066602647889E-3</v>
      </c>
      <c r="BD60" s="283">
        <f t="shared" ca="1" si="64"/>
        <v>0.26424108615053382</v>
      </c>
      <c r="BE60" s="283">
        <f t="shared" ca="1" si="65"/>
        <v>0.26412268383831322</v>
      </c>
      <c r="BF60" s="283">
        <f t="shared" ca="1" si="66"/>
        <v>0.23679141499779879</v>
      </c>
      <c r="BG60" s="283">
        <f t="shared" ca="1" si="67"/>
        <v>0</v>
      </c>
      <c r="BH60" s="284">
        <f t="shared" ca="1" si="68"/>
        <v>0.22859000835308943</v>
      </c>
    </row>
    <row r="61" spans="1:60" x14ac:dyDescent="0.2">
      <c r="A61" s="317">
        <v>2044</v>
      </c>
      <c r="B61" s="819">
        <f t="shared" si="73"/>
        <v>141725.82999999999</v>
      </c>
      <c r="C61" s="820">
        <f t="shared" si="73"/>
        <v>6735.78</v>
      </c>
      <c r="D61" s="820">
        <f t="shared" si="73"/>
        <v>6972.2</v>
      </c>
      <c r="E61" s="820">
        <f t="shared" si="73"/>
        <v>20076.990000000002</v>
      </c>
      <c r="F61" s="820">
        <f t="shared" si="73"/>
        <v>25408.01</v>
      </c>
      <c r="G61" s="821">
        <f t="shared" si="73"/>
        <v>7881.94</v>
      </c>
      <c r="H61" s="983">
        <f t="shared" si="74"/>
        <v>1</v>
      </c>
      <c r="I61" s="984">
        <f t="shared" si="74"/>
        <v>1</v>
      </c>
      <c r="J61" s="984">
        <f t="shared" si="74"/>
        <v>1</v>
      </c>
      <c r="K61" s="984">
        <f t="shared" si="74"/>
        <v>0.84202247681767717</v>
      </c>
      <c r="L61" s="984">
        <f t="shared" si="74"/>
        <v>1</v>
      </c>
      <c r="M61" s="985">
        <f t="shared" si="74"/>
        <v>1</v>
      </c>
      <c r="N61" s="289">
        <f t="shared" si="28"/>
        <v>9247.8618611510992</v>
      </c>
      <c r="O61" s="290">
        <f t="shared" si="29"/>
        <v>7872.6211232619689</v>
      </c>
      <c r="P61" s="290">
        <f t="shared" si="30"/>
        <v>7829.0857252567257</v>
      </c>
      <c r="Q61" s="290">
        <f t="shared" si="31"/>
        <v>7002.7028296559993</v>
      </c>
      <c r="R61" s="290">
        <f t="shared" si="32"/>
        <v>6044.1389774505478</v>
      </c>
      <c r="S61" s="292">
        <f t="shared" si="33"/>
        <v>1790.5244820222308</v>
      </c>
      <c r="T61" s="289">
        <f t="shared" si="34"/>
        <v>1375.2407378891303</v>
      </c>
      <c r="U61" s="290">
        <f t="shared" si="35"/>
        <v>1418.7761358943735</v>
      </c>
      <c r="V61" s="290">
        <f t="shared" si="36"/>
        <v>2245.1590314951</v>
      </c>
      <c r="W61" s="290">
        <f t="shared" si="37"/>
        <v>3203.7228837005514</v>
      </c>
      <c r="X61" s="292">
        <f t="shared" si="38"/>
        <v>7457.3373791288686</v>
      </c>
      <c r="Y61" s="293">
        <f ca="1">IF(AND(Y$22=TRUE,INDEX(CDRANGE_CLS2,MATCH($A61,$A$24:$A$67,0),MATCH(Y$20,$B$20:$G$20,0))&lt;$D$6/OPDAYS_Cls2),86,payback(C61,T61,disc_rate/12,85))</f>
        <v>5</v>
      </c>
      <c r="Z61" s="294">
        <f ca="1">IF(AND(Z$22=TRUE,INDEX(CDRANGE_CLS2,MATCH($A61,$A$24:$A$67,0),MATCH(Z$20,$B$20:$G$20,0))&lt;$D$6/OPDAYS_Cls2),86,payback(D61,U61,disc_rate/12,85))</f>
        <v>6</v>
      </c>
      <c r="AA61" s="294">
        <f ca="1">IF(AND(AA$22=TRUE,INDEX(CDRANGE_CLS2,MATCH($A61,$A$24:$A$67,0),MATCH(AA$20,$B$20:$G$20,0))&lt;$D$6/OPDAYS_Cls2),86,payback(E61,V61,disc_rate/12,85))</f>
        <v>10</v>
      </c>
      <c r="AB61" s="294">
        <f>IF(AND(AB$22=TRUE,INDEX(CDRANGE_CLS2,MATCH($A61,$A$24:$A$67,0),MATCH(AB$20,$B$20:$G$20,0))&lt;$D$6/OPDAYS_Cls2),86,payback(F61,W61,disc_rate/12,85))</f>
        <v>86</v>
      </c>
      <c r="AC61" s="295">
        <f ca="1">IF(AND(AC$22=TRUE,INDEX(CDRANGE_CLS2,MATCH($A61,$A$24:$A$67,0),MATCH(AC$20,$B$20:$G$20,0))&lt;$D$6/OPDAYS_Cls2),86,payback(G61,X61,disc_rate/12,85))</f>
        <v>2</v>
      </c>
      <c r="AD61" s="296">
        <f t="shared" si="39"/>
        <v>0</v>
      </c>
      <c r="AE61" s="297">
        <f t="shared" si="40"/>
        <v>0</v>
      </c>
      <c r="AF61" s="297">
        <f t="shared" si="41"/>
        <v>0</v>
      </c>
      <c r="AG61" s="297">
        <f t="shared" si="42"/>
        <v>0</v>
      </c>
      <c r="AH61" s="298">
        <f t="shared" si="43"/>
        <v>0</v>
      </c>
      <c r="AI61" s="299">
        <f t="shared" si="44"/>
        <v>0.49999999896942315</v>
      </c>
      <c r="AJ61" s="300">
        <f t="shared" si="45"/>
        <v>0.49999999896942315</v>
      </c>
      <c r="AK61" s="300">
        <f t="shared" si="46"/>
        <v>0.49999999896942315</v>
      </c>
      <c r="AL61" s="300">
        <f t="shared" si="47"/>
        <v>0.4992875107517955</v>
      </c>
      <c r="AM61" s="301">
        <f t="shared" si="48"/>
        <v>0.46586737859124699</v>
      </c>
      <c r="AN61" s="299">
        <f t="shared" si="60"/>
        <v>0.99374519890748736</v>
      </c>
      <c r="AO61" s="300">
        <f t="shared" si="60"/>
        <v>0.99329991717245192</v>
      </c>
      <c r="AP61" s="300">
        <f t="shared" si="60"/>
        <v>0.94578140001243272</v>
      </c>
      <c r="AQ61" s="300">
        <f t="shared" si="60"/>
        <v>0.91459197152031091</v>
      </c>
      <c r="AR61" s="598">
        <f t="shared" si="60"/>
        <v>0.9914453654900055</v>
      </c>
      <c r="AS61" s="282">
        <f t="shared" ca="1" si="50"/>
        <v>0.99999999793884631</v>
      </c>
      <c r="AT61" s="283">
        <f t="shared" ca="1" si="51"/>
        <v>0.99999999793884631</v>
      </c>
      <c r="AU61" s="283">
        <f t="shared" ca="1" si="52"/>
        <v>0.9610304899470038</v>
      </c>
      <c r="AV61" s="283">
        <f t="shared" si="53"/>
        <v>0</v>
      </c>
      <c r="AW61" s="284">
        <f t="shared" ca="1" si="54"/>
        <v>0.93173475718249399</v>
      </c>
      <c r="AX61" s="296">
        <f t="shared" ca="1" si="55"/>
        <v>0.9937451968592258</v>
      </c>
      <c r="AY61" s="297">
        <f t="shared" ca="1" si="56"/>
        <v>0.99329991512510818</v>
      </c>
      <c r="AZ61" s="297">
        <f t="shared" ca="1" si="57"/>
        <v>0.90892476223671137</v>
      </c>
      <c r="BA61" s="283">
        <f t="shared" si="61"/>
        <v>0</v>
      </c>
      <c r="BB61" s="284">
        <f t="shared" ca="1" si="62"/>
        <v>0.92376410687453925</v>
      </c>
      <c r="BC61" s="282">
        <f t="shared" ca="1" si="63"/>
        <v>6.2548031407743121E-3</v>
      </c>
      <c r="BD61" s="283">
        <f t="shared" ca="1" si="64"/>
        <v>0.26287342970910027</v>
      </c>
      <c r="BE61" s="283">
        <f t="shared" ca="1" si="65"/>
        <v>0.26275564022241471</v>
      </c>
      <c r="BF61" s="283">
        <f t="shared" ca="1" si="66"/>
        <v>0.24043604975586114</v>
      </c>
      <c r="BG61" s="283">
        <f t="shared" ca="1" si="67"/>
        <v>0</v>
      </c>
      <c r="BH61" s="284">
        <f t="shared" ca="1" si="68"/>
        <v>0.22768007717184971</v>
      </c>
    </row>
    <row r="62" spans="1:60" ht="15" thickBot="1" x14ac:dyDescent="0.25">
      <c r="A62" s="302">
        <v>2045</v>
      </c>
      <c r="B62" s="822">
        <f t="shared" si="73"/>
        <v>141725.82999999999</v>
      </c>
      <c r="C62" s="823">
        <f t="shared" si="73"/>
        <v>6735.78</v>
      </c>
      <c r="D62" s="823">
        <f t="shared" si="73"/>
        <v>6972.2</v>
      </c>
      <c r="E62" s="823">
        <f t="shared" si="73"/>
        <v>19930.64</v>
      </c>
      <c r="F62" s="823">
        <f t="shared" si="73"/>
        <v>24829.040000000001</v>
      </c>
      <c r="G62" s="824">
        <f t="shared" si="73"/>
        <v>7349.2</v>
      </c>
      <c r="H62" s="977">
        <f t="shared" si="74"/>
        <v>1</v>
      </c>
      <c r="I62" s="978">
        <f t="shared" si="74"/>
        <v>1</v>
      </c>
      <c r="J62" s="978">
        <f t="shared" si="74"/>
        <v>1</v>
      </c>
      <c r="K62" s="978">
        <f t="shared" si="74"/>
        <v>0.84191994620610888</v>
      </c>
      <c r="L62" s="978">
        <f t="shared" si="74"/>
        <v>1</v>
      </c>
      <c r="M62" s="979">
        <f t="shared" si="74"/>
        <v>1</v>
      </c>
      <c r="N62" s="303">
        <f t="shared" si="28"/>
        <v>9374.8435200152944</v>
      </c>
      <c r="O62" s="304">
        <f t="shared" si="29"/>
        <v>7980.7194604614688</v>
      </c>
      <c r="P62" s="304">
        <f t="shared" si="30"/>
        <v>7936.5862813538461</v>
      </c>
      <c r="Q62" s="304">
        <f t="shared" si="31"/>
        <v>6943.4348639142945</v>
      </c>
      <c r="R62" s="304">
        <f t="shared" si="32"/>
        <v>5339.2668659289502</v>
      </c>
      <c r="S62" s="306">
        <f t="shared" si="33"/>
        <v>1773.7743625565909</v>
      </c>
      <c r="T62" s="303">
        <f t="shared" si="34"/>
        <v>1394.1240595538256</v>
      </c>
      <c r="U62" s="304">
        <f t="shared" si="35"/>
        <v>1438.2572386614484</v>
      </c>
      <c r="V62" s="304">
        <f t="shared" si="36"/>
        <v>2431.4086561009999</v>
      </c>
      <c r="W62" s="304">
        <f t="shared" si="37"/>
        <v>4035.5766540863442</v>
      </c>
      <c r="X62" s="306">
        <f t="shared" si="38"/>
        <v>7601.0691574587036</v>
      </c>
      <c r="Y62" s="307">
        <f ca="1">IF(AND(Y$22=TRUE,INDEX(CDRANGE_CLS2,MATCH($A62,$A$24:$A$67,0),MATCH(Y$20,$B$20:$G$20,0))&lt;$D$6/OPDAYS_Cls2),86,payback(C62,T62,disc_rate/12,85))</f>
        <v>5</v>
      </c>
      <c r="Z62" s="308">
        <f ca="1">IF(AND(Z$22=TRUE,INDEX(CDRANGE_CLS2,MATCH($A62,$A$24:$A$67,0),MATCH(Z$20,$B$20:$G$20,0))&lt;$D$6/OPDAYS_Cls2),86,payback(D62,U62,disc_rate/12,85))</f>
        <v>5</v>
      </c>
      <c r="AA62" s="308">
        <f ca="1">IF(AND(AA$22=TRUE,INDEX(CDRANGE_CLS2,MATCH($A62,$A$24:$A$67,0),MATCH(AA$20,$B$20:$G$20,0))&lt;$D$6/OPDAYS_Cls2),86,payback(E62,V62,disc_rate/12,85))</f>
        <v>9</v>
      </c>
      <c r="AB62" s="308">
        <f>IF(AND(AB$22=TRUE,INDEX(CDRANGE_CLS2,MATCH($A62,$A$24:$A$67,0),MATCH(AB$20,$B$20:$G$20,0))&lt;$D$6/OPDAYS_Cls2),86,payback(F62,W62,disc_rate/12,85))</f>
        <v>86</v>
      </c>
      <c r="AC62" s="309">
        <f ca="1">IF(AND(AC$22=TRUE,INDEX(CDRANGE_CLS2,MATCH($A62,$A$24:$A$67,0),MATCH(AC$20,$B$20:$G$20,0))&lt;$D$6/OPDAYS_Cls2),86,payback(G62,X62,disc_rate/12,85))</f>
        <v>1</v>
      </c>
      <c r="AD62" s="310">
        <f t="shared" si="39"/>
        <v>0</v>
      </c>
      <c r="AE62" s="311">
        <f t="shared" si="40"/>
        <v>0</v>
      </c>
      <c r="AF62" s="311">
        <f t="shared" si="41"/>
        <v>0</v>
      </c>
      <c r="AG62" s="311">
        <f t="shared" si="42"/>
        <v>0</v>
      </c>
      <c r="AH62" s="312">
        <f t="shared" si="43"/>
        <v>0</v>
      </c>
      <c r="AI62" s="313">
        <f t="shared" si="44"/>
        <v>0.49999999962087194</v>
      </c>
      <c r="AJ62" s="314">
        <f t="shared" si="45"/>
        <v>0.49999999962087194</v>
      </c>
      <c r="AK62" s="314">
        <f t="shared" si="46"/>
        <v>0.49999999962087194</v>
      </c>
      <c r="AL62" s="314">
        <f t="shared" si="47"/>
        <v>0.49974809966286682</v>
      </c>
      <c r="AM62" s="315">
        <f t="shared" si="48"/>
        <v>0.46586737919822446</v>
      </c>
      <c r="AN62" s="313">
        <f t="shared" si="60"/>
        <v>0.99374519890748736</v>
      </c>
      <c r="AO62" s="314">
        <f t="shared" si="60"/>
        <v>0.99329991717245192</v>
      </c>
      <c r="AP62" s="314">
        <f t="shared" si="60"/>
        <v>0.94654752855438162</v>
      </c>
      <c r="AQ62" s="314">
        <f t="shared" si="60"/>
        <v>0.91827818760903202</v>
      </c>
      <c r="AR62" s="599">
        <f t="shared" si="60"/>
        <v>0.99255853083388568</v>
      </c>
      <c r="AS62" s="829">
        <f t="shared" ca="1" si="50"/>
        <v>0.99999999924174388</v>
      </c>
      <c r="AT62" s="830">
        <f t="shared" ca="1" si="51"/>
        <v>0.99999999924174388</v>
      </c>
      <c r="AU62" s="830">
        <f t="shared" ca="1" si="52"/>
        <v>0.97659517096381165</v>
      </c>
      <c r="AV62" s="830">
        <f t="shared" si="53"/>
        <v>0</v>
      </c>
      <c r="AW62" s="831">
        <f t="shared" ca="1" si="54"/>
        <v>0.93173475839644893</v>
      </c>
      <c r="AX62" s="310">
        <f t="shared" ca="1" si="55"/>
        <v>0.993745198153974</v>
      </c>
      <c r="AY62" s="311">
        <f t="shared" ca="1" si="56"/>
        <v>0.99329991641927617</v>
      </c>
      <c r="AZ62" s="311">
        <f t="shared" ca="1" si="57"/>
        <v>0.92439374547393971</v>
      </c>
      <c r="BA62" s="311">
        <f t="shared" si="61"/>
        <v>0</v>
      </c>
      <c r="BB62" s="312">
        <f t="shared" ca="1" si="62"/>
        <v>0.92480128292084474</v>
      </c>
      <c r="BC62" s="310">
        <f t="shared" ca="1" si="63"/>
        <v>6.2548018460260035E-3</v>
      </c>
      <c r="BD62" s="311">
        <f t="shared" ca="1" si="64"/>
        <v>0.26172837471730387</v>
      </c>
      <c r="BE62" s="311">
        <f t="shared" ca="1" si="65"/>
        <v>0.26161109831191315</v>
      </c>
      <c r="BF62" s="311">
        <f t="shared" ca="1" si="66"/>
        <v>0.24346288470241076</v>
      </c>
      <c r="BG62" s="311">
        <f t="shared" ca="1" si="67"/>
        <v>0</v>
      </c>
      <c r="BH62" s="312">
        <f t="shared" ca="1" si="68"/>
        <v>0.22694284042234625</v>
      </c>
    </row>
    <row r="63" spans="1:60" x14ac:dyDescent="0.2">
      <c r="A63" s="318">
        <v>2046</v>
      </c>
      <c r="B63" s="825">
        <f t="shared" si="73"/>
        <v>141725.82999999999</v>
      </c>
      <c r="C63" s="826">
        <f t="shared" si="73"/>
        <v>6735.78</v>
      </c>
      <c r="D63" s="826">
        <f t="shared" si="73"/>
        <v>6972.2</v>
      </c>
      <c r="E63" s="826">
        <f t="shared" si="73"/>
        <v>19784.29</v>
      </c>
      <c r="F63" s="826">
        <f t="shared" si="73"/>
        <v>24250.080000000002</v>
      </c>
      <c r="G63" s="827">
        <f t="shared" si="73"/>
        <v>6816.45</v>
      </c>
      <c r="H63" s="980">
        <f t="shared" si="74"/>
        <v>1</v>
      </c>
      <c r="I63" s="981">
        <f t="shared" si="74"/>
        <v>1</v>
      </c>
      <c r="J63" s="981">
        <f t="shared" si="74"/>
        <v>1</v>
      </c>
      <c r="K63" s="981">
        <f t="shared" si="74"/>
        <v>0.8418174155945406</v>
      </c>
      <c r="L63" s="981">
        <f t="shared" si="74"/>
        <v>1</v>
      </c>
      <c r="M63" s="982">
        <f t="shared" si="74"/>
        <v>1</v>
      </c>
      <c r="N63" s="275">
        <f t="shared" si="28"/>
        <v>9380.4195210449834</v>
      </c>
      <c r="O63" s="276">
        <f t="shared" si="29"/>
        <v>7985.4662596836833</v>
      </c>
      <c r="P63" s="276">
        <f t="shared" si="30"/>
        <v>7941.3068308950251</v>
      </c>
      <c r="Q63" s="276">
        <f t="shared" si="31"/>
        <v>6831.1235421892943</v>
      </c>
      <c r="R63" s="276">
        <f t="shared" si="32"/>
        <v>4817.8110389053581</v>
      </c>
      <c r="S63" s="278">
        <f t="shared" si="33"/>
        <v>1757.3346565288325</v>
      </c>
      <c r="T63" s="275">
        <f t="shared" si="34"/>
        <v>1394.9532613613001</v>
      </c>
      <c r="U63" s="276">
        <f t="shared" si="35"/>
        <v>1439.1126901499583</v>
      </c>
      <c r="V63" s="276">
        <f t="shared" si="36"/>
        <v>2549.2959788556891</v>
      </c>
      <c r="W63" s="276">
        <f t="shared" si="37"/>
        <v>4562.6084821396253</v>
      </c>
      <c r="X63" s="278">
        <f t="shared" si="38"/>
        <v>7623.0848645161514</v>
      </c>
      <c r="Y63" s="279">
        <f ca="1">IF(AND(Y$22=TRUE,INDEX(CDRANGE_CLS2,MATCH($A63,$A$24:$A$67,0),MATCH(Y$20,$B$20:$G$20,0))&lt;$D$6/OPDAYS_Cls2),86,payback(C63,T63,disc_rate/12,85))</f>
        <v>5</v>
      </c>
      <c r="Z63" s="280">
        <f ca="1">IF(AND(Z$22=TRUE,INDEX(CDRANGE_CLS2,MATCH($A63,$A$24:$A$67,0),MATCH(Z$20,$B$20:$G$20,0))&lt;$D$6/OPDAYS_Cls2),86,payback(D63,U63,disc_rate/12,85))</f>
        <v>5</v>
      </c>
      <c r="AA63" s="280">
        <f ca="1">IF(AND(AA$22=TRUE,INDEX(CDRANGE_CLS2,MATCH($A63,$A$24:$A$67,0),MATCH(AA$20,$B$20:$G$20,0))&lt;$D$6/OPDAYS_Cls2),86,payback(E63,V63,disc_rate/12,85))</f>
        <v>8</v>
      </c>
      <c r="AB63" s="280">
        <f>IF(AND(AB$22=TRUE,INDEX(CDRANGE_CLS2,MATCH($A63,$A$24:$A$67,0),MATCH(AB$20,$B$20:$G$20,0))&lt;$D$6/OPDAYS_Cls2),86,payback(F63,W63,disc_rate/12,85))</f>
        <v>86</v>
      </c>
      <c r="AC63" s="281">
        <f ca="1">IF(AND(AC$22=TRUE,INDEX(CDRANGE_CLS2,MATCH($A63,$A$24:$A$67,0),MATCH(AC$20,$B$20:$G$20,0))&lt;$D$6/OPDAYS_Cls2),86,payback(G63,X63,disc_rate/12,85))</f>
        <v>1</v>
      </c>
      <c r="AD63" s="282">
        <f t="shared" si="39"/>
        <v>0</v>
      </c>
      <c r="AE63" s="283">
        <f t="shared" si="40"/>
        <v>0</v>
      </c>
      <c r="AF63" s="283">
        <f t="shared" si="41"/>
        <v>0</v>
      </c>
      <c r="AG63" s="283">
        <f t="shared" si="42"/>
        <v>0</v>
      </c>
      <c r="AH63" s="284">
        <f t="shared" si="43"/>
        <v>0</v>
      </c>
      <c r="AI63" s="285">
        <f t="shared" si="44"/>
        <v>0.49999999962087194</v>
      </c>
      <c r="AJ63" s="286">
        <f t="shared" si="45"/>
        <v>0.49999999962087194</v>
      </c>
      <c r="AK63" s="286">
        <f t="shared" si="46"/>
        <v>0.49999999962087194</v>
      </c>
      <c r="AL63" s="286">
        <f t="shared" si="47"/>
        <v>0.49988204931764657</v>
      </c>
      <c r="AM63" s="287">
        <f t="shared" si="48"/>
        <v>0.46586737919822446</v>
      </c>
      <c r="AN63" s="285">
        <f t="shared" si="60"/>
        <v>0.99374519890748736</v>
      </c>
      <c r="AO63" s="286">
        <f t="shared" si="60"/>
        <v>0.99329991717245192</v>
      </c>
      <c r="AP63" s="286">
        <f t="shared" si="60"/>
        <v>0.94730866582577999</v>
      </c>
      <c r="AQ63" s="286">
        <f t="shared" si="60"/>
        <v>0.92189372327884223</v>
      </c>
      <c r="AR63" s="611">
        <f t="shared" si="60"/>
        <v>0.99359496619274956</v>
      </c>
      <c r="AS63" s="637">
        <f t="shared" ca="1" si="50"/>
        <v>0.99999999924174388</v>
      </c>
      <c r="AT63" s="638">
        <f t="shared" ca="1" si="51"/>
        <v>0.99999999924174388</v>
      </c>
      <c r="AU63" s="638">
        <f t="shared" ca="1" si="52"/>
        <v>0.98864995926416654</v>
      </c>
      <c r="AV63" s="638">
        <f t="shared" si="53"/>
        <v>0</v>
      </c>
      <c r="AW63" s="639">
        <f t="shared" ca="1" si="54"/>
        <v>0.93173475839644893</v>
      </c>
      <c r="AX63" s="282">
        <f t="shared" ca="1" si="55"/>
        <v>0.993745198153974</v>
      </c>
      <c r="AY63" s="283">
        <f t="shared" ca="1" si="56"/>
        <v>0.99329991641927617</v>
      </c>
      <c r="AZ63" s="283">
        <f t="shared" ca="1" si="57"/>
        <v>0.93655667387924935</v>
      </c>
      <c r="BA63" s="283">
        <f t="shared" si="61"/>
        <v>0</v>
      </c>
      <c r="BB63" s="284">
        <f t="shared" ca="1" si="62"/>
        <v>0.92576696576952933</v>
      </c>
      <c r="BC63" s="282">
        <f t="shared" ca="1" si="63"/>
        <v>6.2548018460261146E-3</v>
      </c>
      <c r="BD63" s="283">
        <f t="shared" ca="1" si="64"/>
        <v>0.26082538427297591</v>
      </c>
      <c r="BE63" s="283">
        <f t="shared" ca="1" si="65"/>
        <v>0.26070851248352928</v>
      </c>
      <c r="BF63" s="283">
        <f t="shared" ca="1" si="66"/>
        <v>0.24581528022651764</v>
      </c>
      <c r="BG63" s="283">
        <f t="shared" ca="1" si="67"/>
        <v>0</v>
      </c>
      <c r="BH63" s="284">
        <f t="shared" ca="1" si="68"/>
        <v>0.22639602117095106</v>
      </c>
    </row>
    <row r="64" spans="1:60" x14ac:dyDescent="0.2">
      <c r="A64" s="317">
        <v>2047</v>
      </c>
      <c r="B64" s="819">
        <f t="shared" si="73"/>
        <v>141725.82999999999</v>
      </c>
      <c r="C64" s="820">
        <f t="shared" si="73"/>
        <v>6735.78</v>
      </c>
      <c r="D64" s="820">
        <f t="shared" si="73"/>
        <v>6972.2</v>
      </c>
      <c r="E64" s="820">
        <f t="shared" si="73"/>
        <v>19637.93</v>
      </c>
      <c r="F64" s="820">
        <f t="shared" si="73"/>
        <v>23671.11</v>
      </c>
      <c r="G64" s="821">
        <f t="shared" si="73"/>
        <v>6283.71</v>
      </c>
      <c r="H64" s="983">
        <f t="shared" si="74"/>
        <v>1</v>
      </c>
      <c r="I64" s="984">
        <f t="shared" si="74"/>
        <v>1</v>
      </c>
      <c r="J64" s="984">
        <f t="shared" si="74"/>
        <v>1</v>
      </c>
      <c r="K64" s="984">
        <f t="shared" si="74"/>
        <v>0.84171488498297242</v>
      </c>
      <c r="L64" s="984">
        <f t="shared" si="74"/>
        <v>1</v>
      </c>
      <c r="M64" s="985">
        <f t="shared" si="74"/>
        <v>1</v>
      </c>
      <c r="N64" s="289">
        <f t="shared" si="28"/>
        <v>9467.9763365082053</v>
      </c>
      <c r="O64" s="290">
        <f t="shared" si="29"/>
        <v>8060.0025844310267</v>
      </c>
      <c r="P64" s="290">
        <f t="shared" si="30"/>
        <v>8015.4309716298367</v>
      </c>
      <c r="Q64" s="290">
        <f t="shared" si="31"/>
        <v>6802.2592344880577</v>
      </c>
      <c r="R64" s="290">
        <f t="shared" si="32"/>
        <v>4500.0298116612539</v>
      </c>
      <c r="S64" s="292">
        <f t="shared" si="33"/>
        <v>1741.1968142816427</v>
      </c>
      <c r="T64" s="289">
        <f t="shared" si="34"/>
        <v>1407.9737520771787</v>
      </c>
      <c r="U64" s="290">
        <f t="shared" si="35"/>
        <v>1452.5453648783687</v>
      </c>
      <c r="V64" s="290">
        <f t="shared" si="36"/>
        <v>2665.7171020201476</v>
      </c>
      <c r="W64" s="290">
        <f t="shared" si="37"/>
        <v>4967.9465248469514</v>
      </c>
      <c r="X64" s="292">
        <f t="shared" si="38"/>
        <v>7726.7795222265631</v>
      </c>
      <c r="Y64" s="293">
        <f ca="1">IF(AND(Y$22=TRUE,INDEX(CDRANGE_CLS2,MATCH($A64,$A$24:$A$67,0),MATCH(Y$20,$B$20:$G$20,0))&lt;$D$6/OPDAYS_Cls2),86,payback(C64,T64,disc_rate/12,85))</f>
        <v>5</v>
      </c>
      <c r="Z64" s="294">
        <f ca="1">IF(AND(Z$22=TRUE,INDEX(CDRANGE_CLS2,MATCH($A64,$A$24:$A$67,0),MATCH(Z$20,$B$20:$G$20,0))&lt;$D$6/OPDAYS_Cls2),86,payback(D64,U64,disc_rate/12,85))</f>
        <v>5</v>
      </c>
      <c r="AA64" s="294">
        <f ca="1">IF(AND(AA$22=TRUE,INDEX(CDRANGE_CLS2,MATCH($A64,$A$24:$A$67,0),MATCH(AA$20,$B$20:$G$20,0))&lt;$D$6/OPDAYS_Cls2),86,payback(E64,V64,disc_rate/12,85))</f>
        <v>8</v>
      </c>
      <c r="AB64" s="294">
        <f>IF(AND(AB$22=TRUE,INDEX(CDRANGE_CLS2,MATCH($A64,$A$24:$A$67,0),MATCH(AB$20,$B$20:$G$20,0))&lt;$D$6/OPDAYS_Cls2),86,payback(F64,W64,disc_rate/12,85))</f>
        <v>86</v>
      </c>
      <c r="AC64" s="295">
        <f ca="1">IF(AND(AC$22=TRUE,INDEX(CDRANGE_CLS2,MATCH($A64,$A$24:$A$67,0),MATCH(AC$20,$B$20:$G$20,0))&lt;$D$6/OPDAYS_Cls2),86,payback(G64,X64,disc_rate/12,85))</f>
        <v>1</v>
      </c>
      <c r="AD64" s="296">
        <f t="shared" si="39"/>
        <v>0</v>
      </c>
      <c r="AE64" s="297">
        <f t="shared" si="40"/>
        <v>0</v>
      </c>
      <c r="AF64" s="297">
        <f t="shared" si="41"/>
        <v>0</v>
      </c>
      <c r="AG64" s="297">
        <f t="shared" si="42"/>
        <v>0</v>
      </c>
      <c r="AH64" s="298">
        <f t="shared" si="43"/>
        <v>0</v>
      </c>
      <c r="AI64" s="299">
        <f t="shared" si="44"/>
        <v>0.49999999962087194</v>
      </c>
      <c r="AJ64" s="300">
        <f t="shared" si="45"/>
        <v>0.49999999962087194</v>
      </c>
      <c r="AK64" s="300">
        <f t="shared" si="46"/>
        <v>0.49999999962087194</v>
      </c>
      <c r="AL64" s="300">
        <f t="shared" si="47"/>
        <v>0.49996596978666119</v>
      </c>
      <c r="AM64" s="301">
        <f t="shared" si="48"/>
        <v>0.46586737919822446</v>
      </c>
      <c r="AN64" s="299">
        <f t="shared" si="60"/>
        <v>0.99374519890748736</v>
      </c>
      <c r="AO64" s="300">
        <f t="shared" si="60"/>
        <v>0.99329991717245192</v>
      </c>
      <c r="AP64" s="300">
        <f t="shared" si="60"/>
        <v>0.94806485028629373</v>
      </c>
      <c r="AQ64" s="300">
        <f t="shared" si="60"/>
        <v>0.92543775367364733</v>
      </c>
      <c r="AR64" s="598">
        <f t="shared" si="60"/>
        <v>0.99455438972168786</v>
      </c>
      <c r="AS64" s="282">
        <f t="shared" ca="1" si="50"/>
        <v>0.99999999924174388</v>
      </c>
      <c r="AT64" s="283">
        <f t="shared" ca="1" si="51"/>
        <v>0.99999999924174388</v>
      </c>
      <c r="AU64" s="283">
        <f t="shared" ca="1" si="52"/>
        <v>0.98864995926416654</v>
      </c>
      <c r="AV64" s="283">
        <f t="shared" si="53"/>
        <v>0</v>
      </c>
      <c r="AW64" s="284">
        <f t="shared" ca="1" si="54"/>
        <v>0.93173475839644893</v>
      </c>
      <c r="AX64" s="296">
        <f t="shared" ca="1" si="55"/>
        <v>0.993745198153974</v>
      </c>
      <c r="AY64" s="297">
        <f t="shared" ca="1" si="56"/>
        <v>0.99329991641927617</v>
      </c>
      <c r="AZ64" s="297">
        <f t="shared" ca="1" si="57"/>
        <v>0.93730427561533247</v>
      </c>
      <c r="BA64" s="283">
        <f t="shared" si="61"/>
        <v>0</v>
      </c>
      <c r="BB64" s="284">
        <f t="shared" ca="1" si="62"/>
        <v>0.9266608940194645</v>
      </c>
      <c r="BC64" s="282">
        <f t="shared" ca="1" si="63"/>
        <v>6.2548018460260035E-3</v>
      </c>
      <c r="BD64" s="283">
        <f t="shared" ca="1" si="64"/>
        <v>0.26071655030753094</v>
      </c>
      <c r="BE64" s="283">
        <f t="shared" ca="1" si="65"/>
        <v>0.26059972728488789</v>
      </c>
      <c r="BF64" s="283">
        <f t="shared" ca="1" si="66"/>
        <v>0.24590884844614372</v>
      </c>
      <c r="BG64" s="283">
        <f t="shared" ca="1" si="67"/>
        <v>0</v>
      </c>
      <c r="BH64" s="284">
        <f t="shared" ca="1" si="68"/>
        <v>0.22652007211541145</v>
      </c>
    </row>
    <row r="65" spans="1:60" x14ac:dyDescent="0.2">
      <c r="A65" s="317">
        <v>2048</v>
      </c>
      <c r="B65" s="819">
        <f t="shared" si="73"/>
        <v>141725.82999999999</v>
      </c>
      <c r="C65" s="820">
        <f t="shared" si="73"/>
        <v>6735.78</v>
      </c>
      <c r="D65" s="820">
        <f t="shared" si="73"/>
        <v>6972.2</v>
      </c>
      <c r="E65" s="820">
        <f t="shared" si="73"/>
        <v>19491.580000000002</v>
      </c>
      <c r="F65" s="820">
        <f t="shared" si="73"/>
        <v>23092.14</v>
      </c>
      <c r="G65" s="821">
        <f t="shared" si="73"/>
        <v>5750.97</v>
      </c>
      <c r="H65" s="983">
        <f t="shared" si="74"/>
        <v>1</v>
      </c>
      <c r="I65" s="984">
        <f t="shared" si="74"/>
        <v>1</v>
      </c>
      <c r="J65" s="984">
        <f t="shared" si="74"/>
        <v>1</v>
      </c>
      <c r="K65" s="984">
        <f t="shared" si="74"/>
        <v>0.84161235437140414</v>
      </c>
      <c r="L65" s="984">
        <f t="shared" si="74"/>
        <v>1</v>
      </c>
      <c r="M65" s="985">
        <f t="shared" si="74"/>
        <v>1</v>
      </c>
      <c r="N65" s="289">
        <f t="shared" si="28"/>
        <v>9548.3106886108289</v>
      </c>
      <c r="O65" s="290">
        <f t="shared" si="29"/>
        <v>8128.3904914718378</v>
      </c>
      <c r="P65" s="290">
        <f t="shared" si="30"/>
        <v>8083.4406952543313</v>
      </c>
      <c r="Q65" s="290">
        <f t="shared" si="31"/>
        <v>6790.9418953695777</v>
      </c>
      <c r="R65" s="290">
        <f t="shared" si="32"/>
        <v>4335.409998913964</v>
      </c>
      <c r="S65" s="292">
        <f t="shared" si="33"/>
        <v>1725.352597276757</v>
      </c>
      <c r="T65" s="289">
        <f t="shared" si="34"/>
        <v>1419.9201971389912</v>
      </c>
      <c r="U65" s="290">
        <f t="shared" si="35"/>
        <v>1464.8699933564976</v>
      </c>
      <c r="V65" s="290">
        <f t="shared" si="36"/>
        <v>2757.3687932412513</v>
      </c>
      <c r="W65" s="290">
        <f t="shared" si="37"/>
        <v>5212.9006896968649</v>
      </c>
      <c r="X65" s="292">
        <f t="shared" si="38"/>
        <v>7822.9580913340724</v>
      </c>
      <c r="Y65" s="293">
        <f ca="1">IF(AND(Y$22=TRUE,INDEX(CDRANGE_CLS2,MATCH($A65,$A$24:$A$67,0),MATCH(Y$20,$B$20:$G$20,0))&lt;$D$6/OPDAYS_Cls2),86,payback(C65,T65,disc_rate/12,85))</f>
        <v>5</v>
      </c>
      <c r="Z65" s="294">
        <f ca="1">IF(AND(Z$22=TRUE,INDEX(CDRANGE_CLS2,MATCH($A65,$A$24:$A$67,0),MATCH(Z$20,$B$20:$G$20,0))&lt;$D$6/OPDAYS_Cls2),86,payback(D65,U65,disc_rate/12,85))</f>
        <v>5</v>
      </c>
      <c r="AA65" s="294">
        <f ca="1">IF(AND(AA$22=TRUE,INDEX(CDRANGE_CLS2,MATCH($A65,$A$24:$A$67,0),MATCH(AA$20,$B$20:$G$20,0))&lt;$D$6/OPDAYS_Cls2),86,payback(E65,V65,disc_rate/12,85))</f>
        <v>8</v>
      </c>
      <c r="AB65" s="294">
        <f>IF(AND(AB$22=TRUE,INDEX(CDRANGE_CLS2,MATCH($A65,$A$24:$A$67,0),MATCH(AB$20,$B$20:$G$20,0))&lt;$D$6/OPDAYS_Cls2),86,payback(F65,W65,disc_rate/12,85))</f>
        <v>86</v>
      </c>
      <c r="AC65" s="295">
        <f ca="1">IF(AND(AC$22=TRUE,INDEX(CDRANGE_CLS2,MATCH($A65,$A$24:$A$67,0),MATCH(AC$20,$B$20:$G$20,0))&lt;$D$6/OPDAYS_Cls2),86,payback(G65,X65,disc_rate/12,85))</f>
        <v>1</v>
      </c>
      <c r="AD65" s="296">
        <f t="shared" si="39"/>
        <v>0</v>
      </c>
      <c r="AE65" s="297">
        <f t="shared" si="40"/>
        <v>0</v>
      </c>
      <c r="AF65" s="297">
        <f t="shared" si="41"/>
        <v>0</v>
      </c>
      <c r="AG65" s="297">
        <f t="shared" si="42"/>
        <v>0</v>
      </c>
      <c r="AH65" s="298">
        <f t="shared" si="43"/>
        <v>0</v>
      </c>
      <c r="AI65" s="299">
        <f t="shared" si="44"/>
        <v>0.49999999962087194</v>
      </c>
      <c r="AJ65" s="300">
        <f t="shared" si="45"/>
        <v>0.49999999962087194</v>
      </c>
      <c r="AK65" s="300">
        <f t="shared" si="46"/>
        <v>0.49999999962087194</v>
      </c>
      <c r="AL65" s="300">
        <f t="shared" si="47"/>
        <v>0.49998619831278412</v>
      </c>
      <c r="AM65" s="301">
        <f t="shared" si="48"/>
        <v>0.46586737919822446</v>
      </c>
      <c r="AN65" s="299">
        <f t="shared" si="60"/>
        <v>0.99374519890748736</v>
      </c>
      <c r="AO65" s="300">
        <f t="shared" si="60"/>
        <v>0.99329991717245192</v>
      </c>
      <c r="AP65" s="300">
        <f t="shared" si="60"/>
        <v>0.94881596564646686</v>
      </c>
      <c r="AQ65" s="300">
        <f t="shared" si="60"/>
        <v>0.9289092822128403</v>
      </c>
      <c r="AR65" s="598">
        <f t="shared" si="60"/>
        <v>0.99543659655948713</v>
      </c>
      <c r="AS65" s="282">
        <f t="shared" ca="1" si="50"/>
        <v>0.99999999924174388</v>
      </c>
      <c r="AT65" s="283">
        <f t="shared" ca="1" si="51"/>
        <v>0.99999999924174388</v>
      </c>
      <c r="AU65" s="283">
        <f t="shared" ca="1" si="52"/>
        <v>0.98864995926416654</v>
      </c>
      <c r="AV65" s="283">
        <f t="shared" si="53"/>
        <v>0</v>
      </c>
      <c r="AW65" s="284">
        <f t="shared" ca="1" si="54"/>
        <v>0.93173475839644893</v>
      </c>
      <c r="AX65" s="296">
        <f t="shared" ca="1" si="55"/>
        <v>0.993745198153974</v>
      </c>
      <c r="AY65" s="297">
        <f t="shared" ca="1" si="56"/>
        <v>0.99329991641927617</v>
      </c>
      <c r="AZ65" s="297">
        <f t="shared" ca="1" si="57"/>
        <v>0.93804686578557028</v>
      </c>
      <c r="BA65" s="283">
        <f t="shared" si="61"/>
        <v>0</v>
      </c>
      <c r="BB65" s="284">
        <f t="shared" ca="1" si="62"/>
        <v>0.92748287679433716</v>
      </c>
      <c r="BC65" s="282">
        <f t="shared" ca="1" si="63"/>
        <v>6.2548018460260035E-3</v>
      </c>
      <c r="BD65" s="283">
        <f t="shared" ca="1" si="64"/>
        <v>0.26061276209818546</v>
      </c>
      <c r="BE65" s="283">
        <f t="shared" ca="1" si="65"/>
        <v>0.2604959855814214</v>
      </c>
      <c r="BF65" s="283">
        <f t="shared" ca="1" si="66"/>
        <v>0.2460057015863385</v>
      </c>
      <c r="BG65" s="283">
        <f t="shared" ca="1" si="67"/>
        <v>0</v>
      </c>
      <c r="BH65" s="284">
        <f t="shared" ca="1" si="68"/>
        <v>0.22663074888802867</v>
      </c>
    </row>
    <row r="66" spans="1:60" x14ac:dyDescent="0.2">
      <c r="A66" s="317">
        <v>2049</v>
      </c>
      <c r="B66" s="819">
        <f t="shared" si="73"/>
        <v>141725.82999999999</v>
      </c>
      <c r="C66" s="820">
        <f t="shared" si="73"/>
        <v>6735.78</v>
      </c>
      <c r="D66" s="820">
        <f t="shared" si="73"/>
        <v>6972.2</v>
      </c>
      <c r="E66" s="820">
        <f t="shared" si="73"/>
        <v>19345.22</v>
      </c>
      <c r="F66" s="820">
        <f t="shared" si="73"/>
        <v>22513.17</v>
      </c>
      <c r="G66" s="821">
        <f t="shared" si="73"/>
        <v>5218.22</v>
      </c>
      <c r="H66" s="983">
        <f t="shared" si="74"/>
        <v>1</v>
      </c>
      <c r="I66" s="984">
        <f t="shared" si="74"/>
        <v>1</v>
      </c>
      <c r="J66" s="984">
        <f t="shared" si="74"/>
        <v>1</v>
      </c>
      <c r="K66" s="984">
        <f t="shared" si="74"/>
        <v>0.84150982375983585</v>
      </c>
      <c r="L66" s="984">
        <f t="shared" si="74"/>
        <v>1</v>
      </c>
      <c r="M66" s="985">
        <f t="shared" si="74"/>
        <v>1</v>
      </c>
      <c r="N66" s="289">
        <f t="shared" si="28"/>
        <v>9606.7598655353249</v>
      </c>
      <c r="O66" s="290">
        <f t="shared" si="29"/>
        <v>8178.1477469111824</v>
      </c>
      <c r="P66" s="290">
        <f t="shared" si="30"/>
        <v>8132.9227943149717</v>
      </c>
      <c r="Q66" s="290">
        <f t="shared" si="31"/>
        <v>6776.3286716596331</v>
      </c>
      <c r="R66" s="290">
        <f t="shared" si="32"/>
        <v>4245.1113446779827</v>
      </c>
      <c r="S66" s="292">
        <f t="shared" si="33"/>
        <v>1709.7940640706499</v>
      </c>
      <c r="T66" s="289">
        <f t="shared" si="34"/>
        <v>1428.6121186241426</v>
      </c>
      <c r="U66" s="290">
        <f t="shared" si="35"/>
        <v>1473.8370712203532</v>
      </c>
      <c r="V66" s="290">
        <f t="shared" si="36"/>
        <v>2830.4311938756919</v>
      </c>
      <c r="W66" s="290">
        <f t="shared" si="37"/>
        <v>5361.6485208573422</v>
      </c>
      <c r="X66" s="292">
        <f t="shared" si="38"/>
        <v>7896.9658014646748</v>
      </c>
      <c r="Y66" s="293">
        <f ca="1">IF(AND(Y$22=TRUE,INDEX(CDRANGE_CLS2,MATCH($A66,$A$24:$A$67,0),MATCH(Y$20,$B$20:$G$20,0))&lt;$D$6/OPDAYS_Cls2),86,payback(C66,T66,disc_rate/12,85))</f>
        <v>5</v>
      </c>
      <c r="Z66" s="294">
        <f ca="1">IF(AND(Z$22=TRUE,INDEX(CDRANGE_CLS2,MATCH($A66,$A$24:$A$67,0),MATCH(Z$20,$B$20:$G$20,0))&lt;$D$6/OPDAYS_Cls2),86,payback(D66,U66,disc_rate/12,85))</f>
        <v>5</v>
      </c>
      <c r="AA66" s="294">
        <f ca="1">IF(AND(AA$22=TRUE,INDEX(CDRANGE_CLS2,MATCH($A66,$A$24:$A$67,0),MATCH(AA$20,$B$20:$G$20,0))&lt;$D$6/OPDAYS_Cls2),86,payback(E66,V66,disc_rate/12,85))</f>
        <v>8</v>
      </c>
      <c r="AB66" s="294">
        <f>IF(AND(AB$22=TRUE,INDEX(CDRANGE_CLS2,MATCH($A66,$A$24:$A$67,0),MATCH(AB$20,$B$20:$G$20,0))&lt;$D$6/OPDAYS_Cls2),86,payback(F66,W66,disc_rate/12,85))</f>
        <v>86</v>
      </c>
      <c r="AC66" s="295">
        <f ca="1">IF(AND(AC$22=TRUE,INDEX(CDRANGE_CLS2,MATCH($A66,$A$24:$A$67,0),MATCH(AC$20,$B$20:$G$20,0))&lt;$D$6/OPDAYS_Cls2),86,payback(G66,X66,disc_rate/12,85))</f>
        <v>1</v>
      </c>
      <c r="AD66" s="296">
        <f t="shared" si="39"/>
        <v>0</v>
      </c>
      <c r="AE66" s="297">
        <f t="shared" si="40"/>
        <v>0</v>
      </c>
      <c r="AF66" s="297">
        <f t="shared" si="41"/>
        <v>0</v>
      </c>
      <c r="AG66" s="297">
        <f t="shared" si="42"/>
        <v>0</v>
      </c>
      <c r="AH66" s="298">
        <f t="shared" si="43"/>
        <v>0</v>
      </c>
      <c r="AI66" s="299">
        <f t="shared" si="44"/>
        <v>0.49999999962087194</v>
      </c>
      <c r="AJ66" s="300">
        <f t="shared" si="45"/>
        <v>0.49999999962087194</v>
      </c>
      <c r="AK66" s="300">
        <f t="shared" si="46"/>
        <v>0.49999999962087194</v>
      </c>
      <c r="AL66" s="300">
        <f t="shared" si="47"/>
        <v>0.49999473991021715</v>
      </c>
      <c r="AM66" s="301">
        <f t="shared" si="48"/>
        <v>0.46586737919822446</v>
      </c>
      <c r="AN66" s="299">
        <f t="shared" si="60"/>
        <v>0.99374519890748736</v>
      </c>
      <c r="AO66" s="300">
        <f t="shared" si="60"/>
        <v>0.99329991717245192</v>
      </c>
      <c r="AP66" s="300">
        <f t="shared" si="60"/>
        <v>0.9495621016731417</v>
      </c>
      <c r="AQ66" s="300">
        <f t="shared" si="60"/>
        <v>0.9323073920348468</v>
      </c>
      <c r="AR66" s="598">
        <f t="shared" si="60"/>
        <v>0.99624139403125789</v>
      </c>
      <c r="AS66" s="282">
        <f t="shared" ca="1" si="50"/>
        <v>0.99999999924174388</v>
      </c>
      <c r="AT66" s="283">
        <f t="shared" ca="1" si="51"/>
        <v>0.99999999924174388</v>
      </c>
      <c r="AU66" s="283">
        <f t="shared" ca="1" si="52"/>
        <v>0.98864995926416654</v>
      </c>
      <c r="AV66" s="283">
        <f t="shared" si="53"/>
        <v>0</v>
      </c>
      <c r="AW66" s="284">
        <f t="shared" ca="1" si="54"/>
        <v>0.93173475839644893</v>
      </c>
      <c r="AX66" s="296">
        <f t="shared" ca="1" si="55"/>
        <v>0.993745198153974</v>
      </c>
      <c r="AY66" s="297">
        <f t="shared" ca="1" si="56"/>
        <v>0.99329991641927617</v>
      </c>
      <c r="AZ66" s="297">
        <f t="shared" ca="1" si="57"/>
        <v>0.93878453313794796</v>
      </c>
      <c r="BA66" s="283">
        <f t="shared" si="61"/>
        <v>0</v>
      </c>
      <c r="BB66" s="284">
        <f t="shared" ca="1" si="62"/>
        <v>0.92823273457225552</v>
      </c>
      <c r="BC66" s="282">
        <f t="shared" ca="1" si="63"/>
        <v>6.2548018460260035E-3</v>
      </c>
      <c r="BD66" s="283">
        <f t="shared" ca="1" si="64"/>
        <v>0.26051401309965444</v>
      </c>
      <c r="BE66" s="283">
        <f t="shared" ca="1" si="65"/>
        <v>0.2603972808307774</v>
      </c>
      <c r="BF66" s="283">
        <f t="shared" ca="1" si="66"/>
        <v>0.24610586961121436</v>
      </c>
      <c r="BG66" s="283">
        <f t="shared" ca="1" si="67"/>
        <v>0</v>
      </c>
      <c r="BH66" s="284">
        <f t="shared" ca="1" si="68"/>
        <v>0.22672803461232777</v>
      </c>
    </row>
    <row r="67" spans="1:60" ht="15" thickBot="1" x14ac:dyDescent="0.25">
      <c r="A67" s="302">
        <v>2050</v>
      </c>
      <c r="B67" s="822">
        <f t="shared" si="73"/>
        <v>141725.82999999999</v>
      </c>
      <c r="C67" s="823">
        <f t="shared" si="73"/>
        <v>6735.78</v>
      </c>
      <c r="D67" s="823">
        <f t="shared" si="73"/>
        <v>6972.2</v>
      </c>
      <c r="E67" s="823">
        <f t="shared" si="73"/>
        <v>19198.87</v>
      </c>
      <c r="F67" s="823">
        <f t="shared" si="73"/>
        <v>21934.21</v>
      </c>
      <c r="G67" s="824">
        <f t="shared" si="73"/>
        <v>4685.4799999999996</v>
      </c>
      <c r="H67" s="977">
        <f t="shared" si="74"/>
        <v>1</v>
      </c>
      <c r="I67" s="978">
        <f t="shared" si="74"/>
        <v>1</v>
      </c>
      <c r="J67" s="978">
        <f t="shared" si="74"/>
        <v>1</v>
      </c>
      <c r="K67" s="978">
        <f t="shared" si="74"/>
        <v>0.84140729314826768</v>
      </c>
      <c r="L67" s="978">
        <f t="shared" si="74"/>
        <v>1</v>
      </c>
      <c r="M67" s="979">
        <f t="shared" si="74"/>
        <v>1</v>
      </c>
      <c r="N67" s="303">
        <f t="shared" si="28"/>
        <v>9660.6210562973247</v>
      </c>
      <c r="O67" s="304">
        <f t="shared" si="29"/>
        <v>8223.9992912447142</v>
      </c>
      <c r="P67" s="304">
        <f t="shared" si="30"/>
        <v>8178.5207807545739</v>
      </c>
      <c r="Q67" s="304">
        <f t="shared" si="31"/>
        <v>6763.9026863324452</v>
      </c>
      <c r="R67" s="304">
        <f t="shared" si="32"/>
        <v>4189.5841045373218</v>
      </c>
      <c r="S67" s="306">
        <f t="shared" si="33"/>
        <v>1694.5135570420603</v>
      </c>
      <c r="T67" s="303">
        <f t="shared" si="34"/>
        <v>1436.6217650526105</v>
      </c>
      <c r="U67" s="304">
        <f t="shared" si="35"/>
        <v>1482.1002755427508</v>
      </c>
      <c r="V67" s="304">
        <f t="shared" si="36"/>
        <v>2896.7183699648795</v>
      </c>
      <c r="W67" s="304">
        <f t="shared" si="37"/>
        <v>5471.0369517600029</v>
      </c>
      <c r="X67" s="306">
        <f t="shared" si="38"/>
        <v>7966.107499255264</v>
      </c>
      <c r="Y67" s="307">
        <f ca="1">IF(AND(Y$22=TRUE,INDEX(CDRANGE_CLS2,MATCH($A67,$A$24:$A$67,0),MATCH(Y$20,$B$20:$G$20,0))&lt;$D$6/OPDAYS_Cls2),86,payback(C67,T67,disc_rate/12,85))</f>
        <v>5</v>
      </c>
      <c r="Z67" s="308">
        <f ca="1">IF(AND(Z$22=TRUE,INDEX(CDRANGE_CLS2,MATCH($A67,$A$24:$A$67,0),MATCH(Z$20,$B$20:$G$20,0))&lt;$D$6/OPDAYS_Cls2),86,payback(D67,U67,disc_rate/12,85))</f>
        <v>5</v>
      </c>
      <c r="AA67" s="308">
        <f ca="1">IF(AND(AA$22=TRUE,INDEX(CDRANGE_CLS2,MATCH($A67,$A$24:$A$67,0),MATCH(AA$20,$B$20:$G$20,0))&lt;$D$6/OPDAYS_Cls2),86,payback(E67,V67,disc_rate/12,85))</f>
        <v>7</v>
      </c>
      <c r="AB67" s="308">
        <f>IF(AND(AB$22=TRUE,INDEX(CDRANGE_CLS2,MATCH($A67,$A$24:$A$67,0),MATCH(AB$20,$B$20:$G$20,0))&lt;$D$6/OPDAYS_Cls2),86,payback(F67,W67,disc_rate/12,85))</f>
        <v>86</v>
      </c>
      <c r="AC67" s="309">
        <f ca="1">IF(AND(AC$22=TRUE,INDEX(CDRANGE_CLS2,MATCH($A67,$A$24:$A$67,0),MATCH(AC$20,$B$20:$G$20,0))&lt;$D$6/OPDAYS_Cls2),86,payback(G67,X67,disc_rate/12,85))</f>
        <v>1</v>
      </c>
      <c r="AD67" s="310">
        <f t="shared" si="39"/>
        <v>0</v>
      </c>
      <c r="AE67" s="311">
        <f t="shared" si="40"/>
        <v>0</v>
      </c>
      <c r="AF67" s="311">
        <f t="shared" si="41"/>
        <v>0</v>
      </c>
      <c r="AG67" s="311">
        <f t="shared" si="42"/>
        <v>0</v>
      </c>
      <c r="AH67" s="312">
        <f t="shared" si="43"/>
        <v>2.9400737016167688E-2</v>
      </c>
      <c r="AI67" s="313">
        <f t="shared" si="44"/>
        <v>0.49999999962087194</v>
      </c>
      <c r="AJ67" s="314">
        <f t="shared" si="45"/>
        <v>0.49999999962087194</v>
      </c>
      <c r="AK67" s="314">
        <f t="shared" si="46"/>
        <v>0.49999999962087194</v>
      </c>
      <c r="AL67" s="314">
        <f t="shared" si="47"/>
        <v>0.49999890515837031</v>
      </c>
      <c r="AM67" s="315">
        <f t="shared" si="48"/>
        <v>0.46586737919822446</v>
      </c>
      <c r="AN67" s="313">
        <f t="shared" si="60"/>
        <v>0.99374519890748736</v>
      </c>
      <c r="AO67" s="314">
        <f t="shared" si="60"/>
        <v>0.99329991717245192</v>
      </c>
      <c r="AP67" s="314">
        <f t="shared" si="60"/>
        <v>0.95030314360815338</v>
      </c>
      <c r="AQ67" s="314">
        <f t="shared" si="60"/>
        <v>0.93563112657703895</v>
      </c>
      <c r="AR67" s="599">
        <f t="shared" si="60"/>
        <v>0.99696856293202085</v>
      </c>
      <c r="AS67" s="319">
        <f t="shared" ca="1" si="50"/>
        <v>0.99999999924174388</v>
      </c>
      <c r="AT67" s="320">
        <f t="shared" ca="1" si="51"/>
        <v>0.99999999924174388</v>
      </c>
      <c r="AU67" s="320">
        <f t="shared" ca="1" si="52"/>
        <v>0.99672728465125515</v>
      </c>
      <c r="AV67" s="320">
        <f t="shared" si="53"/>
        <v>0</v>
      </c>
      <c r="AW67" s="321">
        <f t="shared" ca="1" si="54"/>
        <v>0.93173475839644893</v>
      </c>
      <c r="AX67" s="310">
        <f t="shared" ca="1" si="55"/>
        <v>0.993745198153974</v>
      </c>
      <c r="AY67" s="311">
        <f t="shared" ca="1" si="56"/>
        <v>0.99329991641927617</v>
      </c>
      <c r="AZ67" s="311">
        <f t="shared" ca="1" si="57"/>
        <v>0.94719307192410651</v>
      </c>
      <c r="BA67" s="320">
        <f t="shared" si="61"/>
        <v>0</v>
      </c>
      <c r="BB67" s="321">
        <f t="shared" ca="1" si="62"/>
        <v>0.92891026311232139</v>
      </c>
      <c r="BC67" s="319">
        <f t="shared" ca="1" si="63"/>
        <v>6.2548018460260035E-3</v>
      </c>
      <c r="BD67" s="320">
        <f t="shared" ca="1" si="64"/>
        <v>0.25989423357907177</v>
      </c>
      <c r="BE67" s="320">
        <f t="shared" ca="1" si="65"/>
        <v>0.25977777902373805</v>
      </c>
      <c r="BF67" s="320">
        <f t="shared" ca="1" si="66"/>
        <v>0.24771945357463743</v>
      </c>
      <c r="BG67" s="320">
        <f t="shared" ca="1" si="67"/>
        <v>0</v>
      </c>
      <c r="BH67" s="321">
        <f t="shared" ca="1" si="68"/>
        <v>0.22635373197652672</v>
      </c>
    </row>
    <row r="68" spans="1:60" x14ac:dyDescent="0.2">
      <c r="A68" s="227" t="str">
        <f>"Output generated: "&amp; TEXT(MAX($L$4,$L$5),"m/dd/yyyy hh:mm")</f>
        <v>Output generated: 7/21/2020 15:48</v>
      </c>
      <c r="E68" s="234"/>
      <c r="F68" s="234"/>
      <c r="G68" s="234"/>
      <c r="H68" s="322"/>
      <c r="I68" s="234"/>
      <c r="J68" s="234"/>
      <c r="K68" s="323"/>
      <c r="L68" s="323"/>
      <c r="M68" s="323"/>
      <c r="W68" s="227"/>
      <c r="X68" s="227"/>
      <c r="Y68" s="227"/>
    </row>
    <row r="69" spans="1:60" ht="15" thickBot="1" x14ac:dyDescent="0.25"/>
    <row r="70" spans="1:60" s="29" customFormat="1" ht="15" x14ac:dyDescent="0.2">
      <c r="A70" s="333"/>
      <c r="B70" s="1555" t="s">
        <v>251</v>
      </c>
      <c r="C70" s="1556"/>
      <c r="D70" s="1556"/>
      <c r="E70" s="1556"/>
      <c r="F70" s="1556"/>
      <c r="G70" s="1556"/>
      <c r="H70" s="1556"/>
      <c r="I70" s="1556"/>
      <c r="J70" s="1556"/>
      <c r="K70" s="1556"/>
      <c r="L70" s="1556"/>
      <c r="M70" s="1556"/>
      <c r="N70" s="1557"/>
      <c r="O70" s="1555" t="s">
        <v>252</v>
      </c>
      <c r="P70" s="1556"/>
      <c r="Q70" s="1556"/>
      <c r="R70" s="1556"/>
      <c r="S70" s="1556"/>
      <c r="T70" s="1556"/>
      <c r="U70" s="1556"/>
      <c r="V70" s="1556"/>
      <c r="W70" s="1556"/>
      <c r="X70" s="1556"/>
      <c r="Y70" s="1556"/>
      <c r="Z70" s="1556"/>
      <c r="AA70" s="1557"/>
    </row>
    <row r="71" spans="1:60" x14ac:dyDescent="0.2">
      <c r="A71" s="324"/>
      <c r="B71" s="1552" t="s">
        <v>121</v>
      </c>
      <c r="C71" s="1553"/>
      <c r="D71" s="1553"/>
      <c r="E71" s="1553"/>
      <c r="F71" s="1553"/>
      <c r="G71" s="1553"/>
      <c r="H71" s="1553"/>
      <c r="I71" s="1553"/>
      <c r="J71" s="1553"/>
      <c r="K71" s="1553"/>
      <c r="L71" s="1553"/>
      <c r="M71" s="382"/>
      <c r="N71" s="325"/>
      <c r="O71" s="1552" t="s">
        <v>121</v>
      </c>
      <c r="P71" s="1553"/>
      <c r="Q71" s="1553"/>
      <c r="R71" s="1553"/>
      <c r="S71" s="1553"/>
      <c r="T71" s="1553"/>
      <c r="U71" s="1553"/>
      <c r="V71" s="1553"/>
      <c r="W71" s="1553"/>
      <c r="X71" s="1553"/>
      <c r="Y71" s="1553"/>
      <c r="Z71" s="382"/>
      <c r="AA71" s="325"/>
      <c r="AC71" s="954" t="s">
        <v>267</v>
      </c>
      <c r="AD71" s="234" t="b">
        <f>INDEX(TECH_OPT_FUEL2_Cls1,MATCH(RIGHT(O70),TECH_OPT_ROWS_Cls1,0))&lt;&gt;"N/A"</f>
        <v>0</v>
      </c>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TRANSPOSE(Cls2CentTruckShr)</f>
        <v>3.9559734044076443E-2</v>
      </c>
      <c r="C73" s="341">
        <v>8.9650908809480775E-2</v>
      </c>
      <c r="D73" s="341">
        <v>9.1857251580802685E-2</v>
      </c>
      <c r="E73" s="341">
        <v>9.271536797287637E-2</v>
      </c>
      <c r="F73" s="341">
        <v>0.10920126324528824</v>
      </c>
      <c r="G73" s="341">
        <v>4.7813378096654632E-2</v>
      </c>
      <c r="H73" s="341">
        <v>5.2826626309680449E-2</v>
      </c>
      <c r="I73" s="341">
        <v>3.3324854637922362E-2</v>
      </c>
      <c r="J73" s="341">
        <v>1.4796369103015083E-2</v>
      </c>
      <c r="K73" s="341">
        <v>6.5522293759777608E-3</v>
      </c>
      <c r="L73" s="378">
        <v>1.1207747736094297E-2</v>
      </c>
      <c r="M73" s="384"/>
      <c r="N73" s="336"/>
      <c r="O73" s="340">
        <f t="array" ref="O73:Y73">TRANSPOSE(Cls2NCentTruckShr)</f>
        <v>4.6052840844996765E-2</v>
      </c>
      <c r="P73" s="341">
        <v>6.7033462620106746E-2</v>
      </c>
      <c r="Q73" s="341">
        <v>6.2316087841293416E-2</v>
      </c>
      <c r="R73" s="341">
        <v>6.9108422941336428E-2</v>
      </c>
      <c r="S73" s="341">
        <v>7.8222088301235171E-2</v>
      </c>
      <c r="T73" s="341">
        <v>3.5529474750239771E-2</v>
      </c>
      <c r="U73" s="341">
        <v>3.0248313910710867E-2</v>
      </c>
      <c r="V73" s="341">
        <v>8.2628405675757074E-3</v>
      </c>
      <c r="W73" s="341">
        <v>6.4250307191884484E-3</v>
      </c>
      <c r="X73" s="341">
        <v>1.9993158802676368E-3</v>
      </c>
      <c r="Y73" s="1209">
        <v>5.2963907111801883E-3</v>
      </c>
      <c r="Z73" s="384"/>
      <c r="AA73" s="336"/>
    </row>
    <row r="74" spans="1:60" s="228" customFormat="1" x14ac:dyDescent="0.2">
      <c r="A74" s="331" t="s">
        <v>125</v>
      </c>
      <c r="B74" s="923">
        <f t="array" ref="B74:L74">TRANSPOSE(Cls2CentVMTShr)</f>
        <v>6.3375455551975849E-3</v>
      </c>
      <c r="C74" s="924">
        <v>3.496913005496359E-2</v>
      </c>
      <c r="D74" s="924">
        <v>5.9955127131675522E-2</v>
      </c>
      <c r="E74" s="924">
        <v>8.4599669387910512E-2</v>
      </c>
      <c r="F74" s="924">
        <v>0.12702701008436962</v>
      </c>
      <c r="G74" s="924">
        <v>6.7204731283582092E-2</v>
      </c>
      <c r="H74" s="924">
        <v>8.8708982453757024E-2</v>
      </c>
      <c r="I74" s="924">
        <v>6.4694225377098208E-2</v>
      </c>
      <c r="J74" s="924">
        <v>3.2526447027526634E-2</v>
      </c>
      <c r="K74" s="924">
        <v>1.589064319454132E-2</v>
      </c>
      <c r="L74" s="1210">
        <v>3.2608183213810787E-2</v>
      </c>
      <c r="M74" s="1211"/>
      <c r="N74" s="1212"/>
      <c r="O74" s="923">
        <f t="array" ref="O74:Y74">TRANSPOSE(Cls2NCentVMTShr)</f>
        <v>8.1228463417563086E-3</v>
      </c>
      <c r="P74" s="924">
        <v>2.7563836768431361E-2</v>
      </c>
      <c r="Q74" s="924">
        <v>4.1883113088337191E-2</v>
      </c>
      <c r="R74" s="924">
        <v>6.4289357588678764E-2</v>
      </c>
      <c r="S74" s="924">
        <v>9.1183275251204537E-2</v>
      </c>
      <c r="T74" s="924">
        <v>5.1984283219922628E-2</v>
      </c>
      <c r="U74" s="924">
        <v>5.0286059545109812E-2</v>
      </c>
      <c r="V74" s="924">
        <v>1.5542287574292338E-2</v>
      </c>
      <c r="W74" s="924">
        <v>1.4506257462625264E-2</v>
      </c>
      <c r="X74" s="924">
        <v>4.9330966304706684E-3</v>
      </c>
      <c r="Y74" s="925">
        <v>1.5183891764738403E-2</v>
      </c>
      <c r="Z74" s="1211"/>
      <c r="AA74" s="1212"/>
      <c r="AB74" s="1568" t="str">
        <f>"% of miles on f2 for Tech "&amp; RIGHT(O69)&amp;" adopters"</f>
        <v>% of miles on f2 for Tech  adopters</v>
      </c>
      <c r="AC74" s="1569"/>
      <c r="AD74" s="1570"/>
      <c r="AE74" s="1173" t="s">
        <v>298</v>
      </c>
      <c r="AF74" s="1173"/>
      <c r="AG74" s="1173"/>
      <c r="AH74" s="1174" t="s">
        <v>297</v>
      </c>
      <c r="AI74" s="1175"/>
    </row>
    <row r="75" spans="1:60" ht="15" thickBot="1" x14ac:dyDescent="0.25">
      <c r="A75" s="942" t="s">
        <v>266</v>
      </c>
      <c r="B75" s="933">
        <f t="array" ref="B75:L75">TRANSPOSE(Cls2CentVMT/OPDAYS_Cls2)</f>
        <v>49.332453271995263</v>
      </c>
      <c r="C75" s="934">
        <v>120.11441047790339</v>
      </c>
      <c r="D75" s="934">
        <v>200.99157969807086</v>
      </c>
      <c r="E75" s="934">
        <v>280.98421424125928</v>
      </c>
      <c r="F75" s="934">
        <v>358.20644524895255</v>
      </c>
      <c r="G75" s="934">
        <v>432.82805471770689</v>
      </c>
      <c r="H75" s="934">
        <v>517.10615118099815</v>
      </c>
      <c r="I75" s="934">
        <v>597.8087063838957</v>
      </c>
      <c r="J75" s="934">
        <v>676.93419409560215</v>
      </c>
      <c r="K75" s="934">
        <v>746.82245226325631</v>
      </c>
      <c r="L75" s="935">
        <v>895.92826380844349</v>
      </c>
      <c r="M75" s="931"/>
      <c r="N75" s="932"/>
      <c r="O75" s="933">
        <f t="array" ref="O75:Y75">TRANSPOSE(Cls2NCentVMT/OPDAYS_Cls2)</f>
        <v>54.31462614952413</v>
      </c>
      <c r="P75" s="934">
        <v>126.62311644744663</v>
      </c>
      <c r="Q75" s="934">
        <v>206.96826351576016</v>
      </c>
      <c r="R75" s="934">
        <v>286.46600131499179</v>
      </c>
      <c r="S75" s="934">
        <v>358.9638908170715</v>
      </c>
      <c r="T75" s="934">
        <v>450.55545819643328</v>
      </c>
      <c r="U75" s="934">
        <v>511.93098482414172</v>
      </c>
      <c r="V75" s="934">
        <v>579.22933632093111</v>
      </c>
      <c r="W75" s="934">
        <v>695.25665569614875</v>
      </c>
      <c r="X75" s="934">
        <v>759.80682330760794</v>
      </c>
      <c r="Y75" s="1213">
        <v>882.81167173661356</v>
      </c>
      <c r="Z75" s="943"/>
      <c r="AA75" s="932"/>
      <c r="AB75" s="945" t="s">
        <v>186</v>
      </c>
      <c r="AC75" s="946" t="s">
        <v>15</v>
      </c>
      <c r="AD75" s="947" t="s">
        <v>18</v>
      </c>
      <c r="AE75" s="937" t="s">
        <v>186</v>
      </c>
      <c r="AF75" s="937" t="s">
        <v>15</v>
      </c>
      <c r="AG75" s="937" t="s">
        <v>18</v>
      </c>
      <c r="AH75" s="1172" t="s">
        <v>186</v>
      </c>
      <c r="AI75" s="937" t="s">
        <v>15</v>
      </c>
      <c r="AJ75" s="323"/>
      <c r="AK75" s="323"/>
      <c r="AL75" s="323"/>
      <c r="AM75" s="323"/>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282">
        <f>SUMPRODUCT($B$74:$L$74,$B76:$L76)</f>
        <v>0</v>
      </c>
      <c r="N76" s="284">
        <f>SUMPRODUCT($B$73:$L$73,$B76:$L76)</f>
        <v>0</v>
      </c>
      <c r="O76" s="342">
        <v>0</v>
      </c>
      <c r="P76" s="343">
        <v>0</v>
      </c>
      <c r="Q76" s="343">
        <v>0</v>
      </c>
      <c r="R76" s="343">
        <v>0</v>
      </c>
      <c r="S76" s="343">
        <v>0</v>
      </c>
      <c r="T76" s="343">
        <v>0</v>
      </c>
      <c r="U76" s="343">
        <v>0</v>
      </c>
      <c r="V76" s="343">
        <v>0</v>
      </c>
      <c r="W76" s="343">
        <v>0</v>
      </c>
      <c r="X76" s="343">
        <v>0</v>
      </c>
      <c r="Y76" s="379">
        <v>0</v>
      </c>
      <c r="Z76" s="282">
        <f>SUMPRODUCT($O$74:$Y$74,$O76:$Y76)</f>
        <v>0</v>
      </c>
      <c r="AA76" s="284">
        <f>SUMPRODUCT($O$73:$Y$73,$O76:$Y76)</f>
        <v>0</v>
      </c>
      <c r="AB76" s="948">
        <f t="array" ref="AB76">IF(AND($AD$71=TRUE,SUM(B76:L76)&gt;0),SUMPRODUCT((((TRANSPOSE(Cls2CentDailyRng)&lt;INDEX(CDRANGE_CLS2,$A76-$A$76+1,AD$72))*TRANSPOSE(Cls2CentDailyRng)+(TRANSPOSE(Cls2CentDailyRng)&gt;INDEX(CDRANGE_CLS2,$A76-$A$76+1,AD$72))*INDEX(CDRANGE_CLS2,$A76-$A$76+1,AD$72))/TRANSPOSE(Cls2CentDailyRng)),B76:L76,TRANSPOSE(Cls2CentVMTShr))/SUMPRODUCT(B76:L76,TRANSPOSE(Cls2CentVMTShr)),0)</f>
        <v>0</v>
      </c>
      <c r="AC76" s="949">
        <f t="array" ref="AC76">IF(AND($AD$72=TRUE,SUM(O76:Y76)&gt;0),SUMPRODUCT((((TRANSPOSE(Cls2NCentDailyRng)&lt;INDEX(CDRANGE_CLS2,$A76-$A$76+1,AD$74))*TRANSPOSE(Cls2NCentDailyRng)+(TRANSPOSE(Cls2NCentDailyRng)&gt;INDEX(CDRANGE_CLS2,$A76-$A$76+1,AD$74))*INDEX(CDRANGE_CLS2,$A76-$A$76+1,AD$74))/TRANSPOSE(Cls2NCentDailyRng)),O76:Y76,TRANSPOSE(Cls2NCentVMTShr))/SUMPRODUCT(O76:Y76,TRANSPOSE(Cls2NCentVMTShr)),0)</f>
        <v>0</v>
      </c>
      <c r="AD76" s="1226">
        <f t="shared" ref="AD76:AD101" si="75">AB76*AH76+AC76*AI76</f>
        <v>0</v>
      </c>
      <c r="AE76" s="937">
        <f t="shared" ref="AE76:AE90" si="76">SUMPRODUCT($B$74:$L$74,B76:L76)</f>
        <v>0</v>
      </c>
      <c r="AF76" s="937">
        <f t="shared" ref="AF76:AF90" si="77">SUMPRODUCT($O$74:$Y$74,O76:Y76)</f>
        <v>0</v>
      </c>
      <c r="AG76" s="937">
        <f t="shared" ref="AG76:AG90" si="78">SUM(AE76:AF76)</f>
        <v>0</v>
      </c>
      <c r="AH76" s="1172">
        <f>IF(AG76&gt;0,AE76/AG76,0)</f>
        <v>0</v>
      </c>
      <c r="AI76" s="937">
        <f>IF(AG76&gt;0,AF76/AG76,0)</f>
        <v>0</v>
      </c>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9">SUMPRODUCT($B$74:$L$74,$B77:$L77)</f>
        <v>0</v>
      </c>
      <c r="N77" s="298">
        <f t="shared" ref="N77:N118" si="80">SUMPRODUCT($B$73:$L$73,$B77:$L77)</f>
        <v>0</v>
      </c>
      <c r="O77" s="344">
        <v>0</v>
      </c>
      <c r="P77" s="345">
        <v>0</v>
      </c>
      <c r="Q77" s="345">
        <v>0</v>
      </c>
      <c r="R77" s="345">
        <v>0</v>
      </c>
      <c r="S77" s="345">
        <v>0</v>
      </c>
      <c r="T77" s="345">
        <v>0</v>
      </c>
      <c r="U77" s="345">
        <v>0</v>
      </c>
      <c r="V77" s="345">
        <v>0</v>
      </c>
      <c r="W77" s="345">
        <v>0</v>
      </c>
      <c r="X77" s="345">
        <v>0</v>
      </c>
      <c r="Y77" s="380">
        <v>0</v>
      </c>
      <c r="Z77" s="296">
        <f t="shared" ref="Z77:Z118" si="81">SUMPRODUCT($O$74:$Y$74,$O77:$Y77)</f>
        <v>0</v>
      </c>
      <c r="AA77" s="298">
        <f t="shared" ref="AA77:AA119" si="82">SUMPRODUCT($O$73:$Y$73,$O77:$Y77)</f>
        <v>0</v>
      </c>
      <c r="AB77" s="948">
        <f t="array" ref="AB77">IF(AND($AD$71=TRUE,SUM(B77:L77)&gt;0),SUMPRODUCT((((TRANSPOSE(Cls2CentDailyRng)&lt;INDEX(CDRANGE_CLS2,$A77-$A$76+1,AD$72))*TRANSPOSE(Cls2CentDailyRng)+(TRANSPOSE(Cls2CentDailyRng)&gt;INDEX(CDRANGE_CLS2,$A77-$A$76+1,AD$72))*INDEX(CDRANGE_CLS2,$A77-$A$76+1,AD$72))/TRANSPOSE(Cls2CentDailyRng)),B77:L77,TRANSPOSE(Cls2CentVMTShr))/SUMPRODUCT(B77:L77,TRANSPOSE(Cls2CentVMTShr)),0)</f>
        <v>0</v>
      </c>
      <c r="AC77" s="949">
        <f t="array" ref="AC77">IF(AND($AD$72=TRUE,SUM(O77:Y77)&gt;0),SUMPRODUCT((((TRANSPOSE(Cls2NCentDailyRng)&lt;INDEX(CDRANGE_CLS2,$A77-$A$76+1,AD$74))*TRANSPOSE(Cls2NCentDailyRng)+(TRANSPOSE(Cls2NCentDailyRng)&gt;INDEX(CDRANGE_CLS2,$A77-$A$76+1,AD$74))*INDEX(CDRANGE_CLS2,$A77-$A$76+1,AD$74))/TRANSPOSE(Cls2NCentDailyRng)),O77:Y77,TRANSPOSE(Cls2NCentVMTShr))/SUMPRODUCT(O77:Y77,TRANSPOSE(Cls2NCentVMTShr)),0)</f>
        <v>0</v>
      </c>
      <c r="AD77" s="1226">
        <f t="shared" si="75"/>
        <v>0</v>
      </c>
      <c r="AE77" s="937">
        <f t="shared" si="76"/>
        <v>0</v>
      </c>
      <c r="AF77" s="937">
        <f t="shared" si="77"/>
        <v>0</v>
      </c>
      <c r="AG77" s="937">
        <f t="shared" si="78"/>
        <v>0</v>
      </c>
      <c r="AH77" s="1172">
        <f t="shared" ref="AH77:AH119" si="83">IF(AG77&gt;0,AE77/AG77,0)</f>
        <v>0</v>
      </c>
      <c r="AI77" s="937">
        <f t="shared" ref="AI77:AI119" si="84">IF(AG77&gt;0,AF77/AG77,0)</f>
        <v>0</v>
      </c>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9"/>
        <v>0</v>
      </c>
      <c r="N78" s="298">
        <f t="shared" si="80"/>
        <v>0</v>
      </c>
      <c r="O78" s="344">
        <v>0</v>
      </c>
      <c r="P78" s="345">
        <v>0</v>
      </c>
      <c r="Q78" s="345">
        <v>0</v>
      </c>
      <c r="R78" s="345">
        <v>0</v>
      </c>
      <c r="S78" s="345">
        <v>0</v>
      </c>
      <c r="T78" s="345">
        <v>0</v>
      </c>
      <c r="U78" s="345">
        <v>0</v>
      </c>
      <c r="V78" s="345">
        <v>0</v>
      </c>
      <c r="W78" s="345">
        <v>0</v>
      </c>
      <c r="X78" s="345">
        <v>0</v>
      </c>
      <c r="Y78" s="380">
        <v>0</v>
      </c>
      <c r="Z78" s="296">
        <f t="shared" si="81"/>
        <v>0</v>
      </c>
      <c r="AA78" s="298">
        <f t="shared" si="82"/>
        <v>0</v>
      </c>
      <c r="AB78" s="948">
        <f t="array" ref="AB78">IF(AND($AD$71=TRUE,SUM(B78:L78)&gt;0),SUMPRODUCT((((TRANSPOSE(Cls2CentDailyRng)&lt;INDEX(CDRANGE_CLS2,$A78-$A$76+1,AD$72))*TRANSPOSE(Cls2CentDailyRng)+(TRANSPOSE(Cls2CentDailyRng)&gt;INDEX(CDRANGE_CLS2,$A78-$A$76+1,AD$72))*INDEX(CDRANGE_CLS2,$A78-$A$76+1,AD$72))/TRANSPOSE(Cls2CentDailyRng)),B78:L78,TRANSPOSE(Cls2CentVMTShr))/SUMPRODUCT(B78:L78,TRANSPOSE(Cls2CentVMTShr)),0)</f>
        <v>0</v>
      </c>
      <c r="AC78" s="949">
        <f t="array" ref="AC78">IF(AND($AD$72=TRUE,SUM(O78:Y78)&gt;0),SUMPRODUCT((((TRANSPOSE(Cls2NCentDailyRng)&lt;INDEX(CDRANGE_CLS2,$A78-$A$76+1,AD$74))*TRANSPOSE(Cls2NCentDailyRng)+(TRANSPOSE(Cls2NCentDailyRng)&gt;INDEX(CDRANGE_CLS2,$A78-$A$76+1,AD$74))*INDEX(CDRANGE_CLS2,$A78-$A$76+1,AD$74))/TRANSPOSE(Cls2NCentDailyRng)),O78:Y78,TRANSPOSE(Cls2NCentVMTShr))/SUMPRODUCT(O78:Y78,TRANSPOSE(Cls2NCentVMTShr)),0)</f>
        <v>0</v>
      </c>
      <c r="AD78" s="1226">
        <f t="shared" si="75"/>
        <v>0</v>
      </c>
      <c r="AE78" s="937">
        <f t="shared" si="76"/>
        <v>0</v>
      </c>
      <c r="AF78" s="937">
        <f t="shared" si="77"/>
        <v>0</v>
      </c>
      <c r="AG78" s="937">
        <f t="shared" si="78"/>
        <v>0</v>
      </c>
      <c r="AH78" s="1172">
        <f t="shared" si="83"/>
        <v>0</v>
      </c>
      <c r="AI78" s="937">
        <f t="shared" si="84"/>
        <v>0</v>
      </c>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9"/>
        <v>0</v>
      </c>
      <c r="N79" s="312">
        <f t="shared" si="80"/>
        <v>0</v>
      </c>
      <c r="O79" s="346">
        <v>0</v>
      </c>
      <c r="P79" s="347">
        <v>0</v>
      </c>
      <c r="Q79" s="347">
        <v>0</v>
      </c>
      <c r="R79" s="347">
        <v>0</v>
      </c>
      <c r="S79" s="347">
        <v>0</v>
      </c>
      <c r="T79" s="347">
        <v>0</v>
      </c>
      <c r="U79" s="347">
        <v>0</v>
      </c>
      <c r="V79" s="347">
        <v>0</v>
      </c>
      <c r="W79" s="347">
        <v>0</v>
      </c>
      <c r="X79" s="347">
        <v>0</v>
      </c>
      <c r="Y79" s="381">
        <v>0</v>
      </c>
      <c r="Z79" s="310">
        <f t="shared" si="81"/>
        <v>0</v>
      </c>
      <c r="AA79" s="312">
        <f t="shared" si="82"/>
        <v>0</v>
      </c>
      <c r="AB79" s="948">
        <f t="array" ref="AB79">IF(AND($AD$71=TRUE,SUM(B79:L79)&gt;0),SUMPRODUCT((((TRANSPOSE(Cls2CentDailyRng)&lt;INDEX(CDRANGE_CLS2,$A79-$A$76+1,AD$72))*TRANSPOSE(Cls2CentDailyRng)+(TRANSPOSE(Cls2CentDailyRng)&gt;INDEX(CDRANGE_CLS2,$A79-$A$76+1,AD$72))*INDEX(CDRANGE_CLS2,$A79-$A$76+1,AD$72))/TRANSPOSE(Cls2CentDailyRng)),B79:L79,TRANSPOSE(Cls2CentVMTShr))/SUMPRODUCT(B79:L79,TRANSPOSE(Cls2CentVMTShr)),0)</f>
        <v>0</v>
      </c>
      <c r="AC79" s="949">
        <f t="array" ref="AC79">IF(AND($AD$72=TRUE,SUM(O79:Y79)&gt;0),SUMPRODUCT((((TRANSPOSE(Cls2NCentDailyRng)&lt;INDEX(CDRANGE_CLS2,$A79-$A$76+1,AD$74))*TRANSPOSE(Cls2NCentDailyRng)+(TRANSPOSE(Cls2NCentDailyRng)&gt;INDEX(CDRANGE_CLS2,$A79-$A$76+1,AD$74))*INDEX(CDRANGE_CLS2,$A79-$A$76+1,AD$74))/TRANSPOSE(Cls2NCentDailyRng)),O79:Y79,TRANSPOSE(Cls2NCentVMTShr))/SUMPRODUCT(O79:Y79,TRANSPOSE(Cls2NCentVMTShr)),0)</f>
        <v>0</v>
      </c>
      <c r="AD79" s="1226">
        <f t="shared" si="75"/>
        <v>0</v>
      </c>
      <c r="AE79" s="937">
        <f t="shared" si="76"/>
        <v>0</v>
      </c>
      <c r="AF79" s="937">
        <f t="shared" si="77"/>
        <v>0</v>
      </c>
      <c r="AG79" s="937">
        <f t="shared" si="78"/>
        <v>0</v>
      </c>
      <c r="AH79" s="1172">
        <f t="shared" si="83"/>
        <v>0</v>
      </c>
      <c r="AI79" s="937">
        <f t="shared" si="84"/>
        <v>0</v>
      </c>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9"/>
        <v>0</v>
      </c>
      <c r="N80" s="284">
        <f t="shared" si="80"/>
        <v>0</v>
      </c>
      <c r="O80" s="342">
        <v>0</v>
      </c>
      <c r="P80" s="343">
        <v>0</v>
      </c>
      <c r="Q80" s="343">
        <v>0</v>
      </c>
      <c r="R80" s="343">
        <v>0</v>
      </c>
      <c r="S80" s="343">
        <v>0</v>
      </c>
      <c r="T80" s="343">
        <v>0</v>
      </c>
      <c r="U80" s="343">
        <v>0</v>
      </c>
      <c r="V80" s="343">
        <v>0</v>
      </c>
      <c r="W80" s="343">
        <v>0</v>
      </c>
      <c r="X80" s="343">
        <v>0</v>
      </c>
      <c r="Y80" s="379">
        <v>0</v>
      </c>
      <c r="Z80" s="282">
        <f t="shared" si="81"/>
        <v>0</v>
      </c>
      <c r="AA80" s="284">
        <f t="shared" si="82"/>
        <v>0</v>
      </c>
      <c r="AB80" s="948">
        <f t="array" ref="AB80">IF(AND($AD$71=TRUE,SUM(B80:L80)&gt;0),SUMPRODUCT((((TRANSPOSE(Cls2CentDailyRng)&lt;INDEX(CDRANGE_CLS2,$A80-$A$76+1,AD$72))*TRANSPOSE(Cls2CentDailyRng)+(TRANSPOSE(Cls2CentDailyRng)&gt;INDEX(CDRANGE_CLS2,$A80-$A$76+1,AD$72))*INDEX(CDRANGE_CLS2,$A80-$A$76+1,AD$72))/TRANSPOSE(Cls2CentDailyRng)),B80:L80,TRANSPOSE(Cls2CentVMTShr))/SUMPRODUCT(B80:L80,TRANSPOSE(Cls2CentVMTShr)),0)</f>
        <v>0</v>
      </c>
      <c r="AC80" s="949">
        <f t="array" ref="AC80">IF(AND($AD$72=TRUE,SUM(O80:Y80)&gt;0),SUMPRODUCT((((TRANSPOSE(Cls2NCentDailyRng)&lt;INDEX(CDRANGE_CLS2,$A80-$A$76+1,AD$74))*TRANSPOSE(Cls2NCentDailyRng)+(TRANSPOSE(Cls2NCentDailyRng)&gt;INDEX(CDRANGE_CLS2,$A80-$A$76+1,AD$74))*INDEX(CDRANGE_CLS2,$A80-$A$76+1,AD$74))/TRANSPOSE(Cls2NCentDailyRng)),O80:Y80,TRANSPOSE(Cls2NCentVMTShr))/SUMPRODUCT(O80:Y80,TRANSPOSE(Cls2NCentVMTShr)),0)</f>
        <v>0</v>
      </c>
      <c r="AD80" s="1226">
        <f t="shared" si="75"/>
        <v>0</v>
      </c>
      <c r="AE80" s="937">
        <f t="shared" si="76"/>
        <v>0</v>
      </c>
      <c r="AF80" s="937">
        <f t="shared" si="77"/>
        <v>0</v>
      </c>
      <c r="AG80" s="937">
        <f t="shared" si="78"/>
        <v>0</v>
      </c>
      <c r="AH80" s="1172">
        <f t="shared" si="83"/>
        <v>0</v>
      </c>
      <c r="AI80" s="937">
        <f t="shared" si="84"/>
        <v>0</v>
      </c>
    </row>
    <row r="81" spans="1:38" x14ac:dyDescent="0.2">
      <c r="A81" s="330">
        <v>2012</v>
      </c>
      <c r="B81" s="344">
        <v>0</v>
      </c>
      <c r="C81" s="345">
        <v>0</v>
      </c>
      <c r="D81" s="345">
        <v>0</v>
      </c>
      <c r="E81" s="345">
        <v>0</v>
      </c>
      <c r="F81" s="345">
        <v>0</v>
      </c>
      <c r="G81" s="345">
        <v>0</v>
      </c>
      <c r="H81" s="345">
        <v>0</v>
      </c>
      <c r="I81" s="345">
        <v>0</v>
      </c>
      <c r="J81" s="345">
        <v>0</v>
      </c>
      <c r="K81" s="345">
        <v>0</v>
      </c>
      <c r="L81" s="380">
        <v>0</v>
      </c>
      <c r="M81" s="296">
        <f t="shared" si="79"/>
        <v>0</v>
      </c>
      <c r="N81" s="298">
        <f t="shared" si="80"/>
        <v>0</v>
      </c>
      <c r="O81" s="344">
        <v>0</v>
      </c>
      <c r="P81" s="345">
        <v>0</v>
      </c>
      <c r="Q81" s="345">
        <v>0</v>
      </c>
      <c r="R81" s="345">
        <v>0</v>
      </c>
      <c r="S81" s="345">
        <v>0</v>
      </c>
      <c r="T81" s="345">
        <v>0</v>
      </c>
      <c r="U81" s="345">
        <v>0</v>
      </c>
      <c r="V81" s="345">
        <v>0</v>
      </c>
      <c r="W81" s="345">
        <v>0</v>
      </c>
      <c r="X81" s="345">
        <v>0</v>
      </c>
      <c r="Y81" s="380">
        <v>0</v>
      </c>
      <c r="Z81" s="296">
        <f t="shared" si="81"/>
        <v>0</v>
      </c>
      <c r="AA81" s="298">
        <f t="shared" si="82"/>
        <v>0</v>
      </c>
      <c r="AB81" s="948">
        <f t="array" ref="AB81">IF(AND($AD$71=TRUE,SUM(B81:L81)&gt;0),SUMPRODUCT((((TRANSPOSE(Cls2CentDailyRng)&lt;INDEX(CDRANGE_CLS2,$A81-$A$76+1,AD$72))*TRANSPOSE(Cls2CentDailyRng)+(TRANSPOSE(Cls2CentDailyRng)&gt;INDEX(CDRANGE_CLS2,$A81-$A$76+1,AD$72))*INDEX(CDRANGE_CLS2,$A81-$A$76+1,AD$72))/TRANSPOSE(Cls2CentDailyRng)),B81:L81,TRANSPOSE(Cls2CentVMTShr))/SUMPRODUCT(B81:L81,TRANSPOSE(Cls2CentVMTShr)),0)</f>
        <v>0</v>
      </c>
      <c r="AC81" s="949">
        <f t="array" ref="AC81">IF(AND($AD$72=TRUE,SUM(O81:Y81)&gt;0),SUMPRODUCT((((TRANSPOSE(Cls2NCentDailyRng)&lt;INDEX(CDRANGE_CLS2,$A81-$A$76+1,AD$74))*TRANSPOSE(Cls2NCentDailyRng)+(TRANSPOSE(Cls2NCentDailyRng)&gt;INDEX(CDRANGE_CLS2,$A81-$A$76+1,AD$74))*INDEX(CDRANGE_CLS2,$A81-$A$76+1,AD$74))/TRANSPOSE(Cls2NCentDailyRng)),O81:Y81,TRANSPOSE(Cls2NCentVMTShr))/SUMPRODUCT(O81:Y81,TRANSPOSE(Cls2NCentVMTShr)),0)</f>
        <v>0</v>
      </c>
      <c r="AD81" s="1226">
        <f t="shared" si="75"/>
        <v>0</v>
      </c>
      <c r="AE81" s="937">
        <f t="shared" si="76"/>
        <v>0</v>
      </c>
      <c r="AF81" s="937">
        <f t="shared" si="77"/>
        <v>0</v>
      </c>
      <c r="AG81" s="937">
        <f t="shared" si="78"/>
        <v>0</v>
      </c>
      <c r="AH81" s="1172">
        <f t="shared" si="83"/>
        <v>0</v>
      </c>
      <c r="AI81" s="937">
        <f t="shared" si="84"/>
        <v>0</v>
      </c>
    </row>
    <row r="82" spans="1:38" x14ac:dyDescent="0.2">
      <c r="A82" s="330">
        <v>2013</v>
      </c>
      <c r="B82" s="344">
        <v>0</v>
      </c>
      <c r="C82" s="345">
        <v>0</v>
      </c>
      <c r="D82" s="345">
        <v>0</v>
      </c>
      <c r="E82" s="345">
        <v>0</v>
      </c>
      <c r="F82" s="345">
        <v>0</v>
      </c>
      <c r="G82" s="345">
        <v>0</v>
      </c>
      <c r="H82" s="345">
        <v>0</v>
      </c>
      <c r="I82" s="345">
        <v>0</v>
      </c>
      <c r="J82" s="345">
        <v>0</v>
      </c>
      <c r="K82" s="345">
        <v>0</v>
      </c>
      <c r="L82" s="380">
        <v>0</v>
      </c>
      <c r="M82" s="296">
        <f t="shared" si="79"/>
        <v>0</v>
      </c>
      <c r="N82" s="298">
        <f t="shared" si="80"/>
        <v>0</v>
      </c>
      <c r="O82" s="344">
        <v>0</v>
      </c>
      <c r="P82" s="345">
        <v>0</v>
      </c>
      <c r="Q82" s="345">
        <v>0</v>
      </c>
      <c r="R82" s="345">
        <v>0</v>
      </c>
      <c r="S82" s="345">
        <v>0</v>
      </c>
      <c r="T82" s="345">
        <v>0</v>
      </c>
      <c r="U82" s="345">
        <v>0</v>
      </c>
      <c r="V82" s="345">
        <v>0</v>
      </c>
      <c r="W82" s="345">
        <v>0</v>
      </c>
      <c r="X82" s="345">
        <v>0</v>
      </c>
      <c r="Y82" s="380">
        <v>0</v>
      </c>
      <c r="Z82" s="296">
        <f t="shared" si="81"/>
        <v>0</v>
      </c>
      <c r="AA82" s="298">
        <f t="shared" si="82"/>
        <v>0</v>
      </c>
      <c r="AB82" s="948">
        <f t="array" ref="AB82">IF(AND($AD$71=TRUE,SUM(B82:L82)&gt;0),SUMPRODUCT((((TRANSPOSE(Cls2CentDailyRng)&lt;INDEX(CDRANGE_CLS2,$A82-$A$76+1,AD$72))*TRANSPOSE(Cls2CentDailyRng)+(TRANSPOSE(Cls2CentDailyRng)&gt;INDEX(CDRANGE_CLS2,$A82-$A$76+1,AD$72))*INDEX(CDRANGE_CLS2,$A82-$A$76+1,AD$72))/TRANSPOSE(Cls2CentDailyRng)),B82:L82,TRANSPOSE(Cls2CentVMTShr))/SUMPRODUCT(B82:L82,TRANSPOSE(Cls2CentVMTShr)),0)</f>
        <v>0</v>
      </c>
      <c r="AC82" s="949">
        <f t="array" ref="AC82">IF(AND($AD$72=TRUE,SUM(O82:Y82)&gt;0),SUMPRODUCT((((TRANSPOSE(Cls2NCentDailyRng)&lt;INDEX(CDRANGE_CLS2,$A82-$A$76+1,AD$74))*TRANSPOSE(Cls2NCentDailyRng)+(TRANSPOSE(Cls2NCentDailyRng)&gt;INDEX(CDRANGE_CLS2,$A82-$A$76+1,AD$74))*INDEX(CDRANGE_CLS2,$A82-$A$76+1,AD$74))/TRANSPOSE(Cls2NCentDailyRng)),O82:Y82,TRANSPOSE(Cls2NCentVMTShr))/SUMPRODUCT(O82:Y82,TRANSPOSE(Cls2NCentVMTShr)),0)</f>
        <v>0</v>
      </c>
      <c r="AD82" s="1226">
        <f t="shared" si="75"/>
        <v>0</v>
      </c>
      <c r="AE82" s="937">
        <f t="shared" si="76"/>
        <v>0</v>
      </c>
      <c r="AF82" s="937">
        <f t="shared" si="77"/>
        <v>0</v>
      </c>
      <c r="AG82" s="937">
        <f t="shared" si="78"/>
        <v>0</v>
      </c>
      <c r="AH82" s="1172">
        <f t="shared" si="83"/>
        <v>0</v>
      </c>
      <c r="AI82" s="937">
        <f t="shared" si="84"/>
        <v>0</v>
      </c>
    </row>
    <row r="83" spans="1:38" x14ac:dyDescent="0.2">
      <c r="A83" s="330">
        <v>2014</v>
      </c>
      <c r="B83" s="344">
        <v>0</v>
      </c>
      <c r="C83" s="345">
        <v>0</v>
      </c>
      <c r="D83" s="345">
        <v>0</v>
      </c>
      <c r="E83" s="345">
        <v>0</v>
      </c>
      <c r="F83" s="345">
        <v>0</v>
      </c>
      <c r="G83" s="345">
        <v>0</v>
      </c>
      <c r="H83" s="345">
        <v>0</v>
      </c>
      <c r="I83" s="345">
        <v>0</v>
      </c>
      <c r="J83" s="345">
        <v>0</v>
      </c>
      <c r="K83" s="345">
        <v>0</v>
      </c>
      <c r="L83" s="380">
        <v>0</v>
      </c>
      <c r="M83" s="296">
        <f t="shared" si="79"/>
        <v>0</v>
      </c>
      <c r="N83" s="298">
        <f t="shared" si="80"/>
        <v>0</v>
      </c>
      <c r="O83" s="344">
        <v>0</v>
      </c>
      <c r="P83" s="345">
        <v>0</v>
      </c>
      <c r="Q83" s="345">
        <v>0</v>
      </c>
      <c r="R83" s="345">
        <v>0</v>
      </c>
      <c r="S83" s="345">
        <v>0</v>
      </c>
      <c r="T83" s="345">
        <v>0</v>
      </c>
      <c r="U83" s="345">
        <v>0</v>
      </c>
      <c r="V83" s="345">
        <v>0</v>
      </c>
      <c r="W83" s="345">
        <v>0</v>
      </c>
      <c r="X83" s="345">
        <v>0</v>
      </c>
      <c r="Y83" s="380">
        <v>0</v>
      </c>
      <c r="Z83" s="296">
        <f t="shared" si="81"/>
        <v>0</v>
      </c>
      <c r="AA83" s="298">
        <f t="shared" si="82"/>
        <v>0</v>
      </c>
      <c r="AB83" s="948">
        <f t="array" ref="AB83">IF(AND($AD$71=TRUE,SUM(B83:L83)&gt;0),SUMPRODUCT((((TRANSPOSE(Cls2CentDailyRng)&lt;INDEX(CDRANGE_CLS2,$A83-$A$76+1,AD$72))*TRANSPOSE(Cls2CentDailyRng)+(TRANSPOSE(Cls2CentDailyRng)&gt;INDEX(CDRANGE_CLS2,$A83-$A$76+1,AD$72))*INDEX(CDRANGE_CLS2,$A83-$A$76+1,AD$72))/TRANSPOSE(Cls2CentDailyRng)),B83:L83,TRANSPOSE(Cls2CentVMTShr))/SUMPRODUCT(B83:L83,TRANSPOSE(Cls2CentVMTShr)),0)</f>
        <v>0</v>
      </c>
      <c r="AC83" s="949">
        <f t="array" ref="AC83">IF(AND($AD$72=TRUE,SUM(O83:Y83)&gt;0),SUMPRODUCT((((TRANSPOSE(Cls2NCentDailyRng)&lt;INDEX(CDRANGE_CLS2,$A83-$A$76+1,AD$74))*TRANSPOSE(Cls2NCentDailyRng)+(TRANSPOSE(Cls2NCentDailyRng)&gt;INDEX(CDRANGE_CLS2,$A83-$A$76+1,AD$74))*INDEX(CDRANGE_CLS2,$A83-$A$76+1,AD$74))/TRANSPOSE(Cls2NCentDailyRng)),O83:Y83,TRANSPOSE(Cls2NCentVMTShr))/SUMPRODUCT(O83:Y83,TRANSPOSE(Cls2NCentVMTShr)),0)</f>
        <v>0</v>
      </c>
      <c r="AD83" s="1226">
        <f t="shared" si="75"/>
        <v>0</v>
      </c>
      <c r="AE83" s="937">
        <f t="shared" si="76"/>
        <v>0</v>
      </c>
      <c r="AF83" s="937">
        <f t="shared" si="77"/>
        <v>0</v>
      </c>
      <c r="AG83" s="937">
        <f t="shared" si="78"/>
        <v>0</v>
      </c>
      <c r="AH83" s="1172">
        <f t="shared" si="83"/>
        <v>0</v>
      </c>
      <c r="AI83" s="937">
        <f t="shared" si="84"/>
        <v>0</v>
      </c>
    </row>
    <row r="84" spans="1:38" ht="15" thickBot="1" x14ac:dyDescent="0.25">
      <c r="A84" s="328">
        <v>2015</v>
      </c>
      <c r="B84" s="346">
        <v>0</v>
      </c>
      <c r="C84" s="347">
        <v>0</v>
      </c>
      <c r="D84" s="347">
        <v>0</v>
      </c>
      <c r="E84" s="347">
        <v>0</v>
      </c>
      <c r="F84" s="347">
        <v>0</v>
      </c>
      <c r="G84" s="347">
        <v>0</v>
      </c>
      <c r="H84" s="347">
        <v>0</v>
      </c>
      <c r="I84" s="347">
        <v>0</v>
      </c>
      <c r="J84" s="347">
        <v>0</v>
      </c>
      <c r="K84" s="347">
        <v>0</v>
      </c>
      <c r="L84" s="381">
        <v>0</v>
      </c>
      <c r="M84" s="310">
        <f t="shared" si="79"/>
        <v>0</v>
      </c>
      <c r="N84" s="312">
        <f t="shared" si="80"/>
        <v>0</v>
      </c>
      <c r="O84" s="346">
        <v>0</v>
      </c>
      <c r="P84" s="347">
        <v>0</v>
      </c>
      <c r="Q84" s="347">
        <v>0</v>
      </c>
      <c r="R84" s="347">
        <v>0</v>
      </c>
      <c r="S84" s="347">
        <v>0</v>
      </c>
      <c r="T84" s="347">
        <v>0</v>
      </c>
      <c r="U84" s="347">
        <v>0</v>
      </c>
      <c r="V84" s="347">
        <v>0</v>
      </c>
      <c r="W84" s="347">
        <v>0</v>
      </c>
      <c r="X84" s="347">
        <v>0</v>
      </c>
      <c r="Y84" s="381">
        <v>0</v>
      </c>
      <c r="Z84" s="310">
        <f t="shared" si="81"/>
        <v>0</v>
      </c>
      <c r="AA84" s="312">
        <f t="shared" si="82"/>
        <v>0</v>
      </c>
      <c r="AB84" s="948">
        <f t="array" ref="AB84">IF(AND($AD$71=TRUE,SUM(B84:L84)&gt;0),SUMPRODUCT((((TRANSPOSE(Cls2CentDailyRng)&lt;INDEX(CDRANGE_CLS2,$A84-$A$76+1,AD$72))*TRANSPOSE(Cls2CentDailyRng)+(TRANSPOSE(Cls2CentDailyRng)&gt;INDEX(CDRANGE_CLS2,$A84-$A$76+1,AD$72))*INDEX(CDRANGE_CLS2,$A84-$A$76+1,AD$72))/TRANSPOSE(Cls2CentDailyRng)),B84:L84,TRANSPOSE(Cls2CentVMTShr))/SUMPRODUCT(B84:L84,TRANSPOSE(Cls2CentVMTShr)),0)</f>
        <v>0</v>
      </c>
      <c r="AC84" s="949">
        <f t="array" ref="AC84">IF(AND($AD$72=TRUE,SUM(O84:Y84)&gt;0),SUMPRODUCT((((TRANSPOSE(Cls2NCentDailyRng)&lt;INDEX(CDRANGE_CLS2,$A84-$A$76+1,AD$74))*TRANSPOSE(Cls2NCentDailyRng)+(TRANSPOSE(Cls2NCentDailyRng)&gt;INDEX(CDRANGE_CLS2,$A84-$A$76+1,AD$74))*INDEX(CDRANGE_CLS2,$A84-$A$76+1,AD$74))/TRANSPOSE(Cls2NCentDailyRng)),O84:Y84,TRANSPOSE(Cls2NCentVMTShr))/SUMPRODUCT(O84:Y84,TRANSPOSE(Cls2NCentVMTShr)),0)</f>
        <v>0</v>
      </c>
      <c r="AD84" s="1226">
        <f t="shared" si="75"/>
        <v>0</v>
      </c>
      <c r="AE84" s="937">
        <f t="shared" si="76"/>
        <v>0</v>
      </c>
      <c r="AF84" s="937">
        <f t="shared" si="77"/>
        <v>0</v>
      </c>
      <c r="AG84" s="937">
        <f t="shared" si="78"/>
        <v>0</v>
      </c>
      <c r="AH84" s="1172">
        <f t="shared" si="83"/>
        <v>0</v>
      </c>
      <c r="AI84" s="937">
        <f t="shared" si="84"/>
        <v>0</v>
      </c>
    </row>
    <row r="85" spans="1:38" x14ac:dyDescent="0.2">
      <c r="A85" s="329">
        <v>2016</v>
      </c>
      <c r="B85" s="342">
        <v>0</v>
      </c>
      <c r="C85" s="343">
        <v>0</v>
      </c>
      <c r="D85" s="343">
        <v>0</v>
      </c>
      <c r="E85" s="343">
        <v>0</v>
      </c>
      <c r="F85" s="343">
        <v>0</v>
      </c>
      <c r="G85" s="343">
        <v>0</v>
      </c>
      <c r="H85" s="343">
        <v>0</v>
      </c>
      <c r="I85" s="343">
        <v>0</v>
      </c>
      <c r="J85" s="343">
        <v>0</v>
      </c>
      <c r="K85" s="343">
        <v>0</v>
      </c>
      <c r="L85" s="379">
        <v>0</v>
      </c>
      <c r="M85" s="282">
        <f t="shared" si="79"/>
        <v>0</v>
      </c>
      <c r="N85" s="284">
        <f t="shared" si="80"/>
        <v>0</v>
      </c>
      <c r="O85" s="342">
        <v>0</v>
      </c>
      <c r="P85" s="343">
        <v>0</v>
      </c>
      <c r="Q85" s="343">
        <v>0</v>
      </c>
      <c r="R85" s="343">
        <v>0</v>
      </c>
      <c r="S85" s="343">
        <v>0</v>
      </c>
      <c r="T85" s="343">
        <v>0</v>
      </c>
      <c r="U85" s="343">
        <v>0</v>
      </c>
      <c r="V85" s="343">
        <v>0</v>
      </c>
      <c r="W85" s="343">
        <v>0</v>
      </c>
      <c r="X85" s="343">
        <v>0</v>
      </c>
      <c r="Y85" s="379">
        <v>0</v>
      </c>
      <c r="Z85" s="282">
        <f t="shared" si="81"/>
        <v>0</v>
      </c>
      <c r="AA85" s="284">
        <f t="shared" si="82"/>
        <v>0</v>
      </c>
      <c r="AB85" s="948">
        <f t="array" ref="AB85">IF(AND($AD$71=TRUE,SUM(B85:L85)&gt;0),SUMPRODUCT((((TRANSPOSE(Cls2CentDailyRng)&lt;INDEX(CDRANGE_CLS2,$A85-$A$76+1,AD$72))*TRANSPOSE(Cls2CentDailyRng)+(TRANSPOSE(Cls2CentDailyRng)&gt;INDEX(CDRANGE_CLS2,$A85-$A$76+1,AD$72))*INDEX(CDRANGE_CLS2,$A85-$A$76+1,AD$72))/TRANSPOSE(Cls2CentDailyRng)),B85:L85,TRANSPOSE(Cls2CentVMTShr))/SUMPRODUCT(B85:L85,TRANSPOSE(Cls2CentVMTShr)),0)</f>
        <v>0</v>
      </c>
      <c r="AC85" s="949">
        <f t="array" ref="AC85">IF(AND($AD$72=TRUE,SUM(O85:Y85)&gt;0),SUMPRODUCT((((TRANSPOSE(Cls2NCentDailyRng)&lt;INDEX(CDRANGE_CLS2,$A85-$A$76+1,AD$74))*TRANSPOSE(Cls2NCentDailyRng)+(TRANSPOSE(Cls2NCentDailyRng)&gt;INDEX(CDRANGE_CLS2,$A85-$A$76+1,AD$74))*INDEX(CDRANGE_CLS2,$A85-$A$76+1,AD$74))/TRANSPOSE(Cls2NCentDailyRng)),O85:Y85,TRANSPOSE(Cls2NCentVMTShr))/SUMPRODUCT(O85:Y85,TRANSPOSE(Cls2NCentVMTShr)),0)</f>
        <v>0</v>
      </c>
      <c r="AD85" s="1226">
        <f t="shared" si="75"/>
        <v>0</v>
      </c>
      <c r="AE85" s="937">
        <f t="shared" si="76"/>
        <v>0</v>
      </c>
      <c r="AF85" s="937">
        <f t="shared" si="77"/>
        <v>0</v>
      </c>
      <c r="AG85" s="937">
        <f t="shared" si="78"/>
        <v>0</v>
      </c>
      <c r="AH85" s="1172">
        <f t="shared" si="83"/>
        <v>0</v>
      </c>
      <c r="AI85" s="937">
        <f t="shared" si="84"/>
        <v>0</v>
      </c>
    </row>
    <row r="86" spans="1:38" x14ac:dyDescent="0.2">
      <c r="A86" s="330">
        <v>2017</v>
      </c>
      <c r="B86" s="344">
        <v>0</v>
      </c>
      <c r="C86" s="345">
        <v>0</v>
      </c>
      <c r="D86" s="345">
        <v>0</v>
      </c>
      <c r="E86" s="345">
        <v>0</v>
      </c>
      <c r="F86" s="345">
        <v>0</v>
      </c>
      <c r="G86" s="345">
        <v>0</v>
      </c>
      <c r="H86" s="345">
        <v>0</v>
      </c>
      <c r="I86" s="345">
        <v>0</v>
      </c>
      <c r="J86" s="345">
        <v>0</v>
      </c>
      <c r="K86" s="345">
        <v>0</v>
      </c>
      <c r="L86" s="380">
        <v>0</v>
      </c>
      <c r="M86" s="296">
        <f t="shared" si="79"/>
        <v>0</v>
      </c>
      <c r="N86" s="298">
        <f t="shared" si="80"/>
        <v>0</v>
      </c>
      <c r="O86" s="344">
        <v>0</v>
      </c>
      <c r="P86" s="345">
        <v>0</v>
      </c>
      <c r="Q86" s="345">
        <v>0</v>
      </c>
      <c r="R86" s="345">
        <v>0</v>
      </c>
      <c r="S86" s="345">
        <v>0</v>
      </c>
      <c r="T86" s="345">
        <v>0</v>
      </c>
      <c r="U86" s="345">
        <v>0</v>
      </c>
      <c r="V86" s="345">
        <v>0</v>
      </c>
      <c r="W86" s="345">
        <v>0</v>
      </c>
      <c r="X86" s="345">
        <v>0</v>
      </c>
      <c r="Y86" s="380">
        <v>0</v>
      </c>
      <c r="Z86" s="296">
        <f t="shared" si="81"/>
        <v>0</v>
      </c>
      <c r="AA86" s="298">
        <f t="shared" si="82"/>
        <v>0</v>
      </c>
      <c r="AB86" s="948">
        <f t="array" ref="AB86">IF(AND($AD$71=TRUE,SUM(B86:L86)&gt;0),SUMPRODUCT((((TRANSPOSE(Cls2CentDailyRng)&lt;INDEX(CDRANGE_CLS2,$A86-$A$76+1,AD$72))*TRANSPOSE(Cls2CentDailyRng)+(TRANSPOSE(Cls2CentDailyRng)&gt;INDEX(CDRANGE_CLS2,$A86-$A$76+1,AD$72))*INDEX(CDRANGE_CLS2,$A86-$A$76+1,AD$72))/TRANSPOSE(Cls2CentDailyRng)),B86:L86,TRANSPOSE(Cls2CentVMTShr))/SUMPRODUCT(B86:L86,TRANSPOSE(Cls2CentVMTShr)),0)</f>
        <v>0</v>
      </c>
      <c r="AC86" s="949">
        <f t="array" ref="AC86">IF(AND($AD$72=TRUE,SUM(O86:Y86)&gt;0),SUMPRODUCT((((TRANSPOSE(Cls2NCentDailyRng)&lt;INDEX(CDRANGE_CLS2,$A86-$A$76+1,AD$74))*TRANSPOSE(Cls2NCentDailyRng)+(TRANSPOSE(Cls2NCentDailyRng)&gt;INDEX(CDRANGE_CLS2,$A86-$A$76+1,AD$74))*INDEX(CDRANGE_CLS2,$A86-$A$76+1,AD$74))/TRANSPOSE(Cls2NCentDailyRng)),O86:Y86,TRANSPOSE(Cls2NCentVMTShr))/SUMPRODUCT(O86:Y86,TRANSPOSE(Cls2NCentVMTShr)),0)</f>
        <v>0</v>
      </c>
      <c r="AD86" s="1226">
        <f t="shared" si="75"/>
        <v>0</v>
      </c>
      <c r="AE86" s="937">
        <f t="shared" si="76"/>
        <v>0</v>
      </c>
      <c r="AF86" s="937">
        <f t="shared" si="77"/>
        <v>0</v>
      </c>
      <c r="AG86" s="937">
        <f t="shared" si="78"/>
        <v>0</v>
      </c>
      <c r="AH86" s="1172">
        <f t="shared" si="83"/>
        <v>0</v>
      </c>
      <c r="AI86" s="937">
        <f t="shared" si="84"/>
        <v>0</v>
      </c>
    </row>
    <row r="87" spans="1:38" x14ac:dyDescent="0.2">
      <c r="A87" s="330">
        <v>2018</v>
      </c>
      <c r="B87" s="344">
        <v>0</v>
      </c>
      <c r="C87" s="345">
        <v>0</v>
      </c>
      <c r="D87" s="345">
        <v>0</v>
      </c>
      <c r="E87" s="345">
        <v>0</v>
      </c>
      <c r="F87" s="345">
        <v>0</v>
      </c>
      <c r="G87" s="345">
        <v>0</v>
      </c>
      <c r="H87" s="345">
        <v>0</v>
      </c>
      <c r="I87" s="345">
        <v>0</v>
      </c>
      <c r="J87" s="345">
        <v>0</v>
      </c>
      <c r="K87" s="345">
        <v>0</v>
      </c>
      <c r="L87" s="380">
        <v>0</v>
      </c>
      <c r="M87" s="296">
        <f t="shared" si="79"/>
        <v>0</v>
      </c>
      <c r="N87" s="298">
        <f t="shared" si="80"/>
        <v>0</v>
      </c>
      <c r="O87" s="344">
        <v>0</v>
      </c>
      <c r="P87" s="345">
        <v>0</v>
      </c>
      <c r="Q87" s="345">
        <v>0</v>
      </c>
      <c r="R87" s="345">
        <v>0</v>
      </c>
      <c r="S87" s="345">
        <v>0</v>
      </c>
      <c r="T87" s="345">
        <v>0</v>
      </c>
      <c r="U87" s="345">
        <v>0</v>
      </c>
      <c r="V87" s="345">
        <v>0</v>
      </c>
      <c r="W87" s="345">
        <v>0</v>
      </c>
      <c r="X87" s="345">
        <v>0</v>
      </c>
      <c r="Y87" s="380">
        <v>0</v>
      </c>
      <c r="Z87" s="296">
        <f t="shared" si="81"/>
        <v>0</v>
      </c>
      <c r="AA87" s="298">
        <f t="shared" si="82"/>
        <v>0</v>
      </c>
      <c r="AB87" s="948">
        <f t="array" ref="AB87">IF(AND($AD$71=TRUE,SUM(B87:L87)&gt;0),SUMPRODUCT((((TRANSPOSE(Cls2CentDailyRng)&lt;INDEX(CDRANGE_CLS2,$A87-$A$76+1,AD$72))*TRANSPOSE(Cls2CentDailyRng)+(TRANSPOSE(Cls2CentDailyRng)&gt;INDEX(CDRANGE_CLS2,$A87-$A$76+1,AD$72))*INDEX(CDRANGE_CLS2,$A87-$A$76+1,AD$72))/TRANSPOSE(Cls2CentDailyRng)),B87:L87,TRANSPOSE(Cls2CentVMTShr))/SUMPRODUCT(B87:L87,TRANSPOSE(Cls2CentVMTShr)),0)</f>
        <v>0</v>
      </c>
      <c r="AC87" s="949">
        <f t="array" ref="AC87">IF(AND($AD$72=TRUE,SUM(O87:Y87)&gt;0),SUMPRODUCT((((TRANSPOSE(Cls2NCentDailyRng)&lt;INDEX(CDRANGE_CLS2,$A87-$A$76+1,AD$74))*TRANSPOSE(Cls2NCentDailyRng)+(TRANSPOSE(Cls2NCentDailyRng)&gt;INDEX(CDRANGE_CLS2,$A87-$A$76+1,AD$74))*INDEX(CDRANGE_CLS2,$A87-$A$76+1,AD$74))/TRANSPOSE(Cls2NCentDailyRng)),O87:Y87,TRANSPOSE(Cls2NCentVMTShr))/SUMPRODUCT(O87:Y87,TRANSPOSE(Cls2NCentVMTShr)),0)</f>
        <v>0</v>
      </c>
      <c r="AD87" s="1226">
        <f t="shared" si="75"/>
        <v>0</v>
      </c>
      <c r="AE87" s="937">
        <f t="shared" si="76"/>
        <v>0</v>
      </c>
      <c r="AF87" s="937">
        <f t="shared" si="77"/>
        <v>0</v>
      </c>
      <c r="AG87" s="937">
        <f t="shared" si="78"/>
        <v>0</v>
      </c>
      <c r="AH87" s="1172">
        <f t="shared" si="83"/>
        <v>0</v>
      </c>
      <c r="AI87" s="937">
        <f t="shared" si="84"/>
        <v>0</v>
      </c>
    </row>
    <row r="88" spans="1:38" x14ac:dyDescent="0.2">
      <c r="A88" s="330">
        <v>2019</v>
      </c>
      <c r="B88" s="344">
        <v>0</v>
      </c>
      <c r="C88" s="345">
        <v>0</v>
      </c>
      <c r="D88" s="345">
        <v>0</v>
      </c>
      <c r="E88" s="345">
        <v>0</v>
      </c>
      <c r="F88" s="345">
        <v>0</v>
      </c>
      <c r="G88" s="345">
        <v>0</v>
      </c>
      <c r="H88" s="345">
        <v>0</v>
      </c>
      <c r="I88" s="345">
        <v>0</v>
      </c>
      <c r="J88" s="345">
        <v>0</v>
      </c>
      <c r="K88" s="345">
        <v>0</v>
      </c>
      <c r="L88" s="380">
        <v>0</v>
      </c>
      <c r="M88" s="296">
        <f t="shared" si="79"/>
        <v>0</v>
      </c>
      <c r="N88" s="298">
        <f t="shared" si="80"/>
        <v>0</v>
      </c>
      <c r="O88" s="344">
        <v>0</v>
      </c>
      <c r="P88" s="345">
        <v>0</v>
      </c>
      <c r="Q88" s="345">
        <v>0</v>
      </c>
      <c r="R88" s="345">
        <v>0</v>
      </c>
      <c r="S88" s="345">
        <v>0</v>
      </c>
      <c r="T88" s="345">
        <v>0</v>
      </c>
      <c r="U88" s="345">
        <v>0</v>
      </c>
      <c r="V88" s="345">
        <v>0</v>
      </c>
      <c r="W88" s="345">
        <v>0</v>
      </c>
      <c r="X88" s="345">
        <v>0</v>
      </c>
      <c r="Y88" s="380">
        <v>0</v>
      </c>
      <c r="Z88" s="296">
        <f t="shared" si="81"/>
        <v>0</v>
      </c>
      <c r="AA88" s="298">
        <f t="shared" si="82"/>
        <v>0</v>
      </c>
      <c r="AB88" s="948">
        <f t="array" ref="AB88">IF(AND($AD$71=TRUE,SUM(B88:L88)&gt;0),SUMPRODUCT((((TRANSPOSE(Cls2CentDailyRng)&lt;INDEX(CDRANGE_CLS2,$A88-$A$76+1,AD$72))*TRANSPOSE(Cls2CentDailyRng)+(TRANSPOSE(Cls2CentDailyRng)&gt;INDEX(CDRANGE_CLS2,$A88-$A$76+1,AD$72))*INDEX(CDRANGE_CLS2,$A88-$A$76+1,AD$72))/TRANSPOSE(Cls2CentDailyRng)),B88:L88,TRANSPOSE(Cls2CentVMTShr))/SUMPRODUCT(B88:L88,TRANSPOSE(Cls2CentVMTShr)),0)</f>
        <v>0</v>
      </c>
      <c r="AC88" s="949">
        <f t="array" ref="AC88">IF(AND($AD$72=TRUE,SUM(O88:Y88)&gt;0),SUMPRODUCT((((TRANSPOSE(Cls2NCentDailyRng)&lt;INDEX(CDRANGE_CLS2,$A88-$A$76+1,AD$74))*TRANSPOSE(Cls2NCentDailyRng)+(TRANSPOSE(Cls2NCentDailyRng)&gt;INDEX(CDRANGE_CLS2,$A88-$A$76+1,AD$74))*INDEX(CDRANGE_CLS2,$A88-$A$76+1,AD$74))/TRANSPOSE(Cls2NCentDailyRng)),O88:Y88,TRANSPOSE(Cls2NCentVMTShr))/SUMPRODUCT(O88:Y88,TRANSPOSE(Cls2NCentVMTShr)),0)</f>
        <v>0</v>
      </c>
      <c r="AD88" s="1226">
        <f t="shared" si="75"/>
        <v>0</v>
      </c>
      <c r="AE88" s="937">
        <f t="shared" si="76"/>
        <v>0</v>
      </c>
      <c r="AF88" s="937">
        <f t="shared" si="77"/>
        <v>0</v>
      </c>
      <c r="AG88" s="937">
        <f t="shared" si="78"/>
        <v>0</v>
      </c>
      <c r="AH88" s="1172">
        <f t="shared" si="83"/>
        <v>0</v>
      </c>
      <c r="AI88" s="937">
        <f t="shared" si="84"/>
        <v>0</v>
      </c>
    </row>
    <row r="89" spans="1:38" ht="15" thickBot="1" x14ac:dyDescent="0.25">
      <c r="A89" s="328">
        <v>2020</v>
      </c>
      <c r="B89" s="346">
        <v>0</v>
      </c>
      <c r="C89" s="347">
        <v>0</v>
      </c>
      <c r="D89" s="347">
        <v>0</v>
      </c>
      <c r="E89" s="347">
        <v>0</v>
      </c>
      <c r="F89" s="347">
        <v>0</v>
      </c>
      <c r="G89" s="347">
        <v>0</v>
      </c>
      <c r="H89" s="347">
        <v>0</v>
      </c>
      <c r="I89" s="347">
        <v>0</v>
      </c>
      <c r="J89" s="347">
        <v>0</v>
      </c>
      <c r="K89" s="347">
        <v>0</v>
      </c>
      <c r="L89" s="381">
        <v>0</v>
      </c>
      <c r="M89" s="310">
        <f t="shared" si="79"/>
        <v>0</v>
      </c>
      <c r="N89" s="312">
        <f t="shared" si="80"/>
        <v>0</v>
      </c>
      <c r="O89" s="346">
        <v>0</v>
      </c>
      <c r="P89" s="347">
        <v>0</v>
      </c>
      <c r="Q89" s="347">
        <v>0</v>
      </c>
      <c r="R89" s="347">
        <v>0</v>
      </c>
      <c r="S89" s="347">
        <v>0</v>
      </c>
      <c r="T89" s="347">
        <v>0</v>
      </c>
      <c r="U89" s="347">
        <v>0</v>
      </c>
      <c r="V89" s="347">
        <v>0</v>
      </c>
      <c r="W89" s="347">
        <v>0</v>
      </c>
      <c r="X89" s="347">
        <v>0</v>
      </c>
      <c r="Y89" s="381">
        <v>0</v>
      </c>
      <c r="Z89" s="310">
        <f t="shared" si="81"/>
        <v>0</v>
      </c>
      <c r="AA89" s="312">
        <f t="shared" si="82"/>
        <v>0</v>
      </c>
      <c r="AB89" s="948">
        <f t="array" ref="AB89">IF(AND($AD$71=TRUE,SUM(B89:L89)&gt;0),SUMPRODUCT((((TRANSPOSE(Cls2CentDailyRng)&lt;INDEX(CDRANGE_CLS2,$A89-$A$76+1,AD$72))*TRANSPOSE(Cls2CentDailyRng)+(TRANSPOSE(Cls2CentDailyRng)&gt;INDEX(CDRANGE_CLS2,$A89-$A$76+1,AD$72))*INDEX(CDRANGE_CLS2,$A89-$A$76+1,AD$72))/TRANSPOSE(Cls2CentDailyRng)),B89:L89,TRANSPOSE(Cls2CentVMTShr))/SUMPRODUCT(B89:L89,TRANSPOSE(Cls2CentVMTShr)),0)</f>
        <v>0</v>
      </c>
      <c r="AC89" s="949">
        <f t="array" ref="AC89">IF(AND($AD$72=TRUE,SUM(O89:Y89)&gt;0),SUMPRODUCT((((TRANSPOSE(Cls2NCentDailyRng)&lt;INDEX(CDRANGE_CLS2,$A89-$A$76+1,AD$74))*TRANSPOSE(Cls2NCentDailyRng)+(TRANSPOSE(Cls2NCentDailyRng)&gt;INDEX(CDRANGE_CLS2,$A89-$A$76+1,AD$74))*INDEX(CDRANGE_CLS2,$A89-$A$76+1,AD$74))/TRANSPOSE(Cls2NCentDailyRng)),O89:Y89,TRANSPOSE(Cls2NCentVMTShr))/SUMPRODUCT(O89:Y89,TRANSPOSE(Cls2NCentVMTShr)),0)</f>
        <v>0</v>
      </c>
      <c r="AD89" s="1226">
        <f t="shared" si="75"/>
        <v>0</v>
      </c>
      <c r="AE89" s="937">
        <f t="shared" si="76"/>
        <v>0</v>
      </c>
      <c r="AF89" s="937">
        <f t="shared" si="77"/>
        <v>0</v>
      </c>
      <c r="AG89" s="937">
        <f t="shared" si="78"/>
        <v>0</v>
      </c>
      <c r="AH89" s="1172">
        <f t="shared" si="83"/>
        <v>0</v>
      </c>
      <c r="AI89" s="937">
        <f t="shared" si="84"/>
        <v>0</v>
      </c>
    </row>
    <row r="90" spans="1:38" x14ac:dyDescent="0.2">
      <c r="A90" s="329">
        <v>2021</v>
      </c>
      <c r="B90" s="342">
        <v>1.2167783817670504E-2</v>
      </c>
      <c r="C90" s="343">
        <v>1.2167783817670504E-2</v>
      </c>
      <c r="D90" s="343">
        <v>1.2167783817670504E-2</v>
      </c>
      <c r="E90" s="343">
        <v>1.28456628671452E-2</v>
      </c>
      <c r="F90" s="343">
        <v>2.0495580644297212E-2</v>
      </c>
      <c r="G90" s="343">
        <v>2.4358079611735538E-2</v>
      </c>
      <c r="H90" s="343">
        <v>2.7822202641438275E-2</v>
      </c>
      <c r="I90" s="343">
        <v>2.9474414691383944E-2</v>
      </c>
      <c r="J90" s="343">
        <v>2.8350661009308165E-2</v>
      </c>
      <c r="K90" s="343">
        <v>2.7793546171796014E-2</v>
      </c>
      <c r="L90" s="379">
        <v>2.618069659582993E-2</v>
      </c>
      <c r="M90" s="282">
        <f t="shared" si="79"/>
        <v>1.3151753343408575E-2</v>
      </c>
      <c r="N90" s="284">
        <f t="shared" si="80"/>
        <v>1.0630688940053618E-2</v>
      </c>
      <c r="O90" s="342">
        <v>1.2167783817670504E-2</v>
      </c>
      <c r="P90" s="343">
        <v>1.2167783817670504E-2</v>
      </c>
      <c r="Q90" s="343">
        <v>1.2167783817670504E-2</v>
      </c>
      <c r="R90" s="343">
        <v>1.5291481597314584E-2</v>
      </c>
      <c r="S90" s="343">
        <v>2.180586488486632E-2</v>
      </c>
      <c r="T90" s="343">
        <v>2.6734022528630101E-2</v>
      </c>
      <c r="U90" s="343">
        <v>2.7822202641438275E-2</v>
      </c>
      <c r="V90" s="343">
        <v>2.9474414691383944E-2</v>
      </c>
      <c r="W90" s="343">
        <v>2.7793546171796014E-2</v>
      </c>
      <c r="X90" s="343">
        <v>2.7233973098824863E-2</v>
      </c>
      <c r="Y90" s="379">
        <v>2.6489374672282111E-2</v>
      </c>
      <c r="Z90" s="282">
        <f t="shared" si="81"/>
        <v>8.1019199413743335E-3</v>
      </c>
      <c r="AA90" s="284">
        <f t="shared" si="82"/>
        <v>7.305013512468316E-3</v>
      </c>
      <c r="AB90" s="948">
        <f t="array" ref="AB90">IF(AND($AD$71=TRUE,SUM(B90:L90)&gt;0),SUMPRODUCT((((TRANSPOSE(Cls2CentDailyRng)&lt;INDEX(CDRANGE_CLS2,$A90-$A$76+1,AD$72))*TRANSPOSE(Cls2CentDailyRng)+(TRANSPOSE(Cls2CentDailyRng)&gt;INDEX(CDRANGE_CLS2,$A90-$A$76+1,AD$72))*INDEX(CDRANGE_CLS2,$A90-$A$76+1,AD$72))/TRANSPOSE(Cls2CentDailyRng)),B90:L90,TRANSPOSE(Cls2CentVMTShr))/SUMPRODUCT(B90:L90,TRANSPOSE(Cls2CentVMTShr)),0)</f>
        <v>0</v>
      </c>
      <c r="AC90" s="949">
        <f t="array" ref="AC90">IF(AND($AD$72=TRUE,SUM(O90:Y90)&gt;0),SUMPRODUCT((((TRANSPOSE(Cls2NCentDailyRng)&lt;INDEX(CDRANGE_CLS2,$A90-$A$76+1,AD$74))*TRANSPOSE(Cls2NCentDailyRng)+(TRANSPOSE(Cls2NCentDailyRng)&gt;INDEX(CDRANGE_CLS2,$A90-$A$76+1,AD$74))*INDEX(CDRANGE_CLS2,$A90-$A$76+1,AD$74))/TRANSPOSE(Cls2NCentDailyRng)),O90:Y90,TRANSPOSE(Cls2NCentVMTShr))/SUMPRODUCT(O90:Y90,TRANSPOSE(Cls2NCentVMTShr)),0)</f>
        <v>0</v>
      </c>
      <c r="AD90" s="1226">
        <f t="shared" si="75"/>
        <v>0</v>
      </c>
      <c r="AE90" s="937">
        <f t="shared" si="76"/>
        <v>1.3151753343408575E-2</v>
      </c>
      <c r="AF90" s="937">
        <f t="shared" si="77"/>
        <v>8.1019199413743335E-3</v>
      </c>
      <c r="AG90" s="937">
        <f t="shared" si="78"/>
        <v>2.1253673284782906E-2</v>
      </c>
      <c r="AH90" s="1172">
        <f t="shared" si="83"/>
        <v>0.61879907379704091</v>
      </c>
      <c r="AI90" s="937">
        <f t="shared" si="84"/>
        <v>0.38120092620295914</v>
      </c>
    </row>
    <row r="91" spans="1:38" x14ac:dyDescent="0.2">
      <c r="A91" s="330">
        <v>2022</v>
      </c>
      <c r="B91" s="344">
        <v>3.4972827620437359E-2</v>
      </c>
      <c r="C91" s="345">
        <v>3.4972827620437359E-2</v>
      </c>
      <c r="D91" s="345">
        <v>3.4972827620437359E-2</v>
      </c>
      <c r="E91" s="345">
        <v>3.7426365594815179E-2</v>
      </c>
      <c r="F91" s="345">
        <v>5.4452899452474418E-2</v>
      </c>
      <c r="G91" s="345">
        <v>5.9168119317593242E-2</v>
      </c>
      <c r="H91" s="345">
        <v>5.9371794627590617E-2</v>
      </c>
      <c r="I91" s="345">
        <v>6.0466109587009723E-2</v>
      </c>
      <c r="J91" s="345">
        <v>6.2037920712922315E-2</v>
      </c>
      <c r="K91" s="345">
        <v>6.1527909627191298E-2</v>
      </c>
      <c r="L91" s="380">
        <v>6.1004387398543004E-2</v>
      </c>
      <c r="M91" s="296">
        <f t="shared" si="79"/>
        <v>3.1764489345165584E-2</v>
      </c>
      <c r="N91" s="298">
        <f t="shared" si="80"/>
        <v>2.7132960345801746E-2</v>
      </c>
      <c r="O91" s="344">
        <v>3.4972827620437359E-2</v>
      </c>
      <c r="P91" s="345">
        <v>3.4972827620437359E-2</v>
      </c>
      <c r="Q91" s="345">
        <v>3.4972827620437359E-2</v>
      </c>
      <c r="R91" s="345">
        <v>4.0724690072332238E-2</v>
      </c>
      <c r="S91" s="345">
        <v>5.511279408598866E-2</v>
      </c>
      <c r="T91" s="345">
        <v>5.931243987981915E-2</v>
      </c>
      <c r="U91" s="345">
        <v>6.0615870391450943E-2</v>
      </c>
      <c r="V91" s="345">
        <v>6.0466109587009723E-2</v>
      </c>
      <c r="W91" s="345">
        <v>6.10211550103852E-2</v>
      </c>
      <c r="X91" s="345">
        <v>6.0670091450987826E-2</v>
      </c>
      <c r="Y91" s="380">
        <v>6.1004387398543004E-2</v>
      </c>
      <c r="Z91" s="296">
        <f t="shared" si="81"/>
        <v>1.953835797590598E-2</v>
      </c>
      <c r="AA91" s="298">
        <f t="shared" si="82"/>
        <v>1.8536728623998654E-2</v>
      </c>
      <c r="AB91" s="948">
        <f t="array" ref="AB91">IF(AND($AD$71=TRUE,SUM(B91:L91)&gt;0),SUMPRODUCT((((TRANSPOSE(Cls2CentDailyRng)&lt;INDEX(CDRANGE_CLS2,$A91-$A$76+1,AD$72))*TRANSPOSE(Cls2CentDailyRng)+(TRANSPOSE(Cls2CentDailyRng)&gt;INDEX(CDRANGE_CLS2,$A91-$A$76+1,AD$72))*INDEX(CDRANGE_CLS2,$A91-$A$76+1,AD$72))/TRANSPOSE(Cls2CentDailyRng)),B91:L91,TRANSPOSE(Cls2CentVMTShr))/SUMPRODUCT(B91:L91,TRANSPOSE(Cls2CentVMTShr)),0)</f>
        <v>0</v>
      </c>
      <c r="AC91" s="949">
        <f t="array" ref="AC91">IF(AND($AD$72=TRUE,SUM(O91:Y91)&gt;0),SUMPRODUCT((((TRANSPOSE(Cls2NCentDailyRng)&lt;INDEX(CDRANGE_CLS2,$A91-$A$76+1,AD$74))*TRANSPOSE(Cls2NCentDailyRng)+(TRANSPOSE(Cls2NCentDailyRng)&gt;INDEX(CDRANGE_CLS2,$A91-$A$76+1,AD$74))*INDEX(CDRANGE_CLS2,$A91-$A$76+1,AD$74))/TRANSPOSE(Cls2NCentDailyRng)),O91:Y91,TRANSPOSE(Cls2NCentVMTShr))/SUMPRODUCT(O91:Y91,TRANSPOSE(Cls2NCentVMTShr)),0)</f>
        <v>0</v>
      </c>
      <c r="AD91" s="1226">
        <f t="shared" si="75"/>
        <v>0</v>
      </c>
      <c r="AE91" s="937">
        <f>SUMPRODUCT($B$74:$L$74,B91:L91)</f>
        <v>3.1764489345165584E-2</v>
      </c>
      <c r="AF91" s="937">
        <f>SUMPRODUCT($O$74:$Y$74,O91:Y91)</f>
        <v>1.953835797590598E-2</v>
      </c>
      <c r="AG91" s="937">
        <f>SUM(AE91:AF91)</f>
        <v>5.1302847321071564E-2</v>
      </c>
      <c r="AH91" s="1172">
        <f t="shared" si="83"/>
        <v>0.61915646019356485</v>
      </c>
      <c r="AI91" s="937">
        <f t="shared" si="84"/>
        <v>0.38084353980643509</v>
      </c>
      <c r="AK91" s="1171"/>
      <c r="AL91" s="1171"/>
    </row>
    <row r="92" spans="1:38" x14ac:dyDescent="0.2">
      <c r="A92" s="330">
        <v>2023</v>
      </c>
      <c r="B92" s="344">
        <v>8.8992333192876569E-2</v>
      </c>
      <c r="C92" s="345">
        <v>8.8992333192876569E-2</v>
      </c>
      <c r="D92" s="345">
        <v>8.8991113239137054E-2</v>
      </c>
      <c r="E92" s="345">
        <v>7.7118571474262529E-2</v>
      </c>
      <c r="F92" s="345">
        <v>0.10008989438888986</v>
      </c>
      <c r="G92" s="345">
        <v>0.11743899759928603</v>
      </c>
      <c r="H92" s="345">
        <v>0.12564222108301479</v>
      </c>
      <c r="I92" s="345">
        <v>0.13137084756162576</v>
      </c>
      <c r="J92" s="345">
        <v>0.13157646525278049</v>
      </c>
      <c r="K92" s="345">
        <v>0.13184808070080414</v>
      </c>
      <c r="L92" s="380">
        <v>0.13468296082680303</v>
      </c>
      <c r="M92" s="296">
        <f t="shared" si="79"/>
        <v>6.6553394098446822E-2</v>
      </c>
      <c r="N92" s="298">
        <f t="shared" si="80"/>
        <v>5.8703825013296379E-2</v>
      </c>
      <c r="O92" s="344">
        <v>8.8992333192876569E-2</v>
      </c>
      <c r="P92" s="345">
        <v>8.8992333192876569E-2</v>
      </c>
      <c r="Q92" s="345">
        <v>8.8149673437603021E-2</v>
      </c>
      <c r="R92" s="345">
        <v>8.6646398231986457E-2</v>
      </c>
      <c r="S92" s="345">
        <v>0.10463023422139384</v>
      </c>
      <c r="T92" s="345">
        <v>0.11860326644283373</v>
      </c>
      <c r="U92" s="345">
        <v>0.1232191197772106</v>
      </c>
      <c r="V92" s="345">
        <v>0.12916876571906971</v>
      </c>
      <c r="W92" s="345">
        <v>0.13354793405478324</v>
      </c>
      <c r="X92" s="345">
        <v>0.1350359372819166</v>
      </c>
      <c r="Y92" s="380">
        <v>0.13468296082680303</v>
      </c>
      <c r="Z92" s="296">
        <f t="shared" si="81"/>
        <v>4.0996518093646295E-2</v>
      </c>
      <c r="AA92" s="298">
        <f t="shared" si="82"/>
        <v>4.0579094094165019E-2</v>
      </c>
      <c r="AB92" s="948">
        <f t="array" ref="AB92">IF(AND($AD$71=TRUE,SUM(B92:L92)&gt;0),SUMPRODUCT((((TRANSPOSE(Cls2CentDailyRng)&lt;INDEX(CDRANGE_CLS2,$A92-$A$76+1,AD$72))*TRANSPOSE(Cls2CentDailyRng)+(TRANSPOSE(Cls2CentDailyRng)&gt;INDEX(CDRANGE_CLS2,$A92-$A$76+1,AD$72))*INDEX(CDRANGE_CLS2,$A92-$A$76+1,AD$72))/TRANSPOSE(Cls2CentDailyRng)),B92:L92,TRANSPOSE(Cls2CentVMTShr))/SUMPRODUCT(B92:L92,TRANSPOSE(Cls2CentVMTShr)),0)</f>
        <v>0</v>
      </c>
      <c r="AC92" s="949">
        <f t="array" ref="AC92">IF(AND($AD$72=TRUE,SUM(O92:Y92)&gt;0),SUMPRODUCT((((TRANSPOSE(Cls2NCentDailyRng)&lt;INDEX(CDRANGE_CLS2,$A92-$A$76+1,AD$74))*TRANSPOSE(Cls2NCentDailyRng)+(TRANSPOSE(Cls2NCentDailyRng)&gt;INDEX(CDRANGE_CLS2,$A92-$A$76+1,AD$74))*INDEX(CDRANGE_CLS2,$A92-$A$76+1,AD$74))/TRANSPOSE(Cls2NCentDailyRng)),O92:Y92,TRANSPOSE(Cls2NCentVMTShr))/SUMPRODUCT(O92:Y92,TRANSPOSE(Cls2NCentVMTShr)),0)</f>
        <v>0</v>
      </c>
      <c r="AD92" s="1226">
        <f t="shared" si="75"/>
        <v>0</v>
      </c>
      <c r="AE92" s="937">
        <f t="shared" ref="AE92:AE119" si="85">SUMPRODUCT($B$74:$L$74,B92:L92)</f>
        <v>6.6553394098446822E-2</v>
      </c>
      <c r="AF92" s="937">
        <f t="shared" ref="AF92:AF119" si="86">SUMPRODUCT($O$74:$Y$74,O92:Y92)</f>
        <v>4.0996518093646295E-2</v>
      </c>
      <c r="AG92" s="937">
        <f t="shared" ref="AG92:AG119" si="87">SUM(AE92:AF92)</f>
        <v>0.10754991219209312</v>
      </c>
      <c r="AH92" s="1172">
        <f t="shared" si="83"/>
        <v>0.61881402543199582</v>
      </c>
      <c r="AI92" s="937">
        <f t="shared" si="84"/>
        <v>0.38118597456800424</v>
      </c>
      <c r="AK92" s="1171"/>
      <c r="AL92" s="1171"/>
    </row>
    <row r="93" spans="1:38" x14ac:dyDescent="0.2">
      <c r="A93" s="330">
        <v>2024</v>
      </c>
      <c r="B93" s="344">
        <v>3.8318438666002423E-2</v>
      </c>
      <c r="C93" s="345">
        <v>3.8318438666002423E-2</v>
      </c>
      <c r="D93" s="345">
        <v>5.0165659621947072E-2</v>
      </c>
      <c r="E93" s="345">
        <v>0.1218452389158127</v>
      </c>
      <c r="F93" s="345">
        <v>0.1758793938045492</v>
      </c>
      <c r="G93" s="345">
        <v>0.19573440546372786</v>
      </c>
      <c r="H93" s="345">
        <v>0.21800095830171015</v>
      </c>
      <c r="I93" s="345">
        <v>0.22699365285109202</v>
      </c>
      <c r="J93" s="345">
        <v>0.24083235527560634</v>
      </c>
      <c r="K93" s="345">
        <v>0.24480601319079578</v>
      </c>
      <c r="L93" s="380">
        <v>0.24552738051504269</v>
      </c>
      <c r="M93" s="296">
        <f t="shared" si="79"/>
        <v>0.10414784378082527</v>
      </c>
      <c r="N93" s="298">
        <f t="shared" si="80"/>
        <v>7.6421195147962931E-2</v>
      </c>
      <c r="O93" s="344">
        <v>3.8318438666002423E-2</v>
      </c>
      <c r="P93" s="345">
        <v>3.7806903030579729E-2</v>
      </c>
      <c r="Q93" s="345">
        <v>6.3366603125108709E-2</v>
      </c>
      <c r="R93" s="345">
        <v>0.13822934845561038</v>
      </c>
      <c r="S93" s="345">
        <v>0.18422872625356151</v>
      </c>
      <c r="T93" s="345">
        <v>0.21094638524319897</v>
      </c>
      <c r="U93" s="345">
        <v>0.22459207666776035</v>
      </c>
      <c r="V93" s="345">
        <v>0.22699365285109202</v>
      </c>
      <c r="W93" s="345">
        <v>0.24480601319079578</v>
      </c>
      <c r="X93" s="345">
        <v>0.242043240192681</v>
      </c>
      <c r="Y93" s="380">
        <v>0.24809013858676535</v>
      </c>
      <c r="Z93" s="296">
        <f t="shared" si="81"/>
        <v>6.3992566731272224E-2</v>
      </c>
      <c r="AA93" s="298">
        <f t="shared" si="82"/>
        <v>5.1746074976336633E-2</v>
      </c>
      <c r="AB93" s="948">
        <f t="array" ref="AB93">IF(AND($AD$71=TRUE,SUM(B93:L93)&gt;0),SUMPRODUCT((((TRANSPOSE(Cls2CentDailyRng)&lt;INDEX(CDRANGE_CLS2,$A93-$A$76+1,AD$72))*TRANSPOSE(Cls2CentDailyRng)+(TRANSPOSE(Cls2CentDailyRng)&gt;INDEX(CDRANGE_CLS2,$A93-$A$76+1,AD$72))*INDEX(CDRANGE_CLS2,$A93-$A$76+1,AD$72))/TRANSPOSE(Cls2CentDailyRng)),B93:L93,TRANSPOSE(Cls2CentVMTShr))/SUMPRODUCT(B93:L93,TRANSPOSE(Cls2CentVMTShr)),0)</f>
        <v>0</v>
      </c>
      <c r="AC93" s="949">
        <f t="array" ref="AC93">IF(AND($AD$72=TRUE,SUM(O93:Y93)&gt;0),SUMPRODUCT((((TRANSPOSE(Cls2NCentDailyRng)&lt;INDEX(CDRANGE_CLS2,$A93-$A$76+1,AD$74))*TRANSPOSE(Cls2NCentDailyRng)+(TRANSPOSE(Cls2NCentDailyRng)&gt;INDEX(CDRANGE_CLS2,$A93-$A$76+1,AD$74))*INDEX(CDRANGE_CLS2,$A93-$A$76+1,AD$74))/TRANSPOSE(Cls2NCentDailyRng)),O93:Y93,TRANSPOSE(Cls2NCentVMTShr))/SUMPRODUCT(O93:Y93,TRANSPOSE(Cls2NCentVMTShr)),0)</f>
        <v>0</v>
      </c>
      <c r="AD93" s="1226">
        <f t="shared" si="75"/>
        <v>0</v>
      </c>
      <c r="AE93" s="937">
        <f t="shared" si="85"/>
        <v>0.10414784378082527</v>
      </c>
      <c r="AF93" s="937">
        <f t="shared" si="86"/>
        <v>6.3992566731272224E-2</v>
      </c>
      <c r="AG93" s="937">
        <f t="shared" si="87"/>
        <v>0.16814041051209749</v>
      </c>
      <c r="AH93" s="1172">
        <f t="shared" si="83"/>
        <v>0.61940995304833013</v>
      </c>
      <c r="AI93" s="937">
        <f t="shared" si="84"/>
        <v>0.38059004695166981</v>
      </c>
      <c r="AK93" s="1171"/>
      <c r="AL93" s="1171"/>
    </row>
    <row r="94" spans="1:38" ht="15" thickBot="1" x14ac:dyDescent="0.25">
      <c r="A94" s="328">
        <v>2025</v>
      </c>
      <c r="B94" s="346">
        <v>0</v>
      </c>
      <c r="C94" s="347">
        <v>4.7696371084037306E-4</v>
      </c>
      <c r="D94" s="347">
        <v>5.3002467890703731E-2</v>
      </c>
      <c r="E94" s="347">
        <v>0.15495838941372941</v>
      </c>
      <c r="F94" s="347">
        <v>0.23758807533953633</v>
      </c>
      <c r="G94" s="347">
        <v>0.28569525437950394</v>
      </c>
      <c r="H94" s="347">
        <v>0.31226518116618912</v>
      </c>
      <c r="I94" s="347">
        <v>0.33132045586478637</v>
      </c>
      <c r="J94" s="347">
        <v>0.3352205173837946</v>
      </c>
      <c r="K94" s="347">
        <v>0.34304466175499426</v>
      </c>
      <c r="L94" s="381">
        <v>0.35551759766486862</v>
      </c>
      <c r="M94" s="310">
        <f t="shared" si="79"/>
        <v>0.14276681526375545</v>
      </c>
      <c r="N94" s="312">
        <f t="shared" si="80"/>
        <v>9.7612845961488157E-2</v>
      </c>
      <c r="O94" s="346">
        <v>0</v>
      </c>
      <c r="P94" s="347">
        <v>2.1312500371599612E-3</v>
      </c>
      <c r="Q94" s="347">
        <v>6.7859802931701865E-2</v>
      </c>
      <c r="R94" s="347">
        <v>0.17739632789900964</v>
      </c>
      <c r="S94" s="347">
        <v>0.24984892566249706</v>
      </c>
      <c r="T94" s="347">
        <v>0.29070388451545953</v>
      </c>
      <c r="U94" s="347">
        <v>0.31226518116618912</v>
      </c>
      <c r="V94" s="347">
        <v>0.33132045586478637</v>
      </c>
      <c r="W94" s="347">
        <v>0.34700001161606681</v>
      </c>
      <c r="X94" s="347">
        <v>0.35328669686666858</v>
      </c>
      <c r="Y94" s="381">
        <v>0.35551759766486862</v>
      </c>
      <c r="Z94" s="310">
        <f t="shared" si="81"/>
        <v>8.5226370557006714E-2</v>
      </c>
      <c r="AA94" s="312">
        <f t="shared" si="82"/>
        <v>6.3505384882944077E-2</v>
      </c>
      <c r="AB94" s="948">
        <f t="array" ref="AB94">IF(AND($AD$71=TRUE,SUM(B94:L94)&gt;0),SUMPRODUCT((((TRANSPOSE(Cls2CentDailyRng)&lt;INDEX(CDRANGE_CLS2,$A94-$A$76+1,AD$72))*TRANSPOSE(Cls2CentDailyRng)+(TRANSPOSE(Cls2CentDailyRng)&gt;INDEX(CDRANGE_CLS2,$A94-$A$76+1,AD$72))*INDEX(CDRANGE_CLS2,$A94-$A$76+1,AD$72))/TRANSPOSE(Cls2CentDailyRng)),B94:L94,TRANSPOSE(Cls2CentVMTShr))/SUMPRODUCT(B94:L94,TRANSPOSE(Cls2CentVMTShr)),0)</f>
        <v>0</v>
      </c>
      <c r="AC94" s="949">
        <f t="array" ref="AC94">IF(AND($AD$72=TRUE,SUM(O94:Y94)&gt;0),SUMPRODUCT((((TRANSPOSE(Cls2NCentDailyRng)&lt;INDEX(CDRANGE_CLS2,$A94-$A$76+1,AD$74))*TRANSPOSE(Cls2NCentDailyRng)+(TRANSPOSE(Cls2NCentDailyRng)&gt;INDEX(CDRANGE_CLS2,$A94-$A$76+1,AD$74))*INDEX(CDRANGE_CLS2,$A94-$A$76+1,AD$74))/TRANSPOSE(Cls2NCentDailyRng)),O94:Y94,TRANSPOSE(Cls2NCentVMTShr))/SUMPRODUCT(O94:Y94,TRANSPOSE(Cls2NCentVMTShr)),0)</f>
        <v>0</v>
      </c>
      <c r="AD94" s="1226">
        <f t="shared" si="75"/>
        <v>0</v>
      </c>
      <c r="AE94" s="937">
        <f t="shared" si="85"/>
        <v>0.14276681526375545</v>
      </c>
      <c r="AF94" s="937">
        <f t="shared" si="86"/>
        <v>8.5226370557006714E-2</v>
      </c>
      <c r="AG94" s="937">
        <f t="shared" si="87"/>
        <v>0.22799318582076217</v>
      </c>
      <c r="AH94" s="1172">
        <f t="shared" si="83"/>
        <v>0.62618895713836031</v>
      </c>
      <c r="AI94" s="937">
        <f t="shared" si="84"/>
        <v>0.37381104286163969</v>
      </c>
      <c r="AK94" s="1171"/>
      <c r="AL94" s="1171"/>
    </row>
    <row r="95" spans="1:38" x14ac:dyDescent="0.2">
      <c r="A95" s="329">
        <v>2026</v>
      </c>
      <c r="B95" s="342">
        <v>0</v>
      </c>
      <c r="C95" s="343">
        <v>2.3138681644524614E-3</v>
      </c>
      <c r="D95" s="343">
        <v>9.8296222546688697E-2</v>
      </c>
      <c r="E95" s="343">
        <v>0.22040844040339627</v>
      </c>
      <c r="F95" s="343">
        <v>0.30764418499105622</v>
      </c>
      <c r="G95" s="343">
        <v>0.36341538118517064</v>
      </c>
      <c r="H95" s="343">
        <v>0.38176512718800676</v>
      </c>
      <c r="I95" s="343">
        <v>0.40373183129601292</v>
      </c>
      <c r="J95" s="343">
        <v>0.41315504965973915</v>
      </c>
      <c r="K95" s="343">
        <v>0.4213530062171742</v>
      </c>
      <c r="L95" s="379">
        <v>0.43346245124092414</v>
      </c>
      <c r="M95" s="282">
        <f t="shared" si="79"/>
        <v>0.18237668488966052</v>
      </c>
      <c r="N95" s="284">
        <f t="shared" si="80"/>
        <v>0.1279969638076682</v>
      </c>
      <c r="O95" s="342">
        <v>0</v>
      </c>
      <c r="P95" s="343">
        <v>7.2034425643970387E-3</v>
      </c>
      <c r="Q95" s="343">
        <v>0.12733861005932773</v>
      </c>
      <c r="R95" s="343">
        <v>0.24898201557757194</v>
      </c>
      <c r="S95" s="343">
        <v>0.32211760090835989</v>
      </c>
      <c r="T95" s="343">
        <v>0.37608524134987265</v>
      </c>
      <c r="U95" s="343">
        <v>0.39903493830705961</v>
      </c>
      <c r="V95" s="343">
        <v>0.40373183129601292</v>
      </c>
      <c r="W95" s="343">
        <v>0.4213530062171742</v>
      </c>
      <c r="X95" s="343">
        <v>0.42817716494024871</v>
      </c>
      <c r="Y95" s="379">
        <v>0.43346245124092414</v>
      </c>
      <c r="Z95" s="282">
        <f t="shared" si="81"/>
        <v>0.11160799767866361</v>
      </c>
      <c r="AA95" s="284">
        <f t="shared" si="82"/>
        <v>8.5448852397062999E-2</v>
      </c>
      <c r="AB95" s="948">
        <f t="array" ref="AB95">IF(AND($AD$71=TRUE,SUM(B95:L95)&gt;0),SUMPRODUCT((((TRANSPOSE(Cls2CentDailyRng)&lt;INDEX(CDRANGE_CLS2,$A95-$A$76+1,AD$72))*TRANSPOSE(Cls2CentDailyRng)+(TRANSPOSE(Cls2CentDailyRng)&gt;INDEX(CDRANGE_CLS2,$A95-$A$76+1,AD$72))*INDEX(CDRANGE_CLS2,$A95-$A$76+1,AD$72))/TRANSPOSE(Cls2CentDailyRng)),B95:L95,TRANSPOSE(Cls2CentVMTShr))/SUMPRODUCT(B95:L95,TRANSPOSE(Cls2CentVMTShr)),0)</f>
        <v>0</v>
      </c>
      <c r="AC95" s="949">
        <f t="array" ref="AC95">IF(AND($AD$72=TRUE,SUM(O95:Y95)&gt;0),SUMPRODUCT((((TRANSPOSE(Cls2NCentDailyRng)&lt;INDEX(CDRANGE_CLS2,$A95-$A$76+1,AD$74))*TRANSPOSE(Cls2NCentDailyRng)+(TRANSPOSE(Cls2NCentDailyRng)&gt;INDEX(CDRANGE_CLS2,$A95-$A$76+1,AD$74))*INDEX(CDRANGE_CLS2,$A95-$A$76+1,AD$74))/TRANSPOSE(Cls2NCentDailyRng)),O95:Y95,TRANSPOSE(Cls2NCentVMTShr))/SUMPRODUCT(O95:Y95,TRANSPOSE(Cls2NCentVMTShr)),0)</f>
        <v>0</v>
      </c>
      <c r="AD95" s="1226">
        <f t="shared" si="75"/>
        <v>0</v>
      </c>
      <c r="AE95" s="937">
        <f t="shared" si="85"/>
        <v>0.18237668488966052</v>
      </c>
      <c r="AF95" s="937">
        <f t="shared" si="86"/>
        <v>0.11160799767866361</v>
      </c>
      <c r="AG95" s="937">
        <f t="shared" si="87"/>
        <v>0.29398468256832411</v>
      </c>
      <c r="AH95" s="1172">
        <f t="shared" si="83"/>
        <v>0.62036118105328464</v>
      </c>
      <c r="AI95" s="937">
        <f t="shared" si="84"/>
        <v>0.37963881894671547</v>
      </c>
      <c r="AK95" s="1171"/>
      <c r="AL95" s="1171"/>
    </row>
    <row r="96" spans="1:38" x14ac:dyDescent="0.2">
      <c r="A96" s="330">
        <v>2027</v>
      </c>
      <c r="B96" s="344">
        <v>0</v>
      </c>
      <c r="C96" s="345">
        <v>5.848855779463826E-3</v>
      </c>
      <c r="D96" s="345">
        <v>0.13766347922691027</v>
      </c>
      <c r="E96" s="345">
        <v>0.26916928770946197</v>
      </c>
      <c r="F96" s="345">
        <v>0.34018844542694177</v>
      </c>
      <c r="G96" s="345">
        <v>0.40657771535581388</v>
      </c>
      <c r="H96" s="345">
        <v>0.42510519246522593</v>
      </c>
      <c r="I96" s="345">
        <v>0.45180315388209713</v>
      </c>
      <c r="J96" s="345">
        <v>0.45551536101314483</v>
      </c>
      <c r="K96" s="345">
        <v>0.46289280718888204</v>
      </c>
      <c r="L96" s="380">
        <v>0.46860661262467168</v>
      </c>
      <c r="M96" s="296">
        <f t="shared" si="79"/>
        <v>0.20615893583965347</v>
      </c>
      <c r="N96" s="298">
        <f t="shared" si="80"/>
        <v>0.14725286118733305</v>
      </c>
      <c r="O96" s="344">
        <v>0</v>
      </c>
      <c r="P96" s="345">
        <v>1.5341437913533042E-2</v>
      </c>
      <c r="Q96" s="345">
        <v>0.15539342935901571</v>
      </c>
      <c r="R96" s="345">
        <v>0.30084089429536848</v>
      </c>
      <c r="S96" s="345">
        <v>0.35567023377227569</v>
      </c>
      <c r="T96" s="345">
        <v>0.41946006106777944</v>
      </c>
      <c r="U96" s="345">
        <v>0.44221836716994162</v>
      </c>
      <c r="V96" s="345">
        <v>0.44665273256210825</v>
      </c>
      <c r="W96" s="345">
        <v>0.46289280718888204</v>
      </c>
      <c r="X96" s="345">
        <v>0.47147995632900075</v>
      </c>
      <c r="Y96" s="380">
        <v>0.4743564911241705</v>
      </c>
      <c r="Z96" s="296">
        <f t="shared" si="81"/>
        <v>0.12593130513531736</v>
      </c>
      <c r="AA96" s="298">
        <f t="shared" si="82"/>
        <v>9.7723099629169183E-2</v>
      </c>
      <c r="AB96" s="948">
        <f t="array" ref="AB96">IF(AND($AD$71=TRUE,SUM(B96:L96)&gt;0),SUMPRODUCT((((TRANSPOSE(Cls2CentDailyRng)&lt;INDEX(CDRANGE_CLS2,$A96-$A$76+1,AD$72))*TRANSPOSE(Cls2CentDailyRng)+(TRANSPOSE(Cls2CentDailyRng)&gt;INDEX(CDRANGE_CLS2,$A96-$A$76+1,AD$72))*INDEX(CDRANGE_CLS2,$A96-$A$76+1,AD$72))/TRANSPOSE(Cls2CentDailyRng)),B96:L96,TRANSPOSE(Cls2CentVMTShr))/SUMPRODUCT(B96:L96,TRANSPOSE(Cls2CentVMTShr)),0)</f>
        <v>0</v>
      </c>
      <c r="AC96" s="949">
        <f t="array" ref="AC96">IF(AND($AD$72=TRUE,SUM(O96:Y96)&gt;0),SUMPRODUCT((((TRANSPOSE(Cls2NCentDailyRng)&lt;INDEX(CDRANGE_CLS2,$A96-$A$76+1,AD$74))*TRANSPOSE(Cls2NCentDailyRng)+(TRANSPOSE(Cls2NCentDailyRng)&gt;INDEX(CDRANGE_CLS2,$A96-$A$76+1,AD$74))*INDEX(CDRANGE_CLS2,$A96-$A$76+1,AD$74))/TRANSPOSE(Cls2NCentDailyRng)),O96:Y96,TRANSPOSE(Cls2NCentVMTShr))/SUMPRODUCT(O96:Y96,TRANSPOSE(Cls2NCentVMTShr)),0)</f>
        <v>0</v>
      </c>
      <c r="AD96" s="1226">
        <f t="shared" si="75"/>
        <v>0</v>
      </c>
      <c r="AE96" s="937">
        <f t="shared" si="85"/>
        <v>0.20615893583965347</v>
      </c>
      <c r="AF96" s="937">
        <f t="shared" si="86"/>
        <v>0.12593130513531736</v>
      </c>
      <c r="AG96" s="937">
        <f t="shared" si="87"/>
        <v>0.33209024097497086</v>
      </c>
      <c r="AH96" s="1172">
        <f t="shared" si="83"/>
        <v>0.62079191256689581</v>
      </c>
      <c r="AI96" s="937">
        <f t="shared" si="84"/>
        <v>0.37920808743310408</v>
      </c>
      <c r="AK96" s="1171"/>
      <c r="AL96" s="1171"/>
    </row>
    <row r="97" spans="1:38" x14ac:dyDescent="0.2">
      <c r="A97" s="330">
        <v>2028</v>
      </c>
      <c r="B97" s="344">
        <v>0</v>
      </c>
      <c r="C97" s="345">
        <v>1.1439033001192178E-2</v>
      </c>
      <c r="D97" s="345">
        <v>0.16013333317554576</v>
      </c>
      <c r="E97" s="345">
        <v>0.31001713496753358</v>
      </c>
      <c r="F97" s="345">
        <v>0.39004942337353898</v>
      </c>
      <c r="G97" s="345">
        <v>0.43225418445732616</v>
      </c>
      <c r="H97" s="345">
        <v>0.44977796345805865</v>
      </c>
      <c r="I97" s="345">
        <v>0.47401866559327988</v>
      </c>
      <c r="J97" s="345">
        <v>0.47701131869602026</v>
      </c>
      <c r="K97" s="345">
        <v>0.48586052326998158</v>
      </c>
      <c r="L97" s="380">
        <v>0.48684471372367322</v>
      </c>
      <c r="M97" s="296">
        <f t="shared" si="79"/>
        <v>0.22450136993485312</v>
      </c>
      <c r="N97" s="298">
        <f t="shared" si="80"/>
        <v>0.16299449623214654</v>
      </c>
      <c r="O97" s="344">
        <v>0</v>
      </c>
      <c r="P97" s="345">
        <v>2.3371419111490505E-2</v>
      </c>
      <c r="Q97" s="345">
        <v>0.20056759176098896</v>
      </c>
      <c r="R97" s="345">
        <v>0.31801484963396498</v>
      </c>
      <c r="S97" s="345">
        <v>0.4048640980574123</v>
      </c>
      <c r="T97" s="345">
        <v>0.43807115879339892</v>
      </c>
      <c r="U97" s="345">
        <v>0.44977796345805865</v>
      </c>
      <c r="V97" s="345">
        <v>0.46940885593521653</v>
      </c>
      <c r="W97" s="345">
        <v>0.47701131869602026</v>
      </c>
      <c r="X97" s="345">
        <v>0.48289939866479442</v>
      </c>
      <c r="Y97" s="380">
        <v>0.48684471372367322</v>
      </c>
      <c r="Z97" s="296">
        <f t="shared" si="81"/>
        <v>0.1357865058961506</v>
      </c>
      <c r="AA97" s="298">
        <f t="shared" si="82"/>
        <v>0.10736898914751654</v>
      </c>
      <c r="AB97" s="948">
        <f t="array" ref="AB97">IF(AND($AD$71=TRUE,SUM(B97:L97)&gt;0),SUMPRODUCT((((TRANSPOSE(Cls2CentDailyRng)&lt;INDEX(CDRANGE_CLS2,$A97-$A$76+1,AD$72))*TRANSPOSE(Cls2CentDailyRng)+(TRANSPOSE(Cls2CentDailyRng)&gt;INDEX(CDRANGE_CLS2,$A97-$A$76+1,AD$72))*INDEX(CDRANGE_CLS2,$A97-$A$76+1,AD$72))/TRANSPOSE(Cls2CentDailyRng)),B97:L97,TRANSPOSE(Cls2CentVMTShr))/SUMPRODUCT(B97:L97,TRANSPOSE(Cls2CentVMTShr)),0)</f>
        <v>0</v>
      </c>
      <c r="AC97" s="949">
        <f t="array" ref="AC97">IF(AND($AD$72=TRUE,SUM(O97:Y97)&gt;0),SUMPRODUCT((((TRANSPOSE(Cls2NCentDailyRng)&lt;INDEX(CDRANGE_CLS2,$A97-$A$76+1,AD$74))*TRANSPOSE(Cls2NCentDailyRng)+(TRANSPOSE(Cls2NCentDailyRng)&gt;INDEX(CDRANGE_CLS2,$A97-$A$76+1,AD$74))*INDEX(CDRANGE_CLS2,$A97-$A$76+1,AD$74))/TRANSPOSE(Cls2NCentDailyRng)),O97:Y97,TRANSPOSE(Cls2NCentVMTShr))/SUMPRODUCT(O97:Y97,TRANSPOSE(Cls2NCentVMTShr)),0)</f>
        <v>0</v>
      </c>
      <c r="AD97" s="1226">
        <f t="shared" si="75"/>
        <v>0</v>
      </c>
      <c r="AE97" s="937">
        <f t="shared" si="85"/>
        <v>0.22450136993485312</v>
      </c>
      <c r="AF97" s="937">
        <f t="shared" si="86"/>
        <v>0.1357865058961506</v>
      </c>
      <c r="AG97" s="937">
        <f t="shared" si="87"/>
        <v>0.36028787583100375</v>
      </c>
      <c r="AH97" s="1172">
        <f t="shared" si="83"/>
        <v>0.62311663809680207</v>
      </c>
      <c r="AI97" s="937">
        <f t="shared" si="84"/>
        <v>0.37688336190319788</v>
      </c>
      <c r="AK97" s="1171"/>
      <c r="AL97" s="1171"/>
    </row>
    <row r="98" spans="1:38" x14ac:dyDescent="0.2">
      <c r="A98" s="330">
        <v>2029</v>
      </c>
      <c r="B98" s="344">
        <v>0</v>
      </c>
      <c r="C98" s="345">
        <v>1.5181123689611609E-2</v>
      </c>
      <c r="D98" s="345">
        <v>0.18860243343211133</v>
      </c>
      <c r="E98" s="345">
        <v>0.32154253432303909</v>
      </c>
      <c r="F98" s="345">
        <v>0.40935558410813</v>
      </c>
      <c r="G98" s="345">
        <v>0.43002377502490985</v>
      </c>
      <c r="H98" s="345">
        <v>0.47074859351432419</v>
      </c>
      <c r="I98" s="345">
        <v>0.47461592861092472</v>
      </c>
      <c r="J98" s="345">
        <v>0.48230272419930353</v>
      </c>
      <c r="K98" s="345">
        <v>0.4882561196386534</v>
      </c>
      <c r="L98" s="380">
        <v>0.49224519940708222</v>
      </c>
      <c r="M98" s="296">
        <f t="shared" si="79"/>
        <v>0.23190185183534859</v>
      </c>
      <c r="N98" s="298">
        <f t="shared" si="80"/>
        <v>0.17029749544886538</v>
      </c>
      <c r="O98" s="344">
        <v>0</v>
      </c>
      <c r="P98" s="345">
        <v>3.3835093176921946E-2</v>
      </c>
      <c r="Q98" s="345">
        <v>0.21002499509240549</v>
      </c>
      <c r="R98" s="345">
        <v>0.33806744954138218</v>
      </c>
      <c r="S98" s="345">
        <v>0.40158614903542317</v>
      </c>
      <c r="T98" s="345">
        <v>0.46076196281691528</v>
      </c>
      <c r="U98" s="345">
        <v>0.46538167441834005</v>
      </c>
      <c r="V98" s="345">
        <v>0.47461592861092472</v>
      </c>
      <c r="W98" s="345">
        <v>0.4882561196386534</v>
      </c>
      <c r="X98" s="345">
        <v>0.49424729754750196</v>
      </c>
      <c r="Y98" s="380">
        <v>0.49467070108802685</v>
      </c>
      <c r="Z98" s="296">
        <f t="shared" si="81"/>
        <v>0.13984437837812846</v>
      </c>
      <c r="AA98" s="298">
        <f t="shared" si="82"/>
        <v>0.11124673858620365</v>
      </c>
      <c r="AB98" s="948">
        <f t="array" ref="AB98">IF(AND($AD$71=TRUE,SUM(B98:L98)&gt;0),SUMPRODUCT((((TRANSPOSE(Cls2CentDailyRng)&lt;INDEX(CDRANGE_CLS2,$A98-$A$76+1,AD$72))*TRANSPOSE(Cls2CentDailyRng)+(TRANSPOSE(Cls2CentDailyRng)&gt;INDEX(CDRANGE_CLS2,$A98-$A$76+1,AD$72))*INDEX(CDRANGE_CLS2,$A98-$A$76+1,AD$72))/TRANSPOSE(Cls2CentDailyRng)),B98:L98,TRANSPOSE(Cls2CentVMTShr))/SUMPRODUCT(B98:L98,TRANSPOSE(Cls2CentVMTShr)),0)</f>
        <v>0</v>
      </c>
      <c r="AC98" s="949">
        <f t="array" ref="AC98">IF(AND($AD$72=TRUE,SUM(O98:Y98)&gt;0),SUMPRODUCT((((TRANSPOSE(Cls2NCentDailyRng)&lt;INDEX(CDRANGE_CLS2,$A98-$A$76+1,AD$74))*TRANSPOSE(Cls2NCentDailyRng)+(TRANSPOSE(Cls2NCentDailyRng)&gt;INDEX(CDRANGE_CLS2,$A98-$A$76+1,AD$74))*INDEX(CDRANGE_CLS2,$A98-$A$76+1,AD$74))/TRANSPOSE(Cls2NCentDailyRng)),O98:Y98,TRANSPOSE(Cls2NCentVMTShr))/SUMPRODUCT(O98:Y98,TRANSPOSE(Cls2NCentVMTShr)),0)</f>
        <v>0</v>
      </c>
      <c r="AD98" s="1226">
        <f t="shared" si="75"/>
        <v>0</v>
      </c>
      <c r="AE98" s="937">
        <f t="shared" si="85"/>
        <v>0.23190185183534859</v>
      </c>
      <c r="AF98" s="937">
        <f t="shared" si="86"/>
        <v>0.13984437837812846</v>
      </c>
      <c r="AG98" s="937">
        <f t="shared" si="87"/>
        <v>0.37174623021347708</v>
      </c>
      <c r="AH98" s="1172">
        <f t="shared" si="83"/>
        <v>0.62381762876836122</v>
      </c>
      <c r="AI98" s="937">
        <f t="shared" si="84"/>
        <v>0.37618237123163872</v>
      </c>
      <c r="AK98" s="1171"/>
      <c r="AL98" s="1171"/>
    </row>
    <row r="99" spans="1:38" ht="15" thickBot="1" x14ac:dyDescent="0.25">
      <c r="A99" s="328">
        <v>2030</v>
      </c>
      <c r="B99" s="346">
        <v>0</v>
      </c>
      <c r="C99" s="347">
        <v>2.5246811510953468E-2</v>
      </c>
      <c r="D99" s="347">
        <v>0.21083029850822768</v>
      </c>
      <c r="E99" s="347">
        <v>0.33936370893076667</v>
      </c>
      <c r="F99" s="347">
        <v>0.41779027205778818</v>
      </c>
      <c r="G99" s="347">
        <v>0.4446289462017991</v>
      </c>
      <c r="H99" s="347">
        <v>0.46716609751476856</v>
      </c>
      <c r="I99" s="347">
        <v>0.4841520280456727</v>
      </c>
      <c r="J99" s="347">
        <v>0.49012825071889982</v>
      </c>
      <c r="K99" s="347">
        <v>0.496142506878678</v>
      </c>
      <c r="L99" s="381">
        <v>0.49575509082309605</v>
      </c>
      <c r="M99" s="310">
        <f t="shared" si="79"/>
        <v>0.2379405884469874</v>
      </c>
      <c r="N99" s="312">
        <f t="shared" si="80"/>
        <v>0.17684872074111285</v>
      </c>
      <c r="O99" s="346">
        <v>0</v>
      </c>
      <c r="P99" s="347">
        <v>4.5141876575168036E-2</v>
      </c>
      <c r="Q99" s="347">
        <v>0.24125339377307006</v>
      </c>
      <c r="R99" s="347">
        <v>0.38027970271348532</v>
      </c>
      <c r="S99" s="347">
        <v>0.41779027205778818</v>
      </c>
      <c r="T99" s="347">
        <v>0.45651099804875211</v>
      </c>
      <c r="U99" s="347">
        <v>0.47643575880944866</v>
      </c>
      <c r="V99" s="347">
        <v>0.4841520280456727</v>
      </c>
      <c r="W99" s="347">
        <v>0.49012825071889982</v>
      </c>
      <c r="X99" s="347">
        <v>0.49413262590281998</v>
      </c>
      <c r="Y99" s="381">
        <v>0.49575509082309605</v>
      </c>
      <c r="Z99" s="310">
        <f t="shared" si="81"/>
        <v>0.14618147588687325</v>
      </c>
      <c r="AA99" s="312">
        <f t="shared" si="82"/>
        <v>0.11841511637634468</v>
      </c>
      <c r="AB99" s="948">
        <f t="array" ref="AB99">IF(AND($AD$71=TRUE,SUM(B99:L99)&gt;0),SUMPRODUCT((((TRANSPOSE(Cls2CentDailyRng)&lt;INDEX(CDRANGE_CLS2,$A99-$A$76+1,AD$72))*TRANSPOSE(Cls2CentDailyRng)+(TRANSPOSE(Cls2CentDailyRng)&gt;INDEX(CDRANGE_CLS2,$A99-$A$76+1,AD$72))*INDEX(CDRANGE_CLS2,$A99-$A$76+1,AD$72))/TRANSPOSE(Cls2CentDailyRng)),B99:L99,TRANSPOSE(Cls2CentVMTShr))/SUMPRODUCT(B99:L99,TRANSPOSE(Cls2CentVMTShr)),0)</f>
        <v>0</v>
      </c>
      <c r="AC99" s="949">
        <f t="array" ref="AC99">IF(AND($AD$72=TRUE,SUM(O99:Y99)&gt;0),SUMPRODUCT((((TRANSPOSE(Cls2NCentDailyRng)&lt;INDEX(CDRANGE_CLS2,$A99-$A$76+1,AD$74))*TRANSPOSE(Cls2NCentDailyRng)+(TRANSPOSE(Cls2NCentDailyRng)&gt;INDEX(CDRANGE_CLS2,$A99-$A$76+1,AD$74))*INDEX(CDRANGE_CLS2,$A99-$A$76+1,AD$74))/TRANSPOSE(Cls2NCentDailyRng)),O99:Y99,TRANSPOSE(Cls2NCentVMTShr))/SUMPRODUCT(O99:Y99,TRANSPOSE(Cls2NCentVMTShr)),0)</f>
        <v>0</v>
      </c>
      <c r="AD99" s="1226">
        <f t="shared" si="75"/>
        <v>0</v>
      </c>
      <c r="AE99" s="937">
        <f t="shared" si="85"/>
        <v>0.2379405884469874</v>
      </c>
      <c r="AF99" s="937">
        <f t="shared" si="86"/>
        <v>0.14618147588687325</v>
      </c>
      <c r="AG99" s="937">
        <f t="shared" si="87"/>
        <v>0.38412206433386065</v>
      </c>
      <c r="AH99" s="1172">
        <f t="shared" si="83"/>
        <v>0.61944004403813868</v>
      </c>
      <c r="AI99" s="937">
        <f t="shared" si="84"/>
        <v>0.38055995596186126</v>
      </c>
      <c r="AK99" s="1171"/>
      <c r="AL99" s="1171"/>
    </row>
    <row r="100" spans="1:38" x14ac:dyDescent="0.2">
      <c r="A100" s="329">
        <v>2031</v>
      </c>
      <c r="B100" s="342">
        <v>0</v>
      </c>
      <c r="C100" s="343">
        <v>2.8530026873237451E-2</v>
      </c>
      <c r="D100" s="343">
        <v>0.21116034126252448</v>
      </c>
      <c r="E100" s="343">
        <v>0.33989496337567526</v>
      </c>
      <c r="F100" s="343">
        <v>0.41844429879438166</v>
      </c>
      <c r="G100" s="343">
        <v>0.44532498734523474</v>
      </c>
      <c r="H100" s="343">
        <v>0.46789741927747935</v>
      </c>
      <c r="I100" s="343">
        <v>0.48490994030954193</v>
      </c>
      <c r="J100" s="343">
        <v>0.49089551841699902</v>
      </c>
      <c r="K100" s="343">
        <v>0.49490616222086747</v>
      </c>
      <c r="L100" s="379">
        <v>0.49653116701702865</v>
      </c>
      <c r="M100" s="282">
        <f t="shared" si="79"/>
        <v>0.23839451162782033</v>
      </c>
      <c r="N100" s="284">
        <f t="shared" si="80"/>
        <v>0.17740317748398815</v>
      </c>
      <c r="O100" s="342">
        <v>0</v>
      </c>
      <c r="P100" s="343">
        <v>5.0442568551934616E-2</v>
      </c>
      <c r="Q100" s="343">
        <v>0.24163106214012983</v>
      </c>
      <c r="R100" s="343">
        <v>0.37258740933086043</v>
      </c>
      <c r="S100" s="343">
        <v>0.41844429879438166</v>
      </c>
      <c r="T100" s="343">
        <v>0.45722563986365677</v>
      </c>
      <c r="U100" s="343">
        <v>0.47718159169587721</v>
      </c>
      <c r="V100" s="343">
        <v>0.48490994030954193</v>
      </c>
      <c r="W100" s="343">
        <v>0.49089551841699902</v>
      </c>
      <c r="X100" s="343">
        <v>0.49490616222086747</v>
      </c>
      <c r="Y100" s="379">
        <v>0.49643972539473996</v>
      </c>
      <c r="Z100" s="282">
        <f t="shared" si="81"/>
        <v>0.1460202812814152</v>
      </c>
      <c r="AA100" s="284">
        <f t="shared" si="82"/>
        <v>0.1183778478995853</v>
      </c>
      <c r="AB100" s="948">
        <f t="array" ref="AB100">IF(AND($AD$71=TRUE,SUM(B100:L100)&gt;0),SUMPRODUCT((((TRANSPOSE(Cls2CentDailyRng)&lt;INDEX(CDRANGE_CLS2,$A100-$A$76+1,AD$72))*TRANSPOSE(Cls2CentDailyRng)+(TRANSPOSE(Cls2CentDailyRng)&gt;INDEX(CDRANGE_CLS2,$A100-$A$76+1,AD$72))*INDEX(CDRANGE_CLS2,$A100-$A$76+1,AD$72))/TRANSPOSE(Cls2CentDailyRng)),B100:L100,TRANSPOSE(Cls2CentVMTShr))/SUMPRODUCT(B100:L100,TRANSPOSE(Cls2CentVMTShr)),0)</f>
        <v>0</v>
      </c>
      <c r="AC100" s="949">
        <f t="array" ref="AC100">IF(AND($AD$72=TRUE,SUM(O100:Y100)&gt;0),SUMPRODUCT((((TRANSPOSE(Cls2NCentDailyRng)&lt;INDEX(CDRANGE_CLS2,$A100-$A$76+1,AD$74))*TRANSPOSE(Cls2NCentDailyRng)+(TRANSPOSE(Cls2NCentDailyRng)&gt;INDEX(CDRANGE_CLS2,$A100-$A$76+1,AD$74))*INDEX(CDRANGE_CLS2,$A100-$A$76+1,AD$74))/TRANSPOSE(Cls2NCentDailyRng)),O100:Y100,TRANSPOSE(Cls2NCentVMTShr))/SUMPRODUCT(O100:Y100,TRANSPOSE(Cls2NCentVMTShr)),0)</f>
        <v>0</v>
      </c>
      <c r="AD100" s="1226">
        <f t="shared" si="75"/>
        <v>0</v>
      </c>
      <c r="AE100" s="937">
        <f t="shared" si="85"/>
        <v>0.23839451162782033</v>
      </c>
      <c r="AF100" s="937">
        <f t="shared" si="86"/>
        <v>0.1460202812814152</v>
      </c>
      <c r="AG100" s="937">
        <f t="shared" si="87"/>
        <v>0.38441479290923553</v>
      </c>
      <c r="AH100" s="1172">
        <f t="shared" si="83"/>
        <v>0.62014916185628643</v>
      </c>
      <c r="AI100" s="937">
        <f t="shared" si="84"/>
        <v>0.37985083814371357</v>
      </c>
      <c r="AK100" s="1171"/>
      <c r="AL100" s="1171"/>
    </row>
    <row r="101" spans="1:38" x14ac:dyDescent="0.2">
      <c r="A101" s="330">
        <v>2032</v>
      </c>
      <c r="B101" s="344">
        <v>0</v>
      </c>
      <c r="C101" s="345">
        <v>2.8546466617511101E-2</v>
      </c>
      <c r="D101" s="345">
        <v>0.21128201734879376</v>
      </c>
      <c r="E101" s="345">
        <v>0.35657459110751744</v>
      </c>
      <c r="F101" s="345">
        <v>0.41868541729369163</v>
      </c>
      <c r="G101" s="345">
        <v>0.44558159519713586</v>
      </c>
      <c r="H101" s="345">
        <v>0.46816703395234099</v>
      </c>
      <c r="I101" s="345">
        <v>0.48518935804194929</v>
      </c>
      <c r="J101" s="345">
        <v>0.49117838519534845</v>
      </c>
      <c r="K101" s="345">
        <v>0.49519134003659526</v>
      </c>
      <c r="L101" s="380">
        <v>0.49422879537708225</v>
      </c>
      <c r="M101" s="296">
        <f t="shared" si="79"/>
        <v>0.23984199654315314</v>
      </c>
      <c r="N101" s="298">
        <f t="shared" si="80"/>
        <v>0.17900468964881897</v>
      </c>
      <c r="O101" s="344">
        <v>0</v>
      </c>
      <c r="P101" s="345">
        <v>5.0471634873224265E-2</v>
      </c>
      <c r="Q101" s="345">
        <v>0.26580344581396037</v>
      </c>
      <c r="R101" s="345">
        <v>0.37280210389656121</v>
      </c>
      <c r="S101" s="345">
        <v>0.43259751371608141</v>
      </c>
      <c r="T101" s="345">
        <v>0.45748910518137664</v>
      </c>
      <c r="U101" s="345">
        <v>0.47745655615260307</v>
      </c>
      <c r="V101" s="345">
        <v>0.48518935804194929</v>
      </c>
      <c r="W101" s="345">
        <v>0.49108493434248218</v>
      </c>
      <c r="X101" s="345">
        <v>0.49430105779930894</v>
      </c>
      <c r="Y101" s="380">
        <v>0.4881257426027481</v>
      </c>
      <c r="Z101" s="296">
        <f t="shared" si="81"/>
        <v>0.14824322599561901</v>
      </c>
      <c r="AA101" s="298">
        <f t="shared" si="82"/>
        <v>0.12098401581705778</v>
      </c>
      <c r="AB101" s="948">
        <f t="array" ref="AB101">IF(AND($AD$71=TRUE,SUM(B101:L101)&gt;0),SUMPRODUCT((((TRANSPOSE(Cls2CentDailyRng)&lt;INDEX(CDRANGE_CLS2,$A101-$A$76+1,AD$72))*TRANSPOSE(Cls2CentDailyRng)+(TRANSPOSE(Cls2CentDailyRng)&gt;INDEX(CDRANGE_CLS2,$A101-$A$76+1,AD$72))*INDEX(CDRANGE_CLS2,$A101-$A$76+1,AD$72))/TRANSPOSE(Cls2CentDailyRng)),B101:L101,TRANSPOSE(Cls2CentVMTShr))/SUMPRODUCT(B101:L101,TRANSPOSE(Cls2CentVMTShr)),0)</f>
        <v>0</v>
      </c>
      <c r="AC101" s="949">
        <f t="array" ref="AC101">IF(AND($AD$72=TRUE,SUM(O101:Y101)&gt;0),SUMPRODUCT((((TRANSPOSE(Cls2NCentDailyRng)&lt;INDEX(CDRANGE_CLS2,$A101-$A$76+1,AD$74))*TRANSPOSE(Cls2NCentDailyRng)+(TRANSPOSE(Cls2NCentDailyRng)&gt;INDEX(CDRANGE_CLS2,$A101-$A$76+1,AD$74))*INDEX(CDRANGE_CLS2,$A101-$A$76+1,AD$74))/TRANSPOSE(Cls2NCentDailyRng)),O101:Y101,TRANSPOSE(Cls2NCentVMTShr))/SUMPRODUCT(O101:Y101,TRANSPOSE(Cls2NCentVMTShr)),0)</f>
        <v>0</v>
      </c>
      <c r="AD101" s="1226">
        <f t="shared" si="75"/>
        <v>0</v>
      </c>
      <c r="AE101" s="937">
        <f t="shared" si="85"/>
        <v>0.23984199654315314</v>
      </c>
      <c r="AF101" s="937">
        <f t="shared" si="86"/>
        <v>0.14824322599561901</v>
      </c>
      <c r="AG101" s="937">
        <f t="shared" si="87"/>
        <v>0.38808522253877215</v>
      </c>
      <c r="AH101" s="1172">
        <f t="shared" si="83"/>
        <v>0.61801373155658201</v>
      </c>
      <c r="AI101" s="937">
        <f t="shared" si="84"/>
        <v>0.38198626844341793</v>
      </c>
      <c r="AK101" s="1171"/>
      <c r="AL101" s="1171"/>
    </row>
    <row r="102" spans="1:38" x14ac:dyDescent="0.2">
      <c r="A102" s="330">
        <v>2033</v>
      </c>
      <c r="B102" s="344">
        <v>0</v>
      </c>
      <c r="C102" s="345">
        <v>3.2143600424908658E-2</v>
      </c>
      <c r="D102" s="345">
        <v>0.2263509896988761</v>
      </c>
      <c r="E102" s="345">
        <v>0.35665019442627205</v>
      </c>
      <c r="F102" s="345">
        <v>0.41877418976332609</v>
      </c>
      <c r="G102" s="345">
        <v>0.45758610506725833</v>
      </c>
      <c r="H102" s="345">
        <v>0.47755778967037593</v>
      </c>
      <c r="I102" s="345">
        <v>0.48529223111986103</v>
      </c>
      <c r="J102" s="345">
        <v>0.49037466356135367</v>
      </c>
      <c r="K102" s="345">
        <v>0.4900024398441824</v>
      </c>
      <c r="L102" s="380">
        <v>0.46722060332694171</v>
      </c>
      <c r="M102" s="296">
        <f t="shared" si="79"/>
        <v>0.24154609414624031</v>
      </c>
      <c r="N102" s="298">
        <f t="shared" si="80"/>
        <v>0.18145296831653748</v>
      </c>
      <c r="O102" s="344">
        <v>0</v>
      </c>
      <c r="P102" s="345">
        <v>5.6193655574750576E-2</v>
      </c>
      <c r="Q102" s="345">
        <v>0.25768047845512781</v>
      </c>
      <c r="R102" s="345">
        <v>0.37288114788061433</v>
      </c>
      <c r="S102" s="345">
        <v>0.43268923592102132</v>
      </c>
      <c r="T102" s="345">
        <v>0.46826629784377061</v>
      </c>
      <c r="U102" s="345">
        <v>0.47755778967037593</v>
      </c>
      <c r="V102" s="345">
        <v>0.48501068300059208</v>
      </c>
      <c r="W102" s="345">
        <v>0.4874786443822236</v>
      </c>
      <c r="X102" s="345">
        <v>0.47545337804537602</v>
      </c>
      <c r="Y102" s="380">
        <v>0.450716526800513</v>
      </c>
      <c r="Z102" s="296">
        <f t="shared" si="81"/>
        <v>0.14792342646935988</v>
      </c>
      <c r="AA102" s="298">
        <f t="shared" si="82"/>
        <v>0.120999535400013</v>
      </c>
      <c r="AB102" s="948">
        <f t="array" ref="AB102">IF(AND($AD$71=TRUE,SUM(B102:L102)&gt;0),SUMPRODUCT((((TRANSPOSE(Cls2CentDailyRng)&lt;INDEX(CDRANGE_CLS2,$A102-$A$76+1,AD$72))*TRANSPOSE(Cls2CentDailyRng)+(TRANSPOSE(Cls2CentDailyRng)&gt;INDEX(CDRANGE_CLS2,$A102-$A$76+1,AD$72))*INDEX(CDRANGE_CLS2,$A102-$A$76+1,AD$72))/TRANSPOSE(Cls2CentDailyRng)),B102:L102,TRANSPOSE(Cls2CentVMTShr))/SUMPRODUCT(B102:L102,TRANSPOSE(Cls2CentVMTShr)),0)</f>
        <v>0</v>
      </c>
      <c r="AC102" s="949">
        <f t="array" ref="AC102">IF(AND($AD$72=TRUE,SUM(O102:Y102)&gt;0),SUMPRODUCT((((TRANSPOSE(Cls2NCentDailyRng)&lt;INDEX(CDRANGE_CLS2,$A102-$A$76+1,AD$74))*TRANSPOSE(Cls2NCentDailyRng)+(TRANSPOSE(Cls2NCentDailyRng)&gt;INDEX(CDRANGE_CLS2,$A102-$A$76+1,AD$74))*INDEX(CDRANGE_CLS2,$A102-$A$76+1,AD$74))/TRANSPOSE(Cls2NCentDailyRng)),O102:Y102,TRANSPOSE(Cls2NCentVMTShr))/SUMPRODUCT(O102:Y102,TRANSPOSE(Cls2NCentVMTShr)),0)</f>
        <v>0</v>
      </c>
      <c r="AD102" s="1226">
        <f>AB102*AH102+AC102*AI102</f>
        <v>0</v>
      </c>
      <c r="AE102" s="937">
        <f t="shared" si="85"/>
        <v>0.24154609414624031</v>
      </c>
      <c r="AF102" s="937">
        <f t="shared" si="86"/>
        <v>0.14792342646935988</v>
      </c>
      <c r="AG102" s="937">
        <f t="shared" si="87"/>
        <v>0.3894695206156002</v>
      </c>
      <c r="AH102" s="1172">
        <f t="shared" si="83"/>
        <v>0.62019254745390517</v>
      </c>
      <c r="AI102" s="937">
        <f t="shared" si="84"/>
        <v>0.37980745254609483</v>
      </c>
      <c r="AK102" s="1171"/>
      <c r="AL102" s="1171"/>
    </row>
    <row r="103" spans="1:38" x14ac:dyDescent="0.2">
      <c r="A103" s="330">
        <v>2034</v>
      </c>
      <c r="B103" s="344">
        <v>0</v>
      </c>
      <c r="C103" s="345">
        <v>3.2146107829302155E-2</v>
      </c>
      <c r="D103" s="345">
        <v>0.22636864650951771</v>
      </c>
      <c r="E103" s="345">
        <v>0.35667801540004662</v>
      </c>
      <c r="F103" s="345">
        <v>0.41880685680215851</v>
      </c>
      <c r="G103" s="345">
        <v>0.45762179968127426</v>
      </c>
      <c r="H103" s="345">
        <v>0.47752851594696433</v>
      </c>
      <c r="I103" s="345">
        <v>0.48222902963570757</v>
      </c>
      <c r="J103" s="345">
        <v>0.4750866109337501</v>
      </c>
      <c r="K103" s="345">
        <v>0.4621694173559443</v>
      </c>
      <c r="L103" s="380">
        <v>0.42437259839367891</v>
      </c>
      <c r="M103" s="296">
        <f t="shared" si="79"/>
        <v>0.23901862798476531</v>
      </c>
      <c r="N103" s="298">
        <f t="shared" si="80"/>
        <v>0.18047023558388675</v>
      </c>
      <c r="O103" s="344">
        <v>0</v>
      </c>
      <c r="P103" s="345">
        <v>5.619803903575097E-2</v>
      </c>
      <c r="Q103" s="345">
        <v>0.25770057916429712</v>
      </c>
      <c r="R103" s="345">
        <v>0.37291023497154652</v>
      </c>
      <c r="S103" s="345">
        <v>0.43272298842157575</v>
      </c>
      <c r="T103" s="345">
        <v>0.46830282558045905</v>
      </c>
      <c r="U103" s="345">
        <v>0.47611626706250954</v>
      </c>
      <c r="V103" s="345">
        <v>0.47631801238977184</v>
      </c>
      <c r="W103" s="345">
        <v>0.45565542755181865</v>
      </c>
      <c r="X103" s="345">
        <v>0.43622106231705782</v>
      </c>
      <c r="Y103" s="380">
        <v>0.4101044011177718</v>
      </c>
      <c r="Z103" s="296">
        <f t="shared" si="81"/>
        <v>0.14645182051681149</v>
      </c>
      <c r="AA103" s="298">
        <f t="shared" si="82"/>
        <v>0.1203935995989826</v>
      </c>
      <c r="AB103" s="948">
        <f t="array" ref="AB103">IF(AND($AD$71=TRUE,SUM(B103:L103)&gt;0),SUMPRODUCT((((TRANSPOSE(Cls2CentDailyRng)&lt;INDEX(CDRANGE_CLS2,$A103-$A$76+1,AD$72))*TRANSPOSE(Cls2CentDailyRng)+(TRANSPOSE(Cls2CentDailyRng)&gt;INDEX(CDRANGE_CLS2,$A103-$A$76+1,AD$72))*INDEX(CDRANGE_CLS2,$A103-$A$76+1,AD$72))/TRANSPOSE(Cls2CentDailyRng)),B103:L103,TRANSPOSE(Cls2CentVMTShr))/SUMPRODUCT(B103:L103,TRANSPOSE(Cls2CentVMTShr)),0)</f>
        <v>0</v>
      </c>
      <c r="AC103" s="949">
        <f t="array" ref="AC103">IF(AND($AD$72=TRUE,SUM(O103:Y103)&gt;0),SUMPRODUCT((((TRANSPOSE(Cls2NCentDailyRng)&lt;INDEX(CDRANGE_CLS2,$A103-$A$76+1,AD$74))*TRANSPOSE(Cls2NCentDailyRng)+(TRANSPOSE(Cls2NCentDailyRng)&gt;INDEX(CDRANGE_CLS2,$A103-$A$76+1,AD$74))*INDEX(CDRANGE_CLS2,$A103-$A$76+1,AD$74))/TRANSPOSE(Cls2NCentDailyRng)),O103:Y103,TRANSPOSE(Cls2NCentVMTShr))/SUMPRODUCT(O103:Y103,TRANSPOSE(Cls2NCentVMTShr)),0)</f>
        <v>0</v>
      </c>
      <c r="AD103" s="1226">
        <f t="shared" ref="AD103:AD119" si="88">AB103*AH103+AC103*AI103</f>
        <v>0</v>
      </c>
      <c r="AE103" s="937">
        <f t="shared" si="85"/>
        <v>0.23901862798476531</v>
      </c>
      <c r="AF103" s="937">
        <f t="shared" si="86"/>
        <v>0.14645182051681149</v>
      </c>
      <c r="AG103" s="937">
        <f t="shared" si="87"/>
        <v>0.3854704485015768</v>
      </c>
      <c r="AH103" s="1172">
        <f t="shared" si="83"/>
        <v>0.62006991434464676</v>
      </c>
      <c r="AI103" s="937">
        <f t="shared" si="84"/>
        <v>0.37993008565535319</v>
      </c>
      <c r="AK103" s="1171"/>
      <c r="AL103" s="1171"/>
    </row>
    <row r="104" spans="1:38" ht="15" thickBot="1" x14ac:dyDescent="0.25">
      <c r="A104" s="328">
        <v>2035</v>
      </c>
      <c r="B104" s="346">
        <v>0</v>
      </c>
      <c r="C104" s="347">
        <v>3.6109391212090641E-2</v>
      </c>
      <c r="D104" s="347">
        <v>0.22637514278026866</v>
      </c>
      <c r="E104" s="347">
        <v>0.35668825125644577</v>
      </c>
      <c r="F104" s="347">
        <v>0.41881887561649561</v>
      </c>
      <c r="G104" s="347">
        <v>0.45749237502227158</v>
      </c>
      <c r="H104" s="347">
        <v>0.46953326949612867</v>
      </c>
      <c r="I104" s="347">
        <v>0.45473511177362308</v>
      </c>
      <c r="J104" s="347">
        <v>0.4314481612716714</v>
      </c>
      <c r="K104" s="347">
        <v>0.41706669635150689</v>
      </c>
      <c r="L104" s="381">
        <v>0.38473714006407106</v>
      </c>
      <c r="M104" s="310">
        <f t="shared" si="79"/>
        <v>0.23323480160560259</v>
      </c>
      <c r="N104" s="312">
        <f t="shared" si="80"/>
        <v>0.17809818661850388</v>
      </c>
      <c r="O104" s="346">
        <v>0</v>
      </c>
      <c r="P104" s="347">
        <v>6.2414537376666766E-2</v>
      </c>
      <c r="Q104" s="347">
        <v>0.25770797459100803</v>
      </c>
      <c r="R104" s="347">
        <v>0.37292093665611953</v>
      </c>
      <c r="S104" s="347">
        <v>0.43273540659757437</v>
      </c>
      <c r="T104" s="347">
        <v>0.46284702973964176</v>
      </c>
      <c r="U104" s="347">
        <v>0.45489310105688663</v>
      </c>
      <c r="V104" s="347">
        <v>0.43781964782671012</v>
      </c>
      <c r="W104" s="347">
        <v>0.41225706319864092</v>
      </c>
      <c r="X104" s="347">
        <v>0.39762675568938888</v>
      </c>
      <c r="Y104" s="381">
        <v>0.37553778454259357</v>
      </c>
      <c r="Z104" s="310">
        <f t="shared" si="81"/>
        <v>0.14333131040588376</v>
      </c>
      <c r="AA104" s="312">
        <f t="shared" si="82"/>
        <v>0.11911949607662103</v>
      </c>
      <c r="AB104" s="948">
        <f t="array" ref="AB104">IF(AND($AD$71=TRUE,SUM(B104:L104)&gt;0),SUMPRODUCT((((TRANSPOSE(Cls2CentDailyRng)&lt;INDEX(CDRANGE_CLS2,$A104-$A$76+1,AD$72))*TRANSPOSE(Cls2CentDailyRng)+(TRANSPOSE(Cls2CentDailyRng)&gt;INDEX(CDRANGE_CLS2,$A104-$A$76+1,AD$72))*INDEX(CDRANGE_CLS2,$A104-$A$76+1,AD$72))/TRANSPOSE(Cls2CentDailyRng)),B104:L104,TRANSPOSE(Cls2CentVMTShr))/SUMPRODUCT(B104:L104,TRANSPOSE(Cls2CentVMTShr)),0)</f>
        <v>0</v>
      </c>
      <c r="AC104" s="949">
        <f t="array" ref="AC104">IF(AND($AD$72=TRUE,SUM(O104:Y104)&gt;0),SUMPRODUCT((((TRANSPOSE(Cls2NCentDailyRng)&lt;INDEX(CDRANGE_CLS2,$A104-$A$76+1,AD$74))*TRANSPOSE(Cls2NCentDailyRng)+(TRANSPOSE(Cls2NCentDailyRng)&gt;INDEX(CDRANGE_CLS2,$A104-$A$76+1,AD$74))*INDEX(CDRANGE_CLS2,$A104-$A$76+1,AD$74))/TRANSPOSE(Cls2NCentDailyRng)),O104:Y104,TRANSPOSE(Cls2NCentVMTShr))/SUMPRODUCT(O104:Y104,TRANSPOSE(Cls2NCentVMTShr)),0)</f>
        <v>0</v>
      </c>
      <c r="AD104" s="1226">
        <f t="shared" si="88"/>
        <v>0</v>
      </c>
      <c r="AE104" s="937">
        <f t="shared" si="85"/>
        <v>0.23323480160560259</v>
      </c>
      <c r="AF104" s="937">
        <f t="shared" si="86"/>
        <v>0.14333131040588376</v>
      </c>
      <c r="AG104" s="937">
        <f t="shared" si="87"/>
        <v>0.37656611201148638</v>
      </c>
      <c r="AH104" s="1172">
        <f t="shared" si="83"/>
        <v>0.61937278519233363</v>
      </c>
      <c r="AI104" s="937">
        <f t="shared" si="84"/>
        <v>0.38062721480766631</v>
      </c>
      <c r="AK104" s="1171"/>
      <c r="AL104" s="1171"/>
    </row>
    <row r="105" spans="1:38" x14ac:dyDescent="0.2">
      <c r="A105" s="329">
        <v>2036</v>
      </c>
      <c r="B105" s="342">
        <v>0</v>
      </c>
      <c r="C105" s="343">
        <v>3.6109772434228513E-2</v>
      </c>
      <c r="D105" s="343">
        <v>0.24983989556314673</v>
      </c>
      <c r="E105" s="343">
        <v>0.35669201696539676</v>
      </c>
      <c r="F105" s="343">
        <v>0.41882329726476447</v>
      </c>
      <c r="G105" s="343">
        <v>0.45635163379437754</v>
      </c>
      <c r="H105" s="343">
        <v>0.46113032066035003</v>
      </c>
      <c r="I105" s="343">
        <v>0.43778725768883264</v>
      </c>
      <c r="J105" s="343">
        <v>0.41783109291848813</v>
      </c>
      <c r="K105" s="343">
        <v>0.40245303366289997</v>
      </c>
      <c r="L105" s="379">
        <v>0.37546253507912025</v>
      </c>
      <c r="M105" s="282">
        <f t="shared" si="79"/>
        <v>0.23174645550837908</v>
      </c>
      <c r="N105" s="284">
        <f t="shared" si="80"/>
        <v>0.17879005090781683</v>
      </c>
      <c r="O105" s="342">
        <v>0</v>
      </c>
      <c r="P105" s="343">
        <v>6.2415196313374756E-2</v>
      </c>
      <c r="Q105" s="343">
        <v>0.28222879747905028</v>
      </c>
      <c r="R105" s="343">
        <v>0.38877824612242284</v>
      </c>
      <c r="S105" s="343">
        <v>0.43249547979145891</v>
      </c>
      <c r="T105" s="343">
        <v>0.45519832622607548</v>
      </c>
      <c r="U105" s="343">
        <v>0.44401071282879462</v>
      </c>
      <c r="V105" s="343">
        <v>0.42550641948248819</v>
      </c>
      <c r="W105" s="343">
        <v>0.39756323526191867</v>
      </c>
      <c r="X105" s="343">
        <v>0.38787356638735332</v>
      </c>
      <c r="Y105" s="379">
        <v>0.37106495447213578</v>
      </c>
      <c r="Z105" s="282">
        <f t="shared" si="81"/>
        <v>0.14389051452126311</v>
      </c>
      <c r="AA105" s="284">
        <f t="shared" si="82"/>
        <v>0.12088441965992949</v>
      </c>
      <c r="AB105" s="948">
        <f t="array" ref="AB105">IF(AND($AD$71=TRUE,SUM(B105:L105)&gt;0),SUMPRODUCT((((TRANSPOSE(Cls2CentDailyRng)&lt;INDEX(CDRANGE_CLS2,$A105-$A$76+1,AD$72))*TRANSPOSE(Cls2CentDailyRng)+(TRANSPOSE(Cls2CentDailyRng)&gt;INDEX(CDRANGE_CLS2,$A105-$A$76+1,AD$72))*INDEX(CDRANGE_CLS2,$A105-$A$76+1,AD$72))/TRANSPOSE(Cls2CentDailyRng)),B105:L105,TRANSPOSE(Cls2CentVMTShr))/SUMPRODUCT(B105:L105,TRANSPOSE(Cls2CentVMTShr)),0)</f>
        <v>0</v>
      </c>
      <c r="AC105" s="949">
        <f t="array" ref="AC105">IF(AND($AD$72=TRUE,SUM(O105:Y105)&gt;0),SUMPRODUCT((((TRANSPOSE(Cls2NCentDailyRng)&lt;INDEX(CDRANGE_CLS2,$A105-$A$76+1,AD$74))*TRANSPOSE(Cls2NCentDailyRng)+(TRANSPOSE(Cls2NCentDailyRng)&gt;INDEX(CDRANGE_CLS2,$A105-$A$76+1,AD$74))*INDEX(CDRANGE_CLS2,$A105-$A$76+1,AD$74))/TRANSPOSE(Cls2NCentDailyRng)),O105:Y105,TRANSPOSE(Cls2NCentVMTShr))/SUMPRODUCT(O105:Y105,TRANSPOSE(Cls2NCentVMTShr)),0)</f>
        <v>0</v>
      </c>
      <c r="AD105" s="1226">
        <f t="shared" si="88"/>
        <v>0</v>
      </c>
      <c r="AE105" s="937">
        <f t="shared" si="85"/>
        <v>0.23174645550837908</v>
      </c>
      <c r="AF105" s="937">
        <f t="shared" si="86"/>
        <v>0.14389051452126311</v>
      </c>
      <c r="AG105" s="937">
        <f t="shared" si="87"/>
        <v>0.37563697002964219</v>
      </c>
      <c r="AH105" s="1172">
        <f t="shared" si="83"/>
        <v>0.61694261746944545</v>
      </c>
      <c r="AI105" s="937">
        <f t="shared" si="84"/>
        <v>0.38305738253055455</v>
      </c>
      <c r="AK105" s="1171"/>
      <c r="AL105" s="1171"/>
    </row>
    <row r="106" spans="1:38" x14ac:dyDescent="0.2">
      <c r="A106" s="330">
        <v>2037</v>
      </c>
      <c r="B106" s="344">
        <v>0</v>
      </c>
      <c r="C106" s="345">
        <v>4.0469726754837815E-2</v>
      </c>
      <c r="D106" s="345">
        <v>0.24185085448541466</v>
      </c>
      <c r="E106" s="345">
        <v>0.38122146016825131</v>
      </c>
      <c r="F106" s="345">
        <v>0.43274165587616625</v>
      </c>
      <c r="G106" s="345">
        <v>0.45346571134022917</v>
      </c>
      <c r="H106" s="345">
        <v>0.44980041494411965</v>
      </c>
      <c r="I106" s="345">
        <v>0.42546308652797421</v>
      </c>
      <c r="J106" s="345">
        <v>0.40824374375112527</v>
      </c>
      <c r="K106" s="345">
        <v>0.3926269673271206</v>
      </c>
      <c r="L106" s="380">
        <v>0.37098579239194629</v>
      </c>
      <c r="M106" s="296">
        <f t="shared" si="79"/>
        <v>0.23265284748768852</v>
      </c>
      <c r="N106" s="298">
        <f t="shared" si="80"/>
        <v>0.18083760970471494</v>
      </c>
      <c r="O106" s="344">
        <v>0</v>
      </c>
      <c r="P106" s="345">
        <v>7.2701345311747462E-2</v>
      </c>
      <c r="Q106" s="345">
        <v>0.27389424110246408</v>
      </c>
      <c r="R106" s="345">
        <v>0.38877975608820986</v>
      </c>
      <c r="S106" s="345">
        <v>0.4314526282574378</v>
      </c>
      <c r="T106" s="345">
        <v>0.44559129379812251</v>
      </c>
      <c r="U106" s="345">
        <v>0.43009227640673925</v>
      </c>
      <c r="V106" s="345">
        <v>0.41192379285477915</v>
      </c>
      <c r="W106" s="345">
        <v>0.3926269673271206</v>
      </c>
      <c r="X106" s="345">
        <v>0.37839308090744939</v>
      </c>
      <c r="Y106" s="380">
        <v>0.36271383404450952</v>
      </c>
      <c r="Z106" s="296">
        <f t="shared" si="81"/>
        <v>0.1420743690026017</v>
      </c>
      <c r="AA106" s="298">
        <f t="shared" si="82"/>
        <v>0.12000361514022953</v>
      </c>
      <c r="AB106" s="948">
        <f t="array" ref="AB106">IF(AND($AD$71=TRUE,SUM(B106:L106)&gt;0),SUMPRODUCT((((TRANSPOSE(Cls2CentDailyRng)&lt;INDEX(CDRANGE_CLS2,$A106-$A$76+1,AD$72))*TRANSPOSE(Cls2CentDailyRng)+(TRANSPOSE(Cls2CentDailyRng)&gt;INDEX(CDRANGE_CLS2,$A106-$A$76+1,AD$72))*INDEX(CDRANGE_CLS2,$A106-$A$76+1,AD$72))/TRANSPOSE(Cls2CentDailyRng)),B106:L106,TRANSPOSE(Cls2CentVMTShr))/SUMPRODUCT(B106:L106,TRANSPOSE(Cls2CentVMTShr)),0)</f>
        <v>0</v>
      </c>
      <c r="AC106" s="949">
        <f t="array" ref="AC106">IF(AND($AD$72=TRUE,SUM(O106:Y106)&gt;0),SUMPRODUCT((((TRANSPOSE(Cls2NCentDailyRng)&lt;INDEX(CDRANGE_CLS2,$A106-$A$76+1,AD$74))*TRANSPOSE(Cls2NCentDailyRng)+(TRANSPOSE(Cls2NCentDailyRng)&gt;INDEX(CDRANGE_CLS2,$A106-$A$76+1,AD$74))*INDEX(CDRANGE_CLS2,$A106-$A$76+1,AD$74))/TRANSPOSE(Cls2NCentDailyRng)),O106:Y106,TRANSPOSE(Cls2NCentVMTShr))/SUMPRODUCT(O106:Y106,TRANSPOSE(Cls2NCentVMTShr)),0)</f>
        <v>0</v>
      </c>
      <c r="AD106" s="1226">
        <f t="shared" si="88"/>
        <v>0</v>
      </c>
      <c r="AE106" s="937">
        <f t="shared" si="85"/>
        <v>0.23265284748768852</v>
      </c>
      <c r="AF106" s="937">
        <f t="shared" si="86"/>
        <v>0.1420743690026017</v>
      </c>
      <c r="AG106" s="937">
        <f t="shared" si="87"/>
        <v>0.37472721649029023</v>
      </c>
      <c r="AH106" s="1172">
        <f t="shared" si="83"/>
        <v>0.62085922038629648</v>
      </c>
      <c r="AI106" s="937">
        <f t="shared" si="84"/>
        <v>0.37914077961370352</v>
      </c>
      <c r="AK106" s="1171"/>
      <c r="AL106" s="1171"/>
    </row>
    <row r="107" spans="1:38" x14ac:dyDescent="0.2">
      <c r="A107" s="330">
        <v>2038</v>
      </c>
      <c r="B107" s="344">
        <v>0</v>
      </c>
      <c r="C107" s="345">
        <v>4.0469784577963151E-2</v>
      </c>
      <c r="D107" s="345">
        <v>0.24185120004179458</v>
      </c>
      <c r="E107" s="345">
        <v>0.37292685497063183</v>
      </c>
      <c r="F107" s="345">
        <v>0.43245038263791441</v>
      </c>
      <c r="G107" s="345">
        <v>0.44728177450502415</v>
      </c>
      <c r="H107" s="345">
        <v>0.43737896543361193</v>
      </c>
      <c r="I107" s="345">
        <v>0.41187132060264714</v>
      </c>
      <c r="J107" s="345">
        <v>0.39357480458425054</v>
      </c>
      <c r="K107" s="345">
        <v>0.3829766714385916</v>
      </c>
      <c r="L107" s="380">
        <v>0.36667298423439698</v>
      </c>
      <c r="M107" s="296">
        <f t="shared" si="79"/>
        <v>0.22874624635357158</v>
      </c>
      <c r="N107" s="298">
        <f t="shared" si="80"/>
        <v>0.17830338519020408</v>
      </c>
      <c r="O107" s="344">
        <v>0</v>
      </c>
      <c r="P107" s="345">
        <v>6.9158186709066358E-2</v>
      </c>
      <c r="Q107" s="345">
        <v>0.27389463244241874</v>
      </c>
      <c r="R107" s="345">
        <v>0.38878031157653087</v>
      </c>
      <c r="S107" s="345">
        <v>0.42856510982277557</v>
      </c>
      <c r="T107" s="345">
        <v>0.43471402882777982</v>
      </c>
      <c r="U107" s="345">
        <v>0.41780322533318581</v>
      </c>
      <c r="V107" s="345">
        <v>0.40236787137713381</v>
      </c>
      <c r="W107" s="345">
        <v>0.3829766714385916</v>
      </c>
      <c r="X107" s="345">
        <v>0.37377887318287201</v>
      </c>
      <c r="Y107" s="380">
        <v>0.35880259004282555</v>
      </c>
      <c r="Z107" s="296">
        <f t="shared" si="81"/>
        <v>0.14015938910006295</v>
      </c>
      <c r="AA107" s="298">
        <f t="shared" si="82"/>
        <v>0.11861121018019836</v>
      </c>
      <c r="AB107" s="948">
        <f t="array" ref="AB107">IF(AND($AD$71=TRUE,SUM(B107:L107)&gt;0),SUMPRODUCT((((TRANSPOSE(Cls2CentDailyRng)&lt;INDEX(CDRANGE_CLS2,$A107-$A$76+1,AD$72))*TRANSPOSE(Cls2CentDailyRng)+(TRANSPOSE(Cls2CentDailyRng)&gt;INDEX(CDRANGE_CLS2,$A107-$A$76+1,AD$72))*INDEX(CDRANGE_CLS2,$A107-$A$76+1,AD$72))/TRANSPOSE(Cls2CentDailyRng)),B107:L107,TRANSPOSE(Cls2CentVMTShr))/SUMPRODUCT(B107:L107,TRANSPOSE(Cls2CentVMTShr)),0)</f>
        <v>0</v>
      </c>
      <c r="AC107" s="949">
        <f t="array" ref="AC107">IF(AND($AD$72=TRUE,SUM(O107:Y107)&gt;0),SUMPRODUCT((((TRANSPOSE(Cls2NCentDailyRng)&lt;INDEX(CDRANGE_CLS2,$A107-$A$76+1,AD$74))*TRANSPOSE(Cls2NCentDailyRng)+(TRANSPOSE(Cls2NCentDailyRng)&gt;INDEX(CDRANGE_CLS2,$A107-$A$76+1,AD$74))*INDEX(CDRANGE_CLS2,$A107-$A$76+1,AD$74))/TRANSPOSE(Cls2NCentDailyRng)),O107:Y107,TRANSPOSE(Cls2NCentVMTShr))/SUMPRODUCT(O107:Y107,TRANSPOSE(Cls2NCentVMTShr)),0)</f>
        <v>0</v>
      </c>
      <c r="AD107" s="1226">
        <f t="shared" si="88"/>
        <v>0</v>
      </c>
      <c r="AE107" s="937">
        <f t="shared" si="85"/>
        <v>0.22874624635357158</v>
      </c>
      <c r="AF107" s="937">
        <f t="shared" si="86"/>
        <v>0.14015938910006295</v>
      </c>
      <c r="AG107" s="937">
        <f t="shared" si="87"/>
        <v>0.36890563545363453</v>
      </c>
      <c r="AH107" s="1172">
        <f t="shared" si="83"/>
        <v>0.62006709675846439</v>
      </c>
      <c r="AI107" s="937">
        <f t="shared" si="84"/>
        <v>0.37993290324153567</v>
      </c>
      <c r="AK107" s="1171"/>
      <c r="AL107" s="1171"/>
    </row>
    <row r="108" spans="1:38" x14ac:dyDescent="0.2">
      <c r="A108" s="330">
        <v>2039</v>
      </c>
      <c r="B108" s="344">
        <v>0</v>
      </c>
      <c r="C108" s="345">
        <v>4.7778625334233327E-2</v>
      </c>
      <c r="D108" s="345">
        <v>0.24185132716513097</v>
      </c>
      <c r="E108" s="345">
        <v>0.37292705099077161</v>
      </c>
      <c r="F108" s="345">
        <v>0.43037750171762773</v>
      </c>
      <c r="G108" s="345">
        <v>0.43489974305873852</v>
      </c>
      <c r="H108" s="345">
        <v>0.41775920144082118</v>
      </c>
      <c r="I108" s="345">
        <v>0.39747501577065419</v>
      </c>
      <c r="J108" s="345">
        <v>0.3838374152808825</v>
      </c>
      <c r="K108" s="345">
        <v>0.3737015041845369</v>
      </c>
      <c r="L108" s="380">
        <v>0.35871843231944955</v>
      </c>
      <c r="M108" s="296">
        <f t="shared" si="79"/>
        <v>0.22451110977363167</v>
      </c>
      <c r="N108" s="298">
        <f t="shared" si="80"/>
        <v>0.17633006694405026</v>
      </c>
      <c r="O108" s="344">
        <v>0</v>
      </c>
      <c r="P108" s="345">
        <v>6.9158223060423879E-2</v>
      </c>
      <c r="Q108" s="345">
        <v>0.27389477640862392</v>
      </c>
      <c r="R108" s="345">
        <v>0.38836814334081071</v>
      </c>
      <c r="S108" s="345">
        <v>0.41961622433081036</v>
      </c>
      <c r="T108" s="345">
        <v>0.41690233372810498</v>
      </c>
      <c r="U108" s="345">
        <v>0.40424658147825565</v>
      </c>
      <c r="V108" s="345">
        <v>0.39348363694735655</v>
      </c>
      <c r="W108" s="345">
        <v>0.37366005302818395</v>
      </c>
      <c r="X108" s="345">
        <v>0.36502790947345104</v>
      </c>
      <c r="Y108" s="380">
        <v>0.35505943236304655</v>
      </c>
      <c r="Z108" s="296">
        <f t="shared" si="81"/>
        <v>0.13733603536650729</v>
      </c>
      <c r="AA108" s="298">
        <f t="shared" si="82"/>
        <v>0.11666924125183505</v>
      </c>
      <c r="AB108" s="948">
        <f t="array" ref="AB108">IF(AND($AD$71=TRUE,SUM(B108:L108)&gt;0),SUMPRODUCT((((TRANSPOSE(Cls2CentDailyRng)&lt;INDEX(CDRANGE_CLS2,$A108-$A$76+1,AD$72))*TRANSPOSE(Cls2CentDailyRng)+(TRANSPOSE(Cls2CentDailyRng)&gt;INDEX(CDRANGE_CLS2,$A108-$A$76+1,AD$72))*INDEX(CDRANGE_CLS2,$A108-$A$76+1,AD$72))/TRANSPOSE(Cls2CentDailyRng)),B108:L108,TRANSPOSE(Cls2CentVMTShr))/SUMPRODUCT(B108:L108,TRANSPOSE(Cls2CentVMTShr)),0)</f>
        <v>0</v>
      </c>
      <c r="AC108" s="949">
        <f t="array" ref="AC108">IF(AND($AD$72=TRUE,SUM(O108:Y108)&gt;0),SUMPRODUCT((((TRANSPOSE(Cls2NCentDailyRng)&lt;INDEX(CDRANGE_CLS2,$A108-$A$76+1,AD$74))*TRANSPOSE(Cls2NCentDailyRng)+(TRANSPOSE(Cls2NCentDailyRng)&gt;INDEX(CDRANGE_CLS2,$A108-$A$76+1,AD$74))*INDEX(CDRANGE_CLS2,$A108-$A$76+1,AD$74))/TRANSPOSE(Cls2NCentDailyRng)),O108:Y108,TRANSPOSE(Cls2NCentVMTShr))/SUMPRODUCT(O108:Y108,TRANSPOSE(Cls2NCentVMTShr)),0)</f>
        <v>0</v>
      </c>
      <c r="AD108" s="1226">
        <f t="shared" si="88"/>
        <v>0</v>
      </c>
      <c r="AE108" s="937">
        <f t="shared" si="85"/>
        <v>0.22451110977363167</v>
      </c>
      <c r="AF108" s="937">
        <f t="shared" si="86"/>
        <v>0.13733603536650729</v>
      </c>
      <c r="AG108" s="937">
        <f t="shared" si="87"/>
        <v>0.36184714514013894</v>
      </c>
      <c r="AH108" s="1172">
        <f t="shared" si="83"/>
        <v>0.62045842502552084</v>
      </c>
      <c r="AI108" s="937">
        <f t="shared" si="84"/>
        <v>0.37954157497447916</v>
      </c>
      <c r="AK108" s="1171"/>
      <c r="AL108" s="1171"/>
    </row>
    <row r="109" spans="1:38" ht="15" thickBot="1" x14ac:dyDescent="0.25">
      <c r="A109" s="328">
        <v>2040</v>
      </c>
      <c r="B109" s="346">
        <v>0</v>
      </c>
      <c r="C109" s="347">
        <v>4.7778634573048706E-2</v>
      </c>
      <c r="D109" s="347">
        <v>0.24185137393122658</v>
      </c>
      <c r="E109" s="347">
        <v>0.37282815218266119</v>
      </c>
      <c r="F109" s="347">
        <v>0.4235716037322777</v>
      </c>
      <c r="G109" s="347">
        <v>0.42063982589120874</v>
      </c>
      <c r="H109" s="347">
        <v>0.40215671438832096</v>
      </c>
      <c r="I109" s="347">
        <v>0.38073133005976134</v>
      </c>
      <c r="J109" s="347">
        <v>0.36037470039905423</v>
      </c>
      <c r="K109" s="347">
        <v>0.34928354324238564</v>
      </c>
      <c r="L109" s="381">
        <v>0.32188453576557169</v>
      </c>
      <c r="M109" s="310">
        <f t="shared" si="79"/>
        <v>0.21786031648861284</v>
      </c>
      <c r="N109" s="312">
        <f t="shared" si="80"/>
        <v>0.17259368742336773</v>
      </c>
      <c r="O109" s="346">
        <v>0</v>
      </c>
      <c r="P109" s="347">
        <v>6.9158236433350562E-2</v>
      </c>
      <c r="Q109" s="347">
        <v>0.27389384754806334</v>
      </c>
      <c r="R109" s="347">
        <v>0.38601724795375419</v>
      </c>
      <c r="S109" s="347">
        <v>0.40754968852467244</v>
      </c>
      <c r="T109" s="347">
        <v>0.39959104213345298</v>
      </c>
      <c r="U109" s="347">
        <v>0.38978322179954716</v>
      </c>
      <c r="V109" s="347">
        <v>0.38358889095710091</v>
      </c>
      <c r="W109" s="347">
        <v>0.36903815328446615</v>
      </c>
      <c r="X109" s="347">
        <v>0.36076258810698369</v>
      </c>
      <c r="Y109" s="381">
        <v>0.35150220152216388</v>
      </c>
      <c r="Z109" s="310">
        <f t="shared" si="81"/>
        <v>0.13416148526459309</v>
      </c>
      <c r="AA109" s="312">
        <f t="shared" si="82"/>
        <v>0.11437147185638959</v>
      </c>
      <c r="AB109" s="948">
        <f t="array" ref="AB109">IF(AND($AD$71=TRUE,SUM(B109:L109)&gt;0),SUMPRODUCT((((TRANSPOSE(Cls2CentDailyRng)&lt;INDEX(CDRANGE_CLS2,$A109-$A$76+1,AD$72))*TRANSPOSE(Cls2CentDailyRng)+(TRANSPOSE(Cls2CentDailyRng)&gt;INDEX(CDRANGE_CLS2,$A109-$A$76+1,AD$72))*INDEX(CDRANGE_CLS2,$A109-$A$76+1,AD$72))/TRANSPOSE(Cls2CentDailyRng)),B109:L109,TRANSPOSE(Cls2CentVMTShr))/SUMPRODUCT(B109:L109,TRANSPOSE(Cls2CentVMTShr)),0)</f>
        <v>0</v>
      </c>
      <c r="AC109" s="949">
        <f t="array" ref="AC109">IF(AND($AD$72=TRUE,SUM(O109:Y109)&gt;0),SUMPRODUCT((((TRANSPOSE(Cls2NCentDailyRng)&lt;INDEX(CDRANGE_CLS2,$A109-$A$76+1,AD$74))*TRANSPOSE(Cls2NCentDailyRng)+(TRANSPOSE(Cls2NCentDailyRng)&gt;INDEX(CDRANGE_CLS2,$A109-$A$76+1,AD$74))*INDEX(CDRANGE_CLS2,$A109-$A$76+1,AD$74))/TRANSPOSE(Cls2NCentDailyRng)),O109:Y109,TRANSPOSE(Cls2NCentVMTShr))/SUMPRODUCT(O109:Y109,TRANSPOSE(Cls2NCentVMTShr)),0)</f>
        <v>0</v>
      </c>
      <c r="AD109" s="1226">
        <f t="shared" si="88"/>
        <v>0</v>
      </c>
      <c r="AE109" s="937">
        <f t="shared" si="85"/>
        <v>0.21786031648861284</v>
      </c>
      <c r="AF109" s="937">
        <f t="shared" si="86"/>
        <v>0.13416148526459309</v>
      </c>
      <c r="AG109" s="937">
        <f t="shared" si="87"/>
        <v>0.35202180175320597</v>
      </c>
      <c r="AH109" s="1172">
        <f t="shared" si="83"/>
        <v>0.61888302202756607</v>
      </c>
      <c r="AI109" s="937">
        <f t="shared" si="84"/>
        <v>0.38111697797243393</v>
      </c>
      <c r="AK109" s="1171"/>
      <c r="AL109" s="1171"/>
    </row>
    <row r="110" spans="1:38" x14ac:dyDescent="0.2">
      <c r="A110" s="329">
        <v>2041</v>
      </c>
      <c r="B110" s="342">
        <v>0</v>
      </c>
      <c r="C110" s="343">
        <v>4.5253770226509615E-2</v>
      </c>
      <c r="D110" s="343">
        <v>0.24174771458391126</v>
      </c>
      <c r="E110" s="343">
        <v>0.36244945139771312</v>
      </c>
      <c r="F110" s="343">
        <v>0.37698097002436104</v>
      </c>
      <c r="G110" s="343">
        <v>0.35025758779253197</v>
      </c>
      <c r="H110" s="343">
        <v>0.32358571996543001</v>
      </c>
      <c r="I110" s="343">
        <v>0.30380824221641384</v>
      </c>
      <c r="J110" s="343">
        <v>0.29386276713311704</v>
      </c>
      <c r="K110" s="343">
        <v>0.28624176783193772</v>
      </c>
      <c r="L110" s="379">
        <v>0.27123440247601949</v>
      </c>
      <c r="M110" s="282">
        <f t="shared" si="79"/>
        <v>0.18947627371121215</v>
      </c>
      <c r="N110" s="284">
        <f t="shared" si="80"/>
        <v>0.15426361101151154</v>
      </c>
      <c r="O110" s="342">
        <v>0</v>
      </c>
      <c r="P110" s="343">
        <v>7.6451308466199713E-2</v>
      </c>
      <c r="Q110" s="343">
        <v>0.27355747550846676</v>
      </c>
      <c r="R110" s="343">
        <v>0.3738075516836612</v>
      </c>
      <c r="S110" s="343">
        <v>0.39800227079861383</v>
      </c>
      <c r="T110" s="343">
        <v>0.38047291455929627</v>
      </c>
      <c r="U110" s="343">
        <v>0.3823468238183993</v>
      </c>
      <c r="V110" s="343">
        <v>0.36934563788880631</v>
      </c>
      <c r="W110" s="343">
        <v>0.36043470103604247</v>
      </c>
      <c r="X110" s="343">
        <v>0.3549338234663626</v>
      </c>
      <c r="Y110" s="379">
        <v>0.34812786688629194</v>
      </c>
      <c r="Z110" s="282">
        <f t="shared" si="81"/>
        <v>0.13089894832567001</v>
      </c>
      <c r="AA110" s="284">
        <f t="shared" si="82"/>
        <v>0.11214209049008619</v>
      </c>
      <c r="AB110" s="948">
        <f t="array" ref="AB110">IF(AND($AD$71=TRUE,SUM(B110:L110)&gt;0),SUMPRODUCT((((TRANSPOSE(Cls2CentDailyRng)&lt;INDEX(CDRANGE_CLS2,$A110-$A$76+1,AD$72))*TRANSPOSE(Cls2CentDailyRng)+(TRANSPOSE(Cls2CentDailyRng)&gt;INDEX(CDRANGE_CLS2,$A110-$A$76+1,AD$72))*INDEX(CDRANGE_CLS2,$A110-$A$76+1,AD$72))/TRANSPOSE(Cls2CentDailyRng)),B110:L110,TRANSPOSE(Cls2CentVMTShr))/SUMPRODUCT(B110:L110,TRANSPOSE(Cls2CentVMTShr)),0)</f>
        <v>0</v>
      </c>
      <c r="AC110" s="949">
        <f t="array" ref="AC110">IF(AND($AD$72=TRUE,SUM(O110:Y110)&gt;0),SUMPRODUCT((((TRANSPOSE(Cls2NCentDailyRng)&lt;INDEX(CDRANGE_CLS2,$A110-$A$76+1,AD$74))*TRANSPOSE(Cls2NCentDailyRng)+(TRANSPOSE(Cls2NCentDailyRng)&gt;INDEX(CDRANGE_CLS2,$A110-$A$76+1,AD$74))*INDEX(CDRANGE_CLS2,$A110-$A$76+1,AD$74))/TRANSPOSE(Cls2NCentDailyRng)),O110:Y110,TRANSPOSE(Cls2NCentVMTShr))/SUMPRODUCT(O110:Y110,TRANSPOSE(Cls2NCentVMTShr)),0)</f>
        <v>0</v>
      </c>
      <c r="AD110" s="1226">
        <f t="shared" si="88"/>
        <v>0</v>
      </c>
      <c r="AE110" s="937">
        <f t="shared" si="85"/>
        <v>0.18947627371121215</v>
      </c>
      <c r="AF110" s="937">
        <f t="shared" si="86"/>
        <v>0.13089894832567001</v>
      </c>
      <c r="AG110" s="937">
        <f t="shared" si="87"/>
        <v>0.32037522203688218</v>
      </c>
      <c r="AH110" s="1172">
        <f t="shared" si="83"/>
        <v>0.59141987481603464</v>
      </c>
      <c r="AI110" s="937">
        <f t="shared" si="84"/>
        <v>0.4085801251839653</v>
      </c>
      <c r="AK110" s="1171"/>
      <c r="AL110" s="1171"/>
    </row>
    <row r="111" spans="1:38" x14ac:dyDescent="0.2">
      <c r="A111" s="330">
        <v>2042</v>
      </c>
      <c r="B111" s="344">
        <v>0</v>
      </c>
      <c r="C111" s="345">
        <v>5.0440151717087066E-2</v>
      </c>
      <c r="D111" s="345">
        <v>0.23590599282925503</v>
      </c>
      <c r="E111" s="345">
        <v>0.2889942873081115</v>
      </c>
      <c r="F111" s="345">
        <v>0.29367234640707396</v>
      </c>
      <c r="G111" s="345">
        <v>0.28512515269188898</v>
      </c>
      <c r="H111" s="345">
        <v>0.27663983589507218</v>
      </c>
      <c r="I111" s="345">
        <v>0.27552013693743921</v>
      </c>
      <c r="J111" s="345">
        <v>0.27205302211199767</v>
      </c>
      <c r="K111" s="345">
        <v>0.26456665034668486</v>
      </c>
      <c r="L111" s="380">
        <v>0.25939951459947869</v>
      </c>
      <c r="M111" s="296">
        <f t="shared" si="79"/>
        <v>0.16069912209050843</v>
      </c>
      <c r="N111" s="298">
        <f t="shared" si="80"/>
        <v>0.13114988158089824</v>
      </c>
      <c r="O111" s="344">
        <v>0</v>
      </c>
      <c r="P111" s="345">
        <v>7.6386598605050926E-2</v>
      </c>
      <c r="Q111" s="345">
        <v>0.28066624850536198</v>
      </c>
      <c r="R111" s="345">
        <v>0.3448994215516944</v>
      </c>
      <c r="S111" s="345">
        <v>0.36754713511953835</v>
      </c>
      <c r="T111" s="345">
        <v>0.36087918020524662</v>
      </c>
      <c r="U111" s="345">
        <v>0.36323208466593732</v>
      </c>
      <c r="V111" s="345">
        <v>0.36025242544651814</v>
      </c>
      <c r="W111" s="345">
        <v>0.35256280489390068</v>
      </c>
      <c r="X111" s="345">
        <v>0.35071976317304843</v>
      </c>
      <c r="Y111" s="380">
        <v>0.34491814813067651</v>
      </c>
      <c r="Z111" s="296">
        <f t="shared" si="81"/>
        <v>0.12425460147132629</v>
      </c>
      <c r="AA111" s="298">
        <f t="shared" si="82"/>
        <v>0.10677520226897122</v>
      </c>
      <c r="AB111" s="948">
        <f t="array" ref="AB111">IF(AND($AD$71=TRUE,SUM(B111:L111)&gt;0),SUMPRODUCT((((TRANSPOSE(Cls2CentDailyRng)&lt;INDEX(CDRANGE_CLS2,$A111-$A$76+1,AD$72))*TRANSPOSE(Cls2CentDailyRng)+(TRANSPOSE(Cls2CentDailyRng)&gt;INDEX(CDRANGE_CLS2,$A111-$A$76+1,AD$72))*INDEX(CDRANGE_CLS2,$A111-$A$76+1,AD$72))/TRANSPOSE(Cls2CentDailyRng)),B111:L111,TRANSPOSE(Cls2CentVMTShr))/SUMPRODUCT(B111:L111,TRANSPOSE(Cls2CentVMTShr)),0)</f>
        <v>0</v>
      </c>
      <c r="AC111" s="949">
        <f t="array" ref="AC111">IF(AND($AD$72=TRUE,SUM(O111:Y111)&gt;0),SUMPRODUCT((((TRANSPOSE(Cls2NCentDailyRng)&lt;INDEX(CDRANGE_CLS2,$A111-$A$76+1,AD$74))*TRANSPOSE(Cls2NCentDailyRng)+(TRANSPOSE(Cls2NCentDailyRng)&gt;INDEX(CDRANGE_CLS2,$A111-$A$76+1,AD$74))*INDEX(CDRANGE_CLS2,$A111-$A$76+1,AD$74))/TRANSPOSE(Cls2NCentDailyRng)),O111:Y111,TRANSPOSE(Cls2NCentVMTShr))/SUMPRODUCT(O111:Y111,TRANSPOSE(Cls2NCentVMTShr)),0)</f>
        <v>0</v>
      </c>
      <c r="AD111" s="1226">
        <f t="shared" si="88"/>
        <v>0</v>
      </c>
      <c r="AE111" s="937">
        <f t="shared" si="85"/>
        <v>0.16069912209050843</v>
      </c>
      <c r="AF111" s="937">
        <f t="shared" si="86"/>
        <v>0.12425460147132629</v>
      </c>
      <c r="AG111" s="937">
        <f t="shared" si="87"/>
        <v>0.28495372356183474</v>
      </c>
      <c r="AH111" s="1172">
        <f t="shared" si="83"/>
        <v>0.56394813895329521</v>
      </c>
      <c r="AI111" s="937">
        <f t="shared" si="84"/>
        <v>0.43605186104670479</v>
      </c>
      <c r="AK111" s="1171"/>
      <c r="AL111" s="1171"/>
    </row>
    <row r="112" spans="1:38" x14ac:dyDescent="0.2">
      <c r="A112" s="330">
        <v>2043</v>
      </c>
      <c r="B112" s="344">
        <v>0</v>
      </c>
      <c r="C112" s="345">
        <v>4.6781417302069216E-2</v>
      </c>
      <c r="D112" s="345">
        <v>0.19019862924351147</v>
      </c>
      <c r="E112" s="345">
        <v>0.23946815263968146</v>
      </c>
      <c r="F112" s="345">
        <v>0.25785159904617011</v>
      </c>
      <c r="G112" s="345">
        <v>0.26649338272392509</v>
      </c>
      <c r="H112" s="345">
        <v>0.26060940081873485</v>
      </c>
      <c r="I112" s="345">
        <v>0.26328915675187786</v>
      </c>
      <c r="J112" s="345">
        <v>0.2620385977497659</v>
      </c>
      <c r="K112" s="345">
        <v>0.25850624620545481</v>
      </c>
      <c r="L112" s="380">
        <v>0.25553387583646159</v>
      </c>
      <c r="M112" s="296">
        <f t="shared" si="79"/>
        <v>0.14507714219399251</v>
      </c>
      <c r="N112" s="298">
        <f t="shared" si="80"/>
        <v>0.11574332657368214</v>
      </c>
      <c r="O112" s="344">
        <v>0</v>
      </c>
      <c r="P112" s="345">
        <v>8.4622404416296274E-2</v>
      </c>
      <c r="Q112" s="345">
        <v>0.25037332207808599</v>
      </c>
      <c r="R112" s="345">
        <v>0.31190436194349247</v>
      </c>
      <c r="S112" s="345">
        <v>0.34341280650246264</v>
      </c>
      <c r="T112" s="345">
        <v>0.34660241565975142</v>
      </c>
      <c r="U112" s="345">
        <v>0.35398008487435184</v>
      </c>
      <c r="V112" s="345">
        <v>0.35174575734374219</v>
      </c>
      <c r="W112" s="345">
        <v>0.34552299073143694</v>
      </c>
      <c r="X112" s="345">
        <v>0.34425668658824793</v>
      </c>
      <c r="Y112" s="380">
        <v>0.34183634105286409</v>
      </c>
      <c r="Z112" s="296">
        <f t="shared" si="81"/>
        <v>0.11737054627078579</v>
      </c>
      <c r="AA112" s="298">
        <f t="shared" si="82"/>
        <v>0.10033959827718998</v>
      </c>
      <c r="AB112" s="948">
        <f t="array" ref="AB112">IF(AND($AD$71=TRUE,SUM(B112:L112)&gt;0),SUMPRODUCT((((TRANSPOSE(Cls2CentDailyRng)&lt;INDEX(CDRANGE_CLS2,$A112-$A$76+1,AD$72))*TRANSPOSE(Cls2CentDailyRng)+(TRANSPOSE(Cls2CentDailyRng)&gt;INDEX(CDRANGE_CLS2,$A112-$A$76+1,AD$72))*INDEX(CDRANGE_CLS2,$A112-$A$76+1,AD$72))/TRANSPOSE(Cls2CentDailyRng)),B112:L112,TRANSPOSE(Cls2CentVMTShr))/SUMPRODUCT(B112:L112,TRANSPOSE(Cls2CentVMTShr)),0)</f>
        <v>0</v>
      </c>
      <c r="AC112" s="949">
        <f t="array" ref="AC112">IF(AND($AD$72=TRUE,SUM(O112:Y112)&gt;0),SUMPRODUCT((((TRANSPOSE(Cls2NCentDailyRng)&lt;INDEX(CDRANGE_CLS2,$A112-$A$76+1,AD$74))*TRANSPOSE(Cls2NCentDailyRng)+(TRANSPOSE(Cls2NCentDailyRng)&gt;INDEX(CDRANGE_CLS2,$A112-$A$76+1,AD$74))*INDEX(CDRANGE_CLS2,$A112-$A$76+1,AD$74))/TRANSPOSE(Cls2NCentDailyRng)),O112:Y112,TRANSPOSE(Cls2NCentVMTShr))/SUMPRODUCT(O112:Y112,TRANSPOSE(Cls2NCentVMTShr)),0)</f>
        <v>0</v>
      </c>
      <c r="AD112" s="1226">
        <f t="shared" si="88"/>
        <v>0</v>
      </c>
      <c r="AE112" s="937">
        <f t="shared" si="85"/>
        <v>0.14507714219399251</v>
      </c>
      <c r="AF112" s="937">
        <f t="shared" si="86"/>
        <v>0.11737054627078579</v>
      </c>
      <c r="AG112" s="937">
        <f t="shared" si="87"/>
        <v>0.26244768846477828</v>
      </c>
      <c r="AH112" s="1172">
        <f t="shared" si="83"/>
        <v>0.55278498752509508</v>
      </c>
      <c r="AI112" s="937">
        <f t="shared" si="84"/>
        <v>0.44721501247490497</v>
      </c>
      <c r="AK112" s="1171"/>
      <c r="AL112" s="1171"/>
    </row>
    <row r="113" spans="1:39" x14ac:dyDescent="0.2">
      <c r="A113" s="330">
        <v>2044</v>
      </c>
      <c r="B113" s="344">
        <v>0</v>
      </c>
      <c r="C113" s="345">
        <v>3.3342393340012606E-2</v>
      </c>
      <c r="D113" s="345">
        <v>0.14409585917698112</v>
      </c>
      <c r="E113" s="345">
        <v>0.2144057658371615</v>
      </c>
      <c r="F113" s="345">
        <v>0.23799535766822053</v>
      </c>
      <c r="G113" s="345">
        <v>0.25158760933962154</v>
      </c>
      <c r="H113" s="345">
        <v>0.2531898065575291</v>
      </c>
      <c r="I113" s="345">
        <v>0.25796631706857598</v>
      </c>
      <c r="J113" s="345">
        <v>0.25702893338691835</v>
      </c>
      <c r="K113" s="345">
        <v>0.25551151709225384</v>
      </c>
      <c r="L113" s="380">
        <v>0.25403242409300852</v>
      </c>
      <c r="M113" s="296">
        <f t="shared" si="79"/>
        <v>0.13493677065549245</v>
      </c>
      <c r="N113" s="298">
        <f t="shared" si="80"/>
        <v>0.10441903179874656</v>
      </c>
      <c r="O113" s="344">
        <v>0</v>
      </c>
      <c r="P113" s="345">
        <v>6.5899394912579651E-2</v>
      </c>
      <c r="Q113" s="345">
        <v>0.20444016123402223</v>
      </c>
      <c r="R113" s="345">
        <v>0.30368886370518633</v>
      </c>
      <c r="S113" s="345">
        <v>0.32937192547324251</v>
      </c>
      <c r="T113" s="345">
        <v>0.34239357402033738</v>
      </c>
      <c r="U113" s="345">
        <v>0.34223200759429456</v>
      </c>
      <c r="V113" s="345">
        <v>0.34440616112756867</v>
      </c>
      <c r="W113" s="345">
        <v>0.34230310245542811</v>
      </c>
      <c r="X113" s="345">
        <v>0.34135911261289664</v>
      </c>
      <c r="Y113" s="380">
        <v>0.33928508926687106</v>
      </c>
      <c r="Z113" s="296">
        <f t="shared" si="81"/>
        <v>0.11209880918294875</v>
      </c>
      <c r="AA113" s="298">
        <f t="shared" si="82"/>
        <v>9.3950551222333797E-2</v>
      </c>
      <c r="AB113" s="948">
        <f t="array" ref="AB113">IF(AND($AD$71=TRUE,SUM(B113:L113)&gt;0),SUMPRODUCT((((TRANSPOSE(Cls2CentDailyRng)&lt;INDEX(CDRANGE_CLS2,$A113-$A$76+1,AD$72))*TRANSPOSE(Cls2CentDailyRng)+(TRANSPOSE(Cls2CentDailyRng)&gt;INDEX(CDRANGE_CLS2,$A113-$A$76+1,AD$72))*INDEX(CDRANGE_CLS2,$A113-$A$76+1,AD$72))/TRANSPOSE(Cls2CentDailyRng)),B113:L113,TRANSPOSE(Cls2CentVMTShr))/SUMPRODUCT(B113:L113,TRANSPOSE(Cls2CentVMTShr)),0)</f>
        <v>0</v>
      </c>
      <c r="AC113" s="949">
        <f t="array" ref="AC113">IF(AND($AD$72=TRUE,SUM(O113:Y113)&gt;0),SUMPRODUCT((((TRANSPOSE(Cls2NCentDailyRng)&lt;INDEX(CDRANGE_CLS2,$A113-$A$76+1,AD$74))*TRANSPOSE(Cls2NCentDailyRng)+(TRANSPOSE(Cls2NCentDailyRng)&gt;INDEX(CDRANGE_CLS2,$A113-$A$76+1,AD$74))*INDEX(CDRANGE_CLS2,$A113-$A$76+1,AD$74))/TRANSPOSE(Cls2NCentDailyRng)),O113:Y113,TRANSPOSE(Cls2NCentVMTShr))/SUMPRODUCT(O113:Y113,TRANSPOSE(Cls2NCentVMTShr)),0)</f>
        <v>0</v>
      </c>
      <c r="AD113" s="1226">
        <f t="shared" si="88"/>
        <v>0</v>
      </c>
      <c r="AE113" s="937">
        <f t="shared" si="85"/>
        <v>0.13493677065549245</v>
      </c>
      <c r="AF113" s="937">
        <f t="shared" si="86"/>
        <v>0.11209880918294875</v>
      </c>
      <c r="AG113" s="937">
        <f t="shared" si="87"/>
        <v>0.24703557983844121</v>
      </c>
      <c r="AH113" s="1172">
        <f t="shared" si="83"/>
        <v>0.5462240327637814</v>
      </c>
      <c r="AI113" s="937">
        <f t="shared" si="84"/>
        <v>0.45377596723621855</v>
      </c>
      <c r="AK113" s="1171"/>
      <c r="AL113" s="1171"/>
    </row>
    <row r="114" spans="1:39" ht="15" thickBot="1" x14ac:dyDescent="0.25">
      <c r="A114" s="328">
        <v>2045</v>
      </c>
      <c r="B114" s="346">
        <v>0</v>
      </c>
      <c r="C114" s="347">
        <v>5.0419652658307279E-2</v>
      </c>
      <c r="D114" s="347">
        <v>0.15535184612283193</v>
      </c>
      <c r="E114" s="347">
        <v>0.23086318524085572</v>
      </c>
      <c r="F114" s="347">
        <v>0.24195996196541292</v>
      </c>
      <c r="G114" s="347">
        <v>0.25339262161879089</v>
      </c>
      <c r="H114" s="347">
        <v>0.25757282242080953</v>
      </c>
      <c r="I114" s="347">
        <v>0.25621638985183176</v>
      </c>
      <c r="J114" s="347">
        <v>0.25570716001338167</v>
      </c>
      <c r="K114" s="347">
        <v>0.2543612405978547</v>
      </c>
      <c r="L114" s="381">
        <v>0.25295342700564311</v>
      </c>
      <c r="M114" s="310">
        <f t="shared" si="79"/>
        <v>0.13840515845354345</v>
      </c>
      <c r="N114" s="312">
        <f t="shared" si="80"/>
        <v>0.10916310329096204</v>
      </c>
      <c r="O114" s="346">
        <v>0</v>
      </c>
      <c r="P114" s="347">
        <v>6.3551379848537759E-2</v>
      </c>
      <c r="Q114" s="347">
        <v>0.16810859538105868</v>
      </c>
      <c r="R114" s="347">
        <v>0.28964951157265784</v>
      </c>
      <c r="S114" s="347">
        <v>0.31577903817132214</v>
      </c>
      <c r="T114" s="347">
        <v>0.33397849491013648</v>
      </c>
      <c r="U114" s="347">
        <v>0.33777099206089189</v>
      </c>
      <c r="V114" s="347">
        <v>0.34022024507454796</v>
      </c>
      <c r="W114" s="347">
        <v>0.33874804553193233</v>
      </c>
      <c r="X114" s="347">
        <v>0.33815051098956428</v>
      </c>
      <c r="Y114" s="381">
        <v>0.33645317737818609</v>
      </c>
      <c r="Z114" s="310">
        <f t="shared" si="81"/>
        <v>0.10753314906775338</v>
      </c>
      <c r="AA114" s="312">
        <f t="shared" si="82"/>
        <v>8.8982848711504733E-2</v>
      </c>
      <c r="AB114" s="948">
        <f t="array" ref="AB114">IF(AND($AD$71=TRUE,SUM(B114:L114)&gt;0),SUMPRODUCT((((TRANSPOSE(Cls2CentDailyRng)&lt;INDEX(CDRANGE_CLS2,$A114-$A$76+1,AD$72))*TRANSPOSE(Cls2CentDailyRng)+(TRANSPOSE(Cls2CentDailyRng)&gt;INDEX(CDRANGE_CLS2,$A114-$A$76+1,AD$72))*INDEX(CDRANGE_CLS2,$A114-$A$76+1,AD$72))/TRANSPOSE(Cls2CentDailyRng)),B114:L114,TRANSPOSE(Cls2CentVMTShr))/SUMPRODUCT(B114:L114,TRANSPOSE(Cls2CentVMTShr)),0)</f>
        <v>0</v>
      </c>
      <c r="AC114" s="949">
        <f t="array" ref="AC114">IF(AND($AD$72=TRUE,SUM(O114:Y114)&gt;0),SUMPRODUCT((((TRANSPOSE(Cls2NCentDailyRng)&lt;INDEX(CDRANGE_CLS2,$A114-$A$76+1,AD$74))*TRANSPOSE(Cls2NCentDailyRng)+(TRANSPOSE(Cls2NCentDailyRng)&gt;INDEX(CDRANGE_CLS2,$A114-$A$76+1,AD$74))*INDEX(CDRANGE_CLS2,$A114-$A$76+1,AD$74))/TRANSPOSE(Cls2NCentDailyRng)),O114:Y114,TRANSPOSE(Cls2NCentVMTShr))/SUMPRODUCT(O114:Y114,TRANSPOSE(Cls2NCentVMTShr)),0)</f>
        <v>0</v>
      </c>
      <c r="AD114" s="1226">
        <f t="shared" si="88"/>
        <v>0</v>
      </c>
      <c r="AE114" s="937">
        <f t="shared" si="85"/>
        <v>0.13840515845354345</v>
      </c>
      <c r="AF114" s="937">
        <f t="shared" si="86"/>
        <v>0.10753314906775338</v>
      </c>
      <c r="AG114" s="937">
        <f t="shared" si="87"/>
        <v>0.24593830752129683</v>
      </c>
      <c r="AH114" s="1172">
        <f t="shared" si="83"/>
        <v>0.56276372659659113</v>
      </c>
      <c r="AI114" s="937">
        <f t="shared" si="84"/>
        <v>0.43723627340340881</v>
      </c>
      <c r="AK114" s="1171"/>
      <c r="AL114" s="1171"/>
    </row>
    <row r="115" spans="1:39" x14ac:dyDescent="0.2">
      <c r="A115" s="329">
        <v>2046</v>
      </c>
      <c r="B115" s="342">
        <v>0</v>
      </c>
      <c r="C115" s="343">
        <v>5.178939831938021E-2</v>
      </c>
      <c r="D115" s="343">
        <v>0.15966496324306576</v>
      </c>
      <c r="E115" s="343">
        <v>0.23047040499438112</v>
      </c>
      <c r="F115" s="343">
        <v>0.24612548308721019</v>
      </c>
      <c r="G115" s="343">
        <v>0.25375409179941355</v>
      </c>
      <c r="H115" s="343">
        <v>0.2559056756919989</v>
      </c>
      <c r="I115" s="343">
        <v>0.25484851685348703</v>
      </c>
      <c r="J115" s="343">
        <v>0.25451136764542537</v>
      </c>
      <c r="K115" s="343">
        <v>0.25335083610799009</v>
      </c>
      <c r="L115" s="379">
        <v>0.25283816288414351</v>
      </c>
      <c r="M115" s="282">
        <f t="shared" si="79"/>
        <v>0.13893675409200157</v>
      </c>
      <c r="N115" s="284">
        <f t="shared" si="80"/>
        <v>0.10995858028813041</v>
      </c>
      <c r="O115" s="342">
        <v>0</v>
      </c>
      <c r="P115" s="343">
        <v>7.4517084507043779E-2</v>
      </c>
      <c r="Q115" s="343">
        <v>0.15146003713305597</v>
      </c>
      <c r="R115" s="343">
        <v>0.28011962782529465</v>
      </c>
      <c r="S115" s="343">
        <v>0.31034244875930977</v>
      </c>
      <c r="T115" s="343">
        <v>0.32911131603322208</v>
      </c>
      <c r="U115" s="343">
        <v>0.33316363982093677</v>
      </c>
      <c r="V115" s="343">
        <v>0.33589551307195503</v>
      </c>
      <c r="W115" s="343">
        <v>0.33509519595054377</v>
      </c>
      <c r="X115" s="343">
        <v>0.3365518143736988</v>
      </c>
      <c r="Y115" s="379">
        <v>0.33357737407941057</v>
      </c>
      <c r="Z115" s="282">
        <f t="shared" si="81"/>
        <v>0.10537325617017303</v>
      </c>
      <c r="AA115" s="284">
        <f t="shared" si="82"/>
        <v>8.7206663367899714E-2</v>
      </c>
      <c r="AB115" s="948">
        <f t="array" ref="AB115">IF(AND($AD$71=TRUE,SUM(B115:L115)&gt;0),SUMPRODUCT((((TRANSPOSE(Cls2CentDailyRng)&lt;INDEX(CDRANGE_CLS2,$A115-$A$76+1,AD$72))*TRANSPOSE(Cls2CentDailyRng)+(TRANSPOSE(Cls2CentDailyRng)&gt;INDEX(CDRANGE_CLS2,$A115-$A$76+1,AD$72))*INDEX(CDRANGE_CLS2,$A115-$A$76+1,AD$72))/TRANSPOSE(Cls2CentDailyRng)),B115:L115,TRANSPOSE(Cls2CentVMTShr))/SUMPRODUCT(B115:L115,TRANSPOSE(Cls2CentVMTShr)),0)</f>
        <v>0</v>
      </c>
      <c r="AC115" s="949">
        <f t="array" ref="AC115">IF(AND($AD$72=TRUE,SUM(O115:Y115)&gt;0),SUMPRODUCT((((TRANSPOSE(Cls2NCentDailyRng)&lt;INDEX(CDRANGE_CLS2,$A115-$A$76+1,AD$74))*TRANSPOSE(Cls2NCentDailyRng)+(TRANSPOSE(Cls2NCentDailyRng)&gt;INDEX(CDRANGE_CLS2,$A115-$A$76+1,AD$74))*INDEX(CDRANGE_CLS2,$A115-$A$76+1,AD$74))/TRANSPOSE(Cls2NCentDailyRng)),O115:Y115,TRANSPOSE(Cls2NCentVMTShr))/SUMPRODUCT(O115:Y115,TRANSPOSE(Cls2NCentVMTShr)),0)</f>
        <v>0</v>
      </c>
      <c r="AD115" s="1226">
        <f t="shared" si="88"/>
        <v>0</v>
      </c>
      <c r="AE115" s="937">
        <f t="shared" si="85"/>
        <v>0.13893675409200157</v>
      </c>
      <c r="AF115" s="937">
        <f t="shared" si="86"/>
        <v>0.10537325617017303</v>
      </c>
      <c r="AG115" s="937">
        <f t="shared" si="87"/>
        <v>0.24431001026217458</v>
      </c>
      <c r="AH115" s="1172">
        <f t="shared" si="83"/>
        <v>0.56869038621424228</v>
      </c>
      <c r="AI115" s="937">
        <f t="shared" si="84"/>
        <v>0.43130961378575772</v>
      </c>
      <c r="AK115" s="1171"/>
      <c r="AL115" s="1171"/>
    </row>
    <row r="116" spans="1:39" x14ac:dyDescent="0.2">
      <c r="A116" s="330">
        <v>2047</v>
      </c>
      <c r="B116" s="344">
        <v>0</v>
      </c>
      <c r="C116" s="345">
        <v>5.7351457951815371E-2</v>
      </c>
      <c r="D116" s="345">
        <v>0.16004153088431619</v>
      </c>
      <c r="E116" s="345">
        <v>0.23287436684755425</v>
      </c>
      <c r="F116" s="345">
        <v>0.24988229537134671</v>
      </c>
      <c r="G116" s="345">
        <v>0.25344273678126689</v>
      </c>
      <c r="H116" s="345">
        <v>0.25498109297787624</v>
      </c>
      <c r="I116" s="345">
        <v>0.2549843800309794</v>
      </c>
      <c r="J116" s="345">
        <v>0.25464701727662092</v>
      </c>
      <c r="K116" s="345">
        <v>0.25348544451457267</v>
      </c>
      <c r="L116" s="380">
        <v>0.25219645697764265</v>
      </c>
      <c r="M116" s="296">
        <f t="shared" si="79"/>
        <v>0.13972589524123563</v>
      </c>
      <c r="N116" s="298">
        <f t="shared" si="80"/>
        <v>0.11106144244175431</v>
      </c>
      <c r="O116" s="344">
        <v>0</v>
      </c>
      <c r="P116" s="345">
        <v>7.2647197176512135E-2</v>
      </c>
      <c r="Q116" s="345">
        <v>0.15357193582232626</v>
      </c>
      <c r="R116" s="345">
        <v>0.27415337252098015</v>
      </c>
      <c r="S116" s="345">
        <v>0.30132976723608462</v>
      </c>
      <c r="T116" s="345">
        <v>0.32398513627299008</v>
      </c>
      <c r="U116" s="345">
        <v>0.32830767950205869</v>
      </c>
      <c r="V116" s="345">
        <v>0.33134269419032863</v>
      </c>
      <c r="W116" s="345">
        <v>0.33291886138087656</v>
      </c>
      <c r="X116" s="345">
        <v>0.33270849024665811</v>
      </c>
      <c r="Y116" s="380">
        <v>0.33143232681330498</v>
      </c>
      <c r="Z116" s="296">
        <f t="shared" si="81"/>
        <v>0.10354026601686465</v>
      </c>
      <c r="AA116" s="298">
        <f t="shared" si="82"/>
        <v>8.5695951997957528E-2</v>
      </c>
      <c r="AB116" s="948">
        <f t="array" ref="AB116">IF(AND($AD$71=TRUE,SUM(B116:L116)&gt;0),SUMPRODUCT((((TRANSPOSE(Cls2CentDailyRng)&lt;INDEX(CDRANGE_CLS2,$A116-$A$76+1,AD$72))*TRANSPOSE(Cls2CentDailyRng)+(TRANSPOSE(Cls2CentDailyRng)&gt;INDEX(CDRANGE_CLS2,$A116-$A$76+1,AD$72))*INDEX(CDRANGE_CLS2,$A116-$A$76+1,AD$72))/TRANSPOSE(Cls2CentDailyRng)),B116:L116,TRANSPOSE(Cls2CentVMTShr))/SUMPRODUCT(B116:L116,TRANSPOSE(Cls2CentVMTShr)),0)</f>
        <v>0</v>
      </c>
      <c r="AC116" s="949">
        <f t="array" ref="AC116">IF(AND($AD$72=TRUE,SUM(O116:Y116)&gt;0),SUMPRODUCT((((TRANSPOSE(Cls2NCentDailyRng)&lt;INDEX(CDRANGE_CLS2,$A116-$A$76+1,AD$74))*TRANSPOSE(Cls2NCentDailyRng)+(TRANSPOSE(Cls2NCentDailyRng)&gt;INDEX(CDRANGE_CLS2,$A116-$A$76+1,AD$74))*INDEX(CDRANGE_CLS2,$A116-$A$76+1,AD$74))/TRANSPOSE(Cls2NCentDailyRng)),O116:Y116,TRANSPOSE(Cls2NCentVMTShr))/SUMPRODUCT(O116:Y116,TRANSPOSE(Cls2NCentVMTShr)),0)</f>
        <v>0</v>
      </c>
      <c r="AD116" s="1226">
        <f t="shared" si="88"/>
        <v>0</v>
      </c>
      <c r="AE116" s="937">
        <f t="shared" si="85"/>
        <v>0.13972589524123563</v>
      </c>
      <c r="AF116" s="937">
        <f t="shared" si="86"/>
        <v>0.10354026601686465</v>
      </c>
      <c r="AG116" s="937">
        <f t="shared" si="87"/>
        <v>0.2432661612581003</v>
      </c>
      <c r="AH116" s="1172">
        <f t="shared" si="83"/>
        <v>0.57437456372318629</v>
      </c>
      <c r="AI116" s="937">
        <f t="shared" si="84"/>
        <v>0.42562543627681371</v>
      </c>
      <c r="AK116" s="1171"/>
      <c r="AL116" s="1171"/>
    </row>
    <row r="117" spans="1:39" x14ac:dyDescent="0.2">
      <c r="A117" s="330">
        <v>2048</v>
      </c>
      <c r="B117" s="344">
        <v>0</v>
      </c>
      <c r="C117" s="345">
        <v>5.9900084822429416E-2</v>
      </c>
      <c r="D117" s="345">
        <v>0.1598604887614207</v>
      </c>
      <c r="E117" s="345">
        <v>0.23335469662008732</v>
      </c>
      <c r="F117" s="345">
        <v>0.24938854986391518</v>
      </c>
      <c r="G117" s="345">
        <v>0.25234135675349006</v>
      </c>
      <c r="H117" s="345">
        <v>0.25357965712846087</v>
      </c>
      <c r="I117" s="345">
        <v>0.25375596072361761</v>
      </c>
      <c r="J117" s="345">
        <v>0.25360561879030102</v>
      </c>
      <c r="K117" s="345">
        <v>0.2526459345435233</v>
      </c>
      <c r="L117" s="380">
        <v>0.2523155533572608</v>
      </c>
      <c r="M117" s="296">
        <f t="shared" si="79"/>
        <v>0.13946094146459007</v>
      </c>
      <c r="N117" s="298">
        <f t="shared" si="80"/>
        <v>0.11107670994500302</v>
      </c>
      <c r="O117" s="344">
        <v>0</v>
      </c>
      <c r="P117" s="345">
        <v>7.3882131284872171E-2</v>
      </c>
      <c r="Q117" s="345">
        <v>0.15658255202585067</v>
      </c>
      <c r="R117" s="345">
        <v>0.26931122310026623</v>
      </c>
      <c r="S117" s="345">
        <v>0.29991907418854324</v>
      </c>
      <c r="T117" s="345">
        <v>0.32258037878410895</v>
      </c>
      <c r="U117" s="345">
        <v>0.3269086455816993</v>
      </c>
      <c r="V117" s="345">
        <v>0.32995030241249534</v>
      </c>
      <c r="W117" s="345">
        <v>0.3298879216181676</v>
      </c>
      <c r="X117" s="345">
        <v>0.33133331568344948</v>
      </c>
      <c r="Y117" s="380">
        <v>0.33006666094567466</v>
      </c>
      <c r="Z117" s="296">
        <f t="shared" si="81"/>
        <v>0.10302396347802421</v>
      </c>
      <c r="AA117" s="298">
        <f t="shared" si="82"/>
        <v>8.5388172851265556E-2</v>
      </c>
      <c r="AB117" s="948">
        <f t="array" ref="AB117">IF(AND($AD$71=TRUE,SUM(B117:L117)&gt;0),SUMPRODUCT((((TRANSPOSE(Cls2CentDailyRng)&lt;INDEX(CDRANGE_CLS2,$A117-$A$76+1,AD$72))*TRANSPOSE(Cls2CentDailyRng)+(TRANSPOSE(Cls2CentDailyRng)&gt;INDEX(CDRANGE_CLS2,$A117-$A$76+1,AD$72))*INDEX(CDRANGE_CLS2,$A117-$A$76+1,AD$72))/TRANSPOSE(Cls2CentDailyRng)),B117:L117,TRANSPOSE(Cls2CentVMTShr))/SUMPRODUCT(B117:L117,TRANSPOSE(Cls2CentVMTShr)),0)</f>
        <v>0</v>
      </c>
      <c r="AC117" s="949">
        <f t="array" ref="AC117">IF(AND($AD$72=TRUE,SUM(O117:Y117)&gt;0),SUMPRODUCT((((TRANSPOSE(Cls2NCentDailyRng)&lt;INDEX(CDRANGE_CLS2,$A117-$A$76+1,AD$74))*TRANSPOSE(Cls2NCentDailyRng)+(TRANSPOSE(Cls2NCentDailyRng)&gt;INDEX(CDRANGE_CLS2,$A117-$A$76+1,AD$74))*INDEX(CDRANGE_CLS2,$A117-$A$76+1,AD$74))/TRANSPOSE(Cls2NCentDailyRng)),O117:Y117,TRANSPOSE(Cls2NCentVMTShr))/SUMPRODUCT(O117:Y117,TRANSPOSE(Cls2NCentVMTShr)),0)</f>
        <v>0</v>
      </c>
      <c r="AD117" s="1226">
        <f t="shared" si="88"/>
        <v>0</v>
      </c>
      <c r="AE117" s="937">
        <f t="shared" si="85"/>
        <v>0.13946094146459007</v>
      </c>
      <c r="AF117" s="937">
        <f t="shared" si="86"/>
        <v>0.10302396347802421</v>
      </c>
      <c r="AG117" s="937">
        <f t="shared" si="87"/>
        <v>0.24248490494261427</v>
      </c>
      <c r="AH117" s="1172">
        <f t="shared" si="83"/>
        <v>0.57513246648320016</v>
      </c>
      <c r="AI117" s="937">
        <f t="shared" si="84"/>
        <v>0.42486753351679996</v>
      </c>
      <c r="AK117" s="1171"/>
      <c r="AL117" s="1171"/>
    </row>
    <row r="118" spans="1:39" x14ac:dyDescent="0.2">
      <c r="A118" s="330">
        <v>2049</v>
      </c>
      <c r="B118" s="344">
        <v>0</v>
      </c>
      <c r="C118" s="345">
        <v>6.1361027843889838E-2</v>
      </c>
      <c r="D118" s="345">
        <v>0.16086943112535765</v>
      </c>
      <c r="E118" s="345">
        <v>0.23545515992557814</v>
      </c>
      <c r="F118" s="345">
        <v>0.2481175413247993</v>
      </c>
      <c r="G118" s="345">
        <v>0.25076204292879695</v>
      </c>
      <c r="H118" s="345">
        <v>0.25368532996102694</v>
      </c>
      <c r="I118" s="345">
        <v>0.25386179455895208</v>
      </c>
      <c r="J118" s="345">
        <v>0.25371134227613612</v>
      </c>
      <c r="K118" s="345">
        <v>0.25315909486466942</v>
      </c>
      <c r="L118" s="380">
        <v>0.25242023676372549</v>
      </c>
      <c r="M118" s="296">
        <f t="shared" si="79"/>
        <v>0.13951385712436776</v>
      </c>
      <c r="N118" s="298">
        <f t="shared" si="80"/>
        <v>0.1112960098178095</v>
      </c>
      <c r="O118" s="344">
        <v>0</v>
      </c>
      <c r="P118" s="345">
        <v>7.8089521736632153E-2</v>
      </c>
      <c r="Q118" s="345">
        <v>0.15293025950542596</v>
      </c>
      <c r="R118" s="345">
        <v>0.26295028893748768</v>
      </c>
      <c r="S118" s="345">
        <v>0.29373598448688787</v>
      </c>
      <c r="T118" s="345">
        <v>0.31675914212459194</v>
      </c>
      <c r="U118" s="345">
        <v>0.32137278866561075</v>
      </c>
      <c r="V118" s="345">
        <v>0.32473412670539442</v>
      </c>
      <c r="W118" s="345">
        <v>0.32667374473766736</v>
      </c>
      <c r="X118" s="345">
        <v>0.32686886671457421</v>
      </c>
      <c r="Y118" s="380">
        <v>0.32686886671457421</v>
      </c>
      <c r="Z118" s="296">
        <f t="shared" si="81"/>
        <v>0.101234966434228</v>
      </c>
      <c r="AA118" s="298">
        <f t="shared" si="82"/>
        <v>8.4055473859787844E-2</v>
      </c>
      <c r="AB118" s="948">
        <f t="array" ref="AB118">IF(AND($AD$71=TRUE,SUM(B118:L118)&gt;0),SUMPRODUCT((((TRANSPOSE(Cls2CentDailyRng)&lt;INDEX(CDRANGE_CLS2,$A118-$A$76+1,AD$72))*TRANSPOSE(Cls2CentDailyRng)+(TRANSPOSE(Cls2CentDailyRng)&gt;INDEX(CDRANGE_CLS2,$A118-$A$76+1,AD$72))*INDEX(CDRANGE_CLS2,$A118-$A$76+1,AD$72))/TRANSPOSE(Cls2CentDailyRng)),B118:L118,TRANSPOSE(Cls2CentVMTShr))/SUMPRODUCT(B118:L118,TRANSPOSE(Cls2CentVMTShr)),0)</f>
        <v>0</v>
      </c>
      <c r="AC118" s="949">
        <f t="array" ref="AC118">IF(AND($AD$72=TRUE,SUM(O118:Y118)&gt;0),SUMPRODUCT((((TRANSPOSE(Cls2NCentDailyRng)&lt;INDEX(CDRANGE_CLS2,$A118-$A$76+1,AD$74))*TRANSPOSE(Cls2NCentDailyRng)+(TRANSPOSE(Cls2NCentDailyRng)&gt;INDEX(CDRANGE_CLS2,$A118-$A$76+1,AD$74))*INDEX(CDRANGE_CLS2,$A118-$A$76+1,AD$74))/TRANSPOSE(Cls2NCentDailyRng)),O118:Y118,TRANSPOSE(Cls2NCentVMTShr))/SUMPRODUCT(O118:Y118,TRANSPOSE(Cls2NCentVMTShr)),0)</f>
        <v>0</v>
      </c>
      <c r="AD118" s="1226">
        <f t="shared" si="88"/>
        <v>0</v>
      </c>
      <c r="AE118" s="937">
        <f t="shared" si="85"/>
        <v>0.13951385712436776</v>
      </c>
      <c r="AF118" s="937">
        <f t="shared" si="86"/>
        <v>0.101234966434228</v>
      </c>
      <c r="AG118" s="937">
        <f t="shared" si="87"/>
        <v>0.24074882355859575</v>
      </c>
      <c r="AH118" s="1172">
        <f t="shared" si="83"/>
        <v>0.57949964225022077</v>
      </c>
      <c r="AI118" s="937">
        <f t="shared" si="84"/>
        <v>0.42050035774977923</v>
      </c>
      <c r="AK118" s="1171"/>
      <c r="AL118" s="1171"/>
    </row>
    <row r="119" spans="1:39" ht="15" thickBot="1" x14ac:dyDescent="0.25">
      <c r="A119" s="328">
        <v>2050</v>
      </c>
      <c r="B119" s="346">
        <v>0</v>
      </c>
      <c r="C119" s="347">
        <v>6.2562299192731916E-2</v>
      </c>
      <c r="D119" s="347">
        <v>0.16175006370216932</v>
      </c>
      <c r="E119" s="347">
        <v>0.23469112834625019</v>
      </c>
      <c r="F119" s="347">
        <v>0.24820489595167095</v>
      </c>
      <c r="G119" s="347">
        <v>0.25085123300368023</v>
      </c>
      <c r="H119" s="347">
        <v>0.25377663960261249</v>
      </c>
      <c r="I119" s="347">
        <v>0.25278861488072035</v>
      </c>
      <c r="J119" s="347">
        <v>0.25284140430258079</v>
      </c>
      <c r="K119" s="347">
        <v>0.25324992145806779</v>
      </c>
      <c r="L119" s="381">
        <v>0.25251049667522896</v>
      </c>
      <c r="M119" s="310">
        <f t="shared" si="79"/>
        <v>0.13947587852029189</v>
      </c>
      <c r="N119" s="312">
        <f>SUMPRODUCT($B$73:$L$73,$B119:$L119)</f>
        <v>0.11138535844665151</v>
      </c>
      <c r="O119" s="346">
        <v>0</v>
      </c>
      <c r="P119" s="347">
        <v>7.2873824258486444E-2</v>
      </c>
      <c r="Q119" s="347">
        <v>0.15548562402126989</v>
      </c>
      <c r="R119" s="347">
        <v>0.26107231277434634</v>
      </c>
      <c r="S119" s="347">
        <v>0.291803899971879</v>
      </c>
      <c r="T119" s="347">
        <v>0.31479747808274022</v>
      </c>
      <c r="U119" s="347">
        <v>0.31941547779169177</v>
      </c>
      <c r="V119" s="347">
        <v>0.3227824334340702</v>
      </c>
      <c r="W119" s="347">
        <v>0.32472918926323185</v>
      </c>
      <c r="X119" s="347">
        <v>0.32493368639696957</v>
      </c>
      <c r="Y119" s="381">
        <v>0.32411508282139179</v>
      </c>
      <c r="Z119" s="310">
        <f>SUMPRODUCT($O$74:$Y$74,$O119:$Y119)</f>
        <v>0.10059101800725796</v>
      </c>
      <c r="AA119" s="312">
        <f t="shared" si="82"/>
        <v>8.3408195503042667E-2</v>
      </c>
      <c r="AB119" s="950">
        <f t="array" ref="AB119">IF(AND($AD$71=TRUE,SUM(B119:L119)&gt;0),SUMPRODUCT((((TRANSPOSE(Cls2CentDailyRng)&lt;INDEX(CDRANGE_CLS2,$A119-$A$76+1,AD$72))*TRANSPOSE(Cls2CentDailyRng)+(TRANSPOSE(Cls2CentDailyRng)&gt;INDEX(CDRANGE_CLS2,$A119-$A$76+1,AD$72))*INDEX(CDRANGE_CLS2,$A119-$A$76+1,AD$72))/TRANSPOSE(Cls2CentDailyRng)),B119:L119,TRANSPOSE(Cls2CentVMTShr))/SUMPRODUCT(B119:L119,TRANSPOSE(Cls2CentVMTShr)),0)</f>
        <v>0</v>
      </c>
      <c r="AC119" s="951">
        <f t="array" ref="AC119">IF(AND($AD$72=TRUE,SUM(O119:Y119)&gt;0),SUMPRODUCT((((TRANSPOSE(Cls2NCentDailyRng)&lt;INDEX(CDRANGE_CLS2,$A119-$A$76+1,AD$74))*TRANSPOSE(Cls2NCentDailyRng)+(TRANSPOSE(Cls2NCentDailyRng)&gt;INDEX(CDRANGE_CLS2,$A119-$A$76+1,AD$74))*INDEX(CDRANGE_CLS2,$A119-$A$76+1,AD$74))/TRANSPOSE(Cls2NCentDailyRng)),O119:Y119,TRANSPOSE(Cls2NCentVMTShr))/SUMPRODUCT(O119:Y119,TRANSPOSE(Cls2NCentVMTShr)),0)</f>
        <v>0</v>
      </c>
      <c r="AD119" s="1227">
        <f t="shared" si="88"/>
        <v>0</v>
      </c>
      <c r="AE119" s="937">
        <f t="shared" si="85"/>
        <v>0.13947587852029189</v>
      </c>
      <c r="AF119" s="937">
        <f t="shared" si="86"/>
        <v>0.10059101800725796</v>
      </c>
      <c r="AG119" s="937">
        <f t="shared" si="87"/>
        <v>0.24006689652754987</v>
      </c>
      <c r="AH119" s="1172">
        <f t="shared" si="83"/>
        <v>0.58098755196048346</v>
      </c>
      <c r="AI119" s="937">
        <f t="shared" si="84"/>
        <v>0.41901244803951648</v>
      </c>
      <c r="AK119" s="1171"/>
      <c r="AL119" s="1171"/>
    </row>
    <row r="120" spans="1:39" x14ac:dyDescent="0.2">
      <c r="B120" s="227" t="str">
        <f>"Output generated: "&amp; TEXT($L$4,"m/dd/yyyy hh:mm")</f>
        <v>Output generated: 7/21/2020 15:48</v>
      </c>
      <c r="O120" s="227" t="str">
        <f>"Output generated: "&amp; TEXT($L$5,"m/dd/yyyy hh:mm")</f>
        <v>Output generated: 7/21/2020 15:48</v>
      </c>
      <c r="AB120"/>
      <c r="AC120"/>
      <c r="AD120"/>
      <c r="AE120" s="937"/>
      <c r="AF120" s="937"/>
      <c r="AG120" s="937"/>
      <c r="AH120" s="937"/>
      <c r="AI120" s="937"/>
    </row>
    <row r="121" spans="1:39" ht="15" thickBot="1" x14ac:dyDescent="0.25">
      <c r="AE121" s="937"/>
      <c r="AF121" s="937"/>
      <c r="AG121" s="937"/>
      <c r="AH121" s="937"/>
      <c r="AI121" s="937"/>
    </row>
    <row r="122" spans="1:39" ht="15" x14ac:dyDescent="0.2">
      <c r="A122" s="333"/>
      <c r="B122" s="1555" t="s">
        <v>253</v>
      </c>
      <c r="C122" s="1556"/>
      <c r="D122" s="1556"/>
      <c r="E122" s="1556"/>
      <c r="F122" s="1556"/>
      <c r="G122" s="1556"/>
      <c r="H122" s="1556"/>
      <c r="I122" s="1556"/>
      <c r="J122" s="1556"/>
      <c r="K122" s="1556"/>
      <c r="L122" s="1556"/>
      <c r="M122" s="1556"/>
      <c r="N122" s="1557"/>
      <c r="O122" s="1555" t="s">
        <v>254</v>
      </c>
      <c r="P122" s="1556"/>
      <c r="Q122" s="1556"/>
      <c r="R122" s="1556"/>
      <c r="S122" s="1556"/>
      <c r="T122" s="1556"/>
      <c r="U122" s="1556"/>
      <c r="V122" s="1556"/>
      <c r="W122" s="1556"/>
      <c r="X122" s="1556"/>
      <c r="Y122" s="1556"/>
      <c r="Z122" s="1556"/>
      <c r="AA122" s="1557"/>
      <c r="AE122" s="937"/>
      <c r="AF122" s="937"/>
      <c r="AG122" s="937"/>
      <c r="AH122" s="937"/>
      <c r="AI122" s="937"/>
    </row>
    <row r="123" spans="1:39" x14ac:dyDescent="0.2">
      <c r="A123" s="324"/>
      <c r="B123" s="1552" t="s">
        <v>121</v>
      </c>
      <c r="C123" s="1553"/>
      <c r="D123" s="1553"/>
      <c r="E123" s="1553"/>
      <c r="F123" s="1553"/>
      <c r="G123" s="1553"/>
      <c r="H123" s="1553"/>
      <c r="I123" s="1553"/>
      <c r="J123" s="1553"/>
      <c r="K123" s="1553"/>
      <c r="L123" s="1553"/>
      <c r="M123" s="382"/>
      <c r="N123" s="325"/>
      <c r="O123" s="1552" t="s">
        <v>121</v>
      </c>
      <c r="P123" s="1553"/>
      <c r="Q123" s="1553"/>
      <c r="R123" s="1553"/>
      <c r="S123" s="1553"/>
      <c r="T123" s="1553"/>
      <c r="U123" s="1553"/>
      <c r="V123" s="1553"/>
      <c r="W123" s="1553"/>
      <c r="X123" s="1553"/>
      <c r="Y123" s="1553"/>
      <c r="Z123" s="382"/>
      <c r="AA123" s="325"/>
      <c r="AC123" s="954" t="s">
        <v>267</v>
      </c>
      <c r="AD123" s="234" t="b">
        <f>INDEX(TECH_OPT_FUEL2_Cls1,MATCH(RIGHT(O122),TECH_OPT_ROWS_Cls1,0))&lt;&gt;"N/A"</f>
        <v>0</v>
      </c>
      <c r="AE123" s="937"/>
      <c r="AF123" s="937"/>
      <c r="AG123" s="937"/>
      <c r="AH123" s="937"/>
      <c r="AI123" s="93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E124" s="937"/>
      <c r="AF124" s="937"/>
      <c r="AG124" s="937"/>
      <c r="AH124" s="937"/>
      <c r="AI124" s="937"/>
    </row>
    <row r="125" spans="1:39" ht="16" thickTop="1" thickBot="1" x14ac:dyDescent="0.25">
      <c r="A125" s="348" t="s">
        <v>124</v>
      </c>
      <c r="B125" s="340">
        <f t="array" ref="B125:L125">TRANSPOSE(Cls2CentTruckShr)</f>
        <v>3.9559734044076443E-2</v>
      </c>
      <c r="C125" s="341">
        <v>8.9650908809480775E-2</v>
      </c>
      <c r="D125" s="341">
        <v>9.1857251580802685E-2</v>
      </c>
      <c r="E125" s="341">
        <v>9.271536797287637E-2</v>
      </c>
      <c r="F125" s="341">
        <v>0.10920126324528824</v>
      </c>
      <c r="G125" s="341">
        <v>4.7813378096654632E-2</v>
      </c>
      <c r="H125" s="341">
        <v>5.2826626309680449E-2</v>
      </c>
      <c r="I125" s="341">
        <v>3.3324854637922362E-2</v>
      </c>
      <c r="J125" s="341">
        <v>1.4796369103015083E-2</v>
      </c>
      <c r="K125" s="341">
        <v>6.5522293759777608E-3</v>
      </c>
      <c r="L125" s="378">
        <v>1.1207747736094297E-2</v>
      </c>
      <c r="M125" s="384"/>
      <c r="N125" s="336"/>
      <c r="O125" s="340">
        <f t="array" ref="O125:Y125">TRANSPOSE(Cls2NCentTruckShr)</f>
        <v>4.6052840844996765E-2</v>
      </c>
      <c r="P125" s="341">
        <v>6.7033462620106746E-2</v>
      </c>
      <c r="Q125" s="341">
        <v>6.2316087841293416E-2</v>
      </c>
      <c r="R125" s="341">
        <v>6.9108422941336428E-2</v>
      </c>
      <c r="S125" s="341">
        <v>7.8222088301235171E-2</v>
      </c>
      <c r="T125" s="341">
        <v>3.5529474750239771E-2</v>
      </c>
      <c r="U125" s="341">
        <v>3.0248313910710867E-2</v>
      </c>
      <c r="V125" s="341">
        <v>8.2628405675757074E-3</v>
      </c>
      <c r="W125" s="341">
        <v>6.4250307191884484E-3</v>
      </c>
      <c r="X125" s="341">
        <v>1.9993158802676368E-3</v>
      </c>
      <c r="Y125" s="1209">
        <v>5.2963907111801883E-3</v>
      </c>
      <c r="Z125" s="1214"/>
      <c r="AA125" s="1215"/>
    </row>
    <row r="126" spans="1:39" x14ac:dyDescent="0.2">
      <c r="A126" s="331" t="s">
        <v>125</v>
      </c>
      <c r="B126" s="923">
        <f t="array" ref="B126:L126">TRANSPOSE(Cls2CentVMTShr)</f>
        <v>6.3375455551975849E-3</v>
      </c>
      <c r="C126" s="924">
        <v>3.496913005496359E-2</v>
      </c>
      <c r="D126" s="924">
        <v>5.9955127131675522E-2</v>
      </c>
      <c r="E126" s="924">
        <v>8.4599669387910512E-2</v>
      </c>
      <c r="F126" s="924">
        <v>0.12702701008436962</v>
      </c>
      <c r="G126" s="924">
        <v>6.7204731283582092E-2</v>
      </c>
      <c r="H126" s="924">
        <v>8.8708982453757024E-2</v>
      </c>
      <c r="I126" s="924">
        <v>6.4694225377098208E-2</v>
      </c>
      <c r="J126" s="924">
        <v>3.2526447027526634E-2</v>
      </c>
      <c r="K126" s="924">
        <v>1.589064319454132E-2</v>
      </c>
      <c r="L126" s="1210">
        <v>3.2608183213810787E-2</v>
      </c>
      <c r="M126" s="1211"/>
      <c r="N126" s="1212"/>
      <c r="O126" s="923">
        <f t="array" ref="O126:Y126">TRANSPOSE(Cls2NCentVMTShr)</f>
        <v>8.1228463417563086E-3</v>
      </c>
      <c r="P126" s="924">
        <v>2.7563836768431361E-2</v>
      </c>
      <c r="Q126" s="924">
        <v>4.1883113088337191E-2</v>
      </c>
      <c r="R126" s="924">
        <v>6.4289357588678764E-2</v>
      </c>
      <c r="S126" s="924">
        <v>9.1183275251204537E-2</v>
      </c>
      <c r="T126" s="924">
        <v>5.1984283219922628E-2</v>
      </c>
      <c r="U126" s="924">
        <v>5.0286059545109812E-2</v>
      </c>
      <c r="V126" s="924">
        <v>1.5542287574292338E-2</v>
      </c>
      <c r="W126" s="924">
        <v>1.4506257462625264E-2</v>
      </c>
      <c r="X126" s="924">
        <v>4.9330966304706684E-3</v>
      </c>
      <c r="Y126" s="925">
        <v>1.5183891764738403E-2</v>
      </c>
      <c r="Z126" s="1211"/>
      <c r="AA126" s="1212"/>
      <c r="AB126" s="1568" t="str">
        <f>"% of miles on f2 for Tech "&amp; RIGHT(O121)&amp;" adopters"</f>
        <v>% of miles on f2 for Tech  adopters</v>
      </c>
      <c r="AC126" s="1569"/>
      <c r="AD126" s="1570"/>
      <c r="AE126" s="937" t="s">
        <v>305</v>
      </c>
      <c r="AF126" s="937"/>
      <c r="AG126" s="937"/>
      <c r="AH126" s="1172" t="s">
        <v>306</v>
      </c>
      <c r="AI126" s="937"/>
    </row>
    <row r="127" spans="1:39" ht="15" thickBot="1" x14ac:dyDescent="0.25">
      <c r="A127" s="942" t="s">
        <v>266</v>
      </c>
      <c r="B127" s="933">
        <f t="array" ref="B127:L127">TRANSPOSE(Cls2CentVMT/OPDAYS_Cls2)</f>
        <v>49.332453271995263</v>
      </c>
      <c r="C127" s="934">
        <v>120.11441047790339</v>
      </c>
      <c r="D127" s="934">
        <v>200.99157969807086</v>
      </c>
      <c r="E127" s="934">
        <v>280.98421424125928</v>
      </c>
      <c r="F127" s="934">
        <v>358.20644524895255</v>
      </c>
      <c r="G127" s="934">
        <v>432.82805471770689</v>
      </c>
      <c r="H127" s="934">
        <v>517.10615118099815</v>
      </c>
      <c r="I127" s="934">
        <v>597.8087063838957</v>
      </c>
      <c r="J127" s="934">
        <v>676.93419409560215</v>
      </c>
      <c r="K127" s="934">
        <v>746.82245226325631</v>
      </c>
      <c r="L127" s="935">
        <v>895.92826380844349</v>
      </c>
      <c r="M127" s="931"/>
      <c r="N127" s="932"/>
      <c r="O127" s="933">
        <f t="array" ref="O127:Y127">TRANSPOSE(Cls2NCentVMT/OPDAYS_Cls2)</f>
        <v>54.31462614952413</v>
      </c>
      <c r="P127" s="934">
        <v>126.62311644744663</v>
      </c>
      <c r="Q127" s="934">
        <v>206.96826351576016</v>
      </c>
      <c r="R127" s="934">
        <v>286.46600131499179</v>
      </c>
      <c r="S127" s="934">
        <v>358.9638908170715</v>
      </c>
      <c r="T127" s="934">
        <v>450.55545819643328</v>
      </c>
      <c r="U127" s="934">
        <v>511.93098482414172</v>
      </c>
      <c r="V127" s="934">
        <v>579.22933632093111</v>
      </c>
      <c r="W127" s="934">
        <v>695.25665569614875</v>
      </c>
      <c r="X127" s="934">
        <v>759.80682330760794</v>
      </c>
      <c r="Y127" s="1213">
        <v>882.81167173661356</v>
      </c>
      <c r="Z127" s="943"/>
      <c r="AA127" s="932"/>
      <c r="AB127" s="945" t="s">
        <v>186</v>
      </c>
      <c r="AC127" s="946" t="s">
        <v>15</v>
      </c>
      <c r="AD127" s="947" t="s">
        <v>18</v>
      </c>
      <c r="AE127" s="937" t="s">
        <v>186</v>
      </c>
      <c r="AF127" s="937" t="s">
        <v>15</v>
      </c>
      <c r="AG127" s="937" t="s">
        <v>18</v>
      </c>
      <c r="AH127" s="1172" t="s">
        <v>186</v>
      </c>
      <c r="AI127" s="937" t="s">
        <v>15</v>
      </c>
      <c r="AJ127" s="323"/>
      <c r="AK127" s="323"/>
      <c r="AL127" s="323"/>
      <c r="AM127" s="323"/>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SUMPRODUCT($B$126:$L$126,$B128:$L128)</f>
        <v>0</v>
      </c>
      <c r="N128" s="337">
        <f>SUMPRODUCT($B$125:$L$125,$B128:$L128)</f>
        <v>0</v>
      </c>
      <c r="O128" s="342">
        <v>0</v>
      </c>
      <c r="P128" s="343">
        <v>0</v>
      </c>
      <c r="Q128" s="343">
        <v>0</v>
      </c>
      <c r="R128" s="343">
        <v>0</v>
      </c>
      <c r="S128" s="343">
        <v>0</v>
      </c>
      <c r="T128" s="343">
        <v>0</v>
      </c>
      <c r="U128" s="343">
        <v>0</v>
      </c>
      <c r="V128" s="343">
        <v>0</v>
      </c>
      <c r="W128" s="343">
        <v>0</v>
      </c>
      <c r="X128" s="343">
        <v>0</v>
      </c>
      <c r="Y128" s="379">
        <v>0</v>
      </c>
      <c r="Z128" s="387">
        <f t="shared" ref="Z128:Z171" si="89">SUMPRODUCT($O$126:$Y$126,$O128:$Y128)</f>
        <v>0</v>
      </c>
      <c r="AA128" s="337">
        <f t="shared" ref="AA128:AA171" si="90">SUMPRODUCT($O$125:$Y$125,$O128:$Y128)</f>
        <v>0</v>
      </c>
      <c r="AB128" s="948">
        <f t="array" ref="AB128">IF(AND($AD$123=TRUE,SUM(B128:L128)&gt;0),SUMPRODUCT((((TRANSPOSE(Cls2CentDailyRng)&lt;INDEX(CDRANGE_CLS2,$A128-$A$128+1,AD$124))*TRANSPOSE(Cls2CentDailyRng)+(TRANSPOSE(Cls2CentDailyRng)&gt;INDEX(CDRANGE_CLS2,$A128-$A$128+1,AD$124))*INDEX(CDRANGE_CLS2,$A128-$A$128+1,AD$124))/TRANSPOSE(Cls2CentDailyRng)),B128:L128,TRANSPOSE(Cls2CentVMTShr))/SUMPRODUCT(B128:L128,TRANSPOSE(Cls2CentVMTShr)),0)</f>
        <v>0</v>
      </c>
      <c r="AC128" s="949">
        <f t="array" ref="AC128">IF(AND($AD$123=TRUE,SUM(O128:Y128)&gt;0),SUMPRODUCT((((TRANSPOSE(Cls2NCentDailyRng)&lt;INDEX(CDRANGE_CLS2,$A128-$A$128+1,AD$124))*TRANSPOSE(Cls2NCentDailyRng)+(TRANSPOSE(Cls2NCentDailyRng)&gt;INDEX(CDRANGE_CLS2,$A128-$A$128+1,AD$124))*INDEX(CDRANGE_CLS2,$A128-$A$128+1,AD$124))/TRANSPOSE(Cls2NCentDailyRng)),O128:Y128,TRANSPOSE(Cls2NCentVMTShr))/SUMPRODUCT(O128:Y128,TRANSPOSE(Cls2NCentVMTShr)),0)</f>
        <v>0</v>
      </c>
      <c r="AD128" s="1226">
        <f>AB128*AH128+AC128*AI128</f>
        <v>0</v>
      </c>
      <c r="AE128" s="937">
        <f t="shared" ref="AE128" si="91">SUMPRODUCT($B$74:$L$74,B128:L128)</f>
        <v>0</v>
      </c>
      <c r="AF128" s="937">
        <f t="shared" ref="AF128" si="92">SUMPRODUCT($O$74:$Y$74,O128:Y128)</f>
        <v>0</v>
      </c>
      <c r="AG128" s="937">
        <f t="shared" ref="AG128" si="93">SUM(AE128:AF128)</f>
        <v>0</v>
      </c>
      <c r="AH128" s="1172">
        <f>IF(AG128&gt;0,AE128/AG128,0)</f>
        <v>0</v>
      </c>
      <c r="AI128" s="937">
        <f>IF(AG128&gt;0,AF128/AG128,0)</f>
        <v>0</v>
      </c>
    </row>
    <row r="129" spans="1:35"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4">SUMPRODUCT($B$126:$L$126,$B129:$L129)</f>
        <v>0</v>
      </c>
      <c r="N129" s="298">
        <f t="shared" ref="N129:N171" si="95">SUMPRODUCT($B$125:$L$125,$B129:$L129)</f>
        <v>0</v>
      </c>
      <c r="O129" s="344">
        <v>0</v>
      </c>
      <c r="P129" s="345">
        <v>0</v>
      </c>
      <c r="Q129" s="345">
        <v>0</v>
      </c>
      <c r="R129" s="345">
        <v>0</v>
      </c>
      <c r="S129" s="345">
        <v>0</v>
      </c>
      <c r="T129" s="345">
        <v>0</v>
      </c>
      <c r="U129" s="345">
        <v>0</v>
      </c>
      <c r="V129" s="345">
        <v>0</v>
      </c>
      <c r="W129" s="345">
        <v>0</v>
      </c>
      <c r="X129" s="345">
        <v>0</v>
      </c>
      <c r="Y129" s="380">
        <v>0</v>
      </c>
      <c r="Z129" s="296">
        <f t="shared" si="89"/>
        <v>0</v>
      </c>
      <c r="AA129" s="298">
        <f t="shared" si="90"/>
        <v>0</v>
      </c>
      <c r="AB129" s="948">
        <f t="array" ref="AB129">IF(AND($AD$123=TRUE,SUM(B129:L129)&gt;0),SUMPRODUCT((((TRANSPOSE(Cls2CentDailyRng)&lt;INDEX(CDRANGE_CLS2,$A129-$A$128+1,AD$124))*TRANSPOSE(Cls2CentDailyRng)+(TRANSPOSE(Cls2CentDailyRng)&gt;INDEX(CDRANGE_CLS2,$A129-$A$128+1,AD$124))*INDEX(CDRANGE_CLS2,$A129-$A$128+1,AD$124))/TRANSPOSE(Cls2CentDailyRng)),B129:L129,TRANSPOSE(Cls2CentVMTShr))/SUMPRODUCT(B129:L129,TRANSPOSE(Cls2CentVMTShr)),0)</f>
        <v>0</v>
      </c>
      <c r="AC129" s="949">
        <f t="array" ref="AC129">IF(AND($AD$123=TRUE,SUM(O129:Y129)&gt;0),SUMPRODUCT((((TRANSPOSE(Cls2NCentDailyRng)&lt;INDEX(CDRANGE_CLS2,$A129-$A$128+1,AD$124))*TRANSPOSE(Cls2NCentDailyRng)+(TRANSPOSE(Cls2NCentDailyRng)&gt;INDEX(CDRANGE_CLS2,$A129-$A$128+1,AD$124))*INDEX(CDRANGE_CLS2,$A129-$A$128+1,AD$124))/TRANSPOSE(Cls2NCentDailyRng)),O129:Y129,TRANSPOSE(Cls2NCentVMTShr))/SUMPRODUCT(O129:Y129,TRANSPOSE(Cls2NCentVMTShr)),0)</f>
        <v>0</v>
      </c>
      <c r="AD129" s="1226">
        <f t="shared" ref="AD129:AD153" si="96">AB129*AH129+AC129*AI129</f>
        <v>0</v>
      </c>
      <c r="AE129" s="937">
        <f t="shared" ref="AE129:AE143" si="97">SUMPRODUCT($B$74:$L$74,B129:L129)</f>
        <v>0</v>
      </c>
      <c r="AF129" s="937">
        <f t="shared" ref="AF129:AF143" si="98">SUMPRODUCT($O$74:$Y$74,O129:Y129)</f>
        <v>0</v>
      </c>
      <c r="AG129" s="937">
        <f t="shared" ref="AG129:AG143" si="99">SUM(AE129:AF129)</f>
        <v>0</v>
      </c>
      <c r="AH129" s="1172">
        <f>IF(AG129&gt;0,AE129/AG129,0)</f>
        <v>0</v>
      </c>
      <c r="AI129" s="937">
        <f>IF(AG129&gt;0,AF129/AG129,0)</f>
        <v>0</v>
      </c>
    </row>
    <row r="130" spans="1:35" x14ac:dyDescent="0.2">
      <c r="A130" s="327">
        <v>2009</v>
      </c>
      <c r="B130" s="344">
        <v>0</v>
      </c>
      <c r="C130" s="345">
        <v>0</v>
      </c>
      <c r="D130" s="345">
        <v>0</v>
      </c>
      <c r="E130" s="345">
        <v>0</v>
      </c>
      <c r="F130" s="345">
        <v>0</v>
      </c>
      <c r="G130" s="345">
        <v>0</v>
      </c>
      <c r="H130" s="345">
        <v>0</v>
      </c>
      <c r="I130" s="345">
        <v>0</v>
      </c>
      <c r="J130" s="345">
        <v>0</v>
      </c>
      <c r="K130" s="345">
        <v>0</v>
      </c>
      <c r="L130" s="380">
        <v>0</v>
      </c>
      <c r="M130" s="296">
        <f t="shared" si="94"/>
        <v>0</v>
      </c>
      <c r="N130" s="298">
        <f t="shared" si="95"/>
        <v>0</v>
      </c>
      <c r="O130" s="344">
        <v>0</v>
      </c>
      <c r="P130" s="345">
        <v>0</v>
      </c>
      <c r="Q130" s="345">
        <v>0</v>
      </c>
      <c r="R130" s="345">
        <v>0</v>
      </c>
      <c r="S130" s="345">
        <v>0</v>
      </c>
      <c r="T130" s="345">
        <v>0</v>
      </c>
      <c r="U130" s="345">
        <v>0</v>
      </c>
      <c r="V130" s="345">
        <v>0</v>
      </c>
      <c r="W130" s="345">
        <v>0</v>
      </c>
      <c r="X130" s="345">
        <v>0</v>
      </c>
      <c r="Y130" s="380">
        <v>0</v>
      </c>
      <c r="Z130" s="296">
        <f t="shared" si="89"/>
        <v>0</v>
      </c>
      <c r="AA130" s="298">
        <f t="shared" si="90"/>
        <v>0</v>
      </c>
      <c r="AB130" s="948">
        <f t="array" ref="AB130">IF(AND($AD$123=TRUE,SUM(B130:L130)&gt;0),SUMPRODUCT((((TRANSPOSE(Cls2CentDailyRng)&lt;INDEX(CDRANGE_CLS2,$A130-$A$128+1,AD$124))*TRANSPOSE(Cls2CentDailyRng)+(TRANSPOSE(Cls2CentDailyRng)&gt;INDEX(CDRANGE_CLS2,$A130-$A$128+1,AD$124))*INDEX(CDRANGE_CLS2,$A130-$A$128+1,AD$124))/TRANSPOSE(Cls2CentDailyRng)),B130:L130,TRANSPOSE(Cls2CentVMTShr))/SUMPRODUCT(B130:L130,TRANSPOSE(Cls2CentVMTShr)),0)</f>
        <v>0</v>
      </c>
      <c r="AC130" s="949">
        <f t="array" ref="AC130">IF(AND($AD$123=TRUE,SUM(O130:Y130)&gt;0),SUMPRODUCT((((TRANSPOSE(Cls2NCentDailyRng)&lt;INDEX(CDRANGE_CLS2,$A130-$A$128+1,AD$124))*TRANSPOSE(Cls2NCentDailyRng)+(TRANSPOSE(Cls2NCentDailyRng)&gt;INDEX(CDRANGE_CLS2,$A130-$A$128+1,AD$124))*INDEX(CDRANGE_CLS2,$A130-$A$128+1,AD$124))/TRANSPOSE(Cls2NCentDailyRng)),O130:Y130,TRANSPOSE(Cls2NCentVMTShr))/SUMPRODUCT(O130:Y130,TRANSPOSE(Cls2NCentVMTShr)),0)</f>
        <v>0</v>
      </c>
      <c r="AD130" s="1226">
        <f t="shared" si="96"/>
        <v>0</v>
      </c>
      <c r="AE130" s="937">
        <f t="shared" si="97"/>
        <v>0</v>
      </c>
      <c r="AF130" s="937">
        <f t="shared" si="98"/>
        <v>0</v>
      </c>
      <c r="AG130" s="937">
        <f t="shared" si="99"/>
        <v>0</v>
      </c>
      <c r="AH130" s="1172">
        <f t="shared" ref="AH130:AH172" si="100">IF(AG130&gt;0,AE130/AG130,0)</f>
        <v>0</v>
      </c>
      <c r="AI130" s="937">
        <f t="shared" ref="AI130:AI172" si="101">IF(AG130&gt;0,AF130/AG130,0)</f>
        <v>0</v>
      </c>
    </row>
    <row r="131" spans="1:35"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4"/>
        <v>0</v>
      </c>
      <c r="N131" s="312">
        <f t="shared" si="95"/>
        <v>0</v>
      </c>
      <c r="O131" s="346">
        <v>0</v>
      </c>
      <c r="P131" s="347">
        <v>0</v>
      </c>
      <c r="Q131" s="347">
        <v>0</v>
      </c>
      <c r="R131" s="347">
        <v>0</v>
      </c>
      <c r="S131" s="347">
        <v>0</v>
      </c>
      <c r="T131" s="347">
        <v>0</v>
      </c>
      <c r="U131" s="347">
        <v>0</v>
      </c>
      <c r="V131" s="347">
        <v>0</v>
      </c>
      <c r="W131" s="347">
        <v>0</v>
      </c>
      <c r="X131" s="347">
        <v>0</v>
      </c>
      <c r="Y131" s="381">
        <v>0</v>
      </c>
      <c r="Z131" s="310">
        <f t="shared" si="89"/>
        <v>0</v>
      </c>
      <c r="AA131" s="312">
        <f t="shared" si="90"/>
        <v>0</v>
      </c>
      <c r="AB131" s="948">
        <f t="array" ref="AB131">IF(AND($AD$123=TRUE,SUM(B131:L131)&gt;0),SUMPRODUCT((((TRANSPOSE(Cls2CentDailyRng)&lt;INDEX(CDRANGE_CLS2,$A131-$A$128+1,AD$124))*TRANSPOSE(Cls2CentDailyRng)+(TRANSPOSE(Cls2CentDailyRng)&gt;INDEX(CDRANGE_CLS2,$A131-$A$128+1,AD$124))*INDEX(CDRANGE_CLS2,$A131-$A$128+1,AD$124))/TRANSPOSE(Cls2CentDailyRng)),B131:L131,TRANSPOSE(Cls2CentVMTShr))/SUMPRODUCT(B131:L131,TRANSPOSE(Cls2CentVMTShr)),0)</f>
        <v>0</v>
      </c>
      <c r="AC131" s="949">
        <f t="array" ref="AC131">IF(AND($AD$123=TRUE,SUM(O131:Y131)&gt;0),SUMPRODUCT((((TRANSPOSE(Cls2NCentDailyRng)&lt;INDEX(CDRANGE_CLS2,$A131-$A$128+1,AD$124))*TRANSPOSE(Cls2NCentDailyRng)+(TRANSPOSE(Cls2NCentDailyRng)&gt;INDEX(CDRANGE_CLS2,$A131-$A$128+1,AD$124))*INDEX(CDRANGE_CLS2,$A131-$A$128+1,AD$124))/TRANSPOSE(Cls2NCentDailyRng)),O131:Y131,TRANSPOSE(Cls2NCentVMTShr))/SUMPRODUCT(O131:Y131,TRANSPOSE(Cls2NCentVMTShr)),0)</f>
        <v>0</v>
      </c>
      <c r="AD131" s="1226">
        <f t="shared" si="96"/>
        <v>0</v>
      </c>
      <c r="AE131" s="937">
        <f t="shared" si="97"/>
        <v>0</v>
      </c>
      <c r="AF131" s="937">
        <f t="shared" si="98"/>
        <v>0</v>
      </c>
      <c r="AG131" s="937">
        <f t="shared" si="99"/>
        <v>0</v>
      </c>
      <c r="AH131" s="1172">
        <f t="shared" si="100"/>
        <v>0</v>
      </c>
      <c r="AI131" s="937">
        <f t="shared" si="101"/>
        <v>0</v>
      </c>
    </row>
    <row r="132" spans="1:35" x14ac:dyDescent="0.2">
      <c r="A132" s="329">
        <v>2011</v>
      </c>
      <c r="B132" s="342">
        <v>0</v>
      </c>
      <c r="C132" s="343">
        <v>0</v>
      </c>
      <c r="D132" s="343">
        <v>0</v>
      </c>
      <c r="E132" s="343">
        <v>0</v>
      </c>
      <c r="F132" s="343">
        <v>0</v>
      </c>
      <c r="G132" s="343">
        <v>0</v>
      </c>
      <c r="H132" s="343">
        <v>0</v>
      </c>
      <c r="I132" s="343">
        <v>0</v>
      </c>
      <c r="J132" s="343">
        <v>0</v>
      </c>
      <c r="K132" s="343">
        <v>0</v>
      </c>
      <c r="L132" s="379">
        <v>0</v>
      </c>
      <c r="M132" s="282">
        <f t="shared" si="94"/>
        <v>0</v>
      </c>
      <c r="N132" s="284">
        <f t="shared" si="95"/>
        <v>0</v>
      </c>
      <c r="O132" s="342">
        <v>0</v>
      </c>
      <c r="P132" s="343">
        <v>0</v>
      </c>
      <c r="Q132" s="343">
        <v>0</v>
      </c>
      <c r="R132" s="343">
        <v>0</v>
      </c>
      <c r="S132" s="343">
        <v>0</v>
      </c>
      <c r="T132" s="343">
        <v>0</v>
      </c>
      <c r="U132" s="343">
        <v>0</v>
      </c>
      <c r="V132" s="343">
        <v>0</v>
      </c>
      <c r="W132" s="343">
        <v>0</v>
      </c>
      <c r="X132" s="343">
        <v>0</v>
      </c>
      <c r="Y132" s="379">
        <v>0</v>
      </c>
      <c r="Z132" s="282">
        <f t="shared" si="89"/>
        <v>0</v>
      </c>
      <c r="AA132" s="284">
        <f t="shared" si="90"/>
        <v>0</v>
      </c>
      <c r="AB132" s="948">
        <f t="array" ref="AB132">IF(AND($AD$123=TRUE,SUM(B132:L132)&gt;0),SUMPRODUCT((((TRANSPOSE(Cls2CentDailyRng)&lt;INDEX(CDRANGE_CLS2,$A132-$A$128+1,AD$124))*TRANSPOSE(Cls2CentDailyRng)+(TRANSPOSE(Cls2CentDailyRng)&gt;INDEX(CDRANGE_CLS2,$A132-$A$128+1,AD$124))*INDEX(CDRANGE_CLS2,$A132-$A$128+1,AD$124))/TRANSPOSE(Cls2CentDailyRng)),B132:L132,TRANSPOSE(Cls2CentVMTShr))/SUMPRODUCT(B132:L132,TRANSPOSE(Cls2CentVMTShr)),0)</f>
        <v>0</v>
      </c>
      <c r="AC132" s="949">
        <f t="array" ref="AC132">IF(AND($AD$123=TRUE,SUM(O132:Y132)&gt;0),SUMPRODUCT((((TRANSPOSE(Cls2NCentDailyRng)&lt;INDEX(CDRANGE_CLS2,$A132-$A$128+1,AD$124))*TRANSPOSE(Cls2NCentDailyRng)+(TRANSPOSE(Cls2NCentDailyRng)&gt;INDEX(CDRANGE_CLS2,$A132-$A$128+1,AD$124))*INDEX(CDRANGE_CLS2,$A132-$A$128+1,AD$124))/TRANSPOSE(Cls2NCentDailyRng)),O132:Y132,TRANSPOSE(Cls2NCentVMTShr))/SUMPRODUCT(O132:Y132,TRANSPOSE(Cls2NCentVMTShr)),0)</f>
        <v>0</v>
      </c>
      <c r="AD132" s="1226">
        <f t="shared" si="96"/>
        <v>0</v>
      </c>
      <c r="AE132" s="937">
        <f t="shared" si="97"/>
        <v>0</v>
      </c>
      <c r="AF132" s="937">
        <f t="shared" si="98"/>
        <v>0</v>
      </c>
      <c r="AG132" s="937">
        <f t="shared" si="99"/>
        <v>0</v>
      </c>
      <c r="AH132" s="1172">
        <f t="shared" si="100"/>
        <v>0</v>
      </c>
      <c r="AI132" s="937">
        <f t="shared" si="101"/>
        <v>0</v>
      </c>
    </row>
    <row r="133" spans="1:35" x14ac:dyDescent="0.2">
      <c r="A133" s="330">
        <v>2012</v>
      </c>
      <c r="B133" s="344">
        <v>0</v>
      </c>
      <c r="C133" s="345">
        <v>0</v>
      </c>
      <c r="D133" s="345">
        <v>0</v>
      </c>
      <c r="E133" s="345">
        <v>0</v>
      </c>
      <c r="F133" s="345">
        <v>0</v>
      </c>
      <c r="G133" s="345">
        <v>0</v>
      </c>
      <c r="H133" s="345">
        <v>0</v>
      </c>
      <c r="I133" s="345">
        <v>0</v>
      </c>
      <c r="J133" s="345">
        <v>0</v>
      </c>
      <c r="K133" s="345">
        <v>0</v>
      </c>
      <c r="L133" s="380">
        <v>0</v>
      </c>
      <c r="M133" s="296">
        <f t="shared" si="94"/>
        <v>0</v>
      </c>
      <c r="N133" s="298">
        <f t="shared" si="95"/>
        <v>0</v>
      </c>
      <c r="O133" s="344">
        <v>0</v>
      </c>
      <c r="P133" s="345">
        <v>0</v>
      </c>
      <c r="Q133" s="345">
        <v>0</v>
      </c>
      <c r="R133" s="345">
        <v>0</v>
      </c>
      <c r="S133" s="345">
        <v>0</v>
      </c>
      <c r="T133" s="345">
        <v>0</v>
      </c>
      <c r="U133" s="345">
        <v>0</v>
      </c>
      <c r="V133" s="345">
        <v>0</v>
      </c>
      <c r="W133" s="345">
        <v>0</v>
      </c>
      <c r="X133" s="345">
        <v>0</v>
      </c>
      <c r="Y133" s="380">
        <v>0</v>
      </c>
      <c r="Z133" s="296">
        <f t="shared" si="89"/>
        <v>0</v>
      </c>
      <c r="AA133" s="298">
        <f t="shared" si="90"/>
        <v>0</v>
      </c>
      <c r="AB133" s="948">
        <f t="array" ref="AB133">IF(AND($AD$123=TRUE,SUM(B133:L133)&gt;0),SUMPRODUCT((((TRANSPOSE(Cls2CentDailyRng)&lt;INDEX(CDRANGE_CLS2,$A133-$A$128+1,AD$124))*TRANSPOSE(Cls2CentDailyRng)+(TRANSPOSE(Cls2CentDailyRng)&gt;INDEX(CDRANGE_CLS2,$A133-$A$128+1,AD$124))*INDEX(CDRANGE_CLS2,$A133-$A$128+1,AD$124))/TRANSPOSE(Cls2CentDailyRng)),B133:L133,TRANSPOSE(Cls2CentVMTShr))/SUMPRODUCT(B133:L133,TRANSPOSE(Cls2CentVMTShr)),0)</f>
        <v>0</v>
      </c>
      <c r="AC133" s="949">
        <f t="array" ref="AC133">IF(AND($AD$123=TRUE,SUM(O133:Y133)&gt;0),SUMPRODUCT((((TRANSPOSE(Cls2NCentDailyRng)&lt;INDEX(CDRANGE_CLS2,$A133-$A$128+1,AD$124))*TRANSPOSE(Cls2NCentDailyRng)+(TRANSPOSE(Cls2NCentDailyRng)&gt;INDEX(CDRANGE_CLS2,$A133-$A$128+1,AD$124))*INDEX(CDRANGE_CLS2,$A133-$A$128+1,AD$124))/TRANSPOSE(Cls2NCentDailyRng)),O133:Y133,TRANSPOSE(Cls2NCentVMTShr))/SUMPRODUCT(O133:Y133,TRANSPOSE(Cls2NCentVMTShr)),0)</f>
        <v>0</v>
      </c>
      <c r="AD133" s="1226">
        <f t="shared" si="96"/>
        <v>0</v>
      </c>
      <c r="AE133" s="937">
        <f t="shared" si="97"/>
        <v>0</v>
      </c>
      <c r="AF133" s="937">
        <f t="shared" si="98"/>
        <v>0</v>
      </c>
      <c r="AG133" s="937">
        <f t="shared" si="99"/>
        <v>0</v>
      </c>
      <c r="AH133" s="1172">
        <f t="shared" si="100"/>
        <v>0</v>
      </c>
      <c r="AI133" s="937">
        <f t="shared" si="101"/>
        <v>0</v>
      </c>
    </row>
    <row r="134" spans="1:35" x14ac:dyDescent="0.2">
      <c r="A134" s="330">
        <v>2013</v>
      </c>
      <c r="B134" s="344">
        <v>0</v>
      </c>
      <c r="C134" s="345">
        <v>0</v>
      </c>
      <c r="D134" s="345">
        <v>0</v>
      </c>
      <c r="E134" s="345">
        <v>0</v>
      </c>
      <c r="F134" s="345">
        <v>0</v>
      </c>
      <c r="G134" s="345">
        <v>0</v>
      </c>
      <c r="H134" s="345">
        <v>0</v>
      </c>
      <c r="I134" s="345">
        <v>0</v>
      </c>
      <c r="J134" s="345">
        <v>0</v>
      </c>
      <c r="K134" s="345">
        <v>0</v>
      </c>
      <c r="L134" s="380">
        <v>0</v>
      </c>
      <c r="M134" s="296">
        <f t="shared" si="94"/>
        <v>0</v>
      </c>
      <c r="N134" s="298">
        <f t="shared" si="95"/>
        <v>0</v>
      </c>
      <c r="O134" s="344">
        <v>0</v>
      </c>
      <c r="P134" s="345">
        <v>0</v>
      </c>
      <c r="Q134" s="345">
        <v>0</v>
      </c>
      <c r="R134" s="345">
        <v>0</v>
      </c>
      <c r="S134" s="345">
        <v>0</v>
      </c>
      <c r="T134" s="345">
        <v>0</v>
      </c>
      <c r="U134" s="345">
        <v>0</v>
      </c>
      <c r="V134" s="345">
        <v>0</v>
      </c>
      <c r="W134" s="345">
        <v>0</v>
      </c>
      <c r="X134" s="345">
        <v>0</v>
      </c>
      <c r="Y134" s="380">
        <v>0</v>
      </c>
      <c r="Z134" s="296">
        <f t="shared" si="89"/>
        <v>0</v>
      </c>
      <c r="AA134" s="298">
        <f t="shared" si="90"/>
        <v>0</v>
      </c>
      <c r="AB134" s="948">
        <f t="array" ref="AB134">IF(AND($AD$123=TRUE,SUM(B134:L134)&gt;0),SUMPRODUCT((((TRANSPOSE(Cls2CentDailyRng)&lt;INDEX(CDRANGE_CLS2,$A134-$A$128+1,AD$124))*TRANSPOSE(Cls2CentDailyRng)+(TRANSPOSE(Cls2CentDailyRng)&gt;INDEX(CDRANGE_CLS2,$A134-$A$128+1,AD$124))*INDEX(CDRANGE_CLS2,$A134-$A$128+1,AD$124))/TRANSPOSE(Cls2CentDailyRng)),B134:L134,TRANSPOSE(Cls2CentVMTShr))/SUMPRODUCT(B134:L134,TRANSPOSE(Cls2CentVMTShr)),0)</f>
        <v>0</v>
      </c>
      <c r="AC134" s="949">
        <f t="array" ref="AC134">IF(AND($AD$123=TRUE,SUM(O134:Y134)&gt;0),SUMPRODUCT((((TRANSPOSE(Cls2NCentDailyRng)&lt;INDEX(CDRANGE_CLS2,$A134-$A$128+1,AD$124))*TRANSPOSE(Cls2NCentDailyRng)+(TRANSPOSE(Cls2NCentDailyRng)&gt;INDEX(CDRANGE_CLS2,$A134-$A$128+1,AD$124))*INDEX(CDRANGE_CLS2,$A134-$A$128+1,AD$124))/TRANSPOSE(Cls2NCentDailyRng)),O134:Y134,TRANSPOSE(Cls2NCentVMTShr))/SUMPRODUCT(O134:Y134,TRANSPOSE(Cls2NCentVMTShr)),0)</f>
        <v>0</v>
      </c>
      <c r="AD134" s="1226">
        <f t="shared" si="96"/>
        <v>0</v>
      </c>
      <c r="AE134" s="937">
        <f t="shared" si="97"/>
        <v>0</v>
      </c>
      <c r="AF134" s="937">
        <f t="shared" si="98"/>
        <v>0</v>
      </c>
      <c r="AG134" s="937">
        <f t="shared" si="99"/>
        <v>0</v>
      </c>
      <c r="AH134" s="1172">
        <f t="shared" si="100"/>
        <v>0</v>
      </c>
      <c r="AI134" s="937">
        <f t="shared" si="101"/>
        <v>0</v>
      </c>
    </row>
    <row r="135" spans="1:35" x14ac:dyDescent="0.2">
      <c r="A135" s="330">
        <v>2014</v>
      </c>
      <c r="B135" s="344">
        <v>0</v>
      </c>
      <c r="C135" s="345">
        <v>0</v>
      </c>
      <c r="D135" s="345">
        <v>0</v>
      </c>
      <c r="E135" s="345">
        <v>0</v>
      </c>
      <c r="F135" s="345">
        <v>0</v>
      </c>
      <c r="G135" s="345">
        <v>0</v>
      </c>
      <c r="H135" s="345">
        <v>0</v>
      </c>
      <c r="I135" s="345">
        <v>0</v>
      </c>
      <c r="J135" s="345">
        <v>0</v>
      </c>
      <c r="K135" s="345">
        <v>0</v>
      </c>
      <c r="L135" s="380">
        <v>0</v>
      </c>
      <c r="M135" s="296">
        <f t="shared" si="94"/>
        <v>0</v>
      </c>
      <c r="N135" s="298">
        <f t="shared" si="95"/>
        <v>0</v>
      </c>
      <c r="O135" s="344">
        <v>0</v>
      </c>
      <c r="P135" s="345">
        <v>0</v>
      </c>
      <c r="Q135" s="345">
        <v>0</v>
      </c>
      <c r="R135" s="345">
        <v>0</v>
      </c>
      <c r="S135" s="345">
        <v>0</v>
      </c>
      <c r="T135" s="345">
        <v>0</v>
      </c>
      <c r="U135" s="345">
        <v>0</v>
      </c>
      <c r="V135" s="345">
        <v>0</v>
      </c>
      <c r="W135" s="345">
        <v>0</v>
      </c>
      <c r="X135" s="345">
        <v>0</v>
      </c>
      <c r="Y135" s="380">
        <v>0</v>
      </c>
      <c r="Z135" s="296">
        <f t="shared" si="89"/>
        <v>0</v>
      </c>
      <c r="AA135" s="298">
        <f t="shared" si="90"/>
        <v>0</v>
      </c>
      <c r="AB135" s="948">
        <f t="array" ref="AB135">IF(AND($AD$123=TRUE,SUM(B135:L135)&gt;0),SUMPRODUCT((((TRANSPOSE(Cls2CentDailyRng)&lt;INDEX(CDRANGE_CLS2,$A135-$A$128+1,AD$124))*TRANSPOSE(Cls2CentDailyRng)+(TRANSPOSE(Cls2CentDailyRng)&gt;INDEX(CDRANGE_CLS2,$A135-$A$128+1,AD$124))*INDEX(CDRANGE_CLS2,$A135-$A$128+1,AD$124))/TRANSPOSE(Cls2CentDailyRng)),B135:L135,TRANSPOSE(Cls2CentVMTShr))/SUMPRODUCT(B135:L135,TRANSPOSE(Cls2CentVMTShr)),0)</f>
        <v>0</v>
      </c>
      <c r="AC135" s="949">
        <f t="array" ref="AC135">IF(AND($AD$123=TRUE,SUM(O135:Y135)&gt;0),SUMPRODUCT((((TRANSPOSE(Cls2NCentDailyRng)&lt;INDEX(CDRANGE_CLS2,$A135-$A$128+1,AD$124))*TRANSPOSE(Cls2NCentDailyRng)+(TRANSPOSE(Cls2NCentDailyRng)&gt;INDEX(CDRANGE_CLS2,$A135-$A$128+1,AD$124))*INDEX(CDRANGE_CLS2,$A135-$A$128+1,AD$124))/TRANSPOSE(Cls2NCentDailyRng)),O135:Y135,TRANSPOSE(Cls2NCentVMTShr))/SUMPRODUCT(O135:Y135,TRANSPOSE(Cls2NCentVMTShr)),0)</f>
        <v>0</v>
      </c>
      <c r="AD135" s="1226">
        <f t="shared" si="96"/>
        <v>0</v>
      </c>
      <c r="AE135" s="937">
        <f t="shared" si="97"/>
        <v>0</v>
      </c>
      <c r="AF135" s="937">
        <f t="shared" si="98"/>
        <v>0</v>
      </c>
      <c r="AG135" s="937">
        <f t="shared" si="99"/>
        <v>0</v>
      </c>
      <c r="AH135" s="1172">
        <f t="shared" si="100"/>
        <v>0</v>
      </c>
      <c r="AI135" s="937">
        <f t="shared" si="101"/>
        <v>0</v>
      </c>
    </row>
    <row r="136" spans="1:35"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4"/>
        <v>0</v>
      </c>
      <c r="N136" s="312">
        <f t="shared" si="95"/>
        <v>0</v>
      </c>
      <c r="O136" s="346">
        <v>0</v>
      </c>
      <c r="P136" s="347">
        <v>0</v>
      </c>
      <c r="Q136" s="347">
        <v>0</v>
      </c>
      <c r="R136" s="347">
        <v>0</v>
      </c>
      <c r="S136" s="347">
        <v>0</v>
      </c>
      <c r="T136" s="347">
        <v>0</v>
      </c>
      <c r="U136" s="347">
        <v>0</v>
      </c>
      <c r="V136" s="347">
        <v>0</v>
      </c>
      <c r="W136" s="347">
        <v>0</v>
      </c>
      <c r="X136" s="347">
        <v>0</v>
      </c>
      <c r="Y136" s="381">
        <v>0</v>
      </c>
      <c r="Z136" s="310">
        <f t="shared" si="89"/>
        <v>0</v>
      </c>
      <c r="AA136" s="312">
        <f t="shared" si="90"/>
        <v>0</v>
      </c>
      <c r="AB136" s="948">
        <f t="array" ref="AB136">IF(AND($AD$123=TRUE,SUM(B136:L136)&gt;0),SUMPRODUCT((((TRANSPOSE(Cls2CentDailyRng)&lt;INDEX(CDRANGE_CLS2,$A136-$A$128+1,AD$124))*TRANSPOSE(Cls2CentDailyRng)+(TRANSPOSE(Cls2CentDailyRng)&gt;INDEX(CDRANGE_CLS2,$A136-$A$128+1,AD$124))*INDEX(CDRANGE_CLS2,$A136-$A$128+1,AD$124))/TRANSPOSE(Cls2CentDailyRng)),B136:L136,TRANSPOSE(Cls2CentVMTShr))/SUMPRODUCT(B136:L136,TRANSPOSE(Cls2CentVMTShr)),0)</f>
        <v>0</v>
      </c>
      <c r="AC136" s="949">
        <f t="array" ref="AC136">IF(AND($AD$123=TRUE,SUM(O136:Y136)&gt;0),SUMPRODUCT((((TRANSPOSE(Cls2NCentDailyRng)&lt;INDEX(CDRANGE_CLS2,$A136-$A$128+1,AD$124))*TRANSPOSE(Cls2NCentDailyRng)+(TRANSPOSE(Cls2NCentDailyRng)&gt;INDEX(CDRANGE_CLS2,$A136-$A$128+1,AD$124))*INDEX(CDRANGE_CLS2,$A136-$A$128+1,AD$124))/TRANSPOSE(Cls2NCentDailyRng)),O136:Y136,TRANSPOSE(Cls2NCentVMTShr))/SUMPRODUCT(O136:Y136,TRANSPOSE(Cls2NCentVMTShr)),0)</f>
        <v>0</v>
      </c>
      <c r="AD136" s="1226">
        <f t="shared" si="96"/>
        <v>0</v>
      </c>
      <c r="AE136" s="937">
        <f t="shared" si="97"/>
        <v>0</v>
      </c>
      <c r="AF136" s="937">
        <f t="shared" si="98"/>
        <v>0</v>
      </c>
      <c r="AG136" s="937">
        <f t="shared" si="99"/>
        <v>0</v>
      </c>
      <c r="AH136" s="1172">
        <f t="shared" si="100"/>
        <v>0</v>
      </c>
      <c r="AI136" s="937">
        <f t="shared" si="101"/>
        <v>0</v>
      </c>
    </row>
    <row r="137" spans="1:35" x14ac:dyDescent="0.2">
      <c r="A137" s="329">
        <v>2016</v>
      </c>
      <c r="B137" s="342">
        <v>0</v>
      </c>
      <c r="C137" s="343">
        <v>0</v>
      </c>
      <c r="D137" s="343">
        <v>0</v>
      </c>
      <c r="E137" s="343">
        <v>0</v>
      </c>
      <c r="F137" s="343">
        <v>0</v>
      </c>
      <c r="G137" s="343">
        <v>0</v>
      </c>
      <c r="H137" s="343">
        <v>0</v>
      </c>
      <c r="I137" s="343">
        <v>0</v>
      </c>
      <c r="J137" s="343">
        <v>0</v>
      </c>
      <c r="K137" s="343">
        <v>0</v>
      </c>
      <c r="L137" s="379">
        <v>0</v>
      </c>
      <c r="M137" s="282">
        <f t="shared" si="94"/>
        <v>0</v>
      </c>
      <c r="N137" s="284">
        <f t="shared" si="95"/>
        <v>0</v>
      </c>
      <c r="O137" s="342">
        <v>0</v>
      </c>
      <c r="P137" s="343">
        <v>0</v>
      </c>
      <c r="Q137" s="343">
        <v>0</v>
      </c>
      <c r="R137" s="343">
        <v>0</v>
      </c>
      <c r="S137" s="343">
        <v>0</v>
      </c>
      <c r="T137" s="343">
        <v>0</v>
      </c>
      <c r="U137" s="343">
        <v>0</v>
      </c>
      <c r="V137" s="343">
        <v>0</v>
      </c>
      <c r="W137" s="343">
        <v>0</v>
      </c>
      <c r="X137" s="343">
        <v>0</v>
      </c>
      <c r="Y137" s="379">
        <v>0</v>
      </c>
      <c r="Z137" s="282">
        <f t="shared" si="89"/>
        <v>0</v>
      </c>
      <c r="AA137" s="284">
        <f t="shared" si="90"/>
        <v>0</v>
      </c>
      <c r="AB137" s="948">
        <f t="array" ref="AB137">IF(AND($AD$123=TRUE,SUM(B137:L137)&gt;0),SUMPRODUCT((((TRANSPOSE(Cls2CentDailyRng)&lt;INDEX(CDRANGE_CLS2,$A137-$A$128+1,AD$124))*TRANSPOSE(Cls2CentDailyRng)+(TRANSPOSE(Cls2CentDailyRng)&gt;INDEX(CDRANGE_CLS2,$A137-$A$128+1,AD$124))*INDEX(CDRANGE_CLS2,$A137-$A$128+1,AD$124))/TRANSPOSE(Cls2CentDailyRng)),B137:L137,TRANSPOSE(Cls2CentVMTShr))/SUMPRODUCT(B137:L137,TRANSPOSE(Cls2CentVMTShr)),0)</f>
        <v>0</v>
      </c>
      <c r="AC137" s="949">
        <f t="array" ref="AC137">IF(AND($AD$123=TRUE,SUM(O137:Y137)&gt;0),SUMPRODUCT((((TRANSPOSE(Cls2NCentDailyRng)&lt;INDEX(CDRANGE_CLS2,$A137-$A$128+1,AD$124))*TRANSPOSE(Cls2NCentDailyRng)+(TRANSPOSE(Cls2NCentDailyRng)&gt;INDEX(CDRANGE_CLS2,$A137-$A$128+1,AD$124))*INDEX(CDRANGE_CLS2,$A137-$A$128+1,AD$124))/TRANSPOSE(Cls2NCentDailyRng)),O137:Y137,TRANSPOSE(Cls2NCentVMTShr))/SUMPRODUCT(O137:Y137,TRANSPOSE(Cls2NCentVMTShr)),0)</f>
        <v>0</v>
      </c>
      <c r="AD137" s="1226">
        <f t="shared" si="96"/>
        <v>0</v>
      </c>
      <c r="AE137" s="937">
        <f t="shared" si="97"/>
        <v>0</v>
      </c>
      <c r="AF137" s="937">
        <f t="shared" si="98"/>
        <v>0</v>
      </c>
      <c r="AG137" s="937">
        <f t="shared" si="99"/>
        <v>0</v>
      </c>
      <c r="AH137" s="1172">
        <f t="shared" si="100"/>
        <v>0</v>
      </c>
      <c r="AI137" s="937">
        <f t="shared" si="101"/>
        <v>0</v>
      </c>
    </row>
    <row r="138" spans="1:35" x14ac:dyDescent="0.2">
      <c r="A138" s="330">
        <v>2017</v>
      </c>
      <c r="B138" s="344">
        <v>0</v>
      </c>
      <c r="C138" s="345">
        <v>0</v>
      </c>
      <c r="D138" s="345">
        <v>0</v>
      </c>
      <c r="E138" s="345">
        <v>0</v>
      </c>
      <c r="F138" s="345">
        <v>0</v>
      </c>
      <c r="G138" s="345">
        <v>0</v>
      </c>
      <c r="H138" s="345">
        <v>0</v>
      </c>
      <c r="I138" s="345">
        <v>0</v>
      </c>
      <c r="J138" s="345">
        <v>0</v>
      </c>
      <c r="K138" s="345">
        <v>0</v>
      </c>
      <c r="L138" s="380">
        <v>0</v>
      </c>
      <c r="M138" s="296">
        <f t="shared" si="94"/>
        <v>0</v>
      </c>
      <c r="N138" s="298">
        <f t="shared" si="95"/>
        <v>0</v>
      </c>
      <c r="O138" s="344">
        <v>0</v>
      </c>
      <c r="P138" s="345">
        <v>0</v>
      </c>
      <c r="Q138" s="345">
        <v>0</v>
      </c>
      <c r="R138" s="345">
        <v>0</v>
      </c>
      <c r="S138" s="345">
        <v>0</v>
      </c>
      <c r="T138" s="345">
        <v>0</v>
      </c>
      <c r="U138" s="345">
        <v>0</v>
      </c>
      <c r="V138" s="345">
        <v>0</v>
      </c>
      <c r="W138" s="345">
        <v>0</v>
      </c>
      <c r="X138" s="345">
        <v>0</v>
      </c>
      <c r="Y138" s="380">
        <v>0</v>
      </c>
      <c r="Z138" s="296">
        <f t="shared" si="89"/>
        <v>0</v>
      </c>
      <c r="AA138" s="298">
        <f t="shared" si="90"/>
        <v>0</v>
      </c>
      <c r="AB138" s="948">
        <f t="array" ref="AB138">IF(AND($AD$123=TRUE,SUM(B138:L138)&gt;0),SUMPRODUCT((((TRANSPOSE(Cls2CentDailyRng)&lt;INDEX(CDRANGE_CLS2,$A138-$A$128+1,AD$124))*TRANSPOSE(Cls2CentDailyRng)+(TRANSPOSE(Cls2CentDailyRng)&gt;INDEX(CDRANGE_CLS2,$A138-$A$128+1,AD$124))*INDEX(CDRANGE_CLS2,$A138-$A$128+1,AD$124))/TRANSPOSE(Cls2CentDailyRng)),B138:L138,TRANSPOSE(Cls2CentVMTShr))/SUMPRODUCT(B138:L138,TRANSPOSE(Cls2CentVMTShr)),0)</f>
        <v>0</v>
      </c>
      <c r="AC138" s="949">
        <f t="array" ref="AC138">IF(AND($AD$123=TRUE,SUM(O138:Y138)&gt;0),SUMPRODUCT((((TRANSPOSE(Cls2NCentDailyRng)&lt;INDEX(CDRANGE_CLS2,$A138-$A$128+1,AD$124))*TRANSPOSE(Cls2NCentDailyRng)+(TRANSPOSE(Cls2NCentDailyRng)&gt;INDEX(CDRANGE_CLS2,$A138-$A$128+1,AD$124))*INDEX(CDRANGE_CLS2,$A138-$A$128+1,AD$124))/TRANSPOSE(Cls2NCentDailyRng)),O138:Y138,TRANSPOSE(Cls2NCentVMTShr))/SUMPRODUCT(O138:Y138,TRANSPOSE(Cls2NCentVMTShr)),0)</f>
        <v>0</v>
      </c>
      <c r="AD138" s="1226">
        <f t="shared" si="96"/>
        <v>0</v>
      </c>
      <c r="AE138" s="937">
        <f t="shared" si="97"/>
        <v>0</v>
      </c>
      <c r="AF138" s="937">
        <f t="shared" si="98"/>
        <v>0</v>
      </c>
      <c r="AG138" s="937">
        <f t="shared" si="99"/>
        <v>0</v>
      </c>
      <c r="AH138" s="1172">
        <f t="shared" si="100"/>
        <v>0</v>
      </c>
      <c r="AI138" s="937">
        <f t="shared" si="101"/>
        <v>0</v>
      </c>
    </row>
    <row r="139" spans="1:35" x14ac:dyDescent="0.2">
      <c r="A139" s="330">
        <v>2018</v>
      </c>
      <c r="B139" s="344">
        <v>0</v>
      </c>
      <c r="C139" s="345">
        <v>0</v>
      </c>
      <c r="D139" s="345">
        <v>0</v>
      </c>
      <c r="E139" s="345">
        <v>0</v>
      </c>
      <c r="F139" s="345">
        <v>0</v>
      </c>
      <c r="G139" s="345">
        <v>0</v>
      </c>
      <c r="H139" s="345">
        <v>0</v>
      </c>
      <c r="I139" s="345">
        <v>0</v>
      </c>
      <c r="J139" s="345">
        <v>0</v>
      </c>
      <c r="K139" s="345">
        <v>0</v>
      </c>
      <c r="L139" s="380">
        <v>0</v>
      </c>
      <c r="M139" s="296">
        <f t="shared" si="94"/>
        <v>0</v>
      </c>
      <c r="N139" s="298">
        <f t="shared" si="95"/>
        <v>0</v>
      </c>
      <c r="O139" s="344">
        <v>0</v>
      </c>
      <c r="P139" s="345">
        <v>0</v>
      </c>
      <c r="Q139" s="345">
        <v>0</v>
      </c>
      <c r="R139" s="345">
        <v>0</v>
      </c>
      <c r="S139" s="345">
        <v>0</v>
      </c>
      <c r="T139" s="345">
        <v>0</v>
      </c>
      <c r="U139" s="345">
        <v>0</v>
      </c>
      <c r="V139" s="345">
        <v>0</v>
      </c>
      <c r="W139" s="345">
        <v>0</v>
      </c>
      <c r="X139" s="345">
        <v>0</v>
      </c>
      <c r="Y139" s="380">
        <v>0</v>
      </c>
      <c r="Z139" s="296">
        <f t="shared" si="89"/>
        <v>0</v>
      </c>
      <c r="AA139" s="298">
        <f t="shared" si="90"/>
        <v>0</v>
      </c>
      <c r="AB139" s="948">
        <f t="array" ref="AB139">IF(AND($AD$123=TRUE,SUM(B139:L139)&gt;0),SUMPRODUCT((((TRANSPOSE(Cls2CentDailyRng)&lt;INDEX(CDRANGE_CLS2,$A139-$A$128+1,AD$124))*TRANSPOSE(Cls2CentDailyRng)+(TRANSPOSE(Cls2CentDailyRng)&gt;INDEX(CDRANGE_CLS2,$A139-$A$128+1,AD$124))*INDEX(CDRANGE_CLS2,$A139-$A$128+1,AD$124))/TRANSPOSE(Cls2CentDailyRng)),B139:L139,TRANSPOSE(Cls2CentVMTShr))/SUMPRODUCT(B139:L139,TRANSPOSE(Cls2CentVMTShr)),0)</f>
        <v>0</v>
      </c>
      <c r="AC139" s="949">
        <f t="array" ref="AC139">IF(AND($AD$123=TRUE,SUM(O139:Y139)&gt;0),SUMPRODUCT((((TRANSPOSE(Cls2NCentDailyRng)&lt;INDEX(CDRANGE_CLS2,$A139-$A$128+1,AD$124))*TRANSPOSE(Cls2NCentDailyRng)+(TRANSPOSE(Cls2NCentDailyRng)&gt;INDEX(CDRANGE_CLS2,$A139-$A$128+1,AD$124))*INDEX(CDRANGE_CLS2,$A139-$A$128+1,AD$124))/TRANSPOSE(Cls2NCentDailyRng)),O139:Y139,TRANSPOSE(Cls2NCentVMTShr))/SUMPRODUCT(O139:Y139,TRANSPOSE(Cls2NCentVMTShr)),0)</f>
        <v>0</v>
      </c>
      <c r="AD139" s="1226">
        <f t="shared" si="96"/>
        <v>0</v>
      </c>
      <c r="AE139" s="937">
        <f t="shared" si="97"/>
        <v>0</v>
      </c>
      <c r="AF139" s="937">
        <f t="shared" si="98"/>
        <v>0</v>
      </c>
      <c r="AG139" s="937">
        <f t="shared" si="99"/>
        <v>0</v>
      </c>
      <c r="AH139" s="1172">
        <f t="shared" si="100"/>
        <v>0</v>
      </c>
      <c r="AI139" s="937">
        <f t="shared" si="101"/>
        <v>0</v>
      </c>
    </row>
    <row r="140" spans="1:35" x14ac:dyDescent="0.2">
      <c r="A140" s="330">
        <v>2019</v>
      </c>
      <c r="B140" s="344">
        <v>0</v>
      </c>
      <c r="C140" s="345">
        <v>0</v>
      </c>
      <c r="D140" s="345">
        <v>0</v>
      </c>
      <c r="E140" s="345">
        <v>0</v>
      </c>
      <c r="F140" s="345">
        <v>0</v>
      </c>
      <c r="G140" s="345">
        <v>0</v>
      </c>
      <c r="H140" s="345">
        <v>0</v>
      </c>
      <c r="I140" s="345">
        <v>0</v>
      </c>
      <c r="J140" s="345">
        <v>0</v>
      </c>
      <c r="K140" s="345">
        <v>0</v>
      </c>
      <c r="L140" s="380">
        <v>0</v>
      </c>
      <c r="M140" s="296">
        <f t="shared" si="94"/>
        <v>0</v>
      </c>
      <c r="N140" s="298">
        <f t="shared" si="95"/>
        <v>0</v>
      </c>
      <c r="O140" s="344">
        <v>0</v>
      </c>
      <c r="P140" s="345">
        <v>0</v>
      </c>
      <c r="Q140" s="345">
        <v>0</v>
      </c>
      <c r="R140" s="345">
        <v>0</v>
      </c>
      <c r="S140" s="345">
        <v>0</v>
      </c>
      <c r="T140" s="345">
        <v>0</v>
      </c>
      <c r="U140" s="345">
        <v>0</v>
      </c>
      <c r="V140" s="345">
        <v>0</v>
      </c>
      <c r="W140" s="345">
        <v>0</v>
      </c>
      <c r="X140" s="345">
        <v>0</v>
      </c>
      <c r="Y140" s="380">
        <v>0</v>
      </c>
      <c r="Z140" s="296">
        <f t="shared" si="89"/>
        <v>0</v>
      </c>
      <c r="AA140" s="298">
        <f t="shared" si="90"/>
        <v>0</v>
      </c>
      <c r="AB140" s="948">
        <f t="array" ref="AB140">IF(AND($AD$123=TRUE,SUM(B140:L140)&gt;0),SUMPRODUCT((((TRANSPOSE(Cls2CentDailyRng)&lt;INDEX(CDRANGE_CLS2,$A140-$A$128+1,AD$124))*TRANSPOSE(Cls2CentDailyRng)+(TRANSPOSE(Cls2CentDailyRng)&gt;INDEX(CDRANGE_CLS2,$A140-$A$128+1,AD$124))*INDEX(CDRANGE_CLS2,$A140-$A$128+1,AD$124))/TRANSPOSE(Cls2CentDailyRng)),B140:L140,TRANSPOSE(Cls2CentVMTShr))/SUMPRODUCT(B140:L140,TRANSPOSE(Cls2CentVMTShr)),0)</f>
        <v>0</v>
      </c>
      <c r="AC140" s="949">
        <f t="array" ref="AC140">IF(AND($AD$123=TRUE,SUM(O140:Y140)&gt;0),SUMPRODUCT((((TRANSPOSE(Cls2NCentDailyRng)&lt;INDEX(CDRANGE_CLS2,$A140-$A$128+1,AD$124))*TRANSPOSE(Cls2NCentDailyRng)+(TRANSPOSE(Cls2NCentDailyRng)&gt;INDEX(CDRANGE_CLS2,$A140-$A$128+1,AD$124))*INDEX(CDRANGE_CLS2,$A140-$A$128+1,AD$124))/TRANSPOSE(Cls2NCentDailyRng)),O140:Y140,TRANSPOSE(Cls2NCentVMTShr))/SUMPRODUCT(O140:Y140,TRANSPOSE(Cls2NCentVMTShr)),0)</f>
        <v>0</v>
      </c>
      <c r="AD140" s="1226">
        <f t="shared" si="96"/>
        <v>0</v>
      </c>
      <c r="AE140" s="937">
        <f t="shared" si="97"/>
        <v>0</v>
      </c>
      <c r="AF140" s="937">
        <f t="shared" si="98"/>
        <v>0</v>
      </c>
      <c r="AG140" s="937">
        <f t="shared" si="99"/>
        <v>0</v>
      </c>
      <c r="AH140" s="1172">
        <f t="shared" si="100"/>
        <v>0</v>
      </c>
      <c r="AI140" s="937">
        <f t="shared" si="101"/>
        <v>0</v>
      </c>
    </row>
    <row r="141" spans="1:35"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4"/>
        <v>0</v>
      </c>
      <c r="N141" s="312">
        <f t="shared" si="95"/>
        <v>0</v>
      </c>
      <c r="O141" s="346">
        <v>0</v>
      </c>
      <c r="P141" s="347">
        <v>0</v>
      </c>
      <c r="Q141" s="347">
        <v>0</v>
      </c>
      <c r="R141" s="347">
        <v>0</v>
      </c>
      <c r="S141" s="347">
        <v>0</v>
      </c>
      <c r="T141" s="347">
        <v>0</v>
      </c>
      <c r="U141" s="347">
        <v>0</v>
      </c>
      <c r="V141" s="347">
        <v>0</v>
      </c>
      <c r="W141" s="347">
        <v>0</v>
      </c>
      <c r="X141" s="347">
        <v>0</v>
      </c>
      <c r="Y141" s="381">
        <v>0</v>
      </c>
      <c r="Z141" s="310">
        <f t="shared" si="89"/>
        <v>0</v>
      </c>
      <c r="AA141" s="312">
        <f t="shared" si="90"/>
        <v>0</v>
      </c>
      <c r="AB141" s="948">
        <f t="array" ref="AB141">IF(AND($AD$123=TRUE,SUM(B141:L141)&gt;0),SUMPRODUCT((((TRANSPOSE(Cls2CentDailyRng)&lt;INDEX(CDRANGE_CLS2,$A141-$A$128+1,AD$124))*TRANSPOSE(Cls2CentDailyRng)+(TRANSPOSE(Cls2CentDailyRng)&gt;INDEX(CDRANGE_CLS2,$A141-$A$128+1,AD$124))*INDEX(CDRANGE_CLS2,$A141-$A$128+1,AD$124))/TRANSPOSE(Cls2CentDailyRng)),B141:L141,TRANSPOSE(Cls2CentVMTShr))/SUMPRODUCT(B141:L141,TRANSPOSE(Cls2CentVMTShr)),0)</f>
        <v>0</v>
      </c>
      <c r="AC141" s="949">
        <f t="array" ref="AC141">IF(AND($AD$123=TRUE,SUM(O141:Y141)&gt;0),SUMPRODUCT((((TRANSPOSE(Cls2NCentDailyRng)&lt;INDEX(CDRANGE_CLS2,$A141-$A$128+1,AD$124))*TRANSPOSE(Cls2NCentDailyRng)+(TRANSPOSE(Cls2NCentDailyRng)&gt;INDEX(CDRANGE_CLS2,$A141-$A$128+1,AD$124))*INDEX(CDRANGE_CLS2,$A141-$A$128+1,AD$124))/TRANSPOSE(Cls2NCentDailyRng)),O141:Y141,TRANSPOSE(Cls2NCentVMTShr))/SUMPRODUCT(O141:Y141,TRANSPOSE(Cls2NCentVMTShr)),0)</f>
        <v>0</v>
      </c>
      <c r="AD141" s="1226">
        <f t="shared" si="96"/>
        <v>0</v>
      </c>
      <c r="AE141" s="937">
        <f t="shared" si="97"/>
        <v>0</v>
      </c>
      <c r="AF141" s="937">
        <f t="shared" si="98"/>
        <v>0</v>
      </c>
      <c r="AG141" s="937">
        <f t="shared" si="99"/>
        <v>0</v>
      </c>
      <c r="AH141" s="1172">
        <f t="shared" si="100"/>
        <v>0</v>
      </c>
      <c r="AI141" s="937">
        <f t="shared" si="101"/>
        <v>0</v>
      </c>
    </row>
    <row r="142" spans="1:35" x14ac:dyDescent="0.2">
      <c r="A142" s="329">
        <v>2021</v>
      </c>
      <c r="B142" s="342">
        <v>1.1537312339601806E-2</v>
      </c>
      <c r="C142" s="343">
        <v>1.1537312339601806E-2</v>
      </c>
      <c r="D142" s="343">
        <v>1.1537312339601806E-2</v>
      </c>
      <c r="E142" s="343">
        <v>1.1742587032886838E-2</v>
      </c>
      <c r="F142" s="343">
        <v>1.3536504983699963E-2</v>
      </c>
      <c r="G142" s="343">
        <v>1.4199383290848664E-2</v>
      </c>
      <c r="H142" s="343">
        <v>1.4704862887569357E-2</v>
      </c>
      <c r="I142" s="343">
        <v>1.5208243537809295E-2</v>
      </c>
      <c r="J142" s="343">
        <v>1.7218605023263774E-2</v>
      </c>
      <c r="K142" s="343">
        <v>1.851375162917868E-2</v>
      </c>
      <c r="L142" s="379">
        <v>2.0698204146004404E-2</v>
      </c>
      <c r="M142" s="282">
        <f t="shared" si="94"/>
        <v>8.653000777971976E-3</v>
      </c>
      <c r="N142" s="284">
        <f t="shared" si="95"/>
        <v>7.6880517854242348E-3</v>
      </c>
      <c r="O142" s="342">
        <v>1.1537312339601806E-2</v>
      </c>
      <c r="P142" s="343">
        <v>1.1537312339601806E-2</v>
      </c>
      <c r="Q142" s="343">
        <v>1.1537312339601806E-2</v>
      </c>
      <c r="R142" s="343">
        <v>1.2408217576382663E-2</v>
      </c>
      <c r="S142" s="343">
        <v>1.377500217214645E-2</v>
      </c>
      <c r="T142" s="343">
        <v>1.4553820173558395E-2</v>
      </c>
      <c r="U142" s="343">
        <v>1.4704862887569357E-2</v>
      </c>
      <c r="V142" s="343">
        <v>1.5208243537809295E-2</v>
      </c>
      <c r="W142" s="343">
        <v>1.851375162917868E-2</v>
      </c>
      <c r="X142" s="343">
        <v>1.9073324702149834E-2</v>
      </c>
      <c r="Y142" s="379">
        <v>2.0772529306979801E-2</v>
      </c>
      <c r="Z142" s="282">
        <f t="shared" si="89"/>
        <v>5.3591671717112292E-3</v>
      </c>
      <c r="AA142" s="284">
        <f t="shared" si="90"/>
        <v>5.3133485999506099E-3</v>
      </c>
      <c r="AB142" s="948">
        <f t="array" ref="AB142">IF(AND($AD$123=TRUE,SUM(B142:L142)&gt;0),SUMPRODUCT((((TRANSPOSE(Cls2CentDailyRng)&lt;INDEX(CDRANGE_CLS2,$A142-$A$128+1,AD$124))*TRANSPOSE(Cls2CentDailyRng)+(TRANSPOSE(Cls2CentDailyRng)&gt;INDEX(CDRANGE_CLS2,$A142-$A$128+1,AD$124))*INDEX(CDRANGE_CLS2,$A142-$A$128+1,AD$124))/TRANSPOSE(Cls2CentDailyRng)),B142:L142,TRANSPOSE(Cls2CentVMTShr))/SUMPRODUCT(B142:L142,TRANSPOSE(Cls2CentVMTShr)),0)</f>
        <v>0</v>
      </c>
      <c r="AC142" s="949">
        <f t="array" ref="AC142">IF(AND($AD$123=TRUE,SUM(O142:Y142)&gt;0),SUMPRODUCT((((TRANSPOSE(Cls2NCentDailyRng)&lt;INDEX(CDRANGE_CLS2,$A142-$A$128+1,AD$124))*TRANSPOSE(Cls2NCentDailyRng)+(TRANSPOSE(Cls2NCentDailyRng)&gt;INDEX(CDRANGE_CLS2,$A142-$A$128+1,AD$124))*INDEX(CDRANGE_CLS2,$A142-$A$128+1,AD$124))/TRANSPOSE(Cls2NCentDailyRng)),O142:Y142,TRANSPOSE(Cls2NCentVMTShr))/SUMPRODUCT(O142:Y142,TRANSPOSE(Cls2NCentVMTShr)),0)</f>
        <v>0</v>
      </c>
      <c r="AD142" s="1226">
        <f t="shared" si="96"/>
        <v>0</v>
      </c>
      <c r="AE142" s="937">
        <f t="shared" si="97"/>
        <v>8.653000777971976E-3</v>
      </c>
      <c r="AF142" s="937">
        <f t="shared" si="98"/>
        <v>5.3591671717112292E-3</v>
      </c>
      <c r="AG142" s="937">
        <f t="shared" si="99"/>
        <v>1.4012167949683206E-2</v>
      </c>
      <c r="AH142" s="1172">
        <f t="shared" si="100"/>
        <v>0.61753476043424149</v>
      </c>
      <c r="AI142" s="937">
        <f t="shared" si="101"/>
        <v>0.3824652395657584</v>
      </c>
    </row>
    <row r="143" spans="1:35" x14ac:dyDescent="0.2">
      <c r="A143" s="330">
        <v>2022</v>
      </c>
      <c r="B143" s="344">
        <v>2.3872676274455978E-2</v>
      </c>
      <c r="C143" s="345">
        <v>2.3872676274455978E-2</v>
      </c>
      <c r="D143" s="345">
        <v>2.3872676274455978E-2</v>
      </c>
      <c r="E143" s="345">
        <v>2.43410180943547E-2</v>
      </c>
      <c r="F143" s="345">
        <v>2.7085966890734704E-2</v>
      </c>
      <c r="G143" s="345">
        <v>3.7690893213499888E-2</v>
      </c>
      <c r="H143" s="345">
        <v>4.4346120728428549E-2</v>
      </c>
      <c r="I143" s="345">
        <v>4.9219717961793127E-2</v>
      </c>
      <c r="J143" s="345">
        <v>5.2435226050730047E-2</v>
      </c>
      <c r="K143" s="345">
        <v>5.4799223963464545E-2</v>
      </c>
      <c r="L143" s="380">
        <v>5.6758652298056919E-2</v>
      </c>
      <c r="M143" s="296">
        <f t="shared" si="94"/>
        <v>2.1995541882165411E-2</v>
      </c>
      <c r="N143" s="298">
        <f t="shared" si="95"/>
        <v>1.8048160051544707E-2</v>
      </c>
      <c r="O143" s="344">
        <v>2.3872676274455978E-2</v>
      </c>
      <c r="P143" s="345">
        <v>2.3872676274455978E-2</v>
      </c>
      <c r="Q143" s="345">
        <v>2.3872676274455978E-2</v>
      </c>
      <c r="R143" s="345">
        <v>2.4921265960372078E-2</v>
      </c>
      <c r="S143" s="345">
        <v>3.0378157863562117E-2</v>
      </c>
      <c r="T143" s="345">
        <v>4.1069964768412591E-2</v>
      </c>
      <c r="U143" s="345">
        <v>4.6215058380802275E-2</v>
      </c>
      <c r="V143" s="345">
        <v>4.9219717961793127E-2</v>
      </c>
      <c r="W143" s="345">
        <v>5.3451991753267147E-2</v>
      </c>
      <c r="X143" s="345">
        <v>5.5657042139668003E-2</v>
      </c>
      <c r="Y143" s="380">
        <v>5.6758652298056919E-2</v>
      </c>
      <c r="Z143" s="296">
        <f t="shared" si="89"/>
        <v>1.3359670765678764E-2</v>
      </c>
      <c r="AA143" s="298">
        <f t="shared" si="90"/>
        <v>1.2304976088340282E-2</v>
      </c>
      <c r="AB143" s="948">
        <f t="array" ref="AB143">IF(AND($AD$123=TRUE,SUM(B143:L143)&gt;0),SUMPRODUCT((((TRANSPOSE(Cls2CentDailyRng)&lt;INDEX(CDRANGE_CLS2,$A143-$A$128+1,AD$124))*TRANSPOSE(Cls2CentDailyRng)+(TRANSPOSE(Cls2CentDailyRng)&gt;INDEX(CDRANGE_CLS2,$A143-$A$128+1,AD$124))*INDEX(CDRANGE_CLS2,$A143-$A$128+1,AD$124))/TRANSPOSE(Cls2CentDailyRng)),B143:L143,TRANSPOSE(Cls2CentVMTShr))/SUMPRODUCT(B143:L143,TRANSPOSE(Cls2CentVMTShr)),0)</f>
        <v>0</v>
      </c>
      <c r="AC143" s="949">
        <f t="array" ref="AC143">IF(AND($AD$123=TRUE,SUM(O143:Y143)&gt;0),SUMPRODUCT((((TRANSPOSE(Cls2NCentDailyRng)&lt;INDEX(CDRANGE_CLS2,$A143-$A$128+1,AD$124))*TRANSPOSE(Cls2NCentDailyRng)+(TRANSPOSE(Cls2NCentDailyRng)&gt;INDEX(CDRANGE_CLS2,$A143-$A$128+1,AD$124))*INDEX(CDRANGE_CLS2,$A143-$A$128+1,AD$124))/TRANSPOSE(Cls2NCentDailyRng)),O143:Y143,TRANSPOSE(Cls2NCentVMTShr))/SUMPRODUCT(O143:Y143,TRANSPOSE(Cls2NCentVMTShr)),0)</f>
        <v>0</v>
      </c>
      <c r="AD143" s="1226">
        <f t="shared" si="96"/>
        <v>0</v>
      </c>
      <c r="AE143" s="937">
        <f t="shared" si="97"/>
        <v>2.1995541882165411E-2</v>
      </c>
      <c r="AF143" s="937">
        <f t="shared" si="98"/>
        <v>1.3359670765678764E-2</v>
      </c>
      <c r="AG143" s="937">
        <f t="shared" si="99"/>
        <v>3.5355212647844178E-2</v>
      </c>
      <c r="AH143" s="1172">
        <f t="shared" si="100"/>
        <v>0.6221300972292868</v>
      </c>
      <c r="AI143" s="937">
        <f t="shared" si="101"/>
        <v>0.37786990277071303</v>
      </c>
    </row>
    <row r="144" spans="1:35" x14ac:dyDescent="0.2">
      <c r="A144" s="330">
        <v>2023</v>
      </c>
      <c r="B144" s="344">
        <v>1.7263826294576002E-2</v>
      </c>
      <c r="C144" s="345">
        <v>1.7263826294576002E-2</v>
      </c>
      <c r="D144" s="345">
        <v>1.726504624831552E-2</v>
      </c>
      <c r="E144" s="345">
        <v>4.5183416622858463E-2</v>
      </c>
      <c r="F144" s="345">
        <v>7.4722883248920749E-2</v>
      </c>
      <c r="G144" s="345">
        <v>9.2601070682590297E-2</v>
      </c>
      <c r="H144" s="345">
        <v>0.10814846766884391</v>
      </c>
      <c r="I144" s="345">
        <v>0.11587211987489639</v>
      </c>
      <c r="J144" s="345">
        <v>0.12143722495180051</v>
      </c>
      <c r="K144" s="345">
        <v>0.126185989243639</v>
      </c>
      <c r="L144" s="380">
        <v>0.13076686108366775</v>
      </c>
      <c r="M144" s="296">
        <f t="shared" si="94"/>
        <v>4.8594961258433107E-2</v>
      </c>
      <c r="N144" s="298">
        <f t="shared" si="95"/>
        <v>3.425696191667793E-2</v>
      </c>
      <c r="O144" s="344">
        <v>1.7263826294576002E-2</v>
      </c>
      <c r="P144" s="345">
        <v>1.7263826294576002E-2</v>
      </c>
      <c r="Q144" s="345">
        <v>1.8115451413188936E-2</v>
      </c>
      <c r="R144" s="345">
        <v>5.2583542184023828E-2</v>
      </c>
      <c r="S144" s="345">
        <v>7.9166631122355113E-2</v>
      </c>
      <c r="T144" s="345">
        <v>9.9726760474304954E-2</v>
      </c>
      <c r="U144" s="345">
        <v>0.11057156897464809</v>
      </c>
      <c r="V144" s="345">
        <v>0.11807420171745241</v>
      </c>
      <c r="W144" s="345">
        <v>0.12448613588965984</v>
      </c>
      <c r="X144" s="345">
        <v>0.12717720679580605</v>
      </c>
      <c r="Y144" s="380">
        <v>0.13076686108366775</v>
      </c>
      <c r="Z144" s="296">
        <f t="shared" si="89"/>
        <v>2.8972386175440585E-2</v>
      </c>
      <c r="AA144" s="298">
        <f t="shared" si="90"/>
        <v>2.2517889538845398E-2</v>
      </c>
      <c r="AB144" s="948">
        <f t="array" ref="AB144">IF(AND($AD$123=TRUE,SUM(B144:L144)&gt;0),SUMPRODUCT((((TRANSPOSE(Cls2CentDailyRng)&lt;INDEX(CDRANGE_CLS2,$A144-$A$128+1,AD$124))*TRANSPOSE(Cls2CentDailyRng)+(TRANSPOSE(Cls2CentDailyRng)&gt;INDEX(CDRANGE_CLS2,$A144-$A$128+1,AD$124))*INDEX(CDRANGE_CLS2,$A144-$A$128+1,AD$124))/TRANSPOSE(Cls2CentDailyRng)),B144:L144,TRANSPOSE(Cls2CentVMTShr))/SUMPRODUCT(B144:L144,TRANSPOSE(Cls2CentVMTShr)),0)</f>
        <v>0</v>
      </c>
      <c r="AC144" s="949">
        <f t="array" ref="AC144">IF(AND($AD$123=TRUE,SUM(O144:Y144)&gt;0),SUMPRODUCT((((TRANSPOSE(Cls2NCentDailyRng)&lt;INDEX(CDRANGE_CLS2,$A144-$A$128+1,AD$124))*TRANSPOSE(Cls2NCentDailyRng)+(TRANSPOSE(Cls2NCentDailyRng)&gt;INDEX(CDRANGE_CLS2,$A144-$A$128+1,AD$124))*INDEX(CDRANGE_CLS2,$A144-$A$128+1,AD$124))/TRANSPOSE(Cls2NCentDailyRng)),O144:Y144,TRANSPOSE(Cls2NCentVMTShr))/SUMPRODUCT(O144:Y144,TRANSPOSE(Cls2NCentVMTShr)),0)</f>
        <v>0</v>
      </c>
      <c r="AD144" s="1226">
        <f t="shared" si="96"/>
        <v>0</v>
      </c>
      <c r="AE144" s="937">
        <f>SUMPRODUCT($B$74:$L$74,B144:L144)</f>
        <v>4.8594961258433107E-2</v>
      </c>
      <c r="AF144" s="937">
        <f>SUMPRODUCT($O$74:$Y$74,O144:Y144)</f>
        <v>2.8972386175440585E-2</v>
      </c>
      <c r="AG144" s="937">
        <f>SUM(AE144:AF144)</f>
        <v>7.7567347433873696E-2</v>
      </c>
      <c r="AH144" s="1172">
        <f t="shared" si="100"/>
        <v>0.62648734120836602</v>
      </c>
      <c r="AI144" s="937">
        <f t="shared" si="101"/>
        <v>0.37351265879163392</v>
      </c>
    </row>
    <row r="145" spans="1:35" x14ac:dyDescent="0.2">
      <c r="A145" s="330">
        <v>2024</v>
      </c>
      <c r="B145" s="344">
        <v>0</v>
      </c>
      <c r="C145" s="345">
        <v>0</v>
      </c>
      <c r="D145" s="345">
        <v>2.6525490558362334E-2</v>
      </c>
      <c r="E145" s="345">
        <v>9.016917207354927E-2</v>
      </c>
      <c r="F145" s="345">
        <v>0.14870888195059176</v>
      </c>
      <c r="G145" s="345">
        <v>0.17835998962500582</v>
      </c>
      <c r="H145" s="345">
        <v>0.20213580132992542</v>
      </c>
      <c r="I145" s="345">
        <v>0.22013251831503339</v>
      </c>
      <c r="J145" s="345">
        <v>0.22895754541519592</v>
      </c>
      <c r="K145" s="345">
        <v>0.23430561114868695</v>
      </c>
      <c r="L145" s="380">
        <v>0.24134385090524824</v>
      </c>
      <c r="M145" s="296">
        <f t="shared" si="94"/>
        <v>9.1308091978465733E-2</v>
      </c>
      <c r="N145" s="298">
        <f t="shared" si="95"/>
        <v>6.120574008659134E-2</v>
      </c>
      <c r="O145" s="344">
        <v>0</v>
      </c>
      <c r="P145" s="345">
        <v>5.115356354226929E-4</v>
      </c>
      <c r="Q145" s="345">
        <v>3.8792467001363101E-2</v>
      </c>
      <c r="R145" s="345">
        <v>0.10437902682013753</v>
      </c>
      <c r="S145" s="345">
        <v>0.15704099337031838</v>
      </c>
      <c r="T145" s="345">
        <v>0.19444370088331717</v>
      </c>
      <c r="U145" s="345">
        <v>0.20950500464970484</v>
      </c>
      <c r="V145" s="345">
        <v>0.22013251831503339</v>
      </c>
      <c r="W145" s="345">
        <v>0.23430561114868695</v>
      </c>
      <c r="X145" s="345">
        <v>0.23706838414680165</v>
      </c>
      <c r="Y145" s="380">
        <v>0.24479088051096456</v>
      </c>
      <c r="Z145" s="296">
        <f t="shared" si="89"/>
        <v>5.5018639333283235E-2</v>
      </c>
      <c r="AA145" s="298">
        <f t="shared" si="90"/>
        <v>4.0289708258276047E-2</v>
      </c>
      <c r="AB145" s="948">
        <f t="array" ref="AB145">IF(AND($AD$123=TRUE,SUM(B145:L145)&gt;0),SUMPRODUCT((((TRANSPOSE(Cls2CentDailyRng)&lt;INDEX(CDRANGE_CLS2,$A145-$A$128+1,AD$124))*TRANSPOSE(Cls2CentDailyRng)+(TRANSPOSE(Cls2CentDailyRng)&gt;INDEX(CDRANGE_CLS2,$A145-$A$128+1,AD$124))*INDEX(CDRANGE_CLS2,$A145-$A$128+1,AD$124))/TRANSPOSE(Cls2CentDailyRng)),B145:L145,TRANSPOSE(Cls2CentVMTShr))/SUMPRODUCT(B145:L145,TRANSPOSE(Cls2CentVMTShr)),0)</f>
        <v>0</v>
      </c>
      <c r="AC145" s="949">
        <f t="array" ref="AC145">IF(AND($AD$123=TRUE,SUM(O145:Y145)&gt;0),SUMPRODUCT((((TRANSPOSE(Cls2NCentDailyRng)&lt;INDEX(CDRANGE_CLS2,$A145-$A$128+1,AD$124))*TRANSPOSE(Cls2NCentDailyRng)+(TRANSPOSE(Cls2NCentDailyRng)&gt;INDEX(CDRANGE_CLS2,$A145-$A$128+1,AD$124))*INDEX(CDRANGE_CLS2,$A145-$A$128+1,AD$124))/TRANSPOSE(Cls2NCentDailyRng)),O145:Y145,TRANSPOSE(Cls2NCentVMTShr))/SUMPRODUCT(O145:Y145,TRANSPOSE(Cls2NCentVMTShr)),0)</f>
        <v>0</v>
      </c>
      <c r="AD145" s="1226">
        <f t="shared" si="96"/>
        <v>0</v>
      </c>
      <c r="AE145" s="937">
        <f t="shared" ref="AE145:AE172" si="102">SUMPRODUCT($B$74:$L$74,B145:L145)</f>
        <v>9.1308091978465733E-2</v>
      </c>
      <c r="AF145" s="937">
        <f t="shared" ref="AF145:AF172" si="103">SUMPRODUCT($O$74:$Y$74,O145:Y145)</f>
        <v>5.5018639333283235E-2</v>
      </c>
      <c r="AG145" s="937">
        <f t="shared" ref="AG145:AG172" si="104">SUM(AE145:AF145)</f>
        <v>0.14632673131174898</v>
      </c>
      <c r="AH145" s="1172">
        <f t="shared" si="100"/>
        <v>0.62400144635182153</v>
      </c>
      <c r="AI145" s="937">
        <f t="shared" si="101"/>
        <v>0.37599855364817841</v>
      </c>
    </row>
    <row r="146" spans="1:35" ht="15" thickBot="1" x14ac:dyDescent="0.25">
      <c r="A146" s="328">
        <v>2025</v>
      </c>
      <c r="B146" s="346">
        <v>0</v>
      </c>
      <c r="C146" s="347">
        <v>1.5740897683954029E-4</v>
      </c>
      <c r="D146" s="347">
        <v>3.8393384773298754E-2</v>
      </c>
      <c r="E146" s="347">
        <v>0.13325161204706437</v>
      </c>
      <c r="F146" s="347">
        <v>0.21183083984624271</v>
      </c>
      <c r="G146" s="347">
        <v>0.26038629031342136</v>
      </c>
      <c r="H146" s="347">
        <v>0.30102636688682083</v>
      </c>
      <c r="I146" s="347">
        <v>0.32136868737970287</v>
      </c>
      <c r="J146" s="347">
        <v>0.33491077915778233</v>
      </c>
      <c r="K146" s="347">
        <v>0.34272769414870263</v>
      </c>
      <c r="L146" s="381">
        <v>0.35518910527163361</v>
      </c>
      <c r="M146" s="310">
        <f t="shared" si="94"/>
        <v>0.13340398957128166</v>
      </c>
      <c r="N146" s="312">
        <f t="shared" si="95"/>
        <v>8.9271174407423409E-2</v>
      </c>
      <c r="O146" s="346">
        <v>0</v>
      </c>
      <c r="P146" s="347">
        <v>7.8449185809284527E-4</v>
      </c>
      <c r="Q146" s="347">
        <v>5.5607785533247758E-2</v>
      </c>
      <c r="R146" s="347">
        <v>0.15409293831916274</v>
      </c>
      <c r="S146" s="347">
        <v>0.22396642506345313</v>
      </c>
      <c r="T146" s="347">
        <v>0.27859207865304947</v>
      </c>
      <c r="U146" s="347">
        <v>0.30102636688682083</v>
      </c>
      <c r="V146" s="347">
        <v>0.32136868737970287</v>
      </c>
      <c r="W146" s="347">
        <v>0.33877234428762998</v>
      </c>
      <c r="X146" s="347">
        <v>0.34609297664483274</v>
      </c>
      <c r="Y146" s="381">
        <v>0.35518910527163361</v>
      </c>
      <c r="Z146" s="310">
        <f t="shared" si="89"/>
        <v>7.9308604733586099E-2</v>
      </c>
      <c r="AA146" s="312">
        <f t="shared" si="90"/>
        <v>5.809506895838526E-2</v>
      </c>
      <c r="AB146" s="948">
        <f t="array" ref="AB146">IF(AND($AD$123=TRUE,SUM(B146:L146)&gt;0),SUMPRODUCT((((TRANSPOSE(Cls2CentDailyRng)&lt;INDEX(CDRANGE_CLS2,$A146-$A$128+1,AD$124))*TRANSPOSE(Cls2CentDailyRng)+(TRANSPOSE(Cls2CentDailyRng)&gt;INDEX(CDRANGE_CLS2,$A146-$A$128+1,AD$124))*INDEX(CDRANGE_CLS2,$A146-$A$128+1,AD$124))/TRANSPOSE(Cls2CentDailyRng)),B146:L146,TRANSPOSE(Cls2CentVMTShr))/SUMPRODUCT(B146:L146,TRANSPOSE(Cls2CentVMTShr)),0)</f>
        <v>0</v>
      </c>
      <c r="AC146" s="949">
        <f t="array" ref="AC146">IF(AND($AD$123=TRUE,SUM(O146:Y146)&gt;0),SUMPRODUCT((((TRANSPOSE(Cls2NCentDailyRng)&lt;INDEX(CDRANGE_CLS2,$A146-$A$128+1,AD$124))*TRANSPOSE(Cls2NCentDailyRng)+(TRANSPOSE(Cls2NCentDailyRng)&gt;INDEX(CDRANGE_CLS2,$A146-$A$128+1,AD$124))*INDEX(CDRANGE_CLS2,$A146-$A$128+1,AD$124))/TRANSPOSE(Cls2NCentDailyRng)),O146:Y146,TRANSPOSE(Cls2NCentVMTShr))/SUMPRODUCT(O146:Y146,TRANSPOSE(Cls2NCentVMTShr)),0)</f>
        <v>0</v>
      </c>
      <c r="AD146" s="1226">
        <f t="shared" si="96"/>
        <v>0</v>
      </c>
      <c r="AE146" s="937">
        <f t="shared" si="102"/>
        <v>0.13340398957128166</v>
      </c>
      <c r="AF146" s="937">
        <f t="shared" si="103"/>
        <v>7.9308604733586099E-2</v>
      </c>
      <c r="AG146" s="937">
        <f t="shared" si="104"/>
        <v>0.21271259430486777</v>
      </c>
      <c r="AH146" s="1172">
        <f t="shared" si="100"/>
        <v>0.62715604596539309</v>
      </c>
      <c r="AI146" s="937">
        <f t="shared" si="101"/>
        <v>0.37284395403460685</v>
      </c>
    </row>
    <row r="147" spans="1:35" x14ac:dyDescent="0.2">
      <c r="A147" s="329">
        <v>2026</v>
      </c>
      <c r="B147" s="342">
        <v>0</v>
      </c>
      <c r="C147" s="343">
        <v>1.1979331113918512E-3</v>
      </c>
      <c r="D147" s="343">
        <v>8.1315254544365792E-2</v>
      </c>
      <c r="E147" s="343">
        <v>0.20613468086809006</v>
      </c>
      <c r="F147" s="343">
        <v>0.29236086940314854</v>
      </c>
      <c r="G147" s="343">
        <v>0.34932321439045477</v>
      </c>
      <c r="H147" s="343">
        <v>0.38144481471750358</v>
      </c>
      <c r="I147" s="343">
        <v>0.40339308809739827</v>
      </c>
      <c r="J147" s="343">
        <v>0.41280840009634889</v>
      </c>
      <c r="K147" s="343">
        <v>0.42099947832066498</v>
      </c>
      <c r="L147" s="379">
        <v>0.43309876315435109</v>
      </c>
      <c r="M147" s="282">
        <f t="shared" si="94"/>
        <v>0.17714447441845468</v>
      </c>
      <c r="N147" s="284">
        <f t="shared" si="95"/>
        <v>0.12263121456038696</v>
      </c>
      <c r="O147" s="342">
        <v>0</v>
      </c>
      <c r="P147" s="343">
        <v>4.6354489844620279E-3</v>
      </c>
      <c r="Q147" s="343">
        <v>0.10685766721467603</v>
      </c>
      <c r="R147" s="343">
        <v>0.23407480366213665</v>
      </c>
      <c r="S147" s="343">
        <v>0.30696893874003695</v>
      </c>
      <c r="T147" s="343">
        <v>0.36258029157115934</v>
      </c>
      <c r="U147" s="343">
        <v>0.38708216269820372</v>
      </c>
      <c r="V147" s="343">
        <v>0.40339308809739827</v>
      </c>
      <c r="W147" s="343">
        <v>0.42099947832066498</v>
      </c>
      <c r="X147" s="343">
        <v>0.42781791136849046</v>
      </c>
      <c r="Y147" s="379">
        <v>0.43309876315435109</v>
      </c>
      <c r="Z147" s="282">
        <f t="shared" si="89"/>
        <v>0.10701893780363786</v>
      </c>
      <c r="AA147" s="284">
        <f t="shared" si="90"/>
        <v>8.0936154781229536E-2</v>
      </c>
      <c r="AB147" s="948">
        <f t="array" ref="AB147">IF(AND($AD$123=TRUE,SUM(B147:L147)&gt;0),SUMPRODUCT((((TRANSPOSE(Cls2CentDailyRng)&lt;INDEX(CDRANGE_CLS2,$A147-$A$128+1,AD$124))*TRANSPOSE(Cls2CentDailyRng)+(TRANSPOSE(Cls2CentDailyRng)&gt;INDEX(CDRANGE_CLS2,$A147-$A$128+1,AD$124))*INDEX(CDRANGE_CLS2,$A147-$A$128+1,AD$124))/TRANSPOSE(Cls2CentDailyRng)),B147:L147,TRANSPOSE(Cls2CentVMTShr))/SUMPRODUCT(B147:L147,TRANSPOSE(Cls2CentVMTShr)),0)</f>
        <v>0</v>
      </c>
      <c r="AC147" s="949">
        <f t="array" ref="AC147">IF(AND($AD$123=TRUE,SUM(O147:Y147)&gt;0),SUMPRODUCT((((TRANSPOSE(Cls2NCentDailyRng)&lt;INDEX(CDRANGE_CLS2,$A147-$A$128+1,AD$124))*TRANSPOSE(Cls2NCentDailyRng)+(TRANSPOSE(Cls2NCentDailyRng)&gt;INDEX(CDRANGE_CLS2,$A147-$A$128+1,AD$124))*INDEX(CDRANGE_CLS2,$A147-$A$128+1,AD$124))/TRANSPOSE(Cls2NCentDailyRng)),O147:Y147,TRANSPOSE(Cls2NCentVMTShr))/SUMPRODUCT(O147:Y147,TRANSPOSE(Cls2NCentVMTShr)),0)</f>
        <v>0</v>
      </c>
      <c r="AD147" s="1226">
        <f t="shared" si="96"/>
        <v>0</v>
      </c>
      <c r="AE147" s="937">
        <f t="shared" si="102"/>
        <v>0.17714447441845468</v>
      </c>
      <c r="AF147" s="937">
        <f t="shared" si="103"/>
        <v>0.10701893780363786</v>
      </c>
      <c r="AG147" s="937">
        <f t="shared" si="104"/>
        <v>0.28416341222209252</v>
      </c>
      <c r="AH147" s="1172">
        <f t="shared" si="100"/>
        <v>0.62338945409342339</v>
      </c>
      <c r="AI147" s="937">
        <f t="shared" si="101"/>
        <v>0.37661054590657672</v>
      </c>
    </row>
    <row r="148" spans="1:35" x14ac:dyDescent="0.2">
      <c r="A148" s="330">
        <v>2027</v>
      </c>
      <c r="B148" s="344">
        <v>0</v>
      </c>
      <c r="C148" s="345">
        <v>3.7168276047765264E-3</v>
      </c>
      <c r="D148" s="345">
        <v>0.11553233063975984</v>
      </c>
      <c r="E148" s="345">
        <v>0.25307625770507275</v>
      </c>
      <c r="F148" s="345">
        <v>0.33993370568710402</v>
      </c>
      <c r="G148" s="345">
        <v>0.39201319311417537</v>
      </c>
      <c r="H148" s="345">
        <v>0.42478686540977184</v>
      </c>
      <c r="I148" s="345">
        <v>0.44116784896857592</v>
      </c>
      <c r="J148" s="345">
        <v>0.45517426223064217</v>
      </c>
      <c r="K148" s="345">
        <v>0.46254618403086117</v>
      </c>
      <c r="L148" s="380">
        <v>0.46825571085775103</v>
      </c>
      <c r="M148" s="296">
        <f t="shared" si="94"/>
        <v>0.20164054984545457</v>
      </c>
      <c r="N148" s="298">
        <f t="shared" si="95"/>
        <v>0.14243006120045731</v>
      </c>
      <c r="O148" s="344">
        <v>0</v>
      </c>
      <c r="P148" s="345">
        <v>1.019432042124749E-2</v>
      </c>
      <c r="Q148" s="345">
        <v>0.14316880132423493</v>
      </c>
      <c r="R148" s="345">
        <v>0.28436505041591675</v>
      </c>
      <c r="S148" s="345">
        <v>0.35540390096751068</v>
      </c>
      <c r="T148" s="345">
        <v>0.40566645925249084</v>
      </c>
      <c r="U148" s="345">
        <v>0.43038580061658904</v>
      </c>
      <c r="V148" s="345">
        <v>0.4463182702885648</v>
      </c>
      <c r="W148" s="345">
        <v>0.46254618403086117</v>
      </c>
      <c r="X148" s="345">
        <v>0.46538236715342207</v>
      </c>
      <c r="Y148" s="380">
        <v>0.47016004986846544</v>
      </c>
      <c r="Z148" s="296">
        <f t="shared" si="89"/>
        <v>0.12277783036458903</v>
      </c>
      <c r="AA148" s="298">
        <f t="shared" si="90"/>
        <v>9.4569424544274208E-2</v>
      </c>
      <c r="AB148" s="948">
        <f t="array" ref="AB148">IF(AND($AD$123=TRUE,SUM(B148:L148)&gt;0),SUMPRODUCT((((TRANSPOSE(Cls2CentDailyRng)&lt;INDEX(CDRANGE_CLS2,$A148-$A$128+1,AD$124))*TRANSPOSE(Cls2CentDailyRng)+(TRANSPOSE(Cls2CentDailyRng)&gt;INDEX(CDRANGE_CLS2,$A148-$A$128+1,AD$124))*INDEX(CDRANGE_CLS2,$A148-$A$128+1,AD$124))/TRANSPOSE(Cls2CentDailyRng)),B148:L148,TRANSPOSE(Cls2CentVMTShr))/SUMPRODUCT(B148:L148,TRANSPOSE(Cls2CentVMTShr)),0)</f>
        <v>0</v>
      </c>
      <c r="AC148" s="949">
        <f t="array" ref="AC148">IF(AND($AD$123=TRUE,SUM(O148:Y148)&gt;0),SUMPRODUCT((((TRANSPOSE(Cls2NCentDailyRng)&lt;INDEX(CDRANGE_CLS2,$A148-$A$128+1,AD$124))*TRANSPOSE(Cls2NCentDailyRng)+(TRANSPOSE(Cls2NCentDailyRng)&gt;INDEX(CDRANGE_CLS2,$A148-$A$128+1,AD$124))*INDEX(CDRANGE_CLS2,$A148-$A$128+1,AD$124))/TRANSPOSE(Cls2NCentDailyRng)),O148:Y148,TRANSPOSE(Cls2NCentVMTShr))/SUMPRODUCT(O148:Y148,TRANSPOSE(Cls2NCentVMTShr)),0)</f>
        <v>0</v>
      </c>
      <c r="AD148" s="1226">
        <f t="shared" si="96"/>
        <v>0</v>
      </c>
      <c r="AE148" s="937">
        <f t="shared" si="102"/>
        <v>0.20164054984545457</v>
      </c>
      <c r="AF148" s="937">
        <f t="shared" si="103"/>
        <v>0.12277783036458903</v>
      </c>
      <c r="AG148" s="937">
        <f t="shared" si="104"/>
        <v>0.3244183802100436</v>
      </c>
      <c r="AH148" s="1172">
        <f t="shared" si="100"/>
        <v>0.62154477719450751</v>
      </c>
      <c r="AI148" s="937">
        <f t="shared" si="101"/>
        <v>0.37845522280549249</v>
      </c>
    </row>
    <row r="149" spans="1:35" x14ac:dyDescent="0.2">
      <c r="A149" s="330">
        <v>2028</v>
      </c>
      <c r="B149" s="344">
        <v>0</v>
      </c>
      <c r="C149" s="345">
        <v>8.6533350106302604E-3</v>
      </c>
      <c r="D149" s="345">
        <v>0.14754989937315088</v>
      </c>
      <c r="E149" s="345">
        <v>0.29306670575613969</v>
      </c>
      <c r="F149" s="345">
        <v>0.37389972156670348</v>
      </c>
      <c r="G149" s="345">
        <v>0.41807974576823331</v>
      </c>
      <c r="H149" s="345">
        <v>0.44948404455147334</v>
      </c>
      <c r="I149" s="345">
        <v>0.46449229906211148</v>
      </c>
      <c r="J149" s="345">
        <v>0.47669960345736784</v>
      </c>
      <c r="K149" s="345">
        <v>0.47962271110459931</v>
      </c>
      <c r="L149" s="380">
        <v>0.48652657260169768</v>
      </c>
      <c r="M149" s="296">
        <f t="shared" si="94"/>
        <v>0.21844946675026716</v>
      </c>
      <c r="N149" s="298">
        <f t="shared" si="95"/>
        <v>0.15719397431536394</v>
      </c>
      <c r="O149" s="344">
        <v>0</v>
      </c>
      <c r="P149" s="345">
        <v>2.0609412454626452E-2</v>
      </c>
      <c r="Q149" s="345">
        <v>0.18618692333123879</v>
      </c>
      <c r="R149" s="345">
        <v>0.31780703470198468</v>
      </c>
      <c r="S149" s="345">
        <v>0.38923694534107822</v>
      </c>
      <c r="T149" s="345">
        <v>0.43778488999754872</v>
      </c>
      <c r="U149" s="345">
        <v>0.44948404455147334</v>
      </c>
      <c r="V149" s="345">
        <v>0.46910210872017477</v>
      </c>
      <c r="W149" s="345">
        <v>0.47669960345736784</v>
      </c>
      <c r="X149" s="345">
        <v>0.48258383570978658</v>
      </c>
      <c r="Y149" s="380">
        <v>0.48652657260169768</v>
      </c>
      <c r="Z149" s="296">
        <f t="shared" si="89"/>
        <v>0.13362443377773175</v>
      </c>
      <c r="AA149" s="298">
        <f t="shared" si="90"/>
        <v>0.10502503017422404</v>
      </c>
      <c r="AB149" s="948">
        <f t="array" ref="AB149">IF(AND($AD$123=TRUE,SUM(B149:L149)&gt;0),SUMPRODUCT((((TRANSPOSE(Cls2CentDailyRng)&lt;INDEX(CDRANGE_CLS2,$A149-$A$128+1,AD$124))*TRANSPOSE(Cls2CentDailyRng)+(TRANSPOSE(Cls2CentDailyRng)&gt;INDEX(CDRANGE_CLS2,$A149-$A$128+1,AD$124))*INDEX(CDRANGE_CLS2,$A149-$A$128+1,AD$124))/TRANSPOSE(Cls2CentDailyRng)),B149:L149,TRANSPOSE(Cls2CentVMTShr))/SUMPRODUCT(B149:L149,TRANSPOSE(Cls2CentVMTShr)),0)</f>
        <v>0</v>
      </c>
      <c r="AC149" s="949">
        <f t="array" ref="AC149">IF(AND($AD$123=TRUE,SUM(O149:Y149)&gt;0),SUMPRODUCT((((TRANSPOSE(Cls2NCentDailyRng)&lt;INDEX(CDRANGE_CLS2,$A149-$A$128+1,AD$124))*TRANSPOSE(Cls2NCentDailyRng)+(TRANSPOSE(Cls2NCentDailyRng)&gt;INDEX(CDRANGE_CLS2,$A149-$A$128+1,AD$124))*INDEX(CDRANGE_CLS2,$A149-$A$128+1,AD$124))/TRANSPOSE(Cls2NCentDailyRng)),O149:Y149,TRANSPOSE(Cls2NCentVMTShr))/SUMPRODUCT(O149:Y149,TRANSPOSE(Cls2NCentVMTShr)),0)</f>
        <v>0</v>
      </c>
      <c r="AD149" s="1226">
        <f t="shared" si="96"/>
        <v>0</v>
      </c>
      <c r="AE149" s="937">
        <f t="shared" si="102"/>
        <v>0.21844946675026716</v>
      </c>
      <c r="AF149" s="937">
        <f t="shared" si="103"/>
        <v>0.13362443377773175</v>
      </c>
      <c r="AG149" s="937">
        <f t="shared" si="104"/>
        <v>0.35207390052799892</v>
      </c>
      <c r="AH149" s="1172">
        <f t="shared" si="100"/>
        <v>0.62046481270739584</v>
      </c>
      <c r="AI149" s="937">
        <f t="shared" si="101"/>
        <v>0.37953518729260416</v>
      </c>
    </row>
    <row r="150" spans="1:35" x14ac:dyDescent="0.2">
      <c r="A150" s="330">
        <v>2029</v>
      </c>
      <c r="B150" s="344">
        <v>0</v>
      </c>
      <c r="C150" s="345">
        <v>1.5172725410122653E-2</v>
      </c>
      <c r="D150" s="345">
        <v>0.17466002041263604</v>
      </c>
      <c r="E150" s="345">
        <v>0.32136465525914087</v>
      </c>
      <c r="F150" s="345">
        <v>0.39359455433952584</v>
      </c>
      <c r="G150" s="345">
        <v>0.42978588355367275</v>
      </c>
      <c r="H150" s="345">
        <v>0.45975730367050799</v>
      </c>
      <c r="I150" s="345">
        <v>0.47435336851986171</v>
      </c>
      <c r="J150" s="345">
        <v>0.48203591173147015</v>
      </c>
      <c r="K150" s="345">
        <v>0.48798601372035944</v>
      </c>
      <c r="L150" s="380">
        <v>0.49197288670834932</v>
      </c>
      <c r="M150" s="296">
        <f t="shared" si="94"/>
        <v>0.2280186640796126</v>
      </c>
      <c r="N150" s="298">
        <f t="shared" si="95"/>
        <v>0.1666688877147714</v>
      </c>
      <c r="O150" s="344">
        <v>0</v>
      </c>
      <c r="P150" s="345">
        <v>3.0038411898835826E-2</v>
      </c>
      <c r="Q150" s="345">
        <v>0.20990880813256541</v>
      </c>
      <c r="R150" s="345">
        <v>0.33788042880527486</v>
      </c>
      <c r="S150" s="345">
        <v>0.40136398941223272</v>
      </c>
      <c r="T150" s="345">
        <v>0.44852100543329765</v>
      </c>
      <c r="U150" s="345">
        <v>0.46512422276649196</v>
      </c>
      <c r="V150" s="345">
        <v>0.47435336851986171</v>
      </c>
      <c r="W150" s="345">
        <v>0.48798601372035944</v>
      </c>
      <c r="X150" s="345">
        <v>0.48997078856792958</v>
      </c>
      <c r="Y150" s="380">
        <v>0.4927790261595924</v>
      </c>
      <c r="Z150" s="296">
        <f t="shared" si="89"/>
        <v>0.13899547826404171</v>
      </c>
      <c r="AA150" s="298">
        <f t="shared" si="90"/>
        <v>0.11048951474159055</v>
      </c>
      <c r="AB150" s="948">
        <f t="array" ref="AB150">IF(AND($AD$123=TRUE,SUM(B150:L150)&gt;0),SUMPRODUCT((((TRANSPOSE(Cls2CentDailyRng)&lt;INDEX(CDRANGE_CLS2,$A150-$A$128+1,AD$124))*TRANSPOSE(Cls2CentDailyRng)+(TRANSPOSE(Cls2CentDailyRng)&gt;INDEX(CDRANGE_CLS2,$A150-$A$128+1,AD$124))*INDEX(CDRANGE_CLS2,$A150-$A$128+1,AD$124))/TRANSPOSE(Cls2CentDailyRng)),B150:L150,TRANSPOSE(Cls2CentVMTShr))/SUMPRODUCT(B150:L150,TRANSPOSE(Cls2CentVMTShr)),0)</f>
        <v>0</v>
      </c>
      <c r="AC150" s="949">
        <f t="array" ref="AC150">IF(AND($AD$123=TRUE,SUM(O150:Y150)&gt;0),SUMPRODUCT((((TRANSPOSE(Cls2NCentDailyRng)&lt;INDEX(CDRANGE_CLS2,$A150-$A$128+1,AD$124))*TRANSPOSE(Cls2NCentDailyRng)+(TRANSPOSE(Cls2NCentDailyRng)&gt;INDEX(CDRANGE_CLS2,$A150-$A$128+1,AD$124))*INDEX(CDRANGE_CLS2,$A150-$A$128+1,AD$124))/TRANSPOSE(Cls2NCentDailyRng)),O150:Y150,TRANSPOSE(Cls2NCentVMTShr))/SUMPRODUCT(O150:Y150,TRANSPOSE(Cls2NCentVMTShr)),0)</f>
        <v>0</v>
      </c>
      <c r="AD150" s="1226">
        <f t="shared" si="96"/>
        <v>0</v>
      </c>
      <c r="AE150" s="937">
        <f t="shared" si="102"/>
        <v>0.2280186640796126</v>
      </c>
      <c r="AF150" s="937">
        <f t="shared" si="103"/>
        <v>0.13899547826404171</v>
      </c>
      <c r="AG150" s="937">
        <f t="shared" si="104"/>
        <v>0.36701414234365431</v>
      </c>
      <c r="AH150" s="1172">
        <f t="shared" si="100"/>
        <v>0.62128032076242701</v>
      </c>
      <c r="AI150" s="937">
        <f t="shared" si="101"/>
        <v>0.37871967923757299</v>
      </c>
    </row>
    <row r="151" spans="1:35" ht="15" thickBot="1" x14ac:dyDescent="0.25">
      <c r="A151" s="328">
        <v>2030</v>
      </c>
      <c r="B151" s="346">
        <v>0</v>
      </c>
      <c r="C151" s="347">
        <v>2.5235498808214303E-2</v>
      </c>
      <c r="D151" s="347">
        <v>0.21073582873748462</v>
      </c>
      <c r="E151" s="347">
        <v>0.33921164534214565</v>
      </c>
      <c r="F151" s="347">
        <v>0.41760306674859288</v>
      </c>
      <c r="G151" s="347">
        <v>0.44442971490102962</v>
      </c>
      <c r="H151" s="347">
        <v>0.46695676766776167</v>
      </c>
      <c r="I151" s="347">
        <v>0.48393508706793908</v>
      </c>
      <c r="J151" s="347">
        <v>0.48990863188893224</v>
      </c>
      <c r="K151" s="347">
        <v>0.49190133179888684</v>
      </c>
      <c r="L151" s="381">
        <v>0.49553295069377812</v>
      </c>
      <c r="M151" s="310">
        <f t="shared" si="94"/>
        <v>0.23777010868601944</v>
      </c>
      <c r="N151" s="312">
        <f t="shared" si="95"/>
        <v>0.17674314508429687</v>
      </c>
      <c r="O151" s="346">
        <v>0</v>
      </c>
      <c r="P151" s="347">
        <v>4.5121649203859734E-2</v>
      </c>
      <c r="Q151" s="347">
        <v>0.24114529188751577</v>
      </c>
      <c r="R151" s="347">
        <v>0.36356372107056079</v>
      </c>
      <c r="S151" s="347">
        <v>0.41760306674859288</v>
      </c>
      <c r="T151" s="347">
        <v>0.45630644258574465</v>
      </c>
      <c r="U151" s="347">
        <v>0.47622227537169332</v>
      </c>
      <c r="V151" s="347">
        <v>0.48393508706793908</v>
      </c>
      <c r="W151" s="347">
        <v>0.48990863188893224</v>
      </c>
      <c r="X151" s="347">
        <v>0.49391121277474498</v>
      </c>
      <c r="Y151" s="381">
        <v>0.49553295069377812</v>
      </c>
      <c r="Z151" s="310">
        <f t="shared" si="89"/>
        <v>0.14505226926451392</v>
      </c>
      <c r="AA151" s="312">
        <f t="shared" si="90"/>
        <v>0.11721861717518588</v>
      </c>
      <c r="AB151" s="948">
        <f t="array" ref="AB151">IF(AND($AD$123=TRUE,SUM(B151:L151)&gt;0),SUMPRODUCT((((TRANSPOSE(Cls2CentDailyRng)&lt;INDEX(CDRANGE_CLS2,$A151-$A$128+1,AD$124))*TRANSPOSE(Cls2CentDailyRng)+(TRANSPOSE(Cls2CentDailyRng)&gt;INDEX(CDRANGE_CLS2,$A151-$A$128+1,AD$124))*INDEX(CDRANGE_CLS2,$A151-$A$128+1,AD$124))/TRANSPOSE(Cls2CentDailyRng)),B151:L151,TRANSPOSE(Cls2CentVMTShr))/SUMPRODUCT(B151:L151,TRANSPOSE(Cls2CentVMTShr)),0)</f>
        <v>0</v>
      </c>
      <c r="AC151" s="949">
        <f t="array" ref="AC151">IF(AND($AD$123=TRUE,SUM(O151:Y151)&gt;0),SUMPRODUCT((((TRANSPOSE(Cls2NCentDailyRng)&lt;INDEX(CDRANGE_CLS2,$A151-$A$128+1,AD$124))*TRANSPOSE(Cls2NCentDailyRng)+(TRANSPOSE(Cls2NCentDailyRng)&gt;INDEX(CDRANGE_CLS2,$A151-$A$128+1,AD$124))*INDEX(CDRANGE_CLS2,$A151-$A$128+1,AD$124))/TRANSPOSE(Cls2NCentDailyRng)),O151:Y151,TRANSPOSE(Cls2NCentVMTShr))/SUMPRODUCT(O151:Y151,TRANSPOSE(Cls2NCentVMTShr)),0)</f>
        <v>0</v>
      </c>
      <c r="AD151" s="1226">
        <f t="shared" si="96"/>
        <v>0</v>
      </c>
      <c r="AE151" s="937">
        <f t="shared" si="102"/>
        <v>0.23777010868601944</v>
      </c>
      <c r="AF151" s="937">
        <f t="shared" si="103"/>
        <v>0.14505226926451392</v>
      </c>
      <c r="AG151" s="937">
        <f t="shared" si="104"/>
        <v>0.38282237795053337</v>
      </c>
      <c r="AH151" s="1172">
        <f t="shared" si="100"/>
        <v>0.62109772672887753</v>
      </c>
      <c r="AI151" s="937">
        <f t="shared" si="101"/>
        <v>0.37890227327112247</v>
      </c>
    </row>
    <row r="152" spans="1:35" x14ac:dyDescent="0.2">
      <c r="A152" s="329">
        <v>2031</v>
      </c>
      <c r="B152" s="342">
        <v>0</v>
      </c>
      <c r="C152" s="343">
        <v>2.8517243012866917E-2</v>
      </c>
      <c r="D152" s="343">
        <v>0.21106572360476736</v>
      </c>
      <c r="E152" s="343">
        <v>0.33974266174021772</v>
      </c>
      <c r="F152" s="343">
        <v>0.41825680042599939</v>
      </c>
      <c r="G152" s="343">
        <v>0.44512544415927746</v>
      </c>
      <c r="H152" s="343">
        <v>0.46768776173658905</v>
      </c>
      <c r="I152" s="343">
        <v>0.48469265972313569</v>
      </c>
      <c r="J152" s="343">
        <v>0.49067555578633454</v>
      </c>
      <c r="K152" s="343">
        <v>0.49468440248322471</v>
      </c>
      <c r="L152" s="379">
        <v>0.49630867914006421</v>
      </c>
      <c r="M152" s="282">
        <f t="shared" si="94"/>
        <v>0.23828769076279649</v>
      </c>
      <c r="N152" s="284">
        <f t="shared" si="95"/>
        <v>0.17732368588517813</v>
      </c>
      <c r="O152" s="342">
        <v>0</v>
      </c>
      <c r="P152" s="343">
        <v>5.0419966023168547E-2</v>
      </c>
      <c r="Q152" s="343">
        <v>0.24152279102726656</v>
      </c>
      <c r="R152" s="343">
        <v>0.37242045871991752</v>
      </c>
      <c r="S152" s="343">
        <v>0.41825680042599939</v>
      </c>
      <c r="T152" s="343">
        <v>0.45702076418079057</v>
      </c>
      <c r="U152" s="343">
        <v>0.47696777406203017</v>
      </c>
      <c r="V152" s="343">
        <v>0.48469265972313569</v>
      </c>
      <c r="W152" s="343">
        <v>0.49067555578633454</v>
      </c>
      <c r="X152" s="343">
        <v>0.49468440248322471</v>
      </c>
      <c r="Y152" s="379">
        <v>0.49621727849134123</v>
      </c>
      <c r="Z152" s="282">
        <f t="shared" si="89"/>
        <v>0.14595485186925722</v>
      </c>
      <c r="AA152" s="284">
        <f t="shared" si="90"/>
        <v>0.11832480463098845</v>
      </c>
      <c r="AB152" s="948">
        <f t="array" ref="AB152">IF(AND($AD$123=TRUE,SUM(B152:L152)&gt;0),SUMPRODUCT((((TRANSPOSE(Cls2CentDailyRng)&lt;INDEX(CDRANGE_CLS2,$A152-$A$128+1,AD$124))*TRANSPOSE(Cls2CentDailyRng)+(TRANSPOSE(Cls2CentDailyRng)&gt;INDEX(CDRANGE_CLS2,$A152-$A$128+1,AD$124))*INDEX(CDRANGE_CLS2,$A152-$A$128+1,AD$124))/TRANSPOSE(Cls2CentDailyRng)),B152:L152,TRANSPOSE(Cls2CentVMTShr))/SUMPRODUCT(B152:L152,TRANSPOSE(Cls2CentVMTShr)),0)</f>
        <v>0</v>
      </c>
      <c r="AC152" s="949">
        <f t="array" ref="AC152">IF(AND($AD$123=TRUE,SUM(O152:Y152)&gt;0),SUMPRODUCT((((TRANSPOSE(Cls2NCentDailyRng)&lt;INDEX(CDRANGE_CLS2,$A152-$A$128+1,AD$124))*TRANSPOSE(Cls2NCentDailyRng)+(TRANSPOSE(Cls2NCentDailyRng)&gt;INDEX(CDRANGE_CLS2,$A152-$A$128+1,AD$124))*INDEX(CDRANGE_CLS2,$A152-$A$128+1,AD$124))/TRANSPOSE(Cls2NCentDailyRng)),O152:Y152,TRANSPOSE(Cls2NCentVMTShr))/SUMPRODUCT(O152:Y152,TRANSPOSE(Cls2NCentVMTShr)),0)</f>
        <v>0</v>
      </c>
      <c r="AD152" s="1226">
        <f t="shared" si="96"/>
        <v>0</v>
      </c>
      <c r="AE152" s="937">
        <f t="shared" si="102"/>
        <v>0.23828769076279649</v>
      </c>
      <c r="AF152" s="937">
        <f t="shared" si="103"/>
        <v>0.14595485186925722</v>
      </c>
      <c r="AG152" s="937">
        <f t="shared" si="104"/>
        <v>0.38424254263205371</v>
      </c>
      <c r="AH152" s="1172">
        <f t="shared" si="100"/>
        <v>0.62014916185628632</v>
      </c>
      <c r="AI152" s="937">
        <f t="shared" si="101"/>
        <v>0.37985083814371362</v>
      </c>
    </row>
    <row r="153" spans="1:35" x14ac:dyDescent="0.2">
      <c r="A153" s="330">
        <v>2032</v>
      </c>
      <c r="B153" s="344">
        <v>0</v>
      </c>
      <c r="C153" s="345">
        <v>2.8533675390747391E-2</v>
      </c>
      <c r="D153" s="345">
        <v>0.2111873451698788</v>
      </c>
      <c r="E153" s="345">
        <v>0.35641481559084337</v>
      </c>
      <c r="F153" s="345">
        <v>0.41849781088386795</v>
      </c>
      <c r="G153" s="345">
        <v>0.44538193702919965</v>
      </c>
      <c r="H153" s="345">
        <v>0.46795725560131712</v>
      </c>
      <c r="I153" s="345">
        <v>0.4849719522528122</v>
      </c>
      <c r="J153" s="345">
        <v>0.49095829581648942</v>
      </c>
      <c r="K153" s="345">
        <v>0.49496945251521807</v>
      </c>
      <c r="L153" s="380">
        <v>0.49400733915696471</v>
      </c>
      <c r="M153" s="296">
        <f t="shared" si="94"/>
        <v>0.23973452708269941</v>
      </c>
      <c r="N153" s="298">
        <f t="shared" si="95"/>
        <v>0.17892448043736928</v>
      </c>
      <c r="O153" s="344">
        <v>0</v>
      </c>
      <c r="P153" s="345">
        <v>5.0449019320292651E-2</v>
      </c>
      <c r="Q153" s="345">
        <v>0.24933282586821096</v>
      </c>
      <c r="R153" s="345">
        <v>0.3726350570843297</v>
      </c>
      <c r="S153" s="345">
        <v>0.43240367351268588</v>
      </c>
      <c r="T153" s="345">
        <v>0.45728411144380798</v>
      </c>
      <c r="U153" s="345">
        <v>0.4772426153114685</v>
      </c>
      <c r="V153" s="345">
        <v>0.4849719522528122</v>
      </c>
      <c r="W153" s="345">
        <v>0.49086488683749385</v>
      </c>
      <c r="X153" s="345">
        <v>0.49407956919952628</v>
      </c>
      <c r="Y153" s="380">
        <v>0.48790702106545608</v>
      </c>
      <c r="Z153" s="296">
        <f t="shared" si="89"/>
        <v>0.14749194805726107</v>
      </c>
      <c r="AA153" s="298">
        <f t="shared" si="90"/>
        <v>0.11991084216034831</v>
      </c>
      <c r="AB153" s="948">
        <f t="array" ref="AB153">IF(AND($AD$123=TRUE,SUM(B153:L153)&gt;0),SUMPRODUCT((((TRANSPOSE(Cls2CentDailyRng)&lt;INDEX(CDRANGE_CLS2,$A153-$A$128+1,AD$124))*TRANSPOSE(Cls2CentDailyRng)+(TRANSPOSE(Cls2CentDailyRng)&gt;INDEX(CDRANGE_CLS2,$A153-$A$128+1,AD$124))*INDEX(CDRANGE_CLS2,$A153-$A$128+1,AD$124))/TRANSPOSE(Cls2CentDailyRng)),B153:L153,TRANSPOSE(Cls2CentVMTShr))/SUMPRODUCT(B153:L153,TRANSPOSE(Cls2CentVMTShr)),0)</f>
        <v>0</v>
      </c>
      <c r="AC153" s="949">
        <f t="array" ref="AC153">IF(AND($AD$123=TRUE,SUM(O153:Y153)&gt;0),SUMPRODUCT((((TRANSPOSE(Cls2NCentDailyRng)&lt;INDEX(CDRANGE_CLS2,$A153-$A$128+1,AD$124))*TRANSPOSE(Cls2NCentDailyRng)+(TRANSPOSE(Cls2NCentDailyRng)&gt;INDEX(CDRANGE_CLS2,$A153-$A$128+1,AD$124))*INDEX(CDRANGE_CLS2,$A153-$A$128+1,AD$124))/TRANSPOSE(Cls2NCentDailyRng)),O153:Y153,TRANSPOSE(Cls2NCentVMTShr))/SUMPRODUCT(O153:Y153,TRANSPOSE(Cls2NCentVMTShr)),0)</f>
        <v>0</v>
      </c>
      <c r="AD153" s="1226">
        <f t="shared" si="96"/>
        <v>0</v>
      </c>
      <c r="AE153" s="937">
        <f t="shared" si="102"/>
        <v>0.23973452708269941</v>
      </c>
      <c r="AF153" s="937">
        <f t="shared" si="103"/>
        <v>0.14749194805726107</v>
      </c>
      <c r="AG153" s="937">
        <f t="shared" si="104"/>
        <v>0.38722647513996045</v>
      </c>
      <c r="AH153" s="1172">
        <f t="shared" si="100"/>
        <v>0.619106756571975</v>
      </c>
      <c r="AI153" s="937">
        <f t="shared" si="101"/>
        <v>0.38089324342802511</v>
      </c>
    </row>
    <row r="154" spans="1:35" x14ac:dyDescent="0.2">
      <c r="A154" s="330">
        <v>2033</v>
      </c>
      <c r="B154" s="344">
        <v>0</v>
      </c>
      <c r="C154" s="345">
        <v>3.2129197378551071E-2</v>
      </c>
      <c r="D154" s="345">
        <v>0.22624956534831733</v>
      </c>
      <c r="E154" s="345">
        <v>0.35649038503292907</v>
      </c>
      <c r="F154" s="345">
        <v>0.41858654357594233</v>
      </c>
      <c r="G154" s="345">
        <v>0.45738106786555266</v>
      </c>
      <c r="H154" s="345">
        <v>0.47734380346807986</v>
      </c>
      <c r="I154" s="345">
        <v>0.48507477923490111</v>
      </c>
      <c r="J154" s="345">
        <v>0.49015493431763202</v>
      </c>
      <c r="K154" s="345">
        <v>0.48978287738810683</v>
      </c>
      <c r="L154" s="380">
        <v>0.46701124905672997</v>
      </c>
      <c r="M154" s="296">
        <f t="shared" si="94"/>
        <v>0.24143786110621079</v>
      </c>
      <c r="N154" s="298">
        <f t="shared" si="95"/>
        <v>0.18137166206957581</v>
      </c>
      <c r="O154" s="344">
        <v>0</v>
      </c>
      <c r="P154" s="345">
        <v>5.6168476073526492E-2</v>
      </c>
      <c r="Q154" s="345">
        <v>0.25756501584896135</v>
      </c>
      <c r="R154" s="345">
        <v>0.37271406565000542</v>
      </c>
      <c r="S154" s="345">
        <v>0.43249535461833527</v>
      </c>
      <c r="T154" s="345">
        <v>0.46805647501414416</v>
      </c>
      <c r="U154" s="345">
        <v>0.47734380346807986</v>
      </c>
      <c r="V154" s="345">
        <v>0.48479335727295614</v>
      </c>
      <c r="W154" s="345">
        <v>0.4872602127995585</v>
      </c>
      <c r="X154" s="345">
        <v>0.47524033479712963</v>
      </c>
      <c r="Y154" s="380">
        <v>0.45051456774975884</v>
      </c>
      <c r="Z154" s="296">
        <f t="shared" si="89"/>
        <v>0.14785714428750568</v>
      </c>
      <c r="AA154" s="298">
        <f t="shared" si="90"/>
        <v>0.12094531739410903</v>
      </c>
      <c r="AB154" s="948">
        <f t="array" ref="AB154">IF(AND($AD$123=TRUE,SUM(B154:L154)&gt;0),SUMPRODUCT((((TRANSPOSE(Cls2CentDailyRng)&lt;INDEX(CDRANGE_CLS2,$A154-$A$128+1,AD$124))*TRANSPOSE(Cls2CentDailyRng)+(TRANSPOSE(Cls2CentDailyRng)&gt;INDEX(CDRANGE_CLS2,$A154-$A$128+1,AD$124))*INDEX(CDRANGE_CLS2,$A154-$A$128+1,AD$124))/TRANSPOSE(Cls2CentDailyRng)),B154:L154,TRANSPOSE(Cls2CentVMTShr))/SUMPRODUCT(B154:L154,TRANSPOSE(Cls2CentVMTShr)),0)</f>
        <v>0</v>
      </c>
      <c r="AC154" s="949">
        <f t="array" ref="AC154">IF(AND($AD$123=TRUE,SUM(O154:Y154)&gt;0),SUMPRODUCT((((TRANSPOSE(Cls2NCentDailyRng)&lt;INDEX(CDRANGE_CLS2,$A154-$A$128+1,AD$124))*TRANSPOSE(Cls2NCentDailyRng)+(TRANSPOSE(Cls2NCentDailyRng)&gt;INDEX(CDRANGE_CLS2,$A154-$A$128+1,AD$124))*INDEX(CDRANGE_CLS2,$A154-$A$128+1,AD$124))/TRANSPOSE(Cls2NCentDailyRng)),O154:Y154,TRANSPOSE(Cls2NCentVMTShr))/SUMPRODUCT(O154:Y154,TRANSPOSE(Cls2NCentVMTShr)),0)</f>
        <v>0</v>
      </c>
      <c r="AD154" s="1226">
        <f>AB154*AH154+AC154*AI154</f>
        <v>0</v>
      </c>
      <c r="AE154" s="937">
        <f t="shared" si="102"/>
        <v>0.24143786110621079</v>
      </c>
      <c r="AF154" s="937">
        <f t="shared" si="103"/>
        <v>0.14785714428750568</v>
      </c>
      <c r="AG154" s="937">
        <f t="shared" si="104"/>
        <v>0.38929500539371648</v>
      </c>
      <c r="AH154" s="1172">
        <f t="shared" si="100"/>
        <v>0.62019254745390517</v>
      </c>
      <c r="AI154" s="937">
        <f t="shared" si="101"/>
        <v>0.37980745254609477</v>
      </c>
    </row>
    <row r="155" spans="1:35" x14ac:dyDescent="0.2">
      <c r="A155" s="330">
        <v>2034</v>
      </c>
      <c r="B155" s="344">
        <v>0</v>
      </c>
      <c r="C155" s="345">
        <v>3.2131703659415742E-2</v>
      </c>
      <c r="D155" s="345">
        <v>0.2262672142472173</v>
      </c>
      <c r="E155" s="345">
        <v>0.35651819354055903</v>
      </c>
      <c r="F155" s="345">
        <v>0.41861919597718383</v>
      </c>
      <c r="G155" s="345">
        <v>0.45741674648536829</v>
      </c>
      <c r="H155" s="345">
        <v>0.47731454286176744</v>
      </c>
      <c r="I155" s="345">
        <v>0.48201295032358937</v>
      </c>
      <c r="J155" s="345">
        <v>0.47487373202812999</v>
      </c>
      <c r="K155" s="345">
        <v>0.46196232644343793</v>
      </c>
      <c r="L155" s="380">
        <v>0.4241824436466452</v>
      </c>
      <c r="M155" s="296">
        <f t="shared" si="94"/>
        <v>0.23891152746292946</v>
      </c>
      <c r="N155" s="298">
        <f t="shared" si="95"/>
        <v>0.18038936968414568</v>
      </c>
      <c r="O155" s="344">
        <v>0</v>
      </c>
      <c r="P155" s="345">
        <v>5.6172857570366337E-2</v>
      </c>
      <c r="Q155" s="345">
        <v>0.25758510755131614</v>
      </c>
      <c r="R155" s="345">
        <v>0.37274313970746564</v>
      </c>
      <c r="S155" s="345">
        <v>0.4325290919949204</v>
      </c>
      <c r="T155" s="345">
        <v>0.46809298638332303</v>
      </c>
      <c r="U155" s="345">
        <v>0.47590292678402635</v>
      </c>
      <c r="V155" s="345">
        <v>0.47610458171235198</v>
      </c>
      <c r="W155" s="345">
        <v>0.45545125545661597</v>
      </c>
      <c r="X155" s="345">
        <v>0.43602559845801109</v>
      </c>
      <c r="Y155" s="380">
        <v>0.40992063972755205</v>
      </c>
      <c r="Z155" s="296">
        <f t="shared" si="89"/>
        <v>0.14638619773864808</v>
      </c>
      <c r="AA155" s="298">
        <f t="shared" si="90"/>
        <v>0.12033965310346688</v>
      </c>
      <c r="AB155" s="948">
        <f t="array" ref="AB155">IF(AND($AD$123=TRUE,SUM(B155:L155)&gt;0),SUMPRODUCT((((TRANSPOSE(Cls2CentDailyRng)&lt;INDEX(CDRANGE_CLS2,$A155-$A$128+1,AD$124))*TRANSPOSE(Cls2CentDailyRng)+(TRANSPOSE(Cls2CentDailyRng)&gt;INDEX(CDRANGE_CLS2,$A155-$A$128+1,AD$124))*INDEX(CDRANGE_CLS2,$A155-$A$128+1,AD$124))/TRANSPOSE(Cls2CentDailyRng)),B155:L155,TRANSPOSE(Cls2CentVMTShr))/SUMPRODUCT(B155:L155,TRANSPOSE(Cls2CentVMTShr)),0)</f>
        <v>0</v>
      </c>
      <c r="AC155" s="949">
        <f t="array" ref="AC155">IF(AND($AD$123=TRUE,SUM(O155:Y155)&gt;0),SUMPRODUCT((((TRANSPOSE(Cls2NCentDailyRng)&lt;INDEX(CDRANGE_CLS2,$A155-$A$128+1,AD$124))*TRANSPOSE(Cls2NCentDailyRng)+(TRANSPOSE(Cls2NCentDailyRng)&gt;INDEX(CDRANGE_CLS2,$A155-$A$128+1,AD$124))*INDEX(CDRANGE_CLS2,$A155-$A$128+1,AD$124))/TRANSPOSE(Cls2NCentDailyRng)),O155:Y155,TRANSPOSE(Cls2NCentVMTShr))/SUMPRODUCT(O155:Y155,TRANSPOSE(Cls2NCentVMTShr)),0)</f>
        <v>0</v>
      </c>
      <c r="AD155" s="1226">
        <f t="shared" ref="AD155:AD171" si="105">AB155*AH155+AC155*AI155</f>
        <v>0</v>
      </c>
      <c r="AE155" s="937">
        <f t="shared" si="102"/>
        <v>0.23891152746292946</v>
      </c>
      <c r="AF155" s="937">
        <f t="shared" si="103"/>
        <v>0.14638619773864808</v>
      </c>
      <c r="AG155" s="937">
        <f t="shared" si="104"/>
        <v>0.38529772520157757</v>
      </c>
      <c r="AH155" s="1172">
        <f t="shared" si="100"/>
        <v>0.62006991434464676</v>
      </c>
      <c r="AI155" s="937">
        <f t="shared" si="101"/>
        <v>0.37993008565535313</v>
      </c>
    </row>
    <row r="156" spans="1:35" ht="15" thickBot="1" x14ac:dyDescent="0.25">
      <c r="A156" s="328">
        <v>2035</v>
      </c>
      <c r="B156" s="346">
        <v>0</v>
      </c>
      <c r="C156" s="347">
        <v>3.6093211156692472E-2</v>
      </c>
      <c r="D156" s="347">
        <v>0.22627370760709054</v>
      </c>
      <c r="E156" s="347">
        <v>0.35652842481043046</v>
      </c>
      <c r="F156" s="347">
        <v>0.41863120940607751</v>
      </c>
      <c r="G156" s="347">
        <v>0.45728737981953815</v>
      </c>
      <c r="H156" s="347">
        <v>0.46932287895625185</v>
      </c>
      <c r="I156" s="347">
        <v>0.4545313520575765</v>
      </c>
      <c r="J156" s="347">
        <v>0.43125483607519233</v>
      </c>
      <c r="K156" s="347">
        <v>0.41687981526530787</v>
      </c>
      <c r="L156" s="381">
        <v>0.38456474534815338</v>
      </c>
      <c r="M156" s="310">
        <f t="shared" si="94"/>
        <v>0.23313029272622005</v>
      </c>
      <c r="N156" s="312">
        <f t="shared" si="95"/>
        <v>0.17801838359693323</v>
      </c>
      <c r="O156" s="346">
        <v>0</v>
      </c>
      <c r="P156" s="347">
        <v>6.2386570395266426E-2</v>
      </c>
      <c r="Q156" s="347">
        <v>0.25759249966425168</v>
      </c>
      <c r="R156" s="347">
        <v>0.37275383659678057</v>
      </c>
      <c r="S156" s="347">
        <v>0.4325415046065279</v>
      </c>
      <c r="T156" s="347">
        <v>0.46263963519958756</v>
      </c>
      <c r="U156" s="347">
        <v>0.4546892705483046</v>
      </c>
      <c r="V156" s="347">
        <v>0.4376234676664123</v>
      </c>
      <c r="W156" s="347">
        <v>0.41207233723409437</v>
      </c>
      <c r="X156" s="347">
        <v>0.39744858533760802</v>
      </c>
      <c r="Y156" s="381">
        <v>0.37536951191450313</v>
      </c>
      <c r="Z156" s="310">
        <f t="shared" si="89"/>
        <v>0.14326708587966458</v>
      </c>
      <c r="AA156" s="312">
        <f t="shared" si="90"/>
        <v>0.11906612048703544</v>
      </c>
      <c r="AB156" s="948">
        <f t="array" ref="AB156">IF(AND($AD$123=TRUE,SUM(B156:L156)&gt;0),SUMPRODUCT((((TRANSPOSE(Cls2CentDailyRng)&lt;INDEX(CDRANGE_CLS2,$A156-$A$128+1,AD$124))*TRANSPOSE(Cls2CentDailyRng)+(TRANSPOSE(Cls2CentDailyRng)&gt;INDEX(CDRANGE_CLS2,$A156-$A$128+1,AD$124))*INDEX(CDRANGE_CLS2,$A156-$A$128+1,AD$124))/TRANSPOSE(Cls2CentDailyRng)),B156:L156,TRANSPOSE(Cls2CentVMTShr))/SUMPRODUCT(B156:L156,TRANSPOSE(Cls2CentVMTShr)),0)</f>
        <v>0</v>
      </c>
      <c r="AC156" s="949">
        <f t="array" ref="AC156">IF(AND($AD$123=TRUE,SUM(O156:Y156)&gt;0),SUMPRODUCT((((TRANSPOSE(Cls2NCentDailyRng)&lt;INDEX(CDRANGE_CLS2,$A156-$A$128+1,AD$124))*TRANSPOSE(Cls2NCentDailyRng)+(TRANSPOSE(Cls2NCentDailyRng)&gt;INDEX(CDRANGE_CLS2,$A156-$A$128+1,AD$124))*INDEX(CDRANGE_CLS2,$A156-$A$128+1,AD$124))/TRANSPOSE(Cls2NCentDailyRng)),O156:Y156,TRANSPOSE(Cls2NCentVMTShr))/SUMPRODUCT(O156:Y156,TRANSPOSE(Cls2NCentVMTShr)),0)</f>
        <v>0</v>
      </c>
      <c r="AD156" s="1226">
        <f t="shared" si="105"/>
        <v>0</v>
      </c>
      <c r="AE156" s="937">
        <f t="shared" si="102"/>
        <v>0.23313029272622005</v>
      </c>
      <c r="AF156" s="937">
        <f t="shared" si="103"/>
        <v>0.14326708587966458</v>
      </c>
      <c r="AG156" s="937">
        <f t="shared" si="104"/>
        <v>0.37639737860588462</v>
      </c>
      <c r="AH156" s="1172">
        <f t="shared" si="100"/>
        <v>0.61937278519233363</v>
      </c>
      <c r="AI156" s="937">
        <f t="shared" si="101"/>
        <v>0.38062721480766637</v>
      </c>
    </row>
    <row r="157" spans="1:35" x14ac:dyDescent="0.2">
      <c r="A157" s="329">
        <v>2036</v>
      </c>
      <c r="B157" s="342">
        <v>0</v>
      </c>
      <c r="C157" s="343">
        <v>3.6093592208010651E-2</v>
      </c>
      <c r="D157" s="343">
        <v>0.23375156560091151</v>
      </c>
      <c r="E157" s="343">
        <v>0.35653218883202592</v>
      </c>
      <c r="F157" s="343">
        <v>0.41863562907307478</v>
      </c>
      <c r="G157" s="343">
        <v>0.45614714974000864</v>
      </c>
      <c r="H157" s="343">
        <v>0.46092369535087757</v>
      </c>
      <c r="I157" s="343">
        <v>0.43759109204205082</v>
      </c>
      <c r="J157" s="343">
        <v>0.41764386931810143</v>
      </c>
      <c r="K157" s="343">
        <v>0.40227270073118193</v>
      </c>
      <c r="L157" s="379">
        <v>0.37529429616914145</v>
      </c>
      <c r="M157" s="282">
        <f t="shared" si="94"/>
        <v>0.23068474760376467</v>
      </c>
      <c r="N157" s="284">
        <f t="shared" si="95"/>
        <v>0.17724239146060322</v>
      </c>
      <c r="O157" s="342">
        <v>0</v>
      </c>
      <c r="P157" s="343">
        <v>6.2387229036715154E-2</v>
      </c>
      <c r="Q157" s="343">
        <v>0.26543482992876322</v>
      </c>
      <c r="R157" s="343">
        <v>0.38860404064986531</v>
      </c>
      <c r="S157" s="343">
        <v>0.43230168530787472</v>
      </c>
      <c r="T157" s="343">
        <v>0.45499435895085244</v>
      </c>
      <c r="U157" s="343">
        <v>0.44381175854876381</v>
      </c>
      <c r="V157" s="343">
        <v>0.4253157566878964</v>
      </c>
      <c r="W157" s="343">
        <v>0.39738509337265132</v>
      </c>
      <c r="X157" s="343">
        <v>0.38769976628768466</v>
      </c>
      <c r="Y157" s="379">
        <v>0.37089868604948589</v>
      </c>
      <c r="Z157" s="282">
        <f t="shared" si="89"/>
        <v>0.1431279524181574</v>
      </c>
      <c r="AA157" s="284">
        <f t="shared" si="90"/>
        <v>0.1197915995158995</v>
      </c>
      <c r="AB157" s="948">
        <f t="array" ref="AB157">IF(AND($AD$123=TRUE,SUM(B157:L157)&gt;0),SUMPRODUCT((((TRANSPOSE(Cls2CentDailyRng)&lt;INDEX(CDRANGE_CLS2,$A157-$A$128+1,AD$124))*TRANSPOSE(Cls2CentDailyRng)+(TRANSPOSE(Cls2CentDailyRng)&gt;INDEX(CDRANGE_CLS2,$A157-$A$128+1,AD$124))*INDEX(CDRANGE_CLS2,$A157-$A$128+1,AD$124))/TRANSPOSE(Cls2CentDailyRng)),B157:L157,TRANSPOSE(Cls2CentVMTShr))/SUMPRODUCT(B157:L157,TRANSPOSE(Cls2CentVMTShr)),0)</f>
        <v>0</v>
      </c>
      <c r="AC157" s="949">
        <f t="array" ref="AC157">IF(AND($AD$123=TRUE,SUM(O157:Y157)&gt;0),SUMPRODUCT((((TRANSPOSE(Cls2NCentDailyRng)&lt;INDEX(CDRANGE_CLS2,$A157-$A$128+1,AD$124))*TRANSPOSE(Cls2NCentDailyRng)+(TRANSPOSE(Cls2NCentDailyRng)&gt;INDEX(CDRANGE_CLS2,$A157-$A$128+1,AD$124))*INDEX(CDRANGE_CLS2,$A157-$A$128+1,AD$124))/TRANSPOSE(Cls2NCentDailyRng)),O157:Y157,TRANSPOSE(Cls2NCentVMTShr))/SUMPRODUCT(O157:Y157,TRANSPOSE(Cls2NCentVMTShr)),0)</f>
        <v>0</v>
      </c>
      <c r="AD157" s="1226">
        <f t="shared" si="105"/>
        <v>0</v>
      </c>
      <c r="AE157" s="937">
        <f t="shared" si="102"/>
        <v>0.23068474760376467</v>
      </c>
      <c r="AF157" s="937">
        <f t="shared" si="103"/>
        <v>0.1431279524181574</v>
      </c>
      <c r="AG157" s="937">
        <f t="shared" si="104"/>
        <v>0.37381270002192207</v>
      </c>
      <c r="AH157" s="1172">
        <f t="shared" si="100"/>
        <v>0.61711318954716166</v>
      </c>
      <c r="AI157" s="937">
        <f t="shared" si="101"/>
        <v>0.38288681045283834</v>
      </c>
    </row>
    <row r="158" spans="1:35" x14ac:dyDescent="0.2">
      <c r="A158" s="330">
        <v>2037</v>
      </c>
      <c r="B158" s="344">
        <v>0</v>
      </c>
      <c r="C158" s="345">
        <v>4.0451592901043484E-2</v>
      </c>
      <c r="D158" s="345">
        <v>0.24174248488702724</v>
      </c>
      <c r="E158" s="345">
        <v>0.36446408162663979</v>
      </c>
      <c r="F158" s="345">
        <v>0.43254775108491544</v>
      </c>
      <c r="G158" s="345">
        <v>0.45326252042273174</v>
      </c>
      <c r="H158" s="345">
        <v>0.44959886638880969</v>
      </c>
      <c r="I158" s="345">
        <v>0.42527244315020402</v>
      </c>
      <c r="J158" s="345">
        <v>0.40806081609247119</v>
      </c>
      <c r="K158" s="345">
        <v>0.39245103730257774</v>
      </c>
      <c r="L158" s="380">
        <v>0.37081955944059075</v>
      </c>
      <c r="M158" s="296">
        <f t="shared" si="94"/>
        <v>0.23114538195275161</v>
      </c>
      <c r="N158" s="298">
        <f t="shared" si="95"/>
        <v>0.17921875025563275</v>
      </c>
      <c r="O158" s="344">
        <v>0</v>
      </c>
      <c r="P158" s="345">
        <v>6.5583841819019995E-2</v>
      </c>
      <c r="Q158" s="345">
        <v>0.27377151336196437</v>
      </c>
      <c r="R158" s="345">
        <v>0.38860554993906021</v>
      </c>
      <c r="S158" s="345">
        <v>0.4312593010593721</v>
      </c>
      <c r="T158" s="345">
        <v>0.44539163128439435</v>
      </c>
      <c r="U158" s="345">
        <v>0.42989955876113523</v>
      </c>
      <c r="V158" s="345">
        <v>0.41173921622347931</v>
      </c>
      <c r="W158" s="345">
        <v>0.39245103730257774</v>
      </c>
      <c r="X158" s="345">
        <v>0.37822352886556065</v>
      </c>
      <c r="Y158" s="380">
        <v>0.36255130762876203</v>
      </c>
      <c r="Z158" s="296">
        <f t="shared" si="89"/>
        <v>0.14181541991667238</v>
      </c>
      <c r="AA158" s="298">
        <f t="shared" si="90"/>
        <v>0.11947491619119316</v>
      </c>
      <c r="AB158" s="948">
        <f t="array" ref="AB158">IF(AND($AD$123=TRUE,SUM(B158:L158)&gt;0),SUMPRODUCT((((TRANSPOSE(Cls2CentDailyRng)&lt;INDEX(CDRANGE_CLS2,$A158-$A$128+1,AD$124))*TRANSPOSE(Cls2CentDailyRng)+(TRANSPOSE(Cls2CentDailyRng)&gt;INDEX(CDRANGE_CLS2,$A158-$A$128+1,AD$124))*INDEX(CDRANGE_CLS2,$A158-$A$128+1,AD$124))/TRANSPOSE(Cls2CentDailyRng)),B158:L158,TRANSPOSE(Cls2CentVMTShr))/SUMPRODUCT(B158:L158,TRANSPOSE(Cls2CentVMTShr)),0)</f>
        <v>0</v>
      </c>
      <c r="AC158" s="949">
        <f t="array" ref="AC158">IF(AND($AD$123=TRUE,SUM(O158:Y158)&gt;0),SUMPRODUCT((((TRANSPOSE(Cls2NCentDailyRng)&lt;INDEX(CDRANGE_CLS2,$A158-$A$128+1,AD$124))*TRANSPOSE(Cls2NCentDailyRng)+(TRANSPOSE(Cls2NCentDailyRng)&gt;INDEX(CDRANGE_CLS2,$A158-$A$128+1,AD$124))*INDEX(CDRANGE_CLS2,$A158-$A$128+1,AD$124))/TRANSPOSE(Cls2NCentDailyRng)),O158:Y158,TRANSPOSE(Cls2NCentVMTShr))/SUMPRODUCT(O158:Y158,TRANSPOSE(Cls2NCentVMTShr)),0)</f>
        <v>0</v>
      </c>
      <c r="AD158" s="1226">
        <f t="shared" si="105"/>
        <v>0</v>
      </c>
      <c r="AE158" s="937">
        <f t="shared" si="102"/>
        <v>0.23114538195275161</v>
      </c>
      <c r="AF158" s="937">
        <f t="shared" si="103"/>
        <v>0.14181541991667238</v>
      </c>
      <c r="AG158" s="937">
        <f t="shared" si="104"/>
        <v>0.37296080186942399</v>
      </c>
      <c r="AH158" s="1172">
        <f t="shared" si="100"/>
        <v>0.61975784263161549</v>
      </c>
      <c r="AI158" s="937">
        <f t="shared" si="101"/>
        <v>0.38024215736838446</v>
      </c>
    </row>
    <row r="159" spans="1:35" x14ac:dyDescent="0.2">
      <c r="A159" s="330">
        <v>2038</v>
      </c>
      <c r="B159" s="344">
        <v>0</v>
      </c>
      <c r="C159" s="345">
        <v>4.0451650698259185E-2</v>
      </c>
      <c r="D159" s="345">
        <v>0.24174283028856872</v>
      </c>
      <c r="E159" s="345">
        <v>0.3727597522593884</v>
      </c>
      <c r="F159" s="345">
        <v>0.43225660836166191</v>
      </c>
      <c r="G159" s="345">
        <v>0.44708135451323927</v>
      </c>
      <c r="H159" s="345">
        <v>0.43718298273622591</v>
      </c>
      <c r="I159" s="345">
        <v>0.41168676748334565</v>
      </c>
      <c r="J159" s="345">
        <v>0.39339844984860584</v>
      </c>
      <c r="K159" s="345">
        <v>0.38280506556122612</v>
      </c>
      <c r="L159" s="380">
        <v>0.36650868378515711</v>
      </c>
      <c r="M159" s="296">
        <f t="shared" si="94"/>
        <v>0.22864374872583851</v>
      </c>
      <c r="N159" s="298">
        <f t="shared" si="95"/>
        <v>0.1782234902223517</v>
      </c>
      <c r="O159" s="344">
        <v>0</v>
      </c>
      <c r="P159" s="345">
        <v>6.9127198003507265E-2</v>
      </c>
      <c r="Q159" s="345">
        <v>0.27377190452656569</v>
      </c>
      <c r="R159" s="345">
        <v>0.3886061051784756</v>
      </c>
      <c r="S159" s="345">
        <v>0.4283730764767153</v>
      </c>
      <c r="T159" s="345">
        <v>0.43451924024695099</v>
      </c>
      <c r="U159" s="345">
        <v>0.41761601421982969</v>
      </c>
      <c r="V159" s="345">
        <v>0.40218757660530874</v>
      </c>
      <c r="W159" s="345">
        <v>0.38280506556122612</v>
      </c>
      <c r="X159" s="345">
        <v>0.37361138869554728</v>
      </c>
      <c r="Y159" s="380">
        <v>0.35864181619455426</v>
      </c>
      <c r="Z159" s="296">
        <f t="shared" si="89"/>
        <v>0.14009658586234308</v>
      </c>
      <c r="AA159" s="298">
        <f t="shared" si="90"/>
        <v>0.11855806234560078</v>
      </c>
      <c r="AB159" s="948">
        <f t="array" ref="AB159">IF(AND($AD$123=TRUE,SUM(B159:L159)&gt;0),SUMPRODUCT((((TRANSPOSE(Cls2CentDailyRng)&lt;INDEX(CDRANGE_CLS2,$A159-$A$128+1,AD$124))*TRANSPOSE(Cls2CentDailyRng)+(TRANSPOSE(Cls2CentDailyRng)&gt;INDEX(CDRANGE_CLS2,$A159-$A$128+1,AD$124))*INDEX(CDRANGE_CLS2,$A159-$A$128+1,AD$124))/TRANSPOSE(Cls2CentDailyRng)),B159:L159,TRANSPOSE(Cls2CentVMTShr))/SUMPRODUCT(B159:L159,TRANSPOSE(Cls2CentVMTShr)),0)</f>
        <v>0</v>
      </c>
      <c r="AC159" s="949">
        <f t="array" ref="AC159">IF(AND($AD$123=TRUE,SUM(O159:Y159)&gt;0),SUMPRODUCT((((TRANSPOSE(Cls2NCentDailyRng)&lt;INDEX(CDRANGE_CLS2,$A159-$A$128+1,AD$124))*TRANSPOSE(Cls2NCentDailyRng)+(TRANSPOSE(Cls2NCentDailyRng)&gt;INDEX(CDRANGE_CLS2,$A159-$A$128+1,AD$124))*INDEX(CDRANGE_CLS2,$A159-$A$128+1,AD$124))/TRANSPOSE(Cls2NCentDailyRng)),O159:Y159,TRANSPOSE(Cls2NCentVMTShr))/SUMPRODUCT(O159:Y159,TRANSPOSE(Cls2NCentVMTShr)),0)</f>
        <v>0</v>
      </c>
      <c r="AD159" s="1226">
        <f t="shared" si="105"/>
        <v>0</v>
      </c>
      <c r="AE159" s="937">
        <f t="shared" si="102"/>
        <v>0.22864374872583851</v>
      </c>
      <c r="AF159" s="937">
        <f t="shared" si="103"/>
        <v>0.14009658586234308</v>
      </c>
      <c r="AG159" s="937">
        <f t="shared" si="104"/>
        <v>0.36874033458818156</v>
      </c>
      <c r="AH159" s="1172">
        <f t="shared" si="100"/>
        <v>0.62006709675846439</v>
      </c>
      <c r="AI159" s="937">
        <f t="shared" si="101"/>
        <v>0.37993290324153567</v>
      </c>
    </row>
    <row r="160" spans="1:35" x14ac:dyDescent="0.2">
      <c r="A160" s="330">
        <v>2039</v>
      </c>
      <c r="B160" s="344">
        <v>0</v>
      </c>
      <c r="C160" s="345">
        <v>4.2708613675536383E-2</v>
      </c>
      <c r="D160" s="345">
        <v>0.24174295735494308</v>
      </c>
      <c r="E160" s="345">
        <v>0.37275994819169461</v>
      </c>
      <c r="F160" s="345">
        <v>0.43018465626700753</v>
      </c>
      <c r="G160" s="345">
        <v>0.43470487126225732</v>
      </c>
      <c r="H160" s="345">
        <v>0.41757201005388506</v>
      </c>
      <c r="I160" s="345">
        <v>0.39729691341116585</v>
      </c>
      <c r="J160" s="345">
        <v>0.38366542371761692</v>
      </c>
      <c r="K160" s="345">
        <v>0.37353405436505438</v>
      </c>
      <c r="L160" s="380">
        <v>0.35855769618094241</v>
      </c>
      <c r="M160" s="296">
        <f t="shared" si="94"/>
        <v>0.224233964596634</v>
      </c>
      <c r="N160" s="298">
        <f t="shared" si="95"/>
        <v>0.17579844435998712</v>
      </c>
      <c r="O160" s="344">
        <v>0</v>
      </c>
      <c r="P160" s="345">
        <v>6.9127234338576288E-2</v>
      </c>
      <c r="Q160" s="345">
        <v>0.27377204842826186</v>
      </c>
      <c r="R160" s="345">
        <v>0.3881941216289177</v>
      </c>
      <c r="S160" s="345">
        <v>0.41942820084086097</v>
      </c>
      <c r="T160" s="345">
        <v>0.41671552629023578</v>
      </c>
      <c r="U160" s="345">
        <v>0.40406544488571594</v>
      </c>
      <c r="V160" s="345">
        <v>0.39330732306250904</v>
      </c>
      <c r="W160" s="345">
        <v>0.37349262178231857</v>
      </c>
      <c r="X160" s="345">
        <v>0.36486434615657121</v>
      </c>
      <c r="Y160" s="380">
        <v>0.35490033576539043</v>
      </c>
      <c r="Z160" s="296">
        <f t="shared" si="89"/>
        <v>0.1372744972295904</v>
      </c>
      <c r="AA160" s="298">
        <f t="shared" si="90"/>
        <v>0.11661696358324654</v>
      </c>
      <c r="AB160" s="948">
        <f t="array" ref="AB160">IF(AND($AD$123=TRUE,SUM(B160:L160)&gt;0),SUMPRODUCT((((TRANSPOSE(Cls2CentDailyRng)&lt;INDEX(CDRANGE_CLS2,$A160-$A$128+1,AD$124))*TRANSPOSE(Cls2CentDailyRng)+(TRANSPOSE(Cls2CentDailyRng)&gt;INDEX(CDRANGE_CLS2,$A160-$A$128+1,AD$124))*INDEX(CDRANGE_CLS2,$A160-$A$128+1,AD$124))/TRANSPOSE(Cls2CentDailyRng)),B160:L160,TRANSPOSE(Cls2CentVMTShr))/SUMPRODUCT(B160:L160,TRANSPOSE(Cls2CentVMTShr)),0)</f>
        <v>0</v>
      </c>
      <c r="AC160" s="949">
        <f t="array" ref="AC160">IF(AND($AD$123=TRUE,SUM(O160:Y160)&gt;0),SUMPRODUCT((((TRANSPOSE(Cls2NCentDailyRng)&lt;INDEX(CDRANGE_CLS2,$A160-$A$128+1,AD$124))*TRANSPOSE(Cls2NCentDailyRng)+(TRANSPOSE(Cls2NCentDailyRng)&gt;INDEX(CDRANGE_CLS2,$A160-$A$128+1,AD$124))*INDEX(CDRANGE_CLS2,$A160-$A$128+1,AD$124))/TRANSPOSE(Cls2NCentDailyRng)),O160:Y160,TRANSPOSE(Cls2NCentVMTShr))/SUMPRODUCT(O160:Y160,TRANSPOSE(Cls2NCentVMTShr)),0)</f>
        <v>0</v>
      </c>
      <c r="AD160" s="1226">
        <f t="shared" si="105"/>
        <v>0</v>
      </c>
      <c r="AE160" s="937">
        <f t="shared" si="102"/>
        <v>0.224233964596634</v>
      </c>
      <c r="AF160" s="937">
        <f t="shared" si="103"/>
        <v>0.1372744972295904</v>
      </c>
      <c r="AG160" s="937">
        <f t="shared" si="104"/>
        <v>0.36150846182622443</v>
      </c>
      <c r="AH160" s="1172">
        <f t="shared" si="100"/>
        <v>0.62027307317753</v>
      </c>
      <c r="AI160" s="937">
        <f t="shared" si="101"/>
        <v>0.37972692682246995</v>
      </c>
    </row>
    <row r="161" spans="1:35" ht="15" thickBot="1" x14ac:dyDescent="0.25">
      <c r="A161" s="328">
        <v>2040</v>
      </c>
      <c r="B161" s="346">
        <v>0</v>
      </c>
      <c r="C161" s="347">
        <v>4.2708621933978182E-2</v>
      </c>
      <c r="D161" s="347">
        <v>0.24174300410008354</v>
      </c>
      <c r="E161" s="347">
        <v>0.37266109369859857</v>
      </c>
      <c r="F161" s="347">
        <v>0.42338180789846741</v>
      </c>
      <c r="G161" s="347">
        <v>0.42045134374135401</v>
      </c>
      <c r="H161" s="347">
        <v>0.40197651423265135</v>
      </c>
      <c r="I161" s="347">
        <v>0.38056073028487164</v>
      </c>
      <c r="J161" s="347">
        <v>0.36021322211263535</v>
      </c>
      <c r="K161" s="347">
        <v>0.34912703473062107</v>
      </c>
      <c r="L161" s="381">
        <v>0.32174030432201417</v>
      </c>
      <c r="M161" s="310">
        <f t="shared" si="94"/>
        <v>0.21758615139428836</v>
      </c>
      <c r="N161" s="312">
        <f t="shared" si="95"/>
        <v>0.17206373896521199</v>
      </c>
      <c r="O161" s="346">
        <v>0</v>
      </c>
      <c r="P161" s="347">
        <v>6.9127247705510791E-2</v>
      </c>
      <c r="Q161" s="347">
        <v>0.27377111998390924</v>
      </c>
      <c r="R161" s="347">
        <v>0.38584427964144291</v>
      </c>
      <c r="S161" s="347">
        <v>0.40736707186134774</v>
      </c>
      <c r="T161" s="347">
        <v>0.39941199161553198</v>
      </c>
      <c r="U161" s="347">
        <v>0.38960856601305238</v>
      </c>
      <c r="V161" s="347">
        <v>0.38341701075371132</v>
      </c>
      <c r="W161" s="347">
        <v>0.36887279303983866</v>
      </c>
      <c r="X161" s="347">
        <v>0.36060093601412863</v>
      </c>
      <c r="Y161" s="381">
        <v>0.35134469886420422</v>
      </c>
      <c r="Z161" s="310">
        <f t="shared" si="89"/>
        <v>0.13410136959409802</v>
      </c>
      <c r="AA161" s="312">
        <f t="shared" si="90"/>
        <v>0.114320223782454</v>
      </c>
      <c r="AB161" s="948">
        <f t="array" ref="AB161">IF(AND($AD$123=TRUE,SUM(B161:L161)&gt;0),SUMPRODUCT((((TRANSPOSE(Cls2CentDailyRng)&lt;INDEX(CDRANGE_CLS2,$A161-$A$128+1,AD$124))*TRANSPOSE(Cls2CentDailyRng)+(TRANSPOSE(Cls2CentDailyRng)&gt;INDEX(CDRANGE_CLS2,$A161-$A$128+1,AD$124))*INDEX(CDRANGE_CLS2,$A161-$A$128+1,AD$124))/TRANSPOSE(Cls2CentDailyRng)),B161:L161,TRANSPOSE(Cls2CentVMTShr))/SUMPRODUCT(B161:L161,TRANSPOSE(Cls2CentVMTShr)),0)</f>
        <v>0</v>
      </c>
      <c r="AC161" s="949">
        <f t="array" ref="AC161">IF(AND($AD$123=TRUE,SUM(O161:Y161)&gt;0),SUMPRODUCT((((TRANSPOSE(Cls2NCentDailyRng)&lt;INDEX(CDRANGE_CLS2,$A161-$A$128+1,AD$124))*TRANSPOSE(Cls2NCentDailyRng)+(TRANSPOSE(Cls2NCentDailyRng)&gt;INDEX(CDRANGE_CLS2,$A161-$A$128+1,AD$124))*INDEX(CDRANGE_CLS2,$A161-$A$128+1,AD$124))/TRANSPOSE(Cls2NCentDailyRng)),O161:Y161,TRANSPOSE(Cls2NCentVMTShr))/SUMPRODUCT(O161:Y161,TRANSPOSE(Cls2NCentVMTShr)),0)</f>
        <v>0</v>
      </c>
      <c r="AD161" s="1226">
        <f t="shared" si="105"/>
        <v>0</v>
      </c>
      <c r="AE161" s="937">
        <f t="shared" si="102"/>
        <v>0.21758615139428836</v>
      </c>
      <c r="AF161" s="937">
        <f t="shared" si="103"/>
        <v>0.13410136959409802</v>
      </c>
      <c r="AG161" s="937">
        <f t="shared" si="104"/>
        <v>0.3516875209883864</v>
      </c>
      <c r="AH161" s="1172">
        <f t="shared" si="100"/>
        <v>0.61869170331316248</v>
      </c>
      <c r="AI161" s="937">
        <f t="shared" si="101"/>
        <v>0.38130829668683747</v>
      </c>
    </row>
    <row r="162" spans="1:35" x14ac:dyDescent="0.2">
      <c r="A162" s="329">
        <v>2041</v>
      </c>
      <c r="B162" s="342">
        <v>0</v>
      </c>
      <c r="C162" s="343">
        <v>4.5233492717400139E-2</v>
      </c>
      <c r="D162" s="343">
        <v>0.24163939120090611</v>
      </c>
      <c r="E162" s="343">
        <v>0.36228704344770907</v>
      </c>
      <c r="F162" s="343">
        <v>0.37681205072734969</v>
      </c>
      <c r="G162" s="343">
        <v>0.35010064282658593</v>
      </c>
      <c r="H162" s="343">
        <v>0.32344072624774728</v>
      </c>
      <c r="I162" s="343">
        <v>0.30367211047825704</v>
      </c>
      <c r="J162" s="343">
        <v>0.29373109180733409</v>
      </c>
      <c r="K162" s="343">
        <v>0.28611350735716007</v>
      </c>
      <c r="L162" s="379">
        <v>0.27111286656775185</v>
      </c>
      <c r="M162" s="282">
        <f t="shared" si="94"/>
        <v>0.18939137234615505</v>
      </c>
      <c r="N162" s="284">
        <f t="shared" si="95"/>
        <v>0.15419448789178269</v>
      </c>
      <c r="O162" s="342">
        <v>0</v>
      </c>
      <c r="P162" s="343">
        <v>7.6417051826452434E-2</v>
      </c>
      <c r="Q162" s="343">
        <v>0.27343489866738091</v>
      </c>
      <c r="R162" s="343">
        <v>0.37364005434594721</v>
      </c>
      <c r="S162" s="343">
        <v>0.39782393218436535</v>
      </c>
      <c r="T162" s="343">
        <v>0.38030243057636465</v>
      </c>
      <c r="U162" s="343">
        <v>0.38217550016593554</v>
      </c>
      <c r="V162" s="343">
        <v>0.36918013986511999</v>
      </c>
      <c r="W162" s="343">
        <v>0.36027319586427325</v>
      </c>
      <c r="X162" s="343">
        <v>0.35361370654205559</v>
      </c>
      <c r="Y162" s="379">
        <v>0.3479718762150899</v>
      </c>
      <c r="Z162" s="282">
        <f t="shared" si="89"/>
        <v>0.13083456684401443</v>
      </c>
      <c r="AA162" s="284">
        <f t="shared" si="90"/>
        <v>0.11208952000828881</v>
      </c>
      <c r="AB162" s="948">
        <f t="array" ref="AB162">IF(AND($AD$123=TRUE,SUM(B162:L162)&gt;0),SUMPRODUCT((((TRANSPOSE(Cls2CentDailyRng)&lt;INDEX(CDRANGE_CLS2,$A162-$A$128+1,AD$124))*TRANSPOSE(Cls2CentDailyRng)+(TRANSPOSE(Cls2CentDailyRng)&gt;INDEX(CDRANGE_CLS2,$A162-$A$128+1,AD$124))*INDEX(CDRANGE_CLS2,$A162-$A$128+1,AD$124))/TRANSPOSE(Cls2CentDailyRng)),B162:L162,TRANSPOSE(Cls2CentVMTShr))/SUMPRODUCT(B162:L162,TRANSPOSE(Cls2CentVMTShr)),0)</f>
        <v>0</v>
      </c>
      <c r="AC162" s="949">
        <f t="array" ref="AC162">IF(AND($AD$123=TRUE,SUM(O162:Y162)&gt;0),SUMPRODUCT((((TRANSPOSE(Cls2NCentDailyRng)&lt;INDEX(CDRANGE_CLS2,$A162-$A$128+1,AD$124))*TRANSPOSE(Cls2NCentDailyRng)+(TRANSPOSE(Cls2NCentDailyRng)&gt;INDEX(CDRANGE_CLS2,$A162-$A$128+1,AD$124))*INDEX(CDRANGE_CLS2,$A162-$A$128+1,AD$124))/TRANSPOSE(Cls2NCentDailyRng)),O162:Y162,TRANSPOSE(Cls2NCentVMTShr))/SUMPRODUCT(O162:Y162,TRANSPOSE(Cls2NCentVMTShr)),0)</f>
        <v>0</v>
      </c>
      <c r="AD162" s="1226">
        <f t="shared" si="105"/>
        <v>0</v>
      </c>
      <c r="AE162" s="937">
        <f t="shared" si="102"/>
        <v>0.18939137234615505</v>
      </c>
      <c r="AF162" s="937">
        <f t="shared" si="103"/>
        <v>0.13083456684401443</v>
      </c>
      <c r="AG162" s="937">
        <f t="shared" si="104"/>
        <v>0.32022593919016951</v>
      </c>
      <c r="AH162" s="1172">
        <f t="shared" si="100"/>
        <v>0.59143045321410714</v>
      </c>
      <c r="AI162" s="937">
        <f t="shared" si="101"/>
        <v>0.4085695467858928</v>
      </c>
    </row>
    <row r="163" spans="1:35" x14ac:dyDescent="0.2">
      <c r="A163" s="330">
        <v>2042</v>
      </c>
      <c r="B163" s="344">
        <v>0</v>
      </c>
      <c r="C163" s="345">
        <v>5.0417550271267028E-2</v>
      </c>
      <c r="D163" s="345">
        <v>0.23580028703071859</v>
      </c>
      <c r="E163" s="345">
        <v>0.28886479347225763</v>
      </c>
      <c r="F163" s="345">
        <v>0.29354075640585053</v>
      </c>
      <c r="G163" s="345">
        <v>0.28499739255495204</v>
      </c>
      <c r="H163" s="345">
        <v>0.27651587789633902</v>
      </c>
      <c r="I163" s="345">
        <v>0.27539668065835721</v>
      </c>
      <c r="J163" s="345">
        <v>0.27193111939303022</v>
      </c>
      <c r="K163" s="345">
        <v>0.26444810215422226</v>
      </c>
      <c r="L163" s="380">
        <v>0.25928328172000903</v>
      </c>
      <c r="M163" s="296">
        <f t="shared" si="94"/>
        <v>0.16062711531856952</v>
      </c>
      <c r="N163" s="298">
        <f t="shared" si="95"/>
        <v>0.13109111536307477</v>
      </c>
      <c r="O163" s="344">
        <v>0</v>
      </c>
      <c r="P163" s="345">
        <v>7.6352370960783858E-2</v>
      </c>
      <c r="Q163" s="345">
        <v>0.28054048633389411</v>
      </c>
      <c r="R163" s="345">
        <v>0.34474487749652805</v>
      </c>
      <c r="S163" s="345">
        <v>0.36738244297691136</v>
      </c>
      <c r="T163" s="345">
        <v>0.36071747586928937</v>
      </c>
      <c r="U163" s="345">
        <v>0.3630693260301639</v>
      </c>
      <c r="V163" s="345">
        <v>0.3600910019495997</v>
      </c>
      <c r="W163" s="345">
        <v>0.35240482699610087</v>
      </c>
      <c r="X163" s="345">
        <v>0.35056261111351789</v>
      </c>
      <c r="Y163" s="380">
        <v>0.344763595684422</v>
      </c>
      <c r="Z163" s="296">
        <f t="shared" si="89"/>
        <v>0.1241989249210495</v>
      </c>
      <c r="AA163" s="298">
        <f t="shared" si="90"/>
        <v>0.10672735796504164</v>
      </c>
      <c r="AB163" s="948">
        <f t="array" ref="AB163">IF(AND($AD$123=TRUE,SUM(B163:L163)&gt;0),SUMPRODUCT((((TRANSPOSE(Cls2CentDailyRng)&lt;INDEX(CDRANGE_CLS2,$A163-$A$128+1,AD$124))*TRANSPOSE(Cls2CentDailyRng)+(TRANSPOSE(Cls2CentDailyRng)&gt;INDEX(CDRANGE_CLS2,$A163-$A$128+1,AD$124))*INDEX(CDRANGE_CLS2,$A163-$A$128+1,AD$124))/TRANSPOSE(Cls2CentDailyRng)),B163:L163,TRANSPOSE(Cls2CentVMTShr))/SUMPRODUCT(B163:L163,TRANSPOSE(Cls2CentVMTShr)),0)</f>
        <v>0</v>
      </c>
      <c r="AC163" s="949">
        <f t="array" ref="AC163">IF(AND($AD$123=TRUE,SUM(O163:Y163)&gt;0),SUMPRODUCT((((TRANSPOSE(Cls2NCentDailyRng)&lt;INDEX(CDRANGE_CLS2,$A163-$A$128+1,AD$124))*TRANSPOSE(Cls2NCentDailyRng)+(TRANSPOSE(Cls2NCentDailyRng)&gt;INDEX(CDRANGE_CLS2,$A163-$A$128+1,AD$124))*INDEX(CDRANGE_CLS2,$A163-$A$128+1,AD$124))/TRANSPOSE(Cls2NCentDailyRng)),O163:Y163,TRANSPOSE(Cls2NCentVMTShr))/SUMPRODUCT(O163:Y163,TRANSPOSE(Cls2NCentVMTShr)),0)</f>
        <v>0</v>
      </c>
      <c r="AD163" s="1226">
        <f t="shared" si="105"/>
        <v>0</v>
      </c>
      <c r="AE163" s="937">
        <f t="shared" si="102"/>
        <v>0.16062711531856952</v>
      </c>
      <c r="AF163" s="937">
        <f t="shared" si="103"/>
        <v>0.1241989249210495</v>
      </c>
      <c r="AG163" s="937">
        <f t="shared" si="104"/>
        <v>0.28482604023961899</v>
      </c>
      <c r="AH163" s="1172">
        <f t="shared" si="100"/>
        <v>0.56394813895329521</v>
      </c>
      <c r="AI163" s="937">
        <f t="shared" si="101"/>
        <v>0.43605186104670485</v>
      </c>
    </row>
    <row r="164" spans="1:35" x14ac:dyDescent="0.2">
      <c r="A164" s="330">
        <v>2043</v>
      </c>
      <c r="B164" s="344">
        <v>0</v>
      </c>
      <c r="C164" s="345">
        <v>4.6760455278115197E-2</v>
      </c>
      <c r="D164" s="345">
        <v>0.19011340420219905</v>
      </c>
      <c r="E164" s="345">
        <v>0.23936085069285415</v>
      </c>
      <c r="F164" s="345">
        <v>0.25773605976353386</v>
      </c>
      <c r="G164" s="345">
        <v>0.2663739711927145</v>
      </c>
      <c r="H164" s="345">
        <v>0.26049262580810767</v>
      </c>
      <c r="I164" s="345">
        <v>0.26317118098438397</v>
      </c>
      <c r="J164" s="345">
        <v>0.2619211823382695</v>
      </c>
      <c r="K164" s="345">
        <v>0.25839041358562986</v>
      </c>
      <c r="L164" s="380">
        <v>0.25541937508947138</v>
      </c>
      <c r="M164" s="296">
        <f t="shared" si="94"/>
        <v>0.14501213538775973</v>
      </c>
      <c r="N164" s="298">
        <f t="shared" si="95"/>
        <v>0.11569146379302958</v>
      </c>
      <c r="O164" s="344">
        <v>0</v>
      </c>
      <c r="P164" s="345">
        <v>7.6693631124120129E-2</v>
      </c>
      <c r="Q164" s="345">
        <v>0.25026113369480213</v>
      </c>
      <c r="R164" s="345">
        <v>0.31176460246027282</v>
      </c>
      <c r="S164" s="345">
        <v>0.34325892857632934</v>
      </c>
      <c r="T164" s="345">
        <v>0.34644710851946825</v>
      </c>
      <c r="U164" s="345">
        <v>0.35382147191548247</v>
      </c>
      <c r="V164" s="345">
        <v>0.3515881455522149</v>
      </c>
      <c r="W164" s="345">
        <v>0.34536816726464015</v>
      </c>
      <c r="X164" s="345">
        <v>0.34410243053260092</v>
      </c>
      <c r="Y164" s="380">
        <v>0.34168316951632782</v>
      </c>
      <c r="Z164" s="296">
        <f t="shared" si="89"/>
        <v>0.11710045211057421</v>
      </c>
      <c r="AA164" s="298">
        <f t="shared" si="90"/>
        <v>9.9765686312526483E-2</v>
      </c>
      <c r="AB164" s="948">
        <f t="array" ref="AB164">IF(AND($AD$123=TRUE,SUM(B164:L164)&gt;0),SUMPRODUCT((((TRANSPOSE(Cls2CentDailyRng)&lt;INDEX(CDRANGE_CLS2,$A164-$A$128+1,AD$124))*TRANSPOSE(Cls2CentDailyRng)+(TRANSPOSE(Cls2CentDailyRng)&gt;INDEX(CDRANGE_CLS2,$A164-$A$128+1,AD$124))*INDEX(CDRANGE_CLS2,$A164-$A$128+1,AD$124))/TRANSPOSE(Cls2CentDailyRng)),B164:L164,TRANSPOSE(Cls2CentVMTShr))/SUMPRODUCT(B164:L164,TRANSPOSE(Cls2CentVMTShr)),0)</f>
        <v>0</v>
      </c>
      <c r="AC164" s="949">
        <f t="array" ref="AC164">IF(AND($AD$123=TRUE,SUM(O164:Y164)&gt;0),SUMPRODUCT((((TRANSPOSE(Cls2NCentDailyRng)&lt;INDEX(CDRANGE_CLS2,$A164-$A$128+1,AD$124))*TRANSPOSE(Cls2NCentDailyRng)+(TRANSPOSE(Cls2NCentDailyRng)&gt;INDEX(CDRANGE_CLS2,$A164-$A$128+1,AD$124))*INDEX(CDRANGE_CLS2,$A164-$A$128+1,AD$124))/TRANSPOSE(Cls2NCentDailyRng)),O164:Y164,TRANSPOSE(Cls2NCentVMTShr))/SUMPRODUCT(O164:Y164,TRANSPOSE(Cls2NCentVMTShr)),0)</f>
        <v>0</v>
      </c>
      <c r="AD164" s="1226">
        <f t="shared" si="105"/>
        <v>0</v>
      </c>
      <c r="AE164" s="937">
        <f t="shared" si="102"/>
        <v>0.14501213538775973</v>
      </c>
      <c r="AF164" s="937">
        <f t="shared" si="103"/>
        <v>0.11710045211057421</v>
      </c>
      <c r="AG164" s="937">
        <f t="shared" si="104"/>
        <v>0.26211258749833394</v>
      </c>
      <c r="AH164" s="1172">
        <f t="shared" si="100"/>
        <v>0.55324369108630267</v>
      </c>
      <c r="AI164" s="937">
        <f t="shared" si="101"/>
        <v>0.44675630891369739</v>
      </c>
    </row>
    <row r="165" spans="1:35" x14ac:dyDescent="0.2">
      <c r="A165" s="330">
        <v>2044</v>
      </c>
      <c r="B165" s="344">
        <v>0</v>
      </c>
      <c r="C165" s="345">
        <v>3.3327453133234257E-2</v>
      </c>
      <c r="D165" s="345">
        <v>0.14403129206837387</v>
      </c>
      <c r="E165" s="345">
        <v>0.21430969395523591</v>
      </c>
      <c r="F165" s="345">
        <v>0.23788871565786474</v>
      </c>
      <c r="G165" s="345">
        <v>0.25147487685314179</v>
      </c>
      <c r="H165" s="345">
        <v>0.25307635615144802</v>
      </c>
      <c r="I165" s="345">
        <v>0.25785072638258194</v>
      </c>
      <c r="J165" s="345">
        <v>0.25691376272794197</v>
      </c>
      <c r="K165" s="345">
        <v>0.25539702636386852</v>
      </c>
      <c r="L165" s="380">
        <v>0.25391859612314288</v>
      </c>
      <c r="M165" s="296">
        <f t="shared" si="94"/>
        <v>0.13487630759169739</v>
      </c>
      <c r="N165" s="298">
        <f t="shared" si="95"/>
        <v>0.10437224325808123</v>
      </c>
      <c r="O165" s="344">
        <v>0</v>
      </c>
      <c r="P165" s="345">
        <v>6.5869866420832743E-2</v>
      </c>
      <c r="Q165" s="345">
        <v>0.20434855478419453</v>
      </c>
      <c r="R165" s="345">
        <v>0.30355278545867986</v>
      </c>
      <c r="S165" s="345">
        <v>0.32922433904705611</v>
      </c>
      <c r="T165" s="345">
        <v>0.34224015279639353</v>
      </c>
      <c r="U165" s="345">
        <v>0.342078658765748</v>
      </c>
      <c r="V165" s="345">
        <v>0.34425183809471038</v>
      </c>
      <c r="W165" s="345">
        <v>0.34214972177038233</v>
      </c>
      <c r="X165" s="345">
        <v>0.34120615491498624</v>
      </c>
      <c r="Y165" s="380">
        <v>0.33913306090649609</v>
      </c>
      <c r="Z165" s="296">
        <f t="shared" si="89"/>
        <v>0.1120485794537352</v>
      </c>
      <c r="AA165" s="298">
        <f t="shared" si="90"/>
        <v>9.3908453444652124E-2</v>
      </c>
      <c r="AB165" s="948">
        <f t="array" ref="AB165">IF(AND($AD$123=TRUE,SUM(B165:L165)&gt;0),SUMPRODUCT((((TRANSPOSE(Cls2CentDailyRng)&lt;INDEX(CDRANGE_CLS2,$A165-$A$128+1,AD$124))*TRANSPOSE(Cls2CentDailyRng)+(TRANSPOSE(Cls2CentDailyRng)&gt;INDEX(CDRANGE_CLS2,$A165-$A$128+1,AD$124))*INDEX(CDRANGE_CLS2,$A165-$A$128+1,AD$124))/TRANSPOSE(Cls2CentDailyRng)),B165:L165,TRANSPOSE(Cls2CentVMTShr))/SUMPRODUCT(B165:L165,TRANSPOSE(Cls2CentVMTShr)),0)</f>
        <v>0</v>
      </c>
      <c r="AC165" s="949">
        <f t="array" ref="AC165">IF(AND($AD$123=TRUE,SUM(O165:Y165)&gt;0),SUMPRODUCT((((TRANSPOSE(Cls2NCentDailyRng)&lt;INDEX(CDRANGE_CLS2,$A165-$A$128+1,AD$124))*TRANSPOSE(Cls2NCentDailyRng)+(TRANSPOSE(Cls2NCentDailyRng)&gt;INDEX(CDRANGE_CLS2,$A165-$A$128+1,AD$124))*INDEX(CDRANGE_CLS2,$A165-$A$128+1,AD$124))/TRANSPOSE(Cls2NCentDailyRng)),O165:Y165,TRANSPOSE(Cls2NCentVMTShr))/SUMPRODUCT(O165:Y165,TRANSPOSE(Cls2NCentVMTShr)),0)</f>
        <v>0</v>
      </c>
      <c r="AD165" s="1226">
        <f t="shared" si="105"/>
        <v>0</v>
      </c>
      <c r="AE165" s="937">
        <f t="shared" si="102"/>
        <v>0.13487630759169739</v>
      </c>
      <c r="AF165" s="937">
        <f t="shared" si="103"/>
        <v>0.1120485794537352</v>
      </c>
      <c r="AG165" s="937">
        <f t="shared" si="104"/>
        <v>0.24692488704543258</v>
      </c>
      <c r="AH165" s="1172">
        <f t="shared" si="100"/>
        <v>0.5462240327637814</v>
      </c>
      <c r="AI165" s="937">
        <f t="shared" si="101"/>
        <v>0.4537759672362186</v>
      </c>
    </row>
    <row r="166" spans="1:35" ht="15" thickBot="1" x14ac:dyDescent="0.25">
      <c r="A166" s="328">
        <v>2045</v>
      </c>
      <c r="B166" s="346">
        <v>0</v>
      </c>
      <c r="C166" s="347">
        <v>5.0397060397795977E-2</v>
      </c>
      <c r="D166" s="347">
        <v>0.15528223538191102</v>
      </c>
      <c r="E166" s="347">
        <v>0.23075973904580205</v>
      </c>
      <c r="F166" s="347">
        <v>0.24185154347766427</v>
      </c>
      <c r="G166" s="347">
        <v>0.25327908033444196</v>
      </c>
      <c r="H166" s="347">
        <v>0.25745740805363415</v>
      </c>
      <c r="I166" s="347">
        <v>0.25610158328094901</v>
      </c>
      <c r="J166" s="347">
        <v>0.25559258162045267</v>
      </c>
      <c r="K166" s="347">
        <v>0.25424726529043823</v>
      </c>
      <c r="L166" s="381">
        <v>0.25284008251755491</v>
      </c>
      <c r="M166" s="310">
        <f t="shared" si="94"/>
        <v>0.13834314125923469</v>
      </c>
      <c r="N166" s="312">
        <f t="shared" si="95"/>
        <v>0.10911418900580253</v>
      </c>
      <c r="O166" s="346">
        <v>0</v>
      </c>
      <c r="P166" s="347">
        <v>5.7732143647069085E-2</v>
      </c>
      <c r="Q166" s="347">
        <v>0.16803326853962292</v>
      </c>
      <c r="R166" s="347">
        <v>0.28951972414102339</v>
      </c>
      <c r="S166" s="347">
        <v>0.31563754250607579</v>
      </c>
      <c r="T166" s="347">
        <v>0.33382884435198368</v>
      </c>
      <c r="U166" s="347">
        <v>0.33761964214387608</v>
      </c>
      <c r="V166" s="347">
        <v>0.34006779768543099</v>
      </c>
      <c r="W166" s="347">
        <v>0.33859625781248459</v>
      </c>
      <c r="X166" s="347">
        <v>0.33799899101603176</v>
      </c>
      <c r="Y166" s="381">
        <v>0.33630241795339</v>
      </c>
      <c r="Z166" s="310">
        <f t="shared" si="89"/>
        <v>0.10732534958126952</v>
      </c>
      <c r="AA166" s="312">
        <f t="shared" si="90"/>
        <v>8.8554802202043939E-2</v>
      </c>
      <c r="AB166" s="948">
        <f t="array" ref="AB166">IF(AND($AD$123=TRUE,SUM(B166:L166)&gt;0),SUMPRODUCT((((TRANSPOSE(Cls2CentDailyRng)&lt;INDEX(CDRANGE_CLS2,$A166-$A$128+1,AD$124))*TRANSPOSE(Cls2CentDailyRng)+(TRANSPOSE(Cls2CentDailyRng)&gt;INDEX(CDRANGE_CLS2,$A166-$A$128+1,AD$124))*INDEX(CDRANGE_CLS2,$A166-$A$128+1,AD$124))/TRANSPOSE(Cls2CentDailyRng)),B166:L166,TRANSPOSE(Cls2CentVMTShr))/SUMPRODUCT(B166:L166,TRANSPOSE(Cls2CentVMTShr)),0)</f>
        <v>0</v>
      </c>
      <c r="AC166" s="949">
        <f t="array" ref="AC166">IF(AND($AD$123=TRUE,SUM(O166:Y166)&gt;0),SUMPRODUCT((((TRANSPOSE(Cls2NCentDailyRng)&lt;INDEX(CDRANGE_CLS2,$A166-$A$128+1,AD$124))*TRANSPOSE(Cls2NCentDailyRng)+(TRANSPOSE(Cls2NCentDailyRng)&gt;INDEX(CDRANGE_CLS2,$A166-$A$128+1,AD$124))*INDEX(CDRANGE_CLS2,$A166-$A$128+1,AD$124))/TRANSPOSE(Cls2NCentDailyRng)),O166:Y166,TRANSPOSE(Cls2NCentVMTShr))/SUMPRODUCT(O166:Y166,TRANSPOSE(Cls2NCentVMTShr)),0)</f>
        <v>0</v>
      </c>
      <c r="AD166" s="1226">
        <f t="shared" si="105"/>
        <v>0</v>
      </c>
      <c r="AE166" s="937">
        <f t="shared" si="102"/>
        <v>0.13834314125923469</v>
      </c>
      <c r="AF166" s="937">
        <f t="shared" si="103"/>
        <v>0.10732534958126952</v>
      </c>
      <c r="AG166" s="937">
        <f t="shared" si="104"/>
        <v>0.24566849084050421</v>
      </c>
      <c r="AH166" s="1172">
        <f t="shared" si="100"/>
        <v>0.56312936504767908</v>
      </c>
      <c r="AI166" s="937">
        <f t="shared" si="101"/>
        <v>0.43687063495232098</v>
      </c>
    </row>
    <row r="167" spans="1:35" x14ac:dyDescent="0.2">
      <c r="A167" s="329">
        <v>2046</v>
      </c>
      <c r="B167" s="342">
        <v>0</v>
      </c>
      <c r="C167" s="343">
        <v>5.1766192297187152E-2</v>
      </c>
      <c r="D167" s="343">
        <v>0.15016413187655409</v>
      </c>
      <c r="E167" s="343">
        <v>0.23036713479803395</v>
      </c>
      <c r="F167" s="343">
        <v>0.24601519809437103</v>
      </c>
      <c r="G167" s="343">
        <v>0.25364038854591053</v>
      </c>
      <c r="H167" s="343">
        <v>0.25579100834728841</v>
      </c>
      <c r="I167" s="343">
        <v>0.25473432320517508</v>
      </c>
      <c r="J167" s="343">
        <v>0.25439732506841878</v>
      </c>
      <c r="K167" s="343">
        <v>0.25323731354707724</v>
      </c>
      <c r="L167" s="379">
        <v>0.25272487004411165</v>
      </c>
      <c r="M167" s="282">
        <f t="shared" si="94"/>
        <v>0.1383091645380688</v>
      </c>
      <c r="N167" s="284">
        <f t="shared" si="95"/>
        <v>0.10904316108345778</v>
      </c>
      <c r="O167" s="342">
        <v>0</v>
      </c>
      <c r="P167" s="343">
        <v>6.7693746967799687E-2</v>
      </c>
      <c r="Q167" s="343">
        <v>0.15139217025108537</v>
      </c>
      <c r="R167" s="343">
        <v>0.27999411058603385</v>
      </c>
      <c r="S167" s="343">
        <v>0.31020338914504386</v>
      </c>
      <c r="T167" s="343">
        <v>0.32896384638206377</v>
      </c>
      <c r="U167" s="343">
        <v>0.33301435438664911</v>
      </c>
      <c r="V167" s="343">
        <v>0.33574500352784276</v>
      </c>
      <c r="W167" s="343">
        <v>0.33494504501605987</v>
      </c>
      <c r="X167" s="343">
        <v>0.33640101075120238</v>
      </c>
      <c r="Y167" s="379">
        <v>0.33342790325725014</v>
      </c>
      <c r="Z167" s="282">
        <f t="shared" si="89"/>
        <v>0.10513888304926178</v>
      </c>
      <c r="AA167" s="284">
        <f t="shared" si="90"/>
        <v>8.6712433722945806E-2</v>
      </c>
      <c r="AB167" s="948">
        <f t="array" ref="AB167">IF(AND($AD$123=TRUE,SUM(B167:L167)&gt;0),SUMPRODUCT((((TRANSPOSE(Cls2CentDailyRng)&lt;INDEX(CDRANGE_CLS2,$A167-$A$128+1,AD$124))*TRANSPOSE(Cls2CentDailyRng)+(TRANSPOSE(Cls2CentDailyRng)&gt;INDEX(CDRANGE_CLS2,$A167-$A$128+1,AD$124))*INDEX(CDRANGE_CLS2,$A167-$A$128+1,AD$124))/TRANSPOSE(Cls2CentDailyRng)),B167:L167,TRANSPOSE(Cls2CentVMTShr))/SUMPRODUCT(B167:L167,TRANSPOSE(Cls2CentVMTShr)),0)</f>
        <v>0</v>
      </c>
      <c r="AC167" s="949">
        <f t="array" ref="AC167">IF(AND($AD$123=TRUE,SUM(O167:Y167)&gt;0),SUMPRODUCT((((TRANSPOSE(Cls2NCentDailyRng)&lt;INDEX(CDRANGE_CLS2,$A167-$A$128+1,AD$124))*TRANSPOSE(Cls2NCentDailyRng)+(TRANSPOSE(Cls2NCentDailyRng)&gt;INDEX(CDRANGE_CLS2,$A167-$A$128+1,AD$124))*INDEX(CDRANGE_CLS2,$A167-$A$128+1,AD$124))/TRANSPOSE(Cls2NCentDailyRng)),O167:Y167,TRANSPOSE(Cls2NCentVMTShr))/SUMPRODUCT(O167:Y167,TRANSPOSE(Cls2NCentVMTShr)),0)</f>
        <v>0</v>
      </c>
      <c r="AD167" s="1226">
        <f t="shared" si="105"/>
        <v>0</v>
      </c>
      <c r="AE167" s="937">
        <f t="shared" si="102"/>
        <v>0.1383091645380688</v>
      </c>
      <c r="AF167" s="937">
        <f t="shared" si="103"/>
        <v>0.10513888304926178</v>
      </c>
      <c r="AG167" s="937">
        <f t="shared" si="104"/>
        <v>0.24344804758733057</v>
      </c>
      <c r="AH167" s="1172">
        <f t="shared" si="100"/>
        <v>0.56812599611608727</v>
      </c>
      <c r="AI167" s="937">
        <f t="shared" si="101"/>
        <v>0.43187400388391273</v>
      </c>
    </row>
    <row r="168" spans="1:35" x14ac:dyDescent="0.2">
      <c r="A168" s="330">
        <v>2047</v>
      </c>
      <c r="B168" s="344">
        <v>0</v>
      </c>
      <c r="C168" s="345">
        <v>5.1617585692775504E-2</v>
      </c>
      <c r="D168" s="345">
        <v>0.1599698187687475</v>
      </c>
      <c r="E168" s="345">
        <v>0.23277001947336903</v>
      </c>
      <c r="F168" s="345">
        <v>0.24977032700947699</v>
      </c>
      <c r="G168" s="345">
        <v>0.2533291730410947</v>
      </c>
      <c r="H168" s="345">
        <v>0.25486683992426928</v>
      </c>
      <c r="I168" s="345">
        <v>0.25487012550449523</v>
      </c>
      <c r="J168" s="345">
        <v>0.25453291391712879</v>
      </c>
      <c r="K168" s="345">
        <v>0.2533718616377309</v>
      </c>
      <c r="L168" s="380">
        <v>0.2520834516760258</v>
      </c>
      <c r="M168" s="296">
        <f t="shared" si="94"/>
        <v>0.13946367636761239</v>
      </c>
      <c r="N168" s="298">
        <f t="shared" si="95"/>
        <v>0.11049993455683856</v>
      </c>
      <c r="O168" s="344">
        <v>0</v>
      </c>
      <c r="P168" s="345">
        <v>7.2614645099742581E-2</v>
      </c>
      <c r="Q168" s="345">
        <v>0.1535031226314692</v>
      </c>
      <c r="R168" s="345">
        <v>0.27403052866773064</v>
      </c>
      <c r="S168" s="345">
        <v>0.30119474606393687</v>
      </c>
      <c r="T168" s="345">
        <v>0.32383996358308526</v>
      </c>
      <c r="U168" s="345">
        <v>0.32816056994790449</v>
      </c>
      <c r="V168" s="345">
        <v>0.33119422469339671</v>
      </c>
      <c r="W168" s="345">
        <v>0.33276968562799275</v>
      </c>
      <c r="X168" s="345">
        <v>0.33255940875780071</v>
      </c>
      <c r="Y168" s="380">
        <v>0.33128381715339161</v>
      </c>
      <c r="Z168" s="296">
        <f t="shared" si="89"/>
        <v>0.10349387123744967</v>
      </c>
      <c r="AA168" s="298">
        <f t="shared" si="90"/>
        <v>8.5657552977531456E-2</v>
      </c>
      <c r="AB168" s="948">
        <f t="array" ref="AB168">IF(AND($AD$123=TRUE,SUM(B168:L168)&gt;0),SUMPRODUCT((((TRANSPOSE(Cls2CentDailyRng)&lt;INDEX(CDRANGE_CLS2,$A168-$A$128+1,AD$124))*TRANSPOSE(Cls2CentDailyRng)+(TRANSPOSE(Cls2CentDailyRng)&gt;INDEX(CDRANGE_CLS2,$A168-$A$128+1,AD$124))*INDEX(CDRANGE_CLS2,$A168-$A$128+1,AD$124))/TRANSPOSE(Cls2CentDailyRng)),B168:L168,TRANSPOSE(Cls2CentVMTShr))/SUMPRODUCT(B168:L168,TRANSPOSE(Cls2CentVMTShr)),0)</f>
        <v>0</v>
      </c>
      <c r="AC168" s="949">
        <f t="array" ref="AC168">IF(AND($AD$123=TRUE,SUM(O168:Y168)&gt;0),SUMPRODUCT((((TRANSPOSE(Cls2NCentDailyRng)&lt;INDEX(CDRANGE_CLS2,$A168-$A$128+1,AD$124))*TRANSPOSE(Cls2NCentDailyRng)+(TRANSPOSE(Cls2NCentDailyRng)&gt;INDEX(CDRANGE_CLS2,$A168-$A$128+1,AD$124))*INDEX(CDRANGE_CLS2,$A168-$A$128+1,AD$124))/TRANSPOSE(Cls2NCentDailyRng)),O168:Y168,TRANSPOSE(Cls2NCentVMTShr))/SUMPRODUCT(O168:Y168,TRANSPOSE(Cls2NCentVMTShr)),0)</f>
        <v>0</v>
      </c>
      <c r="AD168" s="1226">
        <f t="shared" si="105"/>
        <v>0</v>
      </c>
      <c r="AE168" s="937">
        <f t="shared" si="102"/>
        <v>0.13946367636761239</v>
      </c>
      <c r="AF168" s="937">
        <f t="shared" si="103"/>
        <v>0.10349387123744967</v>
      </c>
      <c r="AG168" s="937">
        <f t="shared" si="104"/>
        <v>0.24295754760506205</v>
      </c>
      <c r="AH168" s="1172">
        <f t="shared" si="100"/>
        <v>0.57402487694811855</v>
      </c>
      <c r="AI168" s="937">
        <f t="shared" si="101"/>
        <v>0.42597512305188151</v>
      </c>
    </row>
    <row r="169" spans="1:35" x14ac:dyDescent="0.2">
      <c r="A169" s="330">
        <v>2048</v>
      </c>
      <c r="B169" s="344">
        <v>0</v>
      </c>
      <c r="C169" s="345">
        <v>5.9873244528028169E-2</v>
      </c>
      <c r="D169" s="345">
        <v>0.1597888577680055</v>
      </c>
      <c r="E169" s="345">
        <v>0.23325013401761749</v>
      </c>
      <c r="F169" s="345">
        <v>0.24927680274171177</v>
      </c>
      <c r="G169" s="345">
        <v>0.25222828652454221</v>
      </c>
      <c r="H169" s="345">
        <v>0.25346603203641516</v>
      </c>
      <c r="I169" s="345">
        <v>0.25364225663267886</v>
      </c>
      <c r="J169" s="345">
        <v>0.25349198206523932</v>
      </c>
      <c r="K169" s="345">
        <v>0.25253272783801478</v>
      </c>
      <c r="L169" s="380">
        <v>0.2522024946904125</v>
      </c>
      <c r="M169" s="296">
        <f t="shared" si="94"/>
        <v>0.13939845119036959</v>
      </c>
      <c r="N169" s="298">
        <f t="shared" si="95"/>
        <v>0.11102693820252746</v>
      </c>
      <c r="O169" s="344">
        <v>0</v>
      </c>
      <c r="P169" s="345">
        <v>7.3849025853376438E-2</v>
      </c>
      <c r="Q169" s="345">
        <v>0.15651238982479651</v>
      </c>
      <c r="R169" s="345">
        <v>0.26919054893870203</v>
      </c>
      <c r="S169" s="345">
        <v>0.2997846851259629</v>
      </c>
      <c r="T169" s="345">
        <v>0.32243583554414024</v>
      </c>
      <c r="U169" s="345">
        <v>0.32676216291283938</v>
      </c>
      <c r="V169" s="345">
        <v>0.32980245682461712</v>
      </c>
      <c r="W169" s="345">
        <v>0.32974010398215098</v>
      </c>
      <c r="X169" s="345">
        <v>0.33118485038888024</v>
      </c>
      <c r="Y169" s="380">
        <v>0.32991876321935126</v>
      </c>
      <c r="Z169" s="296">
        <f t="shared" si="89"/>
        <v>0.10297780004572975</v>
      </c>
      <c r="AA169" s="298">
        <f t="shared" si="90"/>
        <v>8.5349911741878046E-2</v>
      </c>
      <c r="AB169" s="948">
        <f t="array" ref="AB169">IF(AND($AD$123=TRUE,SUM(B169:L169)&gt;0),SUMPRODUCT((((TRANSPOSE(Cls2CentDailyRng)&lt;INDEX(CDRANGE_CLS2,$A169-$A$128+1,AD$124))*TRANSPOSE(Cls2CentDailyRng)+(TRANSPOSE(Cls2CentDailyRng)&gt;INDEX(CDRANGE_CLS2,$A169-$A$128+1,AD$124))*INDEX(CDRANGE_CLS2,$A169-$A$128+1,AD$124))/TRANSPOSE(Cls2CentDailyRng)),B169:L169,TRANSPOSE(Cls2CentVMTShr))/SUMPRODUCT(B169:L169,TRANSPOSE(Cls2CentVMTShr)),0)</f>
        <v>0</v>
      </c>
      <c r="AC169" s="949">
        <f t="array" ref="AC169">IF(AND($AD$123=TRUE,SUM(O169:Y169)&gt;0),SUMPRODUCT((((TRANSPOSE(Cls2NCentDailyRng)&lt;INDEX(CDRANGE_CLS2,$A169-$A$128+1,AD$124))*TRANSPOSE(Cls2NCentDailyRng)+(TRANSPOSE(Cls2NCentDailyRng)&gt;INDEX(CDRANGE_CLS2,$A169-$A$128+1,AD$124))*INDEX(CDRANGE_CLS2,$A169-$A$128+1,AD$124))/TRANSPOSE(Cls2NCentDailyRng)),O169:Y169,TRANSPOSE(Cls2NCentVMTShr))/SUMPRODUCT(O169:Y169,TRANSPOSE(Cls2NCentVMTShr)),0)</f>
        <v>0</v>
      </c>
      <c r="AD169" s="1226">
        <f t="shared" si="105"/>
        <v>0</v>
      </c>
      <c r="AE169" s="937">
        <f t="shared" si="102"/>
        <v>0.13939845119036959</v>
      </c>
      <c r="AF169" s="937">
        <f t="shared" si="103"/>
        <v>0.10297780004572975</v>
      </c>
      <c r="AG169" s="937">
        <f t="shared" si="104"/>
        <v>0.24237625123609935</v>
      </c>
      <c r="AH169" s="1172">
        <f t="shared" si="100"/>
        <v>0.57513246648320004</v>
      </c>
      <c r="AI169" s="937">
        <f t="shared" si="101"/>
        <v>0.4248675335167999</v>
      </c>
    </row>
    <row r="170" spans="1:35" x14ac:dyDescent="0.2">
      <c r="A170" s="330">
        <v>2049</v>
      </c>
      <c r="B170" s="344">
        <v>0</v>
      </c>
      <c r="C170" s="345">
        <v>6.1333532923691057E-2</v>
      </c>
      <c r="D170" s="345">
        <v>0.16079734804059465</v>
      </c>
      <c r="E170" s="345">
        <v>0.23534965613823913</v>
      </c>
      <c r="F170" s="345">
        <v>0.2480063637217122</v>
      </c>
      <c r="G170" s="345">
        <v>0.25064968036575852</v>
      </c>
      <c r="H170" s="345">
        <v>0.25357165751863192</v>
      </c>
      <c r="I170" s="345">
        <v>0.25374804304552123</v>
      </c>
      <c r="J170" s="345">
        <v>0.25359765817802821</v>
      </c>
      <c r="K170" s="345">
        <v>0.25304565822001912</v>
      </c>
      <c r="L170" s="380">
        <v>0.25230713118987436</v>
      </c>
      <c r="M170" s="296">
        <f t="shared" si="94"/>
        <v>0.13945134313946486</v>
      </c>
      <c r="N170" s="298">
        <f t="shared" si="95"/>
        <v>0.11124613981047896</v>
      </c>
      <c r="O170" s="344">
        <v>0</v>
      </c>
      <c r="P170" s="345">
        <v>7.1106698055650938E-2</v>
      </c>
      <c r="Q170" s="345">
        <v>0.15286173383972529</v>
      </c>
      <c r="R170" s="345">
        <v>0.26283246501137975</v>
      </c>
      <c r="S170" s="345">
        <v>0.29360436597043266</v>
      </c>
      <c r="T170" s="345">
        <v>0.31661720729004011</v>
      </c>
      <c r="U170" s="345">
        <v>0.32122878652795261</v>
      </c>
      <c r="V170" s="345">
        <v>0.32458861840455072</v>
      </c>
      <c r="W170" s="345">
        <v>0.3265273673242145</v>
      </c>
      <c r="X170" s="345">
        <v>0.32672240187000468</v>
      </c>
      <c r="Y170" s="380">
        <v>0.32672240187000468</v>
      </c>
      <c r="Z170" s="296">
        <f t="shared" si="89"/>
        <v>0.10099809568937659</v>
      </c>
      <c r="AA170" s="298">
        <f t="shared" si="90"/>
        <v>8.3552072609463304E-2</v>
      </c>
      <c r="AB170" s="948">
        <f t="array" ref="AB170">IF(AND($AD$123=TRUE,SUM(B170:L170)&gt;0),SUMPRODUCT((((TRANSPOSE(Cls2CentDailyRng)&lt;INDEX(CDRANGE_CLS2,$A170-$A$128+1,AD$124))*TRANSPOSE(Cls2CentDailyRng)+(TRANSPOSE(Cls2CentDailyRng)&gt;INDEX(CDRANGE_CLS2,$A170-$A$128+1,AD$124))*INDEX(CDRANGE_CLS2,$A170-$A$128+1,AD$124))/TRANSPOSE(Cls2CentDailyRng)),B170:L170,TRANSPOSE(Cls2CentVMTShr))/SUMPRODUCT(B170:L170,TRANSPOSE(Cls2CentVMTShr)),0)</f>
        <v>0</v>
      </c>
      <c r="AC170" s="949">
        <f t="array" ref="AC170">IF(AND($AD$123=TRUE,SUM(O170:Y170)&gt;0),SUMPRODUCT((((TRANSPOSE(Cls2NCentDailyRng)&lt;INDEX(CDRANGE_CLS2,$A170-$A$128+1,AD$124))*TRANSPOSE(Cls2NCentDailyRng)+(TRANSPOSE(Cls2NCentDailyRng)&gt;INDEX(CDRANGE_CLS2,$A170-$A$128+1,AD$124))*INDEX(CDRANGE_CLS2,$A170-$A$128+1,AD$124))/TRANSPOSE(Cls2NCentDailyRng)),O170:Y170,TRANSPOSE(Cls2NCentVMTShr))/SUMPRODUCT(O170:Y170,TRANSPOSE(Cls2NCentVMTShr)),0)</f>
        <v>0</v>
      </c>
      <c r="AD170" s="1226">
        <f t="shared" si="105"/>
        <v>0</v>
      </c>
      <c r="AE170" s="937">
        <f t="shared" si="102"/>
        <v>0.13945134313946486</v>
      </c>
      <c r="AF170" s="937">
        <f t="shared" si="103"/>
        <v>0.10099809568937659</v>
      </c>
      <c r="AG170" s="937">
        <f t="shared" si="104"/>
        <v>0.24044943882884146</v>
      </c>
      <c r="AH170" s="1172">
        <f t="shared" si="100"/>
        <v>0.57996119191914675</v>
      </c>
      <c r="AI170" s="937">
        <f t="shared" si="101"/>
        <v>0.4200388080808532</v>
      </c>
    </row>
    <row r="171" spans="1:35" ht="15" thickBot="1" x14ac:dyDescent="0.25">
      <c r="A171" s="328">
        <v>2050</v>
      </c>
      <c r="B171" s="346">
        <v>0</v>
      </c>
      <c r="C171" s="347">
        <v>6.2534266001564837E-2</v>
      </c>
      <c r="D171" s="347">
        <v>0.16167758601967427</v>
      </c>
      <c r="E171" s="347">
        <v>0.23458596690955363</v>
      </c>
      <c r="F171" s="347">
        <v>0.2480936792063371</v>
      </c>
      <c r="G171" s="347">
        <v>0.25073883047595935</v>
      </c>
      <c r="H171" s="347">
        <v>0.25366292624579034</v>
      </c>
      <c r="I171" s="347">
        <v>0.25267534424237664</v>
      </c>
      <c r="J171" s="347">
        <v>0.25272811001011986</v>
      </c>
      <c r="K171" s="347">
        <v>0.25313644411543668</v>
      </c>
      <c r="L171" s="381">
        <v>0.25239735065731828</v>
      </c>
      <c r="M171" s="310">
        <f t="shared" si="94"/>
        <v>0.13941338155300953</v>
      </c>
      <c r="N171" s="312">
        <f t="shared" si="95"/>
        <v>0.11133544840359301</v>
      </c>
      <c r="O171" s="346">
        <v>0</v>
      </c>
      <c r="P171" s="347">
        <v>7.2841170633653668E-2</v>
      </c>
      <c r="Q171" s="347">
        <v>0.15541595333655775</v>
      </c>
      <c r="R171" s="347">
        <v>0.26095533034008689</v>
      </c>
      <c r="S171" s="347">
        <v>0.2916731471923813</v>
      </c>
      <c r="T171" s="347">
        <v>0.31465642223927087</v>
      </c>
      <c r="U171" s="347">
        <v>0.31927235269452942</v>
      </c>
      <c r="V171" s="347">
        <v>0.32263779965656214</v>
      </c>
      <c r="W171" s="347">
        <v>0.32458368317477904</v>
      </c>
      <c r="X171" s="347">
        <v>0.32478808867653841</v>
      </c>
      <c r="Y171" s="381">
        <v>0.32396985190446403</v>
      </c>
      <c r="Z171" s="310">
        <f t="shared" si="89"/>
        <v>0.10054594473990883</v>
      </c>
      <c r="AA171" s="312">
        <f t="shared" si="90"/>
        <v>8.3370821590644795E-2</v>
      </c>
      <c r="AB171" s="950">
        <f t="array" ref="AB171">IF(AND($AD$123=TRUE,SUM(B171:L171)&gt;0),SUMPRODUCT((((TRANSPOSE(Cls2CentDailyRng)&lt;INDEX(CDRANGE_CLS2,$A171-$A$128+1,AD$124))*TRANSPOSE(Cls2CentDailyRng)+(TRANSPOSE(Cls2CentDailyRng)&gt;INDEX(CDRANGE_CLS2,$A171-$A$128+1,AD$124))*INDEX(CDRANGE_CLS2,$A171-$A$128+1,AD$124))/TRANSPOSE(Cls2CentDailyRng)),B171:L171,TRANSPOSE(Cls2CentVMTShr))/SUMPRODUCT(B171:L171,TRANSPOSE(Cls2CentVMTShr)),0)</f>
        <v>0</v>
      </c>
      <c r="AC171" s="951">
        <f t="array" ref="AC171">IF(AND($AD$123=TRUE,SUM(O171:Y171)&gt;0),SUMPRODUCT((((TRANSPOSE(Cls2NCentDailyRng)&lt;INDEX(CDRANGE_CLS2,$A171-$A$128+1,AD$124))*TRANSPOSE(Cls2NCentDailyRng)+(TRANSPOSE(Cls2NCentDailyRng)&gt;INDEX(CDRANGE_CLS2,$A171-$A$128+1,AD$124))*INDEX(CDRANGE_CLS2,$A171-$A$128+1,AD$124))/TRANSPOSE(Cls2NCentDailyRng)),O171:Y171,TRANSPOSE(Cls2NCentVMTShr))/SUMPRODUCT(O171:Y171,TRANSPOSE(Cls2NCentVMTShr)),0)</f>
        <v>0</v>
      </c>
      <c r="AD171" s="1227">
        <f t="shared" si="105"/>
        <v>0</v>
      </c>
      <c r="AE171" s="937">
        <f t="shared" si="102"/>
        <v>0.13941338155300953</v>
      </c>
      <c r="AF171" s="937">
        <f t="shared" si="103"/>
        <v>0.10054594473990883</v>
      </c>
      <c r="AG171" s="937">
        <f t="shared" si="104"/>
        <v>0.23995932629291836</v>
      </c>
      <c r="AH171" s="1172">
        <f t="shared" si="100"/>
        <v>0.58098755196048357</v>
      </c>
      <c r="AI171" s="937">
        <f t="shared" si="101"/>
        <v>0.41901244803951643</v>
      </c>
    </row>
    <row r="172" spans="1:35" x14ac:dyDescent="0.2">
      <c r="B172" s="227" t="str">
        <f>B$120</f>
        <v>Output generated: 7/21/2020 15:48</v>
      </c>
      <c r="O172" s="227" t="str">
        <f>O$120</f>
        <v>Output generated: 7/21/2020 15:48</v>
      </c>
      <c r="AE172" s="937">
        <f t="shared" si="102"/>
        <v>0</v>
      </c>
      <c r="AF172" s="937">
        <f t="shared" si="103"/>
        <v>0</v>
      </c>
      <c r="AG172" s="937">
        <f t="shared" si="104"/>
        <v>0</v>
      </c>
      <c r="AH172" s="1172">
        <f t="shared" si="100"/>
        <v>0</v>
      </c>
      <c r="AI172" s="937">
        <f t="shared" si="101"/>
        <v>0</v>
      </c>
    </row>
    <row r="173" spans="1:35" ht="15" thickBot="1" x14ac:dyDescent="0.25">
      <c r="AE173" s="937"/>
      <c r="AF173" s="937"/>
      <c r="AG173" s="937"/>
      <c r="AH173" s="937"/>
      <c r="AI173" s="937"/>
    </row>
    <row r="174" spans="1:35" ht="15" x14ac:dyDescent="0.2">
      <c r="A174" s="333"/>
      <c r="B174" s="1555" t="s">
        <v>255</v>
      </c>
      <c r="C174" s="1556"/>
      <c r="D174" s="1556"/>
      <c r="E174" s="1556"/>
      <c r="F174" s="1556"/>
      <c r="G174" s="1556"/>
      <c r="H174" s="1556"/>
      <c r="I174" s="1556"/>
      <c r="J174" s="1556"/>
      <c r="K174" s="1556"/>
      <c r="L174" s="1556"/>
      <c r="M174" s="1556"/>
      <c r="N174" s="1557"/>
      <c r="O174" s="1555" t="s">
        <v>256</v>
      </c>
      <c r="P174" s="1556"/>
      <c r="Q174" s="1556"/>
      <c r="R174" s="1556"/>
      <c r="S174" s="1556"/>
      <c r="T174" s="1556"/>
      <c r="U174" s="1556"/>
      <c r="V174" s="1556"/>
      <c r="W174" s="1556"/>
      <c r="X174" s="1556"/>
      <c r="Y174" s="1556"/>
      <c r="Z174" s="1556"/>
      <c r="AA174" s="1557"/>
      <c r="AE174" s="937"/>
      <c r="AF174" s="937"/>
      <c r="AG174" s="937"/>
      <c r="AH174" s="937"/>
      <c r="AI174" s="937"/>
    </row>
    <row r="175" spans="1:35" x14ac:dyDescent="0.2">
      <c r="A175" s="324"/>
      <c r="B175" s="1552" t="s">
        <v>121</v>
      </c>
      <c r="C175" s="1553"/>
      <c r="D175" s="1553"/>
      <c r="E175" s="1553"/>
      <c r="F175" s="1553"/>
      <c r="G175" s="1553"/>
      <c r="H175" s="1553"/>
      <c r="I175" s="1553"/>
      <c r="J175" s="1553"/>
      <c r="K175" s="1553"/>
      <c r="L175" s="1553"/>
      <c r="M175" s="382"/>
      <c r="N175" s="325"/>
      <c r="O175" s="1552" t="s">
        <v>121</v>
      </c>
      <c r="P175" s="1553"/>
      <c r="Q175" s="1553"/>
      <c r="R175" s="1553"/>
      <c r="S175" s="1553"/>
      <c r="T175" s="1553"/>
      <c r="U175" s="1553"/>
      <c r="V175" s="1553"/>
      <c r="W175" s="1553"/>
      <c r="X175" s="1553"/>
      <c r="Y175" s="1553"/>
      <c r="Z175" s="382"/>
      <c r="AA175" s="325"/>
      <c r="AC175" s="954" t="s">
        <v>267</v>
      </c>
      <c r="AD175" s="234" t="b">
        <f>INDEX(TECH_OPT_FUEL2_Cls2,MATCH(RIGHT(O174),TECH_OPT_ROWS_Cls2,0))&lt;&gt;"N/A"</f>
        <v>1</v>
      </c>
      <c r="AE175" s="937"/>
      <c r="AF175" s="937"/>
      <c r="AG175" s="937"/>
      <c r="AH175" s="937"/>
      <c r="AI175" s="937"/>
    </row>
    <row r="176" spans="1:35"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MATCH(RIGHT(O174),TECH_OPT_ROWS_Cls2,0)</f>
        <v>4</v>
      </c>
      <c r="AE176" s="937"/>
      <c r="AF176" s="937"/>
      <c r="AG176" s="937"/>
      <c r="AH176" s="937"/>
      <c r="AI176" s="937"/>
    </row>
    <row r="177" spans="1:39" ht="16" thickTop="1" thickBot="1" x14ac:dyDescent="0.25">
      <c r="A177" s="348" t="s">
        <v>124</v>
      </c>
      <c r="B177" s="340">
        <f t="array" ref="B177:L177">TRANSPOSE(Cls2CentTruckShr)</f>
        <v>3.9559734044076443E-2</v>
      </c>
      <c r="C177" s="341">
        <v>8.9650908809480775E-2</v>
      </c>
      <c r="D177" s="341">
        <v>9.1857251580802685E-2</v>
      </c>
      <c r="E177" s="341">
        <v>9.271536797287637E-2</v>
      </c>
      <c r="F177" s="341">
        <v>0.10920126324528824</v>
      </c>
      <c r="G177" s="341">
        <v>4.7813378096654632E-2</v>
      </c>
      <c r="H177" s="341">
        <v>5.2826626309680449E-2</v>
      </c>
      <c r="I177" s="341">
        <v>3.3324854637922362E-2</v>
      </c>
      <c r="J177" s="341">
        <v>1.4796369103015083E-2</v>
      </c>
      <c r="K177" s="341">
        <v>6.5522293759777608E-3</v>
      </c>
      <c r="L177" s="378">
        <v>1.1207747736094297E-2</v>
      </c>
      <c r="M177" s="384"/>
      <c r="N177" s="336"/>
      <c r="O177" s="340">
        <f t="array" ref="O177:Y177">TRANSPOSE(Cls2NCentTruckShr)</f>
        <v>4.6052840844996765E-2</v>
      </c>
      <c r="P177" s="341">
        <v>6.7033462620106746E-2</v>
      </c>
      <c r="Q177" s="341">
        <v>6.2316087841293416E-2</v>
      </c>
      <c r="R177" s="341">
        <v>6.9108422941336428E-2</v>
      </c>
      <c r="S177" s="341">
        <v>7.8222088301235171E-2</v>
      </c>
      <c r="T177" s="341">
        <v>3.5529474750239771E-2</v>
      </c>
      <c r="U177" s="341">
        <v>3.0248313910710867E-2</v>
      </c>
      <c r="V177" s="341">
        <v>8.2628405675757074E-3</v>
      </c>
      <c r="W177" s="341">
        <v>6.4250307191884484E-3</v>
      </c>
      <c r="X177" s="341">
        <v>1.9993158802676368E-3</v>
      </c>
      <c r="Y177" s="1209">
        <v>5.2963907111801883E-3</v>
      </c>
      <c r="Z177" s="1214"/>
      <c r="AA177" s="1215"/>
    </row>
    <row r="178" spans="1:39" x14ac:dyDescent="0.2">
      <c r="A178" s="331" t="s">
        <v>125</v>
      </c>
      <c r="B178" s="923">
        <f t="array" ref="B178:L178">TRANSPOSE(Cls2CentVMTShr)</f>
        <v>6.3375455551975849E-3</v>
      </c>
      <c r="C178" s="924">
        <v>3.496913005496359E-2</v>
      </c>
      <c r="D178" s="924">
        <v>5.9955127131675522E-2</v>
      </c>
      <c r="E178" s="924">
        <v>8.4599669387910512E-2</v>
      </c>
      <c r="F178" s="924">
        <v>0.12702701008436962</v>
      </c>
      <c r="G178" s="924">
        <v>6.7204731283582092E-2</v>
      </c>
      <c r="H178" s="924">
        <v>8.8708982453757024E-2</v>
      </c>
      <c r="I178" s="924">
        <v>6.4694225377098208E-2</v>
      </c>
      <c r="J178" s="924">
        <v>3.2526447027526634E-2</v>
      </c>
      <c r="K178" s="924">
        <v>1.589064319454132E-2</v>
      </c>
      <c r="L178" s="1210">
        <v>3.2608183213810787E-2</v>
      </c>
      <c r="M178" s="1211"/>
      <c r="N178" s="1212"/>
      <c r="O178" s="923">
        <f t="array" ref="O178:Y178">TRANSPOSE(Cls2NCentVMTShr)</f>
        <v>8.1228463417563086E-3</v>
      </c>
      <c r="P178" s="924">
        <v>2.7563836768431361E-2</v>
      </c>
      <c r="Q178" s="924">
        <v>4.1883113088337191E-2</v>
      </c>
      <c r="R178" s="924">
        <v>6.4289357588678764E-2</v>
      </c>
      <c r="S178" s="924">
        <v>9.1183275251204537E-2</v>
      </c>
      <c r="T178" s="924">
        <v>5.1984283219922628E-2</v>
      </c>
      <c r="U178" s="924">
        <v>5.0286059545109812E-2</v>
      </c>
      <c r="V178" s="924">
        <v>1.5542287574292338E-2</v>
      </c>
      <c r="W178" s="924">
        <v>1.4506257462625264E-2</v>
      </c>
      <c r="X178" s="924">
        <v>4.9330966304706684E-3</v>
      </c>
      <c r="Y178" s="925">
        <v>1.5183891764738403E-2</v>
      </c>
      <c r="Z178" s="1211"/>
      <c r="AA178" s="1212"/>
      <c r="AB178" s="1568" t="str">
        <f>"% of miles on f2 for Tech "&amp; RIGHT(O173)&amp;" adopters"</f>
        <v>% of miles on f2 for Tech  adopters</v>
      </c>
      <c r="AC178" s="1569"/>
      <c r="AD178" s="1570"/>
      <c r="AE178" s="937" t="s">
        <v>303</v>
      </c>
      <c r="AF178" s="937"/>
      <c r="AG178" s="937"/>
      <c r="AH178" s="1172" t="s">
        <v>304</v>
      </c>
      <c r="AI178" s="937"/>
    </row>
    <row r="179" spans="1:39" ht="15" thickBot="1" x14ac:dyDescent="0.25">
      <c r="A179" s="942" t="s">
        <v>266</v>
      </c>
      <c r="B179" s="933">
        <f t="array" ref="B179:L179">TRANSPOSE(Cls2CentVMT/OPDAYS_Cls2)</f>
        <v>49.332453271995263</v>
      </c>
      <c r="C179" s="934">
        <v>120.11441047790339</v>
      </c>
      <c r="D179" s="934">
        <v>200.99157969807086</v>
      </c>
      <c r="E179" s="934">
        <v>280.98421424125928</v>
      </c>
      <c r="F179" s="934">
        <v>358.20644524895255</v>
      </c>
      <c r="G179" s="934">
        <v>432.82805471770689</v>
      </c>
      <c r="H179" s="934">
        <v>517.10615118099815</v>
      </c>
      <c r="I179" s="934">
        <v>597.8087063838957</v>
      </c>
      <c r="J179" s="934">
        <v>676.93419409560215</v>
      </c>
      <c r="K179" s="934">
        <v>746.82245226325631</v>
      </c>
      <c r="L179" s="935">
        <v>895.92826380844349</v>
      </c>
      <c r="M179" s="931"/>
      <c r="N179" s="932"/>
      <c r="O179" s="933">
        <f t="array" ref="O179:Y179">TRANSPOSE(Cls2NCentVMT/OPDAYS_Cls2)</f>
        <v>54.31462614952413</v>
      </c>
      <c r="P179" s="934">
        <v>126.62311644744663</v>
      </c>
      <c r="Q179" s="934">
        <v>206.96826351576016</v>
      </c>
      <c r="R179" s="934">
        <v>286.46600131499179</v>
      </c>
      <c r="S179" s="934">
        <v>358.9638908170715</v>
      </c>
      <c r="T179" s="934">
        <v>450.55545819643328</v>
      </c>
      <c r="U179" s="934">
        <v>511.93098482414172</v>
      </c>
      <c r="V179" s="934">
        <v>579.22933632093111</v>
      </c>
      <c r="W179" s="934">
        <v>695.25665569614875</v>
      </c>
      <c r="X179" s="934">
        <v>759.80682330760794</v>
      </c>
      <c r="Y179" s="1213">
        <v>882.81167173661356</v>
      </c>
      <c r="Z179" s="943"/>
      <c r="AA179" s="932"/>
      <c r="AB179" s="945" t="s">
        <v>186</v>
      </c>
      <c r="AC179" s="946" t="s">
        <v>15</v>
      </c>
      <c r="AD179" s="947" t="s">
        <v>18</v>
      </c>
      <c r="AE179" s="937" t="s">
        <v>186</v>
      </c>
      <c r="AF179" s="937" t="s">
        <v>15</v>
      </c>
      <c r="AG179" s="937" t="s">
        <v>18</v>
      </c>
      <c r="AH179" s="1172" t="s">
        <v>186</v>
      </c>
      <c r="AI179" s="937" t="s">
        <v>15</v>
      </c>
      <c r="AJ179" s="323"/>
      <c r="AK179" s="323"/>
      <c r="AL179" s="323"/>
      <c r="AM179" s="323"/>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SUMPRODUCT($B$178:$L$178,$B180:$L180)</f>
        <v>0</v>
      </c>
      <c r="N180" s="284">
        <f>SUMPRODUCT($B$177:$L$177,$B180:$L180)</f>
        <v>0</v>
      </c>
      <c r="O180" s="342">
        <v>0</v>
      </c>
      <c r="P180" s="343">
        <v>0</v>
      </c>
      <c r="Q180" s="343">
        <v>0</v>
      </c>
      <c r="R180" s="343">
        <v>0</v>
      </c>
      <c r="S180" s="343">
        <v>0</v>
      </c>
      <c r="T180" s="343">
        <v>0</v>
      </c>
      <c r="U180" s="343">
        <v>0</v>
      </c>
      <c r="V180" s="343">
        <v>0</v>
      </c>
      <c r="W180" s="343">
        <v>0</v>
      </c>
      <c r="X180" s="343">
        <v>0</v>
      </c>
      <c r="Y180" s="379">
        <v>0</v>
      </c>
      <c r="Z180" s="387">
        <f>SUMPRODUCT($O$178:$Y$178,$O180:$Y180)</f>
        <v>0</v>
      </c>
      <c r="AA180" s="284">
        <f>SUMPRODUCT($O$177:$Y$177,$O180:$Y180)</f>
        <v>0</v>
      </c>
      <c r="AB180" s="948">
        <f t="array" ref="AB180">IF(AND($AD$175=TRUE,SUM(B180:L180)&gt;0),SUMPRODUCT((((TRANSPOSE(Cls2CentDailyRng)&lt;INDEX(CDRANGE_CLS2,$A180-$A$180+1,AD$176))*TRANSPOSE(Cls2CentDailyRng)+(TRANSPOSE(Cls2CentDailyRng)&gt;INDEX(CDRANGE_CLS2,$A180-$A$180+1,AD$176))*INDEX(CDRANGE_CLS2,$A180-$A$180+1,AD$176))/TRANSPOSE(Cls2CentDailyRng)),B180:L180,TRANSPOSE(Cls2CentVMTShr))/SUMPRODUCT(B180:L180,TRANSPOSE(Cls2CentVMTShr)),0)</f>
        <v>0</v>
      </c>
      <c r="AC180" s="949">
        <f t="array" ref="AC180">IF(AND($AD$175=TRUE,SUM(O180:Y180)&gt;0),SUMPRODUCT((((TRANSPOSE(Cls2NCentDailyRng)&lt;INDEX(CDRANGE_CLS2,$A180-$A$180+1,AD$176))*TRANSPOSE(Cls2NCentDailyRng)+(TRANSPOSE(Cls2NCentDailyRng)&gt;INDEX(CDRANGE_CLS2,$A180-$A$180+1,AD$176))*INDEX(CDRANGE_CLS2,$A180-$A$180+1,AD$176))/TRANSPOSE(Cls2NCentDailyRng)),O180:Y180,TRANSPOSE(Cls2NCentVMTShr))/SUMPRODUCT(O180:Y180,TRANSPOSE(Cls2NCentVMTShr)),0)</f>
        <v>0</v>
      </c>
      <c r="AD180" s="1226">
        <f>AB180*AH180+AC180*AI180</f>
        <v>0</v>
      </c>
      <c r="AE180" s="937">
        <f t="shared" ref="AE180:AE194" si="106">SUMPRODUCT($B$74:$L$74,B180:L180)</f>
        <v>0</v>
      </c>
      <c r="AF180" s="937">
        <f t="shared" ref="AF180:AF194" si="107">SUMPRODUCT($O$74:$Y$74,O180:Y180)</f>
        <v>0</v>
      </c>
      <c r="AG180" s="937">
        <f t="shared" ref="AG180:AG194" si="108">SUM(AE180:AF180)</f>
        <v>0</v>
      </c>
      <c r="AH180" s="1172">
        <f>IF(AG180&gt;0,AE180/AG180,0)</f>
        <v>0</v>
      </c>
      <c r="AI180" s="937">
        <f>IF(AG180&gt;0,AF180/AG180,0)</f>
        <v>0</v>
      </c>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9">SUMPRODUCT($B$178:$L$178,$B181:$L181)</f>
        <v>0</v>
      </c>
      <c r="N181" s="298">
        <f t="shared" ref="N181:N223" si="110">SUMPRODUCT($B$177:$L$177,$B181:$L181)</f>
        <v>0</v>
      </c>
      <c r="O181" s="344">
        <v>0</v>
      </c>
      <c r="P181" s="345">
        <v>0</v>
      </c>
      <c r="Q181" s="345">
        <v>0</v>
      </c>
      <c r="R181" s="345">
        <v>0</v>
      </c>
      <c r="S181" s="345">
        <v>0</v>
      </c>
      <c r="T181" s="345">
        <v>0</v>
      </c>
      <c r="U181" s="345">
        <v>0</v>
      </c>
      <c r="V181" s="345">
        <v>0</v>
      </c>
      <c r="W181" s="345">
        <v>0</v>
      </c>
      <c r="X181" s="345">
        <v>0</v>
      </c>
      <c r="Y181" s="380">
        <v>0</v>
      </c>
      <c r="Z181" s="296">
        <f t="shared" ref="Z181:Z223" si="111">SUMPRODUCT($O$178:$Y$178,$O181:$Y181)</f>
        <v>0</v>
      </c>
      <c r="AA181" s="298">
        <f t="shared" ref="AA181:AA223" si="112">SUMPRODUCT($O$177:$Y$177,$O181:$Y181)</f>
        <v>0</v>
      </c>
      <c r="AB181" s="948">
        <f t="array" ref="AB181">IF(AND($AD$175=TRUE,SUM(B181:L181)&gt;0),SUMPRODUCT((((TRANSPOSE(Cls2CentDailyRng)&lt;INDEX(CDRANGE_CLS2,$A181-$A$180+1,AD$176))*TRANSPOSE(Cls2CentDailyRng)+(TRANSPOSE(Cls2CentDailyRng)&gt;INDEX(CDRANGE_CLS2,$A181-$A$180+1,AD$176))*INDEX(CDRANGE_CLS2,$A181-$A$180+1,AD$176))/TRANSPOSE(Cls2CentDailyRng)),B181:L181,TRANSPOSE(Cls2CentVMTShr))/SUMPRODUCT(B181:L181,TRANSPOSE(Cls2CentVMTShr)),0)</f>
        <v>0</v>
      </c>
      <c r="AC181" s="949">
        <f t="array" ref="AC181">IF(AND($AD$175=TRUE,SUM(O181:Y181)&gt;0),SUMPRODUCT((((TRANSPOSE(Cls2NCentDailyRng)&lt;INDEX(CDRANGE_CLS2,$A181-$A$180+1,AD$176))*TRANSPOSE(Cls2NCentDailyRng)+(TRANSPOSE(Cls2NCentDailyRng)&gt;INDEX(CDRANGE_CLS2,$A181-$A$180+1,AD$176))*INDEX(CDRANGE_CLS2,$A181-$A$180+1,AD$176))/TRANSPOSE(Cls2NCentDailyRng)),O181:Y181,TRANSPOSE(Cls2NCentVMTShr))/SUMPRODUCT(O181:Y181,TRANSPOSE(Cls2NCentVMTShr)),0)</f>
        <v>0</v>
      </c>
      <c r="AD181" s="1226">
        <f t="shared" ref="AD181:AD205" si="113">AB181*AH181+AC181*AI181</f>
        <v>0</v>
      </c>
      <c r="AE181" s="937">
        <f t="shared" si="106"/>
        <v>0</v>
      </c>
      <c r="AF181" s="937">
        <f t="shared" si="107"/>
        <v>0</v>
      </c>
      <c r="AG181" s="937">
        <f t="shared" si="108"/>
        <v>0</v>
      </c>
      <c r="AH181" s="1172">
        <f t="shared" ref="AH181:AH199" si="114">IF(AG181&gt;0,AE181/AG181,0)</f>
        <v>0</v>
      </c>
      <c r="AI181" s="937">
        <f t="shared" ref="AI181:AI199" si="115">IF(AG181&gt;0,AF181/AG181,0)</f>
        <v>0</v>
      </c>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9"/>
        <v>0</v>
      </c>
      <c r="N182" s="298">
        <f t="shared" si="110"/>
        <v>0</v>
      </c>
      <c r="O182" s="344">
        <v>0</v>
      </c>
      <c r="P182" s="345">
        <v>0</v>
      </c>
      <c r="Q182" s="345">
        <v>0</v>
      </c>
      <c r="R182" s="345">
        <v>0</v>
      </c>
      <c r="S182" s="345">
        <v>0</v>
      </c>
      <c r="T182" s="345">
        <v>0</v>
      </c>
      <c r="U182" s="345">
        <v>0</v>
      </c>
      <c r="V182" s="345">
        <v>0</v>
      </c>
      <c r="W182" s="345">
        <v>0</v>
      </c>
      <c r="X182" s="345">
        <v>0</v>
      </c>
      <c r="Y182" s="380">
        <v>0</v>
      </c>
      <c r="Z182" s="296">
        <f t="shared" si="111"/>
        <v>0</v>
      </c>
      <c r="AA182" s="298">
        <f t="shared" si="112"/>
        <v>0</v>
      </c>
      <c r="AB182" s="948">
        <f t="array" ref="AB182">IF(AND($AD$175=TRUE,SUM(B182:L182)&gt;0),SUMPRODUCT((((TRANSPOSE(Cls2CentDailyRng)&lt;INDEX(CDRANGE_CLS2,$A182-$A$180+1,AD$176))*TRANSPOSE(Cls2CentDailyRng)+(TRANSPOSE(Cls2CentDailyRng)&gt;INDEX(CDRANGE_CLS2,$A182-$A$180+1,AD$176))*INDEX(CDRANGE_CLS2,$A182-$A$180+1,AD$176))/TRANSPOSE(Cls2CentDailyRng)),B182:L182,TRANSPOSE(Cls2CentVMTShr))/SUMPRODUCT(B182:L182,TRANSPOSE(Cls2CentVMTShr)),0)</f>
        <v>0</v>
      </c>
      <c r="AC182" s="949">
        <f t="array" ref="AC182">IF(AND($AD$175=TRUE,SUM(O182:Y182)&gt;0),SUMPRODUCT((((TRANSPOSE(Cls2NCentDailyRng)&lt;INDEX(CDRANGE_CLS2,$A182-$A$180+1,AD$176))*TRANSPOSE(Cls2NCentDailyRng)+(TRANSPOSE(Cls2NCentDailyRng)&gt;INDEX(CDRANGE_CLS2,$A182-$A$180+1,AD$176))*INDEX(CDRANGE_CLS2,$A182-$A$180+1,AD$176))/TRANSPOSE(Cls2NCentDailyRng)),O182:Y182,TRANSPOSE(Cls2NCentVMTShr))/SUMPRODUCT(O182:Y182,TRANSPOSE(Cls2NCentVMTShr)),0)</f>
        <v>0</v>
      </c>
      <c r="AD182" s="1226">
        <f t="shared" si="113"/>
        <v>0</v>
      </c>
      <c r="AE182" s="937">
        <f t="shared" si="106"/>
        <v>0</v>
      </c>
      <c r="AF182" s="937">
        <f t="shared" si="107"/>
        <v>0</v>
      </c>
      <c r="AG182" s="937">
        <f t="shared" si="108"/>
        <v>0</v>
      </c>
      <c r="AH182" s="1172">
        <f t="shared" si="114"/>
        <v>0</v>
      </c>
      <c r="AI182" s="937">
        <f t="shared" si="115"/>
        <v>0</v>
      </c>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9"/>
        <v>0</v>
      </c>
      <c r="N183" s="312">
        <f t="shared" si="110"/>
        <v>0</v>
      </c>
      <c r="O183" s="346">
        <v>0</v>
      </c>
      <c r="P183" s="347">
        <v>0</v>
      </c>
      <c r="Q183" s="347">
        <v>0</v>
      </c>
      <c r="R183" s="347">
        <v>0</v>
      </c>
      <c r="S183" s="347">
        <v>0</v>
      </c>
      <c r="T183" s="347">
        <v>0</v>
      </c>
      <c r="U183" s="347">
        <v>0</v>
      </c>
      <c r="V183" s="347">
        <v>0</v>
      </c>
      <c r="W183" s="347">
        <v>0</v>
      </c>
      <c r="X183" s="347">
        <v>0</v>
      </c>
      <c r="Y183" s="381">
        <v>0</v>
      </c>
      <c r="Z183" s="310">
        <f t="shared" si="111"/>
        <v>0</v>
      </c>
      <c r="AA183" s="312">
        <f t="shared" si="112"/>
        <v>0</v>
      </c>
      <c r="AB183" s="948">
        <f t="array" ref="AB183">IF(AND($AD$175=TRUE,SUM(B183:L183)&gt;0),SUMPRODUCT((((TRANSPOSE(Cls2CentDailyRng)&lt;INDEX(CDRANGE_CLS2,$A183-$A$180+1,AD$176))*TRANSPOSE(Cls2CentDailyRng)+(TRANSPOSE(Cls2CentDailyRng)&gt;INDEX(CDRANGE_CLS2,$A183-$A$180+1,AD$176))*INDEX(CDRANGE_CLS2,$A183-$A$180+1,AD$176))/TRANSPOSE(Cls2CentDailyRng)),B183:L183,TRANSPOSE(Cls2CentVMTShr))/SUMPRODUCT(B183:L183,TRANSPOSE(Cls2CentVMTShr)),0)</f>
        <v>0</v>
      </c>
      <c r="AC183" s="949">
        <f t="array" ref="AC183">IF(AND($AD$175=TRUE,SUM(O183:Y183)&gt;0),SUMPRODUCT((((TRANSPOSE(Cls2NCentDailyRng)&lt;INDEX(CDRANGE_CLS2,$A183-$A$180+1,AD$176))*TRANSPOSE(Cls2NCentDailyRng)+(TRANSPOSE(Cls2NCentDailyRng)&gt;INDEX(CDRANGE_CLS2,$A183-$A$180+1,AD$176))*INDEX(CDRANGE_CLS2,$A183-$A$180+1,AD$176))/TRANSPOSE(Cls2NCentDailyRng)),O183:Y183,TRANSPOSE(Cls2NCentVMTShr))/SUMPRODUCT(O183:Y183,TRANSPOSE(Cls2NCentVMTShr)),0)</f>
        <v>0</v>
      </c>
      <c r="AD183" s="1226">
        <f t="shared" si="113"/>
        <v>0</v>
      </c>
      <c r="AE183" s="937">
        <f t="shared" si="106"/>
        <v>0</v>
      </c>
      <c r="AF183" s="937">
        <f t="shared" si="107"/>
        <v>0</v>
      </c>
      <c r="AG183" s="937">
        <f t="shared" si="108"/>
        <v>0</v>
      </c>
      <c r="AH183" s="1172">
        <f t="shared" si="114"/>
        <v>0</v>
      </c>
      <c r="AI183" s="937">
        <f t="shared" si="115"/>
        <v>0</v>
      </c>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9"/>
        <v>0</v>
      </c>
      <c r="N184" s="284">
        <f t="shared" si="110"/>
        <v>0</v>
      </c>
      <c r="O184" s="342">
        <v>0</v>
      </c>
      <c r="P184" s="343">
        <v>0</v>
      </c>
      <c r="Q184" s="343">
        <v>0</v>
      </c>
      <c r="R184" s="343">
        <v>0</v>
      </c>
      <c r="S184" s="343">
        <v>0</v>
      </c>
      <c r="T184" s="343">
        <v>0</v>
      </c>
      <c r="U184" s="343">
        <v>0</v>
      </c>
      <c r="V184" s="343">
        <v>0</v>
      </c>
      <c r="W184" s="343">
        <v>0</v>
      </c>
      <c r="X184" s="343">
        <v>0</v>
      </c>
      <c r="Y184" s="379">
        <v>0</v>
      </c>
      <c r="Z184" s="282">
        <f t="shared" si="111"/>
        <v>0</v>
      </c>
      <c r="AA184" s="284">
        <f t="shared" si="112"/>
        <v>0</v>
      </c>
      <c r="AB184" s="948">
        <f t="array" ref="AB184">IF(AND($AD$175=TRUE,SUM(B184:L184)&gt;0),SUMPRODUCT((((TRANSPOSE(Cls2CentDailyRng)&lt;INDEX(CDRANGE_CLS2,$A184-$A$180+1,AD$176))*TRANSPOSE(Cls2CentDailyRng)+(TRANSPOSE(Cls2CentDailyRng)&gt;INDEX(CDRANGE_CLS2,$A184-$A$180+1,AD$176))*INDEX(CDRANGE_CLS2,$A184-$A$180+1,AD$176))/TRANSPOSE(Cls2CentDailyRng)),B184:L184,TRANSPOSE(Cls2CentVMTShr))/SUMPRODUCT(B184:L184,TRANSPOSE(Cls2CentVMTShr)),0)</f>
        <v>0</v>
      </c>
      <c r="AC184" s="949">
        <f t="array" ref="AC184">IF(AND($AD$175=TRUE,SUM(O184:Y184)&gt;0),SUMPRODUCT((((TRANSPOSE(Cls2NCentDailyRng)&lt;INDEX(CDRANGE_CLS2,$A184-$A$180+1,AD$176))*TRANSPOSE(Cls2NCentDailyRng)+(TRANSPOSE(Cls2NCentDailyRng)&gt;INDEX(CDRANGE_CLS2,$A184-$A$180+1,AD$176))*INDEX(CDRANGE_CLS2,$A184-$A$180+1,AD$176))/TRANSPOSE(Cls2NCentDailyRng)),O184:Y184,TRANSPOSE(Cls2NCentVMTShr))/SUMPRODUCT(O184:Y184,TRANSPOSE(Cls2NCentVMTShr)),0)</f>
        <v>0</v>
      </c>
      <c r="AD184" s="1226">
        <f t="shared" si="113"/>
        <v>0</v>
      </c>
      <c r="AE184" s="937">
        <f t="shared" si="106"/>
        <v>0</v>
      </c>
      <c r="AF184" s="937">
        <f t="shared" si="107"/>
        <v>0</v>
      </c>
      <c r="AG184" s="937">
        <f t="shared" si="108"/>
        <v>0</v>
      </c>
      <c r="AH184" s="1172">
        <f t="shared" si="114"/>
        <v>0</v>
      </c>
      <c r="AI184" s="937">
        <f t="shared" si="115"/>
        <v>0</v>
      </c>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9"/>
        <v>0</v>
      </c>
      <c r="N185" s="298">
        <f t="shared" si="110"/>
        <v>0</v>
      </c>
      <c r="O185" s="344">
        <v>0</v>
      </c>
      <c r="P185" s="345">
        <v>0</v>
      </c>
      <c r="Q185" s="345">
        <v>0</v>
      </c>
      <c r="R185" s="345">
        <v>0</v>
      </c>
      <c r="S185" s="345">
        <v>0</v>
      </c>
      <c r="T185" s="345">
        <v>0</v>
      </c>
      <c r="U185" s="345">
        <v>0</v>
      </c>
      <c r="V185" s="345">
        <v>0</v>
      </c>
      <c r="W185" s="345">
        <v>0</v>
      </c>
      <c r="X185" s="345">
        <v>0</v>
      </c>
      <c r="Y185" s="380">
        <v>0</v>
      </c>
      <c r="Z185" s="296">
        <f t="shared" si="111"/>
        <v>0</v>
      </c>
      <c r="AA185" s="298">
        <f t="shared" si="112"/>
        <v>0</v>
      </c>
      <c r="AB185" s="948">
        <f t="array" ref="AB185">IF(AND($AD$175=TRUE,SUM(B185:L185)&gt;0),SUMPRODUCT((((TRANSPOSE(Cls2CentDailyRng)&lt;INDEX(CDRANGE_CLS2,$A185-$A$180+1,AD$176))*TRANSPOSE(Cls2CentDailyRng)+(TRANSPOSE(Cls2CentDailyRng)&gt;INDEX(CDRANGE_CLS2,$A185-$A$180+1,AD$176))*INDEX(CDRANGE_CLS2,$A185-$A$180+1,AD$176))/TRANSPOSE(Cls2CentDailyRng)),B185:L185,TRANSPOSE(Cls2CentVMTShr))/SUMPRODUCT(B185:L185,TRANSPOSE(Cls2CentVMTShr)),0)</f>
        <v>0</v>
      </c>
      <c r="AC185" s="949">
        <f t="array" ref="AC185">IF(AND($AD$175=TRUE,SUM(O185:Y185)&gt;0),SUMPRODUCT((((TRANSPOSE(Cls2NCentDailyRng)&lt;INDEX(CDRANGE_CLS2,$A185-$A$180+1,AD$176))*TRANSPOSE(Cls2NCentDailyRng)+(TRANSPOSE(Cls2NCentDailyRng)&gt;INDEX(CDRANGE_CLS2,$A185-$A$180+1,AD$176))*INDEX(CDRANGE_CLS2,$A185-$A$180+1,AD$176))/TRANSPOSE(Cls2NCentDailyRng)),O185:Y185,TRANSPOSE(Cls2NCentVMTShr))/SUMPRODUCT(O185:Y185,TRANSPOSE(Cls2NCentVMTShr)),0)</f>
        <v>0</v>
      </c>
      <c r="AD185" s="1226">
        <f t="shared" si="113"/>
        <v>0</v>
      </c>
      <c r="AE185" s="937">
        <f t="shared" si="106"/>
        <v>0</v>
      </c>
      <c r="AF185" s="937">
        <f t="shared" si="107"/>
        <v>0</v>
      </c>
      <c r="AG185" s="937">
        <f t="shared" si="108"/>
        <v>0</v>
      </c>
      <c r="AH185" s="1172">
        <f t="shared" si="114"/>
        <v>0</v>
      </c>
      <c r="AI185" s="937">
        <f t="shared" si="115"/>
        <v>0</v>
      </c>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9"/>
        <v>0</v>
      </c>
      <c r="N186" s="298">
        <f t="shared" si="110"/>
        <v>0</v>
      </c>
      <c r="O186" s="344">
        <v>0</v>
      </c>
      <c r="P186" s="345">
        <v>0</v>
      </c>
      <c r="Q186" s="345">
        <v>0</v>
      </c>
      <c r="R186" s="345">
        <v>0</v>
      </c>
      <c r="S186" s="345">
        <v>0</v>
      </c>
      <c r="T186" s="345">
        <v>0</v>
      </c>
      <c r="U186" s="345">
        <v>0</v>
      </c>
      <c r="V186" s="345">
        <v>0</v>
      </c>
      <c r="W186" s="345">
        <v>0</v>
      </c>
      <c r="X186" s="345">
        <v>0</v>
      </c>
      <c r="Y186" s="380">
        <v>0</v>
      </c>
      <c r="Z186" s="296">
        <f t="shared" si="111"/>
        <v>0</v>
      </c>
      <c r="AA186" s="298">
        <f t="shared" si="112"/>
        <v>0</v>
      </c>
      <c r="AB186" s="948">
        <f t="array" ref="AB186">IF(AND($AD$175=TRUE,SUM(B186:L186)&gt;0),SUMPRODUCT((((TRANSPOSE(Cls2CentDailyRng)&lt;INDEX(CDRANGE_CLS2,$A186-$A$180+1,AD$176))*TRANSPOSE(Cls2CentDailyRng)+(TRANSPOSE(Cls2CentDailyRng)&gt;INDEX(CDRANGE_CLS2,$A186-$A$180+1,AD$176))*INDEX(CDRANGE_CLS2,$A186-$A$180+1,AD$176))/TRANSPOSE(Cls2CentDailyRng)),B186:L186,TRANSPOSE(Cls2CentVMTShr))/SUMPRODUCT(B186:L186,TRANSPOSE(Cls2CentVMTShr)),0)</f>
        <v>0</v>
      </c>
      <c r="AC186" s="949">
        <f t="array" ref="AC186">IF(AND($AD$175=TRUE,SUM(O186:Y186)&gt;0),SUMPRODUCT((((TRANSPOSE(Cls2NCentDailyRng)&lt;INDEX(CDRANGE_CLS2,$A186-$A$180+1,AD$176))*TRANSPOSE(Cls2NCentDailyRng)+(TRANSPOSE(Cls2NCentDailyRng)&gt;INDEX(CDRANGE_CLS2,$A186-$A$180+1,AD$176))*INDEX(CDRANGE_CLS2,$A186-$A$180+1,AD$176))/TRANSPOSE(Cls2NCentDailyRng)),O186:Y186,TRANSPOSE(Cls2NCentVMTShr))/SUMPRODUCT(O186:Y186,TRANSPOSE(Cls2NCentVMTShr)),0)</f>
        <v>0</v>
      </c>
      <c r="AD186" s="1226">
        <f t="shared" si="113"/>
        <v>0</v>
      </c>
      <c r="AE186" s="937">
        <f t="shared" si="106"/>
        <v>0</v>
      </c>
      <c r="AF186" s="937">
        <f t="shared" si="107"/>
        <v>0</v>
      </c>
      <c r="AG186" s="937">
        <f t="shared" si="108"/>
        <v>0</v>
      </c>
      <c r="AH186" s="1172">
        <f t="shared" si="114"/>
        <v>0</v>
      </c>
      <c r="AI186" s="937">
        <f t="shared" si="115"/>
        <v>0</v>
      </c>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9"/>
        <v>0</v>
      </c>
      <c r="N187" s="298">
        <f t="shared" si="110"/>
        <v>0</v>
      </c>
      <c r="O187" s="344">
        <v>0</v>
      </c>
      <c r="P187" s="345">
        <v>0</v>
      </c>
      <c r="Q187" s="345">
        <v>0</v>
      </c>
      <c r="R187" s="345">
        <v>0</v>
      </c>
      <c r="S187" s="345">
        <v>0</v>
      </c>
      <c r="T187" s="345">
        <v>0</v>
      </c>
      <c r="U187" s="345">
        <v>0</v>
      </c>
      <c r="V187" s="345">
        <v>0</v>
      </c>
      <c r="W187" s="345">
        <v>0</v>
      </c>
      <c r="X187" s="345">
        <v>0</v>
      </c>
      <c r="Y187" s="380">
        <v>0</v>
      </c>
      <c r="Z187" s="296">
        <f t="shared" si="111"/>
        <v>0</v>
      </c>
      <c r="AA187" s="298">
        <f t="shared" si="112"/>
        <v>0</v>
      </c>
      <c r="AB187" s="948">
        <f t="array" ref="AB187">IF(AND($AD$175=TRUE,SUM(B187:L187)&gt;0),SUMPRODUCT((((TRANSPOSE(Cls2CentDailyRng)&lt;INDEX(CDRANGE_CLS2,$A187-$A$180+1,AD$176))*TRANSPOSE(Cls2CentDailyRng)+(TRANSPOSE(Cls2CentDailyRng)&gt;INDEX(CDRANGE_CLS2,$A187-$A$180+1,AD$176))*INDEX(CDRANGE_CLS2,$A187-$A$180+1,AD$176))/TRANSPOSE(Cls2CentDailyRng)),B187:L187,TRANSPOSE(Cls2CentVMTShr))/SUMPRODUCT(B187:L187,TRANSPOSE(Cls2CentVMTShr)),0)</f>
        <v>0</v>
      </c>
      <c r="AC187" s="949">
        <f t="array" ref="AC187">IF(AND($AD$175=TRUE,SUM(O187:Y187)&gt;0),SUMPRODUCT((((TRANSPOSE(Cls2NCentDailyRng)&lt;INDEX(CDRANGE_CLS2,$A187-$A$180+1,AD$176))*TRANSPOSE(Cls2NCentDailyRng)+(TRANSPOSE(Cls2NCentDailyRng)&gt;INDEX(CDRANGE_CLS2,$A187-$A$180+1,AD$176))*INDEX(CDRANGE_CLS2,$A187-$A$180+1,AD$176))/TRANSPOSE(Cls2NCentDailyRng)),O187:Y187,TRANSPOSE(Cls2NCentVMTShr))/SUMPRODUCT(O187:Y187,TRANSPOSE(Cls2NCentVMTShr)),0)</f>
        <v>0</v>
      </c>
      <c r="AD187" s="1226">
        <f t="shared" si="113"/>
        <v>0</v>
      </c>
      <c r="AE187" s="937">
        <f t="shared" si="106"/>
        <v>0</v>
      </c>
      <c r="AF187" s="937">
        <f t="shared" si="107"/>
        <v>0</v>
      </c>
      <c r="AG187" s="937">
        <f t="shared" si="108"/>
        <v>0</v>
      </c>
      <c r="AH187" s="1172">
        <f t="shared" si="114"/>
        <v>0</v>
      </c>
      <c r="AI187" s="937">
        <f t="shared" si="115"/>
        <v>0</v>
      </c>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9"/>
        <v>0</v>
      </c>
      <c r="N188" s="312">
        <f t="shared" si="110"/>
        <v>0</v>
      </c>
      <c r="O188" s="346">
        <v>0</v>
      </c>
      <c r="P188" s="347">
        <v>0</v>
      </c>
      <c r="Q188" s="347">
        <v>0</v>
      </c>
      <c r="R188" s="347">
        <v>0</v>
      </c>
      <c r="S188" s="347">
        <v>0</v>
      </c>
      <c r="T188" s="347">
        <v>0</v>
      </c>
      <c r="U188" s="347">
        <v>0</v>
      </c>
      <c r="V188" s="347">
        <v>0</v>
      </c>
      <c r="W188" s="347">
        <v>0</v>
      </c>
      <c r="X188" s="347">
        <v>0</v>
      </c>
      <c r="Y188" s="381">
        <v>0</v>
      </c>
      <c r="Z188" s="310">
        <f t="shared" si="111"/>
        <v>0</v>
      </c>
      <c r="AA188" s="312">
        <f t="shared" si="112"/>
        <v>0</v>
      </c>
      <c r="AB188" s="948">
        <f t="array" ref="AB188">IF(AND($AD$175=TRUE,SUM(B188:L188)&gt;0),SUMPRODUCT((((TRANSPOSE(Cls2CentDailyRng)&lt;INDEX(CDRANGE_CLS2,$A188-$A$180+1,AD$176))*TRANSPOSE(Cls2CentDailyRng)+(TRANSPOSE(Cls2CentDailyRng)&gt;INDEX(CDRANGE_CLS2,$A188-$A$180+1,AD$176))*INDEX(CDRANGE_CLS2,$A188-$A$180+1,AD$176))/TRANSPOSE(Cls2CentDailyRng)),B188:L188,TRANSPOSE(Cls2CentVMTShr))/SUMPRODUCT(B188:L188,TRANSPOSE(Cls2CentVMTShr)),0)</f>
        <v>0</v>
      </c>
      <c r="AC188" s="949">
        <f t="array" ref="AC188">IF(AND($AD$175=TRUE,SUM(O188:Y188)&gt;0),SUMPRODUCT((((TRANSPOSE(Cls2NCentDailyRng)&lt;INDEX(CDRANGE_CLS2,$A188-$A$180+1,AD$176))*TRANSPOSE(Cls2NCentDailyRng)+(TRANSPOSE(Cls2NCentDailyRng)&gt;INDEX(CDRANGE_CLS2,$A188-$A$180+1,AD$176))*INDEX(CDRANGE_CLS2,$A188-$A$180+1,AD$176))/TRANSPOSE(Cls2NCentDailyRng)),O188:Y188,TRANSPOSE(Cls2NCentVMTShr))/SUMPRODUCT(O188:Y188,TRANSPOSE(Cls2NCentVMTShr)),0)</f>
        <v>0</v>
      </c>
      <c r="AD188" s="1226">
        <f t="shared" si="113"/>
        <v>0</v>
      </c>
      <c r="AE188" s="937">
        <f t="shared" si="106"/>
        <v>0</v>
      </c>
      <c r="AF188" s="937">
        <f t="shared" si="107"/>
        <v>0</v>
      </c>
      <c r="AG188" s="937">
        <f t="shared" si="108"/>
        <v>0</v>
      </c>
      <c r="AH188" s="1172">
        <f t="shared" si="114"/>
        <v>0</v>
      </c>
      <c r="AI188" s="937">
        <f t="shared" si="115"/>
        <v>0</v>
      </c>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9"/>
        <v>0</v>
      </c>
      <c r="N189" s="284">
        <f t="shared" si="110"/>
        <v>0</v>
      </c>
      <c r="O189" s="342">
        <v>0</v>
      </c>
      <c r="P189" s="343">
        <v>0</v>
      </c>
      <c r="Q189" s="343">
        <v>0</v>
      </c>
      <c r="R189" s="343">
        <v>0</v>
      </c>
      <c r="S189" s="343">
        <v>0</v>
      </c>
      <c r="T189" s="343">
        <v>0</v>
      </c>
      <c r="U189" s="343">
        <v>0</v>
      </c>
      <c r="V189" s="343">
        <v>0</v>
      </c>
      <c r="W189" s="343">
        <v>0</v>
      </c>
      <c r="X189" s="343">
        <v>0</v>
      </c>
      <c r="Y189" s="379">
        <v>0</v>
      </c>
      <c r="Z189" s="282">
        <f t="shared" si="111"/>
        <v>0</v>
      </c>
      <c r="AA189" s="284">
        <f t="shared" si="112"/>
        <v>0</v>
      </c>
      <c r="AB189" s="948">
        <f t="array" ref="AB189">IF(AND($AD$175=TRUE,SUM(B189:L189)&gt;0),SUMPRODUCT((((TRANSPOSE(Cls2CentDailyRng)&lt;INDEX(CDRANGE_CLS2,$A189-$A$180+1,AD$176))*TRANSPOSE(Cls2CentDailyRng)+(TRANSPOSE(Cls2CentDailyRng)&gt;INDEX(CDRANGE_CLS2,$A189-$A$180+1,AD$176))*INDEX(CDRANGE_CLS2,$A189-$A$180+1,AD$176))/TRANSPOSE(Cls2CentDailyRng)),B189:L189,TRANSPOSE(Cls2CentVMTShr))/SUMPRODUCT(B189:L189,TRANSPOSE(Cls2CentVMTShr)),0)</f>
        <v>0</v>
      </c>
      <c r="AC189" s="949">
        <f t="array" ref="AC189">IF(AND($AD$175=TRUE,SUM(O189:Y189)&gt;0),SUMPRODUCT((((TRANSPOSE(Cls2NCentDailyRng)&lt;INDEX(CDRANGE_CLS2,$A189-$A$180+1,AD$176))*TRANSPOSE(Cls2NCentDailyRng)+(TRANSPOSE(Cls2NCentDailyRng)&gt;INDEX(CDRANGE_CLS2,$A189-$A$180+1,AD$176))*INDEX(CDRANGE_CLS2,$A189-$A$180+1,AD$176))/TRANSPOSE(Cls2NCentDailyRng)),O189:Y189,TRANSPOSE(Cls2NCentVMTShr))/SUMPRODUCT(O189:Y189,TRANSPOSE(Cls2NCentVMTShr)),0)</f>
        <v>0</v>
      </c>
      <c r="AD189" s="1226">
        <f t="shared" si="113"/>
        <v>0</v>
      </c>
      <c r="AE189" s="937">
        <f t="shared" si="106"/>
        <v>0</v>
      </c>
      <c r="AF189" s="937">
        <f t="shared" si="107"/>
        <v>0</v>
      </c>
      <c r="AG189" s="937">
        <f t="shared" si="108"/>
        <v>0</v>
      </c>
      <c r="AH189" s="1172">
        <f t="shared" si="114"/>
        <v>0</v>
      </c>
      <c r="AI189" s="937">
        <f t="shared" si="115"/>
        <v>0</v>
      </c>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9"/>
        <v>0</v>
      </c>
      <c r="N190" s="298">
        <f t="shared" si="110"/>
        <v>0</v>
      </c>
      <c r="O190" s="344">
        <v>0</v>
      </c>
      <c r="P190" s="345">
        <v>0</v>
      </c>
      <c r="Q190" s="345">
        <v>0</v>
      </c>
      <c r="R190" s="345">
        <v>0</v>
      </c>
      <c r="S190" s="345">
        <v>0</v>
      </c>
      <c r="T190" s="345">
        <v>0</v>
      </c>
      <c r="U190" s="345">
        <v>0</v>
      </c>
      <c r="V190" s="345">
        <v>0</v>
      </c>
      <c r="W190" s="345">
        <v>0</v>
      </c>
      <c r="X190" s="345">
        <v>0</v>
      </c>
      <c r="Y190" s="380">
        <v>0</v>
      </c>
      <c r="Z190" s="296">
        <f t="shared" si="111"/>
        <v>0</v>
      </c>
      <c r="AA190" s="298">
        <f t="shared" si="112"/>
        <v>0</v>
      </c>
      <c r="AB190" s="948">
        <f t="array" ref="AB190">IF(AND($AD$175=TRUE,SUM(B190:L190)&gt;0),SUMPRODUCT((((TRANSPOSE(Cls2CentDailyRng)&lt;INDEX(CDRANGE_CLS2,$A190-$A$180+1,AD$176))*TRANSPOSE(Cls2CentDailyRng)+(TRANSPOSE(Cls2CentDailyRng)&gt;INDEX(CDRANGE_CLS2,$A190-$A$180+1,AD$176))*INDEX(CDRANGE_CLS2,$A190-$A$180+1,AD$176))/TRANSPOSE(Cls2CentDailyRng)),B190:L190,TRANSPOSE(Cls2CentVMTShr))/SUMPRODUCT(B190:L190,TRANSPOSE(Cls2CentVMTShr)),0)</f>
        <v>0</v>
      </c>
      <c r="AC190" s="949">
        <f t="array" ref="AC190">IF(AND($AD$175=TRUE,SUM(O190:Y190)&gt;0),SUMPRODUCT((((TRANSPOSE(Cls2NCentDailyRng)&lt;INDEX(CDRANGE_CLS2,$A190-$A$180+1,AD$176))*TRANSPOSE(Cls2NCentDailyRng)+(TRANSPOSE(Cls2NCentDailyRng)&gt;INDEX(CDRANGE_CLS2,$A190-$A$180+1,AD$176))*INDEX(CDRANGE_CLS2,$A190-$A$180+1,AD$176))/TRANSPOSE(Cls2NCentDailyRng)),O190:Y190,TRANSPOSE(Cls2NCentVMTShr))/SUMPRODUCT(O190:Y190,TRANSPOSE(Cls2NCentVMTShr)),0)</f>
        <v>0</v>
      </c>
      <c r="AD190" s="1226">
        <f t="shared" si="113"/>
        <v>0</v>
      </c>
      <c r="AE190" s="937">
        <f t="shared" si="106"/>
        <v>0</v>
      </c>
      <c r="AF190" s="937">
        <f t="shared" si="107"/>
        <v>0</v>
      </c>
      <c r="AG190" s="937">
        <f t="shared" si="108"/>
        <v>0</v>
      </c>
      <c r="AH190" s="1172">
        <f t="shared" si="114"/>
        <v>0</v>
      </c>
      <c r="AI190" s="937">
        <f t="shared" si="115"/>
        <v>0</v>
      </c>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9"/>
        <v>0</v>
      </c>
      <c r="N191" s="298">
        <f t="shared" si="110"/>
        <v>0</v>
      </c>
      <c r="O191" s="344">
        <v>0</v>
      </c>
      <c r="P191" s="345">
        <v>0</v>
      </c>
      <c r="Q191" s="345">
        <v>0</v>
      </c>
      <c r="R191" s="345">
        <v>0</v>
      </c>
      <c r="S191" s="345">
        <v>0</v>
      </c>
      <c r="T191" s="345">
        <v>0</v>
      </c>
      <c r="U191" s="345">
        <v>0</v>
      </c>
      <c r="V191" s="345">
        <v>0</v>
      </c>
      <c r="W191" s="345">
        <v>0</v>
      </c>
      <c r="X191" s="345">
        <v>0</v>
      </c>
      <c r="Y191" s="380">
        <v>0</v>
      </c>
      <c r="Z191" s="296">
        <f t="shared" si="111"/>
        <v>0</v>
      </c>
      <c r="AA191" s="298">
        <f t="shared" si="112"/>
        <v>0</v>
      </c>
      <c r="AB191" s="948">
        <f t="array" ref="AB191">IF(AND($AD$175=TRUE,SUM(B191:L191)&gt;0),SUMPRODUCT((((TRANSPOSE(Cls2CentDailyRng)&lt;INDEX(CDRANGE_CLS2,$A191-$A$180+1,AD$176))*TRANSPOSE(Cls2CentDailyRng)+(TRANSPOSE(Cls2CentDailyRng)&gt;INDEX(CDRANGE_CLS2,$A191-$A$180+1,AD$176))*INDEX(CDRANGE_CLS2,$A191-$A$180+1,AD$176))/TRANSPOSE(Cls2CentDailyRng)),B191:L191,TRANSPOSE(Cls2CentVMTShr))/SUMPRODUCT(B191:L191,TRANSPOSE(Cls2CentVMTShr)),0)</f>
        <v>0</v>
      </c>
      <c r="AC191" s="949">
        <f t="array" ref="AC191">IF(AND($AD$175=TRUE,SUM(O191:Y191)&gt;0),SUMPRODUCT((((TRANSPOSE(Cls2NCentDailyRng)&lt;INDEX(CDRANGE_CLS2,$A191-$A$180+1,AD$176))*TRANSPOSE(Cls2NCentDailyRng)+(TRANSPOSE(Cls2NCentDailyRng)&gt;INDEX(CDRANGE_CLS2,$A191-$A$180+1,AD$176))*INDEX(CDRANGE_CLS2,$A191-$A$180+1,AD$176))/TRANSPOSE(Cls2NCentDailyRng)),O191:Y191,TRANSPOSE(Cls2NCentVMTShr))/SUMPRODUCT(O191:Y191,TRANSPOSE(Cls2NCentVMTShr)),0)</f>
        <v>0</v>
      </c>
      <c r="AD191" s="1226">
        <f t="shared" si="113"/>
        <v>0</v>
      </c>
      <c r="AE191" s="937">
        <f t="shared" si="106"/>
        <v>0</v>
      </c>
      <c r="AF191" s="937">
        <f t="shared" si="107"/>
        <v>0</v>
      </c>
      <c r="AG191" s="937">
        <f t="shared" si="108"/>
        <v>0</v>
      </c>
      <c r="AH191" s="1172">
        <f t="shared" si="114"/>
        <v>0</v>
      </c>
      <c r="AI191" s="937">
        <f t="shared" si="115"/>
        <v>0</v>
      </c>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9"/>
        <v>0</v>
      </c>
      <c r="N192" s="298">
        <f t="shared" si="110"/>
        <v>0</v>
      </c>
      <c r="O192" s="344">
        <v>0</v>
      </c>
      <c r="P192" s="345">
        <v>0</v>
      </c>
      <c r="Q192" s="345">
        <v>0</v>
      </c>
      <c r="R192" s="345">
        <v>0</v>
      </c>
      <c r="S192" s="345">
        <v>0</v>
      </c>
      <c r="T192" s="345">
        <v>0</v>
      </c>
      <c r="U192" s="345">
        <v>0</v>
      </c>
      <c r="V192" s="345">
        <v>0</v>
      </c>
      <c r="W192" s="345">
        <v>0</v>
      </c>
      <c r="X192" s="345">
        <v>0</v>
      </c>
      <c r="Y192" s="380">
        <v>0</v>
      </c>
      <c r="Z192" s="296">
        <f t="shared" si="111"/>
        <v>0</v>
      </c>
      <c r="AA192" s="298">
        <f t="shared" si="112"/>
        <v>0</v>
      </c>
      <c r="AB192" s="948">
        <f t="array" ref="AB192">IF(AND($AD$175=TRUE,SUM(B192:L192)&gt;0),SUMPRODUCT((((TRANSPOSE(Cls2CentDailyRng)&lt;INDEX(CDRANGE_CLS2,$A192-$A$180+1,AD$176))*TRANSPOSE(Cls2CentDailyRng)+(TRANSPOSE(Cls2CentDailyRng)&gt;INDEX(CDRANGE_CLS2,$A192-$A$180+1,AD$176))*INDEX(CDRANGE_CLS2,$A192-$A$180+1,AD$176))/TRANSPOSE(Cls2CentDailyRng)),B192:L192,TRANSPOSE(Cls2CentVMTShr))/SUMPRODUCT(B192:L192,TRANSPOSE(Cls2CentVMTShr)),0)</f>
        <v>0</v>
      </c>
      <c r="AC192" s="949">
        <f t="array" ref="AC192">IF(AND($AD$175=TRUE,SUM(O192:Y192)&gt;0),SUMPRODUCT((((TRANSPOSE(Cls2NCentDailyRng)&lt;INDEX(CDRANGE_CLS2,$A192-$A$180+1,AD$176))*TRANSPOSE(Cls2NCentDailyRng)+(TRANSPOSE(Cls2NCentDailyRng)&gt;INDEX(CDRANGE_CLS2,$A192-$A$180+1,AD$176))*INDEX(CDRANGE_CLS2,$A192-$A$180+1,AD$176))/TRANSPOSE(Cls2NCentDailyRng)),O192:Y192,TRANSPOSE(Cls2NCentVMTShr))/SUMPRODUCT(O192:Y192,TRANSPOSE(Cls2NCentVMTShr)),0)</f>
        <v>0</v>
      </c>
      <c r="AD192" s="1226">
        <f t="shared" si="113"/>
        <v>0</v>
      </c>
      <c r="AE192" s="937">
        <f t="shared" si="106"/>
        <v>0</v>
      </c>
      <c r="AF192" s="937">
        <f t="shared" si="107"/>
        <v>0</v>
      </c>
      <c r="AG192" s="937">
        <f t="shared" si="108"/>
        <v>0</v>
      </c>
      <c r="AH192" s="1172">
        <f t="shared" si="114"/>
        <v>0</v>
      </c>
      <c r="AI192" s="937">
        <f t="shared" si="115"/>
        <v>0</v>
      </c>
    </row>
    <row r="193" spans="1:35"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9"/>
        <v>0</v>
      </c>
      <c r="N193" s="312">
        <f t="shared" si="110"/>
        <v>0</v>
      </c>
      <c r="O193" s="346">
        <v>0</v>
      </c>
      <c r="P193" s="347">
        <v>0</v>
      </c>
      <c r="Q193" s="347">
        <v>0</v>
      </c>
      <c r="R193" s="347">
        <v>0</v>
      </c>
      <c r="S193" s="347">
        <v>0</v>
      </c>
      <c r="T193" s="347">
        <v>0</v>
      </c>
      <c r="U193" s="347">
        <v>0</v>
      </c>
      <c r="V193" s="347">
        <v>0</v>
      </c>
      <c r="W193" s="347">
        <v>0</v>
      </c>
      <c r="X193" s="347">
        <v>0</v>
      </c>
      <c r="Y193" s="381">
        <v>0</v>
      </c>
      <c r="Z193" s="310">
        <f t="shared" si="111"/>
        <v>0</v>
      </c>
      <c r="AA193" s="312">
        <f t="shared" si="112"/>
        <v>0</v>
      </c>
      <c r="AB193" s="948">
        <f t="array" ref="AB193">IF(AND($AD$175=TRUE,SUM(B193:L193)&gt;0),SUMPRODUCT((((TRANSPOSE(Cls2CentDailyRng)&lt;INDEX(CDRANGE_CLS2,$A193-$A$180+1,AD$176))*TRANSPOSE(Cls2CentDailyRng)+(TRANSPOSE(Cls2CentDailyRng)&gt;INDEX(CDRANGE_CLS2,$A193-$A$180+1,AD$176))*INDEX(CDRANGE_CLS2,$A193-$A$180+1,AD$176))/TRANSPOSE(Cls2CentDailyRng)),B193:L193,TRANSPOSE(Cls2CentVMTShr))/SUMPRODUCT(B193:L193,TRANSPOSE(Cls2CentVMTShr)),0)</f>
        <v>0</v>
      </c>
      <c r="AC193" s="949">
        <f t="array" ref="AC193">IF(AND($AD$175=TRUE,SUM(O193:Y193)&gt;0),SUMPRODUCT((((TRANSPOSE(Cls2NCentDailyRng)&lt;INDEX(CDRANGE_CLS2,$A193-$A$180+1,AD$176))*TRANSPOSE(Cls2NCentDailyRng)+(TRANSPOSE(Cls2NCentDailyRng)&gt;INDEX(CDRANGE_CLS2,$A193-$A$180+1,AD$176))*INDEX(CDRANGE_CLS2,$A193-$A$180+1,AD$176))/TRANSPOSE(Cls2NCentDailyRng)),O193:Y193,TRANSPOSE(Cls2NCentVMTShr))/SUMPRODUCT(O193:Y193,TRANSPOSE(Cls2NCentVMTShr)),0)</f>
        <v>0</v>
      </c>
      <c r="AD193" s="1226">
        <f t="shared" si="113"/>
        <v>0</v>
      </c>
      <c r="AE193" s="937">
        <f t="shared" si="106"/>
        <v>0</v>
      </c>
      <c r="AF193" s="937">
        <f t="shared" si="107"/>
        <v>0</v>
      </c>
      <c r="AG193" s="937">
        <f t="shared" si="108"/>
        <v>0</v>
      </c>
      <c r="AH193" s="1172">
        <f t="shared" si="114"/>
        <v>0</v>
      </c>
      <c r="AI193" s="937">
        <f t="shared" si="115"/>
        <v>0</v>
      </c>
    </row>
    <row r="194" spans="1:35" x14ac:dyDescent="0.2">
      <c r="A194" s="329">
        <v>2021</v>
      </c>
      <c r="B194" s="342">
        <v>0</v>
      </c>
      <c r="C194" s="343">
        <v>0</v>
      </c>
      <c r="D194" s="343">
        <v>0</v>
      </c>
      <c r="E194" s="343">
        <v>0</v>
      </c>
      <c r="F194" s="343">
        <v>0</v>
      </c>
      <c r="G194" s="343">
        <v>0</v>
      </c>
      <c r="H194" s="343">
        <v>0</v>
      </c>
      <c r="I194" s="343">
        <v>0</v>
      </c>
      <c r="J194" s="343">
        <v>0</v>
      </c>
      <c r="K194" s="343">
        <v>0</v>
      </c>
      <c r="L194" s="379">
        <v>0</v>
      </c>
      <c r="M194" s="282">
        <f t="shared" si="109"/>
        <v>0</v>
      </c>
      <c r="N194" s="284">
        <f t="shared" si="110"/>
        <v>0</v>
      </c>
      <c r="O194" s="342">
        <v>0</v>
      </c>
      <c r="P194" s="343">
        <v>0</v>
      </c>
      <c r="Q194" s="343">
        <v>0</v>
      </c>
      <c r="R194" s="343">
        <v>0</v>
      </c>
      <c r="S194" s="343">
        <v>0</v>
      </c>
      <c r="T194" s="343">
        <v>0</v>
      </c>
      <c r="U194" s="343">
        <v>0</v>
      </c>
      <c r="V194" s="343">
        <v>0</v>
      </c>
      <c r="W194" s="343">
        <v>0</v>
      </c>
      <c r="X194" s="343">
        <v>0</v>
      </c>
      <c r="Y194" s="379">
        <v>0</v>
      </c>
      <c r="Z194" s="282">
        <f t="shared" si="111"/>
        <v>0</v>
      </c>
      <c r="AA194" s="284">
        <f t="shared" si="112"/>
        <v>0</v>
      </c>
      <c r="AB194" s="948">
        <f t="array" ref="AB194">IF(AND($AD$175=TRUE,SUM(B194:L194)&gt;0),SUMPRODUCT((((TRANSPOSE(Cls2CentDailyRng)&lt;INDEX(CDRANGE_CLS2,$A194-$A$180+1,AD$176))*TRANSPOSE(Cls2CentDailyRng)+(TRANSPOSE(Cls2CentDailyRng)&gt;INDEX(CDRANGE_CLS2,$A194-$A$180+1,AD$176))*INDEX(CDRANGE_CLS2,$A194-$A$180+1,AD$176))/TRANSPOSE(Cls2CentDailyRng)),B194:L194,TRANSPOSE(Cls2CentVMTShr))/SUMPRODUCT(B194:L194,TRANSPOSE(Cls2CentVMTShr)),0)</f>
        <v>0</v>
      </c>
      <c r="AC194" s="949">
        <f t="array" ref="AC194">IF(AND($AD$175=TRUE,SUM(O194:Y194)&gt;0),SUMPRODUCT((((TRANSPOSE(Cls2NCentDailyRng)&lt;INDEX(CDRANGE_CLS2,$A194-$A$180+1,AD$176))*TRANSPOSE(Cls2NCentDailyRng)+(TRANSPOSE(Cls2NCentDailyRng)&gt;INDEX(CDRANGE_CLS2,$A194-$A$180+1,AD$176))*INDEX(CDRANGE_CLS2,$A194-$A$180+1,AD$176))/TRANSPOSE(Cls2NCentDailyRng)),O194:Y194,TRANSPOSE(Cls2NCentVMTShr))/SUMPRODUCT(O194:Y194,TRANSPOSE(Cls2NCentVMTShr)),0)</f>
        <v>0</v>
      </c>
      <c r="AD194" s="1226">
        <f t="shared" si="113"/>
        <v>0</v>
      </c>
      <c r="AE194" s="937">
        <f t="shared" si="106"/>
        <v>0</v>
      </c>
      <c r="AF194" s="937">
        <f t="shared" si="107"/>
        <v>0</v>
      </c>
      <c r="AG194" s="937">
        <f t="shared" si="108"/>
        <v>0</v>
      </c>
      <c r="AH194" s="1172">
        <f t="shared" si="114"/>
        <v>0</v>
      </c>
      <c r="AI194" s="937">
        <f t="shared" si="115"/>
        <v>0</v>
      </c>
    </row>
    <row r="195" spans="1:35" x14ac:dyDescent="0.2">
      <c r="A195" s="330">
        <v>2022</v>
      </c>
      <c r="B195" s="344">
        <v>0</v>
      </c>
      <c r="C195" s="345">
        <v>0</v>
      </c>
      <c r="D195" s="345">
        <v>0</v>
      </c>
      <c r="E195" s="345">
        <v>0</v>
      </c>
      <c r="F195" s="345">
        <v>0</v>
      </c>
      <c r="G195" s="345">
        <v>0</v>
      </c>
      <c r="H195" s="345">
        <v>0</v>
      </c>
      <c r="I195" s="345">
        <v>0</v>
      </c>
      <c r="J195" s="345">
        <v>0</v>
      </c>
      <c r="K195" s="345">
        <v>0</v>
      </c>
      <c r="L195" s="380">
        <v>0</v>
      </c>
      <c r="M195" s="296">
        <f t="shared" si="109"/>
        <v>0</v>
      </c>
      <c r="N195" s="298">
        <f t="shared" si="110"/>
        <v>0</v>
      </c>
      <c r="O195" s="344">
        <v>0</v>
      </c>
      <c r="P195" s="345">
        <v>0</v>
      </c>
      <c r="Q195" s="345">
        <v>0</v>
      </c>
      <c r="R195" s="345">
        <v>0</v>
      </c>
      <c r="S195" s="345">
        <v>0</v>
      </c>
      <c r="T195" s="345">
        <v>0</v>
      </c>
      <c r="U195" s="345">
        <v>0</v>
      </c>
      <c r="V195" s="345">
        <v>0</v>
      </c>
      <c r="W195" s="345">
        <v>0</v>
      </c>
      <c r="X195" s="345">
        <v>0</v>
      </c>
      <c r="Y195" s="380">
        <v>0</v>
      </c>
      <c r="Z195" s="296">
        <f t="shared" si="111"/>
        <v>0</v>
      </c>
      <c r="AA195" s="298">
        <f t="shared" si="112"/>
        <v>0</v>
      </c>
      <c r="AB195" s="948">
        <f t="array" ref="AB195">IF(AND($AD$175=TRUE,SUM(B195:L195)&gt;0),SUMPRODUCT((((TRANSPOSE(Cls2CentDailyRng)&lt;INDEX(CDRANGE_CLS2,$A195-$A$180+1,AD$176))*TRANSPOSE(Cls2CentDailyRng)+(TRANSPOSE(Cls2CentDailyRng)&gt;INDEX(CDRANGE_CLS2,$A195-$A$180+1,AD$176))*INDEX(CDRANGE_CLS2,$A195-$A$180+1,AD$176))/TRANSPOSE(Cls2CentDailyRng)),B195:L195,TRANSPOSE(Cls2CentVMTShr))/SUMPRODUCT(B195:L195,TRANSPOSE(Cls2CentVMTShr)),0)</f>
        <v>0</v>
      </c>
      <c r="AC195" s="949">
        <f t="array" ref="AC195">IF(AND($AD$175=TRUE,SUM(O195:Y195)&gt;0),SUMPRODUCT((((TRANSPOSE(Cls2NCentDailyRng)&lt;INDEX(CDRANGE_CLS2,$A195-$A$180+1,AD$176))*TRANSPOSE(Cls2NCentDailyRng)+(TRANSPOSE(Cls2NCentDailyRng)&gt;INDEX(CDRANGE_CLS2,$A195-$A$180+1,AD$176))*INDEX(CDRANGE_CLS2,$A195-$A$180+1,AD$176))/TRANSPOSE(Cls2NCentDailyRng)),O195:Y195,TRANSPOSE(Cls2NCentVMTShr))/SUMPRODUCT(O195:Y195,TRANSPOSE(Cls2NCentVMTShr)),0)</f>
        <v>0</v>
      </c>
      <c r="AD195" s="1226">
        <f t="shared" si="113"/>
        <v>0</v>
      </c>
      <c r="AE195" s="937">
        <f>SUMPRODUCT($B$74:$L$74,B195:L195)</f>
        <v>0</v>
      </c>
      <c r="AF195" s="937">
        <f>SUMPRODUCT($O$74:$Y$74,O195:Y195)</f>
        <v>0</v>
      </c>
      <c r="AG195" s="937">
        <f>SUM(AE195:AF195)</f>
        <v>0</v>
      </c>
      <c r="AH195" s="1172">
        <f t="shared" si="114"/>
        <v>0</v>
      </c>
      <c r="AI195" s="937">
        <f t="shared" si="115"/>
        <v>0</v>
      </c>
    </row>
    <row r="196" spans="1:35" x14ac:dyDescent="0.2">
      <c r="A196" s="330">
        <v>2023</v>
      </c>
      <c r="B196" s="344">
        <v>0</v>
      </c>
      <c r="C196" s="345">
        <v>0</v>
      </c>
      <c r="D196" s="345">
        <v>0</v>
      </c>
      <c r="E196" s="345">
        <v>0</v>
      </c>
      <c r="F196" s="345">
        <v>0</v>
      </c>
      <c r="G196" s="345">
        <v>0</v>
      </c>
      <c r="H196" s="345">
        <v>0</v>
      </c>
      <c r="I196" s="345">
        <v>0</v>
      </c>
      <c r="J196" s="345">
        <v>0</v>
      </c>
      <c r="K196" s="345">
        <v>0</v>
      </c>
      <c r="L196" s="380">
        <v>0</v>
      </c>
      <c r="M196" s="296">
        <f t="shared" si="109"/>
        <v>0</v>
      </c>
      <c r="N196" s="298">
        <f t="shared" si="110"/>
        <v>0</v>
      </c>
      <c r="O196" s="344">
        <v>0</v>
      </c>
      <c r="P196" s="345">
        <v>0</v>
      </c>
      <c r="Q196" s="345">
        <v>0</v>
      </c>
      <c r="R196" s="345">
        <v>0</v>
      </c>
      <c r="S196" s="345">
        <v>0</v>
      </c>
      <c r="T196" s="345">
        <v>0</v>
      </c>
      <c r="U196" s="345">
        <v>0</v>
      </c>
      <c r="V196" s="345">
        <v>0</v>
      </c>
      <c r="W196" s="345">
        <v>0</v>
      </c>
      <c r="X196" s="345">
        <v>0</v>
      </c>
      <c r="Y196" s="380">
        <v>0</v>
      </c>
      <c r="Z196" s="296">
        <f t="shared" si="111"/>
        <v>0</v>
      </c>
      <c r="AA196" s="298">
        <f t="shared" si="112"/>
        <v>0</v>
      </c>
      <c r="AB196" s="948">
        <f t="array" ref="AB196">IF(AND($AD$175=TRUE,SUM(B196:L196)&gt;0),SUMPRODUCT((((TRANSPOSE(Cls2CentDailyRng)&lt;INDEX(CDRANGE_CLS2,$A196-$A$180+1,AD$176))*TRANSPOSE(Cls2CentDailyRng)+(TRANSPOSE(Cls2CentDailyRng)&gt;INDEX(CDRANGE_CLS2,$A196-$A$180+1,AD$176))*INDEX(CDRANGE_CLS2,$A196-$A$180+1,AD$176))/TRANSPOSE(Cls2CentDailyRng)),B196:L196,TRANSPOSE(Cls2CentVMTShr))/SUMPRODUCT(B196:L196,TRANSPOSE(Cls2CentVMTShr)),0)</f>
        <v>0</v>
      </c>
      <c r="AC196" s="949">
        <f t="array" ref="AC196">IF(AND($AD$175=TRUE,SUM(O196:Y196)&gt;0),SUMPRODUCT((((TRANSPOSE(Cls2NCentDailyRng)&lt;INDEX(CDRANGE_CLS2,$A196-$A$180+1,AD$176))*TRANSPOSE(Cls2NCentDailyRng)+(TRANSPOSE(Cls2NCentDailyRng)&gt;INDEX(CDRANGE_CLS2,$A196-$A$180+1,AD$176))*INDEX(CDRANGE_CLS2,$A196-$A$180+1,AD$176))/TRANSPOSE(Cls2NCentDailyRng)),O196:Y196,TRANSPOSE(Cls2NCentVMTShr))/SUMPRODUCT(O196:Y196,TRANSPOSE(Cls2NCentVMTShr)),0)</f>
        <v>0</v>
      </c>
      <c r="AD196" s="1226">
        <f t="shared" si="113"/>
        <v>0</v>
      </c>
      <c r="AE196" s="937">
        <f t="shared" ref="AE196:AE222" si="116">SUMPRODUCT($B$74:$L$74,B196:L196)</f>
        <v>0</v>
      </c>
      <c r="AF196" s="937">
        <f t="shared" ref="AF196:AF222" si="117">SUMPRODUCT($O$74:$Y$74,O196:Y196)</f>
        <v>0</v>
      </c>
      <c r="AG196" s="937">
        <f t="shared" ref="AG196:AG222" si="118">SUM(AE196:AF196)</f>
        <v>0</v>
      </c>
      <c r="AH196" s="1172">
        <f t="shared" si="114"/>
        <v>0</v>
      </c>
      <c r="AI196" s="937">
        <f t="shared" si="115"/>
        <v>0</v>
      </c>
    </row>
    <row r="197" spans="1:35" x14ac:dyDescent="0.2">
      <c r="A197" s="330">
        <v>2024</v>
      </c>
      <c r="B197" s="344">
        <v>0</v>
      </c>
      <c r="C197" s="345">
        <v>0</v>
      </c>
      <c r="D197" s="345">
        <v>0</v>
      </c>
      <c r="E197" s="345">
        <v>0</v>
      </c>
      <c r="F197" s="345">
        <v>0</v>
      </c>
      <c r="G197" s="345">
        <v>0</v>
      </c>
      <c r="H197" s="345">
        <v>0</v>
      </c>
      <c r="I197" s="345">
        <v>0</v>
      </c>
      <c r="J197" s="345">
        <v>0</v>
      </c>
      <c r="K197" s="345">
        <v>0</v>
      </c>
      <c r="L197" s="380">
        <v>0</v>
      </c>
      <c r="M197" s="296">
        <f t="shared" si="109"/>
        <v>0</v>
      </c>
      <c r="N197" s="298">
        <f t="shared" si="110"/>
        <v>0</v>
      </c>
      <c r="O197" s="344">
        <v>0</v>
      </c>
      <c r="P197" s="345">
        <v>0</v>
      </c>
      <c r="Q197" s="345">
        <v>0</v>
      </c>
      <c r="R197" s="345">
        <v>0</v>
      </c>
      <c r="S197" s="345">
        <v>0</v>
      </c>
      <c r="T197" s="345">
        <v>0</v>
      </c>
      <c r="U197" s="345">
        <v>0</v>
      </c>
      <c r="V197" s="345">
        <v>0</v>
      </c>
      <c r="W197" s="345">
        <v>0</v>
      </c>
      <c r="X197" s="345">
        <v>0</v>
      </c>
      <c r="Y197" s="380">
        <v>0</v>
      </c>
      <c r="Z197" s="296">
        <f t="shared" si="111"/>
        <v>0</v>
      </c>
      <c r="AA197" s="298">
        <f t="shared" si="112"/>
        <v>0</v>
      </c>
      <c r="AB197" s="948">
        <f t="array" ref="AB197">IF(AND($AD$175=TRUE,SUM(B197:L197)&gt;0),SUMPRODUCT((((TRANSPOSE(Cls2CentDailyRng)&lt;INDEX(CDRANGE_CLS2,$A197-$A$180+1,AD$176))*TRANSPOSE(Cls2CentDailyRng)+(TRANSPOSE(Cls2CentDailyRng)&gt;INDEX(CDRANGE_CLS2,$A197-$A$180+1,AD$176))*INDEX(CDRANGE_CLS2,$A197-$A$180+1,AD$176))/TRANSPOSE(Cls2CentDailyRng)),B197:L197,TRANSPOSE(Cls2CentVMTShr))/SUMPRODUCT(B197:L197,TRANSPOSE(Cls2CentVMTShr)),0)</f>
        <v>0</v>
      </c>
      <c r="AC197" s="949">
        <f t="array" ref="AC197">IF(AND($AD$175=TRUE,SUM(O197:Y197)&gt;0),SUMPRODUCT((((TRANSPOSE(Cls2NCentDailyRng)&lt;INDEX(CDRANGE_CLS2,$A197-$A$180+1,AD$176))*TRANSPOSE(Cls2NCentDailyRng)+(TRANSPOSE(Cls2NCentDailyRng)&gt;INDEX(CDRANGE_CLS2,$A197-$A$180+1,AD$176))*INDEX(CDRANGE_CLS2,$A197-$A$180+1,AD$176))/TRANSPOSE(Cls2NCentDailyRng)),O197:Y197,TRANSPOSE(Cls2NCentVMTShr))/SUMPRODUCT(O197:Y197,TRANSPOSE(Cls2NCentVMTShr)),0)</f>
        <v>0</v>
      </c>
      <c r="AD197" s="1226">
        <f t="shared" si="113"/>
        <v>0</v>
      </c>
      <c r="AE197" s="937">
        <f t="shared" si="116"/>
        <v>0</v>
      </c>
      <c r="AF197" s="937">
        <f t="shared" si="117"/>
        <v>0</v>
      </c>
      <c r="AG197" s="937">
        <f t="shared" si="118"/>
        <v>0</v>
      </c>
      <c r="AH197" s="1172">
        <f t="shared" si="114"/>
        <v>0</v>
      </c>
      <c r="AI197" s="937">
        <f t="shared" si="115"/>
        <v>0</v>
      </c>
    </row>
    <row r="198" spans="1:35" ht="15" thickBot="1" x14ac:dyDescent="0.25">
      <c r="A198" s="328">
        <v>2025</v>
      </c>
      <c r="B198" s="346">
        <v>0</v>
      </c>
      <c r="C198" s="347">
        <v>0</v>
      </c>
      <c r="D198" s="347">
        <v>0</v>
      </c>
      <c r="E198" s="347">
        <v>0</v>
      </c>
      <c r="F198" s="347">
        <v>0</v>
      </c>
      <c r="G198" s="347">
        <v>0</v>
      </c>
      <c r="H198" s="347">
        <v>0</v>
      </c>
      <c r="I198" s="347">
        <v>0</v>
      </c>
      <c r="J198" s="347">
        <v>0</v>
      </c>
      <c r="K198" s="347">
        <v>0</v>
      </c>
      <c r="L198" s="381">
        <v>0</v>
      </c>
      <c r="M198" s="310">
        <f t="shared" si="109"/>
        <v>0</v>
      </c>
      <c r="N198" s="312">
        <f t="shared" si="110"/>
        <v>0</v>
      </c>
      <c r="O198" s="346">
        <v>0</v>
      </c>
      <c r="P198" s="347">
        <v>0</v>
      </c>
      <c r="Q198" s="347">
        <v>0</v>
      </c>
      <c r="R198" s="347">
        <v>0</v>
      </c>
      <c r="S198" s="347">
        <v>0</v>
      </c>
      <c r="T198" s="347">
        <v>0</v>
      </c>
      <c r="U198" s="347">
        <v>0</v>
      </c>
      <c r="V198" s="347">
        <v>0</v>
      </c>
      <c r="W198" s="347">
        <v>0</v>
      </c>
      <c r="X198" s="347">
        <v>0</v>
      </c>
      <c r="Y198" s="381">
        <v>0</v>
      </c>
      <c r="Z198" s="310">
        <f t="shared" si="111"/>
        <v>0</v>
      </c>
      <c r="AA198" s="312">
        <f t="shared" si="112"/>
        <v>0</v>
      </c>
      <c r="AB198" s="948">
        <f t="array" ref="AB198">IF(AND($AD$175=TRUE,SUM(B198:L198)&gt;0),SUMPRODUCT((((TRANSPOSE(Cls2CentDailyRng)&lt;INDEX(CDRANGE_CLS2,$A198-$A$180+1,AD$176))*TRANSPOSE(Cls2CentDailyRng)+(TRANSPOSE(Cls2CentDailyRng)&gt;INDEX(CDRANGE_CLS2,$A198-$A$180+1,AD$176))*INDEX(CDRANGE_CLS2,$A198-$A$180+1,AD$176))/TRANSPOSE(Cls2CentDailyRng)),B198:L198,TRANSPOSE(Cls2CentVMTShr))/SUMPRODUCT(B198:L198,TRANSPOSE(Cls2CentVMTShr)),0)</f>
        <v>0</v>
      </c>
      <c r="AC198" s="949">
        <f t="array" ref="AC198">IF(AND($AD$175=TRUE,SUM(O198:Y198)&gt;0),SUMPRODUCT((((TRANSPOSE(Cls2NCentDailyRng)&lt;INDEX(CDRANGE_CLS2,$A198-$A$180+1,AD$176))*TRANSPOSE(Cls2NCentDailyRng)+(TRANSPOSE(Cls2NCentDailyRng)&gt;INDEX(CDRANGE_CLS2,$A198-$A$180+1,AD$176))*INDEX(CDRANGE_CLS2,$A198-$A$180+1,AD$176))/TRANSPOSE(Cls2NCentDailyRng)),O198:Y198,TRANSPOSE(Cls2NCentVMTShr))/SUMPRODUCT(O198:Y198,TRANSPOSE(Cls2NCentVMTShr)),0)</f>
        <v>0</v>
      </c>
      <c r="AD198" s="1226">
        <f t="shared" si="113"/>
        <v>0</v>
      </c>
      <c r="AE198" s="937">
        <f t="shared" si="116"/>
        <v>0</v>
      </c>
      <c r="AF198" s="937">
        <f t="shared" si="117"/>
        <v>0</v>
      </c>
      <c r="AG198" s="937">
        <f t="shared" si="118"/>
        <v>0</v>
      </c>
      <c r="AH198" s="1172">
        <f t="shared" si="114"/>
        <v>0</v>
      </c>
      <c r="AI198" s="937">
        <f t="shared" si="115"/>
        <v>0</v>
      </c>
    </row>
    <row r="199" spans="1:35" x14ac:dyDescent="0.2">
      <c r="A199" s="329">
        <v>2026</v>
      </c>
      <c r="B199" s="342">
        <v>0</v>
      </c>
      <c r="C199" s="343">
        <v>0</v>
      </c>
      <c r="D199" s="343">
        <v>0</v>
      </c>
      <c r="E199" s="343">
        <v>0</v>
      </c>
      <c r="F199" s="343">
        <v>0</v>
      </c>
      <c r="G199" s="343">
        <v>0</v>
      </c>
      <c r="H199" s="343">
        <v>0</v>
      </c>
      <c r="I199" s="343">
        <v>0</v>
      </c>
      <c r="J199" s="343">
        <v>0</v>
      </c>
      <c r="K199" s="343">
        <v>0</v>
      </c>
      <c r="L199" s="379">
        <v>0</v>
      </c>
      <c r="M199" s="282">
        <f t="shared" si="109"/>
        <v>0</v>
      </c>
      <c r="N199" s="284">
        <f t="shared" si="110"/>
        <v>0</v>
      </c>
      <c r="O199" s="342">
        <v>0</v>
      </c>
      <c r="P199" s="343">
        <v>0</v>
      </c>
      <c r="Q199" s="343">
        <v>0</v>
      </c>
      <c r="R199" s="343">
        <v>0</v>
      </c>
      <c r="S199" s="343">
        <v>0</v>
      </c>
      <c r="T199" s="343">
        <v>0</v>
      </c>
      <c r="U199" s="343">
        <v>0</v>
      </c>
      <c r="V199" s="343">
        <v>0</v>
      </c>
      <c r="W199" s="343">
        <v>0</v>
      </c>
      <c r="X199" s="343">
        <v>0</v>
      </c>
      <c r="Y199" s="379">
        <v>0</v>
      </c>
      <c r="Z199" s="282">
        <f t="shared" si="111"/>
        <v>0</v>
      </c>
      <c r="AA199" s="284">
        <f t="shared" si="112"/>
        <v>0</v>
      </c>
      <c r="AB199" s="948">
        <f t="array" ref="AB199">IF(AND($AD$175=TRUE,SUM(B199:L199)&gt;0),SUMPRODUCT((((TRANSPOSE(Cls2CentDailyRng)&lt;INDEX(CDRANGE_CLS2,$A199-$A$180+1,AD$176))*TRANSPOSE(Cls2CentDailyRng)+(TRANSPOSE(Cls2CentDailyRng)&gt;INDEX(CDRANGE_CLS2,$A199-$A$180+1,AD$176))*INDEX(CDRANGE_CLS2,$A199-$A$180+1,AD$176))/TRANSPOSE(Cls2CentDailyRng)),B199:L199,TRANSPOSE(Cls2CentVMTShr))/SUMPRODUCT(B199:L199,TRANSPOSE(Cls2CentVMTShr)),0)</f>
        <v>0</v>
      </c>
      <c r="AC199" s="949">
        <f t="array" ref="AC199">IF(AND($AD$175=TRUE,SUM(O199:Y199)&gt;0),SUMPRODUCT((((TRANSPOSE(Cls2NCentDailyRng)&lt;INDEX(CDRANGE_CLS2,$A199-$A$180+1,AD$176))*TRANSPOSE(Cls2NCentDailyRng)+(TRANSPOSE(Cls2NCentDailyRng)&gt;INDEX(CDRANGE_CLS2,$A199-$A$180+1,AD$176))*INDEX(CDRANGE_CLS2,$A199-$A$180+1,AD$176))/TRANSPOSE(Cls2NCentDailyRng)),O199:Y199,TRANSPOSE(Cls2NCentVMTShr))/SUMPRODUCT(O199:Y199,TRANSPOSE(Cls2NCentVMTShr)),0)</f>
        <v>0</v>
      </c>
      <c r="AD199" s="1226">
        <f t="shared" si="113"/>
        <v>0</v>
      </c>
      <c r="AE199" s="937">
        <f t="shared" si="116"/>
        <v>0</v>
      </c>
      <c r="AF199" s="937">
        <f t="shared" si="117"/>
        <v>0</v>
      </c>
      <c r="AG199" s="937">
        <f t="shared" si="118"/>
        <v>0</v>
      </c>
      <c r="AH199" s="1172">
        <f t="shared" si="114"/>
        <v>0</v>
      </c>
      <c r="AI199" s="937">
        <f t="shared" si="115"/>
        <v>0</v>
      </c>
    </row>
    <row r="200" spans="1:35" x14ac:dyDescent="0.2">
      <c r="A200" s="330">
        <v>2027</v>
      </c>
      <c r="B200" s="344">
        <v>0</v>
      </c>
      <c r="C200" s="345">
        <v>0</v>
      </c>
      <c r="D200" s="345">
        <v>0</v>
      </c>
      <c r="E200" s="345">
        <v>0</v>
      </c>
      <c r="F200" s="345">
        <v>0</v>
      </c>
      <c r="G200" s="345">
        <v>0</v>
      </c>
      <c r="H200" s="345">
        <v>0</v>
      </c>
      <c r="I200" s="345">
        <v>0</v>
      </c>
      <c r="J200" s="345">
        <v>0</v>
      </c>
      <c r="K200" s="345">
        <v>0</v>
      </c>
      <c r="L200" s="380">
        <v>0</v>
      </c>
      <c r="M200" s="296">
        <f t="shared" si="109"/>
        <v>0</v>
      </c>
      <c r="N200" s="298">
        <f t="shared" si="110"/>
        <v>0</v>
      </c>
      <c r="O200" s="344">
        <v>0</v>
      </c>
      <c r="P200" s="345">
        <v>0</v>
      </c>
      <c r="Q200" s="345">
        <v>0</v>
      </c>
      <c r="R200" s="345">
        <v>0</v>
      </c>
      <c r="S200" s="345">
        <v>0</v>
      </c>
      <c r="T200" s="345">
        <v>0</v>
      </c>
      <c r="U200" s="345">
        <v>0</v>
      </c>
      <c r="V200" s="345">
        <v>0</v>
      </c>
      <c r="W200" s="345">
        <v>0</v>
      </c>
      <c r="X200" s="345">
        <v>0</v>
      </c>
      <c r="Y200" s="380">
        <v>0</v>
      </c>
      <c r="Z200" s="296">
        <f t="shared" si="111"/>
        <v>0</v>
      </c>
      <c r="AA200" s="298">
        <f t="shared" si="112"/>
        <v>0</v>
      </c>
      <c r="AB200" s="948">
        <f t="array" ref="AB200">IF(AND($AD$175=TRUE,SUM(B200:L200)&gt;0),SUMPRODUCT((((TRANSPOSE(Cls2CentDailyRng)&lt;INDEX(CDRANGE_CLS2,$A200-$A$180+1,AD$176))*TRANSPOSE(Cls2CentDailyRng)+(TRANSPOSE(Cls2CentDailyRng)&gt;INDEX(CDRANGE_CLS2,$A200-$A$180+1,AD$176))*INDEX(CDRANGE_CLS2,$A200-$A$180+1,AD$176))/TRANSPOSE(Cls2CentDailyRng)),B200:L200,TRANSPOSE(Cls2CentVMTShr))/SUMPRODUCT(B200:L200,TRANSPOSE(Cls2CentVMTShr)),0)</f>
        <v>0</v>
      </c>
      <c r="AC200" s="949">
        <f t="array" ref="AC200">IF(AND($AD$175=TRUE,SUM(O200:Y200)&gt;0),SUMPRODUCT((((TRANSPOSE(Cls2NCentDailyRng)&lt;INDEX(CDRANGE_CLS2,$A200-$A$180+1,AD$176))*TRANSPOSE(Cls2NCentDailyRng)+(TRANSPOSE(Cls2NCentDailyRng)&gt;INDEX(CDRANGE_CLS2,$A200-$A$180+1,AD$176))*INDEX(CDRANGE_CLS2,$A200-$A$180+1,AD$176))/TRANSPOSE(Cls2NCentDailyRng)),O200:Y200,TRANSPOSE(Cls2NCentVMTShr))/SUMPRODUCT(O200:Y200,TRANSPOSE(Cls2NCentVMTShr)),0)</f>
        <v>0</v>
      </c>
      <c r="AD200" s="1226">
        <f t="shared" si="113"/>
        <v>0</v>
      </c>
      <c r="AE200" s="937">
        <f t="shared" si="116"/>
        <v>0</v>
      </c>
      <c r="AF200" s="937">
        <f t="shared" si="117"/>
        <v>0</v>
      </c>
      <c r="AG200" s="937">
        <f t="shared" si="118"/>
        <v>0</v>
      </c>
      <c r="AH200" s="1172">
        <f t="shared" ref="AH200:AH222" si="119">IF(AG200&gt;0,AE200/AG200,0)</f>
        <v>0</v>
      </c>
      <c r="AI200" s="937">
        <f t="shared" ref="AI200:AI222" si="120">IF(AG200&gt;0,AF200/AG200,0)</f>
        <v>0</v>
      </c>
    </row>
    <row r="201" spans="1:35" x14ac:dyDescent="0.2">
      <c r="A201" s="330">
        <v>2028</v>
      </c>
      <c r="B201" s="344">
        <v>0</v>
      </c>
      <c r="C201" s="345">
        <v>0</v>
      </c>
      <c r="D201" s="345">
        <v>0</v>
      </c>
      <c r="E201" s="345">
        <v>0</v>
      </c>
      <c r="F201" s="345">
        <v>0</v>
      </c>
      <c r="G201" s="345">
        <v>0</v>
      </c>
      <c r="H201" s="345">
        <v>0</v>
      </c>
      <c r="I201" s="345">
        <v>0</v>
      </c>
      <c r="J201" s="345">
        <v>0</v>
      </c>
      <c r="K201" s="345">
        <v>0</v>
      </c>
      <c r="L201" s="380">
        <v>0</v>
      </c>
      <c r="M201" s="296">
        <f t="shared" si="109"/>
        <v>0</v>
      </c>
      <c r="N201" s="298">
        <f t="shared" si="110"/>
        <v>0</v>
      </c>
      <c r="O201" s="344">
        <v>0</v>
      </c>
      <c r="P201" s="345">
        <v>0</v>
      </c>
      <c r="Q201" s="345">
        <v>0</v>
      </c>
      <c r="R201" s="345">
        <v>0</v>
      </c>
      <c r="S201" s="345">
        <v>0</v>
      </c>
      <c r="T201" s="345">
        <v>0</v>
      </c>
      <c r="U201" s="345">
        <v>0</v>
      </c>
      <c r="V201" s="345">
        <v>0</v>
      </c>
      <c r="W201" s="345">
        <v>0</v>
      </c>
      <c r="X201" s="345">
        <v>0</v>
      </c>
      <c r="Y201" s="380">
        <v>0</v>
      </c>
      <c r="Z201" s="296">
        <f t="shared" si="111"/>
        <v>0</v>
      </c>
      <c r="AA201" s="298">
        <f t="shared" si="112"/>
        <v>0</v>
      </c>
      <c r="AB201" s="948">
        <f t="array" ref="AB201">IF(AND($AD$175=TRUE,SUM(B201:L201)&gt;0),SUMPRODUCT((((TRANSPOSE(Cls2CentDailyRng)&lt;INDEX(CDRANGE_CLS2,$A201-$A$180+1,AD$176))*TRANSPOSE(Cls2CentDailyRng)+(TRANSPOSE(Cls2CentDailyRng)&gt;INDEX(CDRANGE_CLS2,$A201-$A$180+1,AD$176))*INDEX(CDRANGE_CLS2,$A201-$A$180+1,AD$176))/TRANSPOSE(Cls2CentDailyRng)),B201:L201,TRANSPOSE(Cls2CentVMTShr))/SUMPRODUCT(B201:L201,TRANSPOSE(Cls2CentVMTShr)),0)</f>
        <v>0</v>
      </c>
      <c r="AC201" s="949">
        <f t="array" ref="AC201">IF(AND($AD$175=TRUE,SUM(O201:Y201)&gt;0),SUMPRODUCT((((TRANSPOSE(Cls2NCentDailyRng)&lt;INDEX(CDRANGE_CLS2,$A201-$A$180+1,AD$176))*TRANSPOSE(Cls2NCentDailyRng)+(TRANSPOSE(Cls2NCentDailyRng)&gt;INDEX(CDRANGE_CLS2,$A201-$A$180+1,AD$176))*INDEX(CDRANGE_CLS2,$A201-$A$180+1,AD$176))/TRANSPOSE(Cls2NCentDailyRng)),O201:Y201,TRANSPOSE(Cls2NCentVMTShr))/SUMPRODUCT(O201:Y201,TRANSPOSE(Cls2NCentVMTShr)),0)</f>
        <v>0</v>
      </c>
      <c r="AD201" s="1226">
        <f t="shared" si="113"/>
        <v>0</v>
      </c>
      <c r="AE201" s="937">
        <f t="shared" si="116"/>
        <v>0</v>
      </c>
      <c r="AF201" s="937">
        <f t="shared" si="117"/>
        <v>0</v>
      </c>
      <c r="AG201" s="937">
        <f t="shared" si="118"/>
        <v>0</v>
      </c>
      <c r="AH201" s="1172">
        <f t="shared" si="119"/>
        <v>0</v>
      </c>
      <c r="AI201" s="937">
        <f t="shared" si="120"/>
        <v>0</v>
      </c>
    </row>
    <row r="202" spans="1:35" x14ac:dyDescent="0.2">
      <c r="A202" s="330">
        <v>2029</v>
      </c>
      <c r="B202" s="344">
        <v>0</v>
      </c>
      <c r="C202" s="345">
        <v>0</v>
      </c>
      <c r="D202" s="345">
        <v>0</v>
      </c>
      <c r="E202" s="345">
        <v>0</v>
      </c>
      <c r="F202" s="345">
        <v>0</v>
      </c>
      <c r="G202" s="345">
        <v>0</v>
      </c>
      <c r="H202" s="345">
        <v>0</v>
      </c>
      <c r="I202" s="345">
        <v>0</v>
      </c>
      <c r="J202" s="345">
        <v>0</v>
      </c>
      <c r="K202" s="345">
        <v>0</v>
      </c>
      <c r="L202" s="380">
        <v>0</v>
      </c>
      <c r="M202" s="296">
        <f t="shared" si="109"/>
        <v>0</v>
      </c>
      <c r="N202" s="298">
        <f t="shared" si="110"/>
        <v>0</v>
      </c>
      <c r="O202" s="344">
        <v>0</v>
      </c>
      <c r="P202" s="345">
        <v>0</v>
      </c>
      <c r="Q202" s="345">
        <v>0</v>
      </c>
      <c r="R202" s="345">
        <v>0</v>
      </c>
      <c r="S202" s="345">
        <v>0</v>
      </c>
      <c r="T202" s="345">
        <v>0</v>
      </c>
      <c r="U202" s="345">
        <v>0</v>
      </c>
      <c r="V202" s="345">
        <v>0</v>
      </c>
      <c r="W202" s="345">
        <v>0</v>
      </c>
      <c r="X202" s="345">
        <v>0</v>
      </c>
      <c r="Y202" s="380">
        <v>0</v>
      </c>
      <c r="Z202" s="296">
        <f t="shared" si="111"/>
        <v>0</v>
      </c>
      <c r="AA202" s="298">
        <f t="shared" si="112"/>
        <v>0</v>
      </c>
      <c r="AB202" s="948">
        <f t="array" ref="AB202">IF(AND($AD$175=TRUE,SUM(B202:L202)&gt;0),SUMPRODUCT((((TRANSPOSE(Cls2CentDailyRng)&lt;INDEX(CDRANGE_CLS2,$A202-$A$180+1,AD$176))*TRANSPOSE(Cls2CentDailyRng)+(TRANSPOSE(Cls2CentDailyRng)&gt;INDEX(CDRANGE_CLS2,$A202-$A$180+1,AD$176))*INDEX(CDRANGE_CLS2,$A202-$A$180+1,AD$176))/TRANSPOSE(Cls2CentDailyRng)),B202:L202,TRANSPOSE(Cls2CentVMTShr))/SUMPRODUCT(B202:L202,TRANSPOSE(Cls2CentVMTShr)),0)</f>
        <v>0</v>
      </c>
      <c r="AC202" s="949">
        <f t="array" ref="AC202">IF(AND($AD$175=TRUE,SUM(O202:Y202)&gt;0),SUMPRODUCT((((TRANSPOSE(Cls2NCentDailyRng)&lt;INDEX(CDRANGE_CLS2,$A202-$A$180+1,AD$176))*TRANSPOSE(Cls2NCentDailyRng)+(TRANSPOSE(Cls2NCentDailyRng)&gt;INDEX(CDRANGE_CLS2,$A202-$A$180+1,AD$176))*INDEX(CDRANGE_CLS2,$A202-$A$180+1,AD$176))/TRANSPOSE(Cls2NCentDailyRng)),O202:Y202,TRANSPOSE(Cls2NCentVMTShr))/SUMPRODUCT(O202:Y202,TRANSPOSE(Cls2NCentVMTShr)),0)</f>
        <v>0</v>
      </c>
      <c r="AD202" s="1226">
        <f t="shared" si="113"/>
        <v>0</v>
      </c>
      <c r="AE202" s="937">
        <f t="shared" si="116"/>
        <v>0</v>
      </c>
      <c r="AF202" s="937">
        <f t="shared" si="117"/>
        <v>0</v>
      </c>
      <c r="AG202" s="937">
        <f t="shared" si="118"/>
        <v>0</v>
      </c>
      <c r="AH202" s="1172">
        <f t="shared" si="119"/>
        <v>0</v>
      </c>
      <c r="AI202" s="937">
        <f t="shared" si="120"/>
        <v>0</v>
      </c>
    </row>
    <row r="203" spans="1:35" ht="15" thickBot="1" x14ac:dyDescent="0.25">
      <c r="A203" s="328">
        <v>2030</v>
      </c>
      <c r="B203" s="346">
        <v>0</v>
      </c>
      <c r="C203" s="347">
        <v>0</v>
      </c>
      <c r="D203" s="347">
        <v>0</v>
      </c>
      <c r="E203" s="347">
        <v>0</v>
      </c>
      <c r="F203" s="347">
        <v>0</v>
      </c>
      <c r="G203" s="347">
        <v>0</v>
      </c>
      <c r="H203" s="347">
        <v>0</v>
      </c>
      <c r="I203" s="347">
        <v>0</v>
      </c>
      <c r="J203" s="347">
        <v>0</v>
      </c>
      <c r="K203" s="347">
        <v>0</v>
      </c>
      <c r="L203" s="381">
        <v>0</v>
      </c>
      <c r="M203" s="310">
        <f t="shared" si="109"/>
        <v>0</v>
      </c>
      <c r="N203" s="312">
        <f t="shared" si="110"/>
        <v>0</v>
      </c>
      <c r="O203" s="346">
        <v>0</v>
      </c>
      <c r="P203" s="347">
        <v>0</v>
      </c>
      <c r="Q203" s="347">
        <v>0</v>
      </c>
      <c r="R203" s="347">
        <v>0</v>
      </c>
      <c r="S203" s="347">
        <v>0</v>
      </c>
      <c r="T203" s="347">
        <v>0</v>
      </c>
      <c r="U203" s="347">
        <v>0</v>
      </c>
      <c r="V203" s="347">
        <v>0</v>
      </c>
      <c r="W203" s="347">
        <v>0</v>
      </c>
      <c r="X203" s="347">
        <v>0</v>
      </c>
      <c r="Y203" s="381">
        <v>0</v>
      </c>
      <c r="Z203" s="310">
        <f t="shared" si="111"/>
        <v>0</v>
      </c>
      <c r="AA203" s="312">
        <f t="shared" si="112"/>
        <v>0</v>
      </c>
      <c r="AB203" s="948">
        <f t="array" ref="AB203">IF(AND($AD$175=TRUE,SUM(B203:L203)&gt;0),SUMPRODUCT((((TRANSPOSE(Cls2CentDailyRng)&lt;INDEX(CDRANGE_CLS2,$A203-$A$180+1,AD$176))*TRANSPOSE(Cls2CentDailyRng)+(TRANSPOSE(Cls2CentDailyRng)&gt;INDEX(CDRANGE_CLS2,$A203-$A$180+1,AD$176))*INDEX(CDRANGE_CLS2,$A203-$A$180+1,AD$176))/TRANSPOSE(Cls2CentDailyRng)),B203:L203,TRANSPOSE(Cls2CentVMTShr))/SUMPRODUCT(B203:L203,TRANSPOSE(Cls2CentVMTShr)),0)</f>
        <v>0</v>
      </c>
      <c r="AC203" s="949">
        <f t="array" ref="AC203">IF(AND($AD$175=TRUE,SUM(O203:Y203)&gt;0),SUMPRODUCT((((TRANSPOSE(Cls2NCentDailyRng)&lt;INDEX(CDRANGE_CLS2,$A203-$A$180+1,AD$176))*TRANSPOSE(Cls2NCentDailyRng)+(TRANSPOSE(Cls2NCentDailyRng)&gt;INDEX(CDRANGE_CLS2,$A203-$A$180+1,AD$176))*INDEX(CDRANGE_CLS2,$A203-$A$180+1,AD$176))/TRANSPOSE(Cls2NCentDailyRng)),O203:Y203,TRANSPOSE(Cls2NCentVMTShr))/SUMPRODUCT(O203:Y203,TRANSPOSE(Cls2NCentVMTShr)),0)</f>
        <v>0</v>
      </c>
      <c r="AD203" s="1226">
        <f t="shared" si="113"/>
        <v>0</v>
      </c>
      <c r="AE203" s="937">
        <f t="shared" si="116"/>
        <v>0</v>
      </c>
      <c r="AF203" s="937">
        <f t="shared" si="117"/>
        <v>0</v>
      </c>
      <c r="AG203" s="937">
        <f t="shared" si="118"/>
        <v>0</v>
      </c>
      <c r="AH203" s="1172">
        <f t="shared" si="119"/>
        <v>0</v>
      </c>
      <c r="AI203" s="937">
        <f t="shared" si="120"/>
        <v>0</v>
      </c>
    </row>
    <row r="204" spans="1:35" x14ac:dyDescent="0.2">
      <c r="A204" s="329">
        <v>2031</v>
      </c>
      <c r="B204" s="342">
        <v>0</v>
      </c>
      <c r="C204" s="343">
        <v>0</v>
      </c>
      <c r="D204" s="343">
        <v>0</v>
      </c>
      <c r="E204" s="343">
        <v>0</v>
      </c>
      <c r="F204" s="343">
        <v>0</v>
      </c>
      <c r="G204" s="343">
        <v>0</v>
      </c>
      <c r="H204" s="343">
        <v>0</v>
      </c>
      <c r="I204" s="343">
        <v>0</v>
      </c>
      <c r="J204" s="343">
        <v>0</v>
      </c>
      <c r="K204" s="343">
        <v>0</v>
      </c>
      <c r="L204" s="379">
        <v>0</v>
      </c>
      <c r="M204" s="282">
        <f t="shared" si="109"/>
        <v>0</v>
      </c>
      <c r="N204" s="284">
        <f t="shared" si="110"/>
        <v>0</v>
      </c>
      <c r="O204" s="342">
        <v>0</v>
      </c>
      <c r="P204" s="343">
        <v>0</v>
      </c>
      <c r="Q204" s="343">
        <v>0</v>
      </c>
      <c r="R204" s="343">
        <v>0</v>
      </c>
      <c r="S204" s="343">
        <v>0</v>
      </c>
      <c r="T204" s="343">
        <v>0</v>
      </c>
      <c r="U204" s="343">
        <v>0</v>
      </c>
      <c r="V204" s="343">
        <v>0</v>
      </c>
      <c r="W204" s="343">
        <v>0</v>
      </c>
      <c r="X204" s="343">
        <v>0</v>
      </c>
      <c r="Y204" s="379">
        <v>1.8284227101180876E-4</v>
      </c>
      <c r="Z204" s="282">
        <f t="shared" si="111"/>
        <v>2.7762572530622703E-6</v>
      </c>
      <c r="AA204" s="284">
        <f t="shared" si="112"/>
        <v>9.684041057980345E-7</v>
      </c>
      <c r="AB204" s="948">
        <f t="array" ref="AB204">IF(AND($AD$175=TRUE,SUM(B204:L204)&gt;0),SUMPRODUCT((((TRANSPOSE(Cls2CentDailyRng)&lt;INDEX(CDRANGE_CLS2,$A204-$A$180+1,AD$176))*TRANSPOSE(Cls2CentDailyRng)+(TRANSPOSE(Cls2CentDailyRng)&gt;INDEX(CDRANGE_CLS2,$A204-$A$180+1,AD$176))*INDEX(CDRANGE_CLS2,$A204-$A$180+1,AD$176))/TRANSPOSE(Cls2CentDailyRng)),B204:L204,TRANSPOSE(Cls2CentVMTShr))/SUMPRODUCT(B204:L204,TRANSPOSE(Cls2CentVMTShr)),0)</f>
        <v>0</v>
      </c>
      <c r="AC204" s="949">
        <f t="array" ref="AC204">IF(AND($AD$175=TRUE,SUM(O204:Y204)&gt;0),SUMPRODUCT((((TRANSPOSE(Cls2NCentDailyRng)&lt;INDEX(CDRANGE_CLS2,$A204-$A$180+1,AD$176))*TRANSPOSE(Cls2NCentDailyRng)+(TRANSPOSE(Cls2NCentDailyRng)&gt;INDEX(CDRANGE_CLS2,$A204-$A$180+1,AD$176))*INDEX(CDRANGE_CLS2,$A204-$A$180+1,AD$176))/TRANSPOSE(Cls2NCentDailyRng)),O204:Y204,TRANSPOSE(Cls2NCentVMTShr))/SUMPRODUCT(O204:Y204,TRANSPOSE(Cls2NCentVMTShr)),0)</f>
        <v>0.15603295236606704</v>
      </c>
      <c r="AD204" s="1226">
        <f t="shared" si="113"/>
        <v>0.15603295236606704</v>
      </c>
      <c r="AE204" s="937">
        <f t="shared" si="116"/>
        <v>0</v>
      </c>
      <c r="AF204" s="937">
        <f t="shared" si="117"/>
        <v>2.7762572530622703E-6</v>
      </c>
      <c r="AG204" s="937">
        <f t="shared" si="118"/>
        <v>2.7762572530622703E-6</v>
      </c>
      <c r="AH204" s="1172">
        <f t="shared" si="119"/>
        <v>0</v>
      </c>
      <c r="AI204" s="937">
        <f t="shared" si="120"/>
        <v>1</v>
      </c>
    </row>
    <row r="205" spans="1:35" x14ac:dyDescent="0.2">
      <c r="A205" s="330">
        <v>2032</v>
      </c>
      <c r="B205" s="344">
        <v>0</v>
      </c>
      <c r="C205" s="345">
        <v>0</v>
      </c>
      <c r="D205" s="345">
        <v>0</v>
      </c>
      <c r="E205" s="345">
        <v>0</v>
      </c>
      <c r="F205" s="345">
        <v>0</v>
      </c>
      <c r="G205" s="345">
        <v>0</v>
      </c>
      <c r="H205" s="345">
        <v>0</v>
      </c>
      <c r="I205" s="345">
        <v>0</v>
      </c>
      <c r="J205" s="345">
        <v>0</v>
      </c>
      <c r="K205" s="345">
        <v>0</v>
      </c>
      <c r="L205" s="380">
        <v>5.1758117913364892E-3</v>
      </c>
      <c r="M205" s="296">
        <f t="shared" si="109"/>
        <v>1.6877381917210246E-4</v>
      </c>
      <c r="N205" s="298">
        <f t="shared" si="110"/>
        <v>5.8009192886801705E-5</v>
      </c>
      <c r="O205" s="344">
        <v>0</v>
      </c>
      <c r="P205" s="345">
        <v>0</v>
      </c>
      <c r="Q205" s="345">
        <v>0</v>
      </c>
      <c r="R205" s="345">
        <v>0</v>
      </c>
      <c r="S205" s="345">
        <v>0</v>
      </c>
      <c r="T205" s="345">
        <v>0</v>
      </c>
      <c r="U205" s="345">
        <v>0</v>
      </c>
      <c r="V205" s="345">
        <v>0</v>
      </c>
      <c r="W205" s="345">
        <v>1.8685983186191192E-4</v>
      </c>
      <c r="X205" s="345">
        <v>1.7801655529780739E-3</v>
      </c>
      <c r="Y205" s="380">
        <v>1.7379182657179162E-2</v>
      </c>
      <c r="Z205" s="296">
        <f t="shared" si="111"/>
        <v>2.75375993947715E-4</v>
      </c>
      <c r="AA205" s="298">
        <f t="shared" si="112"/>
        <v>9.6806635012857193E-5</v>
      </c>
      <c r="AB205" s="948">
        <f t="array" ref="AB205">IF(AND($AD$175=TRUE,SUM(B205:L205)&gt;0),SUMPRODUCT((((TRANSPOSE(Cls2CentDailyRng)&lt;INDEX(CDRANGE_CLS2,$A205-$A$180+1,AD$176))*TRANSPOSE(Cls2CentDailyRng)+(TRANSPOSE(Cls2CentDailyRng)&gt;INDEX(CDRANGE_CLS2,$A205-$A$180+1,AD$176))*INDEX(CDRANGE_CLS2,$A205-$A$180+1,AD$176))/TRANSPOSE(Cls2CentDailyRng)),B205:L205,TRANSPOSE(Cls2CentVMTShr))/SUMPRODUCT(B205:L205,TRANSPOSE(Cls2CentVMTShr)),0)</f>
        <v>0.15400030371260601</v>
      </c>
      <c r="AC205" s="949">
        <f t="array" ref="AC205">IF(AND($AD$175=TRUE,SUM(O205:Y205)&gt;0),SUMPRODUCT((((TRANSPOSE(Cls2NCentDailyRng)&lt;INDEX(CDRANGE_CLS2,$A205-$A$180+1,AD$176))*TRANSPOSE(Cls2NCentDailyRng)+(TRANSPOSE(Cls2NCentDailyRng)&gt;INDEX(CDRANGE_CLS2,$A205-$A$180+1,AD$176))*INDEX(CDRANGE_CLS2,$A205-$A$180+1,AD$176))/TRANSPOSE(Cls2NCentDailyRng)),O205:Y205,TRANSPOSE(Cls2NCentVMTShr))/SUMPRODUCT(O205:Y205,TRANSPOSE(Cls2NCentVMTShr)),0)</f>
        <v>0.15751027116461716</v>
      </c>
      <c r="AD205" s="1226">
        <f t="shared" si="113"/>
        <v>0.15617650810866854</v>
      </c>
      <c r="AE205" s="937">
        <f t="shared" si="116"/>
        <v>1.6877381917210246E-4</v>
      </c>
      <c r="AF205" s="937">
        <f t="shared" si="117"/>
        <v>2.75375993947715E-4</v>
      </c>
      <c r="AG205" s="937">
        <f t="shared" si="118"/>
        <v>4.4414981311981748E-4</v>
      </c>
      <c r="AH205" s="1172">
        <f t="shared" si="119"/>
        <v>0.37999299827820182</v>
      </c>
      <c r="AI205" s="937">
        <f t="shared" si="120"/>
        <v>0.62000700172179812</v>
      </c>
    </row>
    <row r="206" spans="1:35" x14ac:dyDescent="0.2">
      <c r="A206" s="330">
        <v>2033</v>
      </c>
      <c r="B206" s="344">
        <v>0</v>
      </c>
      <c r="C206" s="345">
        <v>0</v>
      </c>
      <c r="D206" s="345">
        <v>0</v>
      </c>
      <c r="E206" s="345">
        <v>0</v>
      </c>
      <c r="F206" s="345">
        <v>0</v>
      </c>
      <c r="G206" s="345">
        <v>0</v>
      </c>
      <c r="H206" s="345">
        <v>0</v>
      </c>
      <c r="I206" s="345">
        <v>0</v>
      </c>
      <c r="J206" s="345">
        <v>1.8153222906799489E-3</v>
      </c>
      <c r="K206" s="345">
        <v>1.0585415802902228E-2</v>
      </c>
      <c r="L206" s="380">
        <v>5.939072375635801E-2</v>
      </c>
      <c r="M206" s="296">
        <f t="shared" si="109"/>
        <v>2.1638786513636151E-3</v>
      </c>
      <c r="N206" s="298">
        <f t="shared" si="110"/>
        <v>7.6185450075986984E-4</v>
      </c>
      <c r="O206" s="344">
        <v>0</v>
      </c>
      <c r="P206" s="345">
        <v>0</v>
      </c>
      <c r="Q206" s="345">
        <v>0</v>
      </c>
      <c r="R206" s="345">
        <v>0</v>
      </c>
      <c r="S206" s="345">
        <v>0</v>
      </c>
      <c r="T206" s="345">
        <v>0</v>
      </c>
      <c r="U206" s="345">
        <v>0</v>
      </c>
      <c r="V206" s="345">
        <v>5.6297008121402074E-4</v>
      </c>
      <c r="W206" s="345">
        <v>1.5631875853409471E-2</v>
      </c>
      <c r="X206" s="345">
        <v>3.9677020192685888E-2</v>
      </c>
      <c r="Y206" s="380">
        <v>9.2391481589757782E-2</v>
      </c>
      <c r="Z206" s="296">
        <f t="shared" si="111"/>
        <v>1.8341026897136623E-3</v>
      </c>
      <c r="AA206" s="298">
        <f t="shared" si="112"/>
        <v>6.7375529601918773E-4</v>
      </c>
      <c r="AB206" s="948">
        <f t="array" ref="AB206">IF(AND($AD$175=TRUE,SUM(B206:L206)&gt;0),SUMPRODUCT((((TRANSPOSE(Cls2CentDailyRng)&lt;INDEX(CDRANGE_CLS2,$A206-$A$180+1,AD$176))*TRANSPOSE(Cls2CentDailyRng)+(TRANSPOSE(Cls2CentDailyRng)&gt;INDEX(CDRANGE_CLS2,$A206-$A$180+1,AD$176))*INDEX(CDRANGE_CLS2,$A206-$A$180+1,AD$176))/TRANSPOSE(Cls2CentDailyRng)),B206:L206,TRANSPOSE(Cls2CentVMTShr))/SUMPRODUCT(B206:L206,TRANSPOSE(Cls2CentVMTShr)),0)</f>
        <v>0.15800769221369829</v>
      </c>
      <c r="AC206" s="949">
        <f t="array" ref="AC206">IF(AND($AD$175=TRUE,SUM(O206:Y206)&gt;0),SUMPRODUCT((((TRANSPOSE(Cls2NCentDailyRng)&lt;INDEX(CDRANGE_CLS2,$A206-$A$180+1,AD$176))*TRANSPOSE(Cls2NCentDailyRng)+(TRANSPOSE(Cls2NCentDailyRng)&gt;INDEX(CDRANGE_CLS2,$A206-$A$180+1,AD$176))*INDEX(CDRANGE_CLS2,$A206-$A$180+1,AD$176))/TRANSPOSE(Cls2NCentDailyRng)),O206:Y206,TRANSPOSE(Cls2NCentVMTShr))/SUMPRODUCT(O206:Y206,TRANSPOSE(Cls2NCentVMTShr)),0)</f>
        <v>0.1648608895609367</v>
      </c>
      <c r="AD206" s="1226">
        <f>AB206*AH206+AC206*AI206</f>
        <v>0.16115164577810429</v>
      </c>
      <c r="AE206" s="937">
        <f t="shared" si="116"/>
        <v>2.1638786513636151E-3</v>
      </c>
      <c r="AF206" s="937">
        <f t="shared" si="117"/>
        <v>1.8341026897136623E-3</v>
      </c>
      <c r="AG206" s="937">
        <f t="shared" si="118"/>
        <v>3.9979813410772769E-3</v>
      </c>
      <c r="AH206" s="1172">
        <f t="shared" si="119"/>
        <v>0.54124280899733934</v>
      </c>
      <c r="AI206" s="937">
        <f t="shared" si="120"/>
        <v>0.45875719100266077</v>
      </c>
    </row>
    <row r="207" spans="1:35" x14ac:dyDescent="0.2">
      <c r="A207" s="330">
        <v>2034</v>
      </c>
      <c r="B207" s="344">
        <v>0</v>
      </c>
      <c r="C207" s="345">
        <v>0</v>
      </c>
      <c r="D207" s="345">
        <v>0</v>
      </c>
      <c r="E207" s="345">
        <v>0</v>
      </c>
      <c r="F207" s="345">
        <v>0</v>
      </c>
      <c r="G207" s="345">
        <v>0</v>
      </c>
      <c r="H207" s="345">
        <v>1.3302270122991328E-4</v>
      </c>
      <c r="I207" s="345">
        <v>6.2007251674540444E-3</v>
      </c>
      <c r="J207" s="345">
        <v>3.246120633259425E-2</v>
      </c>
      <c r="K207" s="345">
        <v>6.6316244424847695E-2</v>
      </c>
      <c r="L207" s="380">
        <v>0.14514504295309968</v>
      </c>
      <c r="M207" s="296">
        <f t="shared" si="109"/>
        <v>7.2555230595291679E-3</v>
      </c>
      <c r="N207" s="298">
        <f t="shared" si="110"/>
        <v>2.755241667197806E-3</v>
      </c>
      <c r="O207" s="344">
        <v>0</v>
      </c>
      <c r="P207" s="345">
        <v>0</v>
      </c>
      <c r="Q207" s="345">
        <v>0</v>
      </c>
      <c r="R207" s="345">
        <v>0</v>
      </c>
      <c r="S207" s="345">
        <v>0</v>
      </c>
      <c r="T207" s="345">
        <v>0</v>
      </c>
      <c r="U207" s="345">
        <v>2.9568876634258456E-3</v>
      </c>
      <c r="V207" s="345">
        <v>1.8020111024627087E-2</v>
      </c>
      <c r="W207" s="345">
        <v>7.9341305215795452E-2</v>
      </c>
      <c r="X207" s="345">
        <v>0.11820132744916098</v>
      </c>
      <c r="Y207" s="380">
        <v>0.17367504414809998</v>
      </c>
      <c r="Z207" s="296">
        <f t="shared" si="111"/>
        <v>4.7998710203952539E-3</v>
      </c>
      <c r="AA207" s="298">
        <f t="shared" si="112"/>
        <v>1.9042811755881411E-3</v>
      </c>
      <c r="AB207" s="948">
        <f t="array" ref="AB207">IF(AND($AD$175=TRUE,SUM(B207:L207)&gt;0),SUMPRODUCT((((TRANSPOSE(Cls2CentDailyRng)&lt;INDEX(CDRANGE_CLS2,$A207-$A$180+1,AD$176))*TRANSPOSE(Cls2CentDailyRng)+(TRANSPOSE(Cls2CentDailyRng)&gt;INDEX(CDRANGE_CLS2,$A207-$A$180+1,AD$176))*INDEX(CDRANGE_CLS2,$A207-$A$180+1,AD$176))/TRANSPOSE(Cls2CentDailyRng)),B207:L207,TRANSPOSE(Cls2CentVMTShr))/SUMPRODUCT(B207:L207,TRANSPOSE(Cls2CentVMTShr)),0)</f>
        <v>0.17070182777883919</v>
      </c>
      <c r="AC207" s="949">
        <f t="array" ref="AC207">IF(AND($AD$175=TRUE,SUM(O207:Y207)&gt;0),SUMPRODUCT((((TRANSPOSE(Cls2NCentDailyRng)&lt;INDEX(CDRANGE_CLS2,$A207-$A$180+1,AD$176))*TRANSPOSE(Cls2NCentDailyRng)+(TRANSPOSE(Cls2NCentDailyRng)&gt;INDEX(CDRANGE_CLS2,$A207-$A$180+1,AD$176))*INDEX(CDRANGE_CLS2,$A207-$A$180+1,AD$176))/TRANSPOSE(Cls2NCentDailyRng)),O207:Y207,TRANSPOSE(Cls2NCentVMTShr))/SUMPRODUCT(O207:Y207,TRANSPOSE(Cls2NCentVMTShr)),0)</f>
        <v>0.17833997742466068</v>
      </c>
      <c r="AD207" s="1226">
        <f t="shared" ref="AD207:AD223" si="121">AB207*AH207+AC207*AI207</f>
        <v>0.17374296711375925</v>
      </c>
      <c r="AE207" s="937">
        <f t="shared" si="116"/>
        <v>7.2555230595291679E-3</v>
      </c>
      <c r="AF207" s="937">
        <f t="shared" si="117"/>
        <v>4.7998710203952539E-3</v>
      </c>
      <c r="AG207" s="937">
        <f t="shared" si="118"/>
        <v>1.2055394079924422E-2</v>
      </c>
      <c r="AH207" s="1172">
        <f t="shared" si="119"/>
        <v>0.60184868378642453</v>
      </c>
      <c r="AI207" s="937">
        <f t="shared" si="120"/>
        <v>0.39815131621357547</v>
      </c>
    </row>
    <row r="208" spans="1:35" ht="15" thickBot="1" x14ac:dyDescent="0.25">
      <c r="A208" s="328">
        <v>2035</v>
      </c>
      <c r="B208" s="346">
        <v>0</v>
      </c>
      <c r="C208" s="347">
        <v>0</v>
      </c>
      <c r="D208" s="347">
        <v>0</v>
      </c>
      <c r="E208" s="347">
        <v>0</v>
      </c>
      <c r="F208" s="347">
        <v>0</v>
      </c>
      <c r="G208" s="347">
        <v>2.8505087197016569E-4</v>
      </c>
      <c r="H208" s="347">
        <v>1.6147338722110233E-2</v>
      </c>
      <c r="I208" s="347">
        <v>6.1204090817373248E-2</v>
      </c>
      <c r="J208" s="347">
        <v>0.11974674523530375</v>
      </c>
      <c r="K208" s="347">
        <v>0.15652990023584357</v>
      </c>
      <c r="L208" s="381">
        <v>0.22442671653748655</v>
      </c>
      <c r="M208" s="310">
        <f t="shared" si="109"/>
        <v>1.9111566450435099E-2</v>
      </c>
      <c r="N208" s="312">
        <f t="shared" si="110"/>
        <v>8.2190109795447237E-3</v>
      </c>
      <c r="O208" s="346">
        <v>0</v>
      </c>
      <c r="P208" s="347">
        <v>0</v>
      </c>
      <c r="Q208" s="347">
        <v>0</v>
      </c>
      <c r="R208" s="347">
        <v>0</v>
      </c>
      <c r="S208" s="347">
        <v>0</v>
      </c>
      <c r="T208" s="347">
        <v>1.0936019477157662E-2</v>
      </c>
      <c r="U208" s="347">
        <v>4.5421115569299599E-2</v>
      </c>
      <c r="V208" s="347">
        <v>9.5027439155450422E-2</v>
      </c>
      <c r="W208" s="347">
        <v>0.16614701141992291</v>
      </c>
      <c r="X208" s="347">
        <v>0.19540107082566147</v>
      </c>
      <c r="Y208" s="381">
        <v>0.24282130549261444</v>
      </c>
      <c r="Z208" s="310">
        <f t="shared" si="111"/>
        <v>1.1390569951880754E-2</v>
      </c>
      <c r="AA208" s="312">
        <f t="shared" si="112"/>
        <v>5.2919043921682771E-3</v>
      </c>
      <c r="AB208" s="948">
        <f t="array" ref="AB208">IF(AND($AD$175=TRUE,SUM(B208:L208)&gt;0),SUMPRODUCT((((TRANSPOSE(Cls2CentDailyRng)&lt;INDEX(CDRANGE_CLS2,$A208-$A$180+1,AD$176))*TRANSPOSE(Cls2CentDailyRng)+(TRANSPOSE(Cls2CentDailyRng)&gt;INDEX(CDRANGE_CLS2,$A208-$A$180+1,AD$176))*INDEX(CDRANGE_CLS2,$A208-$A$180+1,AD$176))/TRANSPOSE(Cls2CentDailyRng)),B208:L208,TRANSPOSE(Cls2CentVMTShr))/SUMPRODUCT(B208:L208,TRANSPOSE(Cls2CentVMTShr)),0)</f>
        <v>0.19363213289246856</v>
      </c>
      <c r="AC208" s="949">
        <f t="array" ref="AC208">IF(AND($AD$175=TRUE,SUM(O208:Y208)&gt;0),SUMPRODUCT((((TRANSPOSE(Cls2NCentDailyRng)&lt;INDEX(CDRANGE_CLS2,$A208-$A$180+1,AD$176))*TRANSPOSE(Cls2NCentDailyRng)+(TRANSPOSE(Cls2NCentDailyRng)&gt;INDEX(CDRANGE_CLS2,$A208-$A$180+1,AD$176))*INDEX(CDRANGE_CLS2,$A208-$A$180+1,AD$176))/TRANSPOSE(Cls2NCentDailyRng)),O208:Y208,TRANSPOSE(Cls2NCentVMTShr))/SUMPRODUCT(O208:Y208,TRANSPOSE(Cls2NCentVMTShr)),0)</f>
        <v>0.20918025461459294</v>
      </c>
      <c r="AD208" s="1226">
        <f t="shared" si="121"/>
        <v>0.19943834809524263</v>
      </c>
      <c r="AE208" s="937">
        <f t="shared" si="116"/>
        <v>1.9111566450435099E-2</v>
      </c>
      <c r="AF208" s="937">
        <f t="shared" si="117"/>
        <v>1.1390569951880754E-2</v>
      </c>
      <c r="AG208" s="937">
        <f t="shared" si="118"/>
        <v>3.0502136402315853E-2</v>
      </c>
      <c r="AH208" s="1172">
        <f t="shared" si="119"/>
        <v>0.62656484773256949</v>
      </c>
      <c r="AI208" s="937">
        <f t="shared" si="120"/>
        <v>0.37343515226743046</v>
      </c>
    </row>
    <row r="209" spans="1:35" x14ac:dyDescent="0.2">
      <c r="A209" s="329">
        <v>2036</v>
      </c>
      <c r="B209" s="342">
        <v>0</v>
      </c>
      <c r="C209" s="343">
        <v>0</v>
      </c>
      <c r="D209" s="343">
        <v>0</v>
      </c>
      <c r="E209" s="343">
        <v>0</v>
      </c>
      <c r="F209" s="343">
        <v>0</v>
      </c>
      <c r="G209" s="343">
        <v>2.5756829061412728E-3</v>
      </c>
      <c r="H209" s="343">
        <v>3.2959553539587995E-2</v>
      </c>
      <c r="I209" s="343">
        <v>9.5102450586396714E-2</v>
      </c>
      <c r="J209" s="343">
        <v>0.14698515248364644</v>
      </c>
      <c r="K209" s="343">
        <v>0.18576113433759189</v>
      </c>
      <c r="L209" s="379">
        <v>0.24298226191521366</v>
      </c>
      <c r="M209" s="282">
        <f t="shared" si="109"/>
        <v>2.4905464701858237E-2</v>
      </c>
      <c r="N209" s="284">
        <f t="shared" si="110"/>
        <v>1.1148849486344023E-2</v>
      </c>
      <c r="O209" s="342">
        <v>0</v>
      </c>
      <c r="P209" s="343">
        <v>0</v>
      </c>
      <c r="Q209" s="343">
        <v>0</v>
      </c>
      <c r="R209" s="343">
        <v>0</v>
      </c>
      <c r="S209" s="343">
        <v>4.8888119962543861E-4</v>
      </c>
      <c r="T209" s="343">
        <v>2.6239885450378798E-2</v>
      </c>
      <c r="U209" s="343">
        <v>6.7191098173257038E-2</v>
      </c>
      <c r="V209" s="343">
        <v>0.11965862414689571</v>
      </c>
      <c r="W209" s="343">
        <v>0.19553854009710384</v>
      </c>
      <c r="X209" s="343">
        <v>0.21491353605663588</v>
      </c>
      <c r="Y209" s="379">
        <v>0.25177545264185358</v>
      </c>
      <c r="Z209" s="282">
        <f t="shared" si="111"/>
        <v>1.4366836605788254E-2</v>
      </c>
      <c r="AA209" s="284">
        <f t="shared" si="112"/>
        <v>7.0111905604428246E-3</v>
      </c>
      <c r="AB209" s="948">
        <f t="array" ref="AB209">IF(AND($AD$175=TRUE,SUM(B209:L209)&gt;0),SUMPRODUCT((((TRANSPOSE(Cls2CentDailyRng)&lt;INDEX(CDRANGE_CLS2,$A209-$A$180+1,AD$176))*TRANSPOSE(Cls2CentDailyRng)+(TRANSPOSE(Cls2CentDailyRng)&gt;INDEX(CDRANGE_CLS2,$A209-$A$180+1,AD$176))*INDEX(CDRANGE_CLS2,$A209-$A$180+1,AD$176))/TRANSPOSE(Cls2CentDailyRng)),B209:L209,TRANSPOSE(Cls2CentVMTShr))/SUMPRODUCT(B209:L209,TRANSPOSE(Cls2CentVMTShr)),0)</f>
        <v>0.20168471506361607</v>
      </c>
      <c r="AC209" s="949">
        <f t="array" ref="AC209">IF(AND($AD$175=TRUE,SUM(O209:Y209)&gt;0),SUMPRODUCT((((TRANSPOSE(Cls2NCentDailyRng)&lt;INDEX(CDRANGE_CLS2,$A209-$A$180+1,AD$176))*TRANSPOSE(Cls2NCentDailyRng)+(TRANSPOSE(Cls2NCentDailyRng)&gt;INDEX(CDRANGE_CLS2,$A209-$A$180+1,AD$176))*INDEX(CDRANGE_CLS2,$A209-$A$180+1,AD$176))/TRANSPOSE(Cls2NCentDailyRng)),O209:Y209,TRANSPOSE(Cls2NCentVMTShr))/SUMPRODUCT(O209:Y209,TRANSPOSE(Cls2NCentVMTShr)),0)</f>
        <v>0.21987112656125743</v>
      </c>
      <c r="AD209" s="1226">
        <f t="shared" si="121"/>
        <v>0.20833778080543369</v>
      </c>
      <c r="AE209" s="937">
        <f t="shared" si="116"/>
        <v>2.4905464701858237E-2</v>
      </c>
      <c r="AF209" s="937">
        <f t="shared" si="117"/>
        <v>1.4366836605788254E-2</v>
      </c>
      <c r="AG209" s="937">
        <f t="shared" si="118"/>
        <v>3.9272301307646487E-2</v>
      </c>
      <c r="AH209" s="1172">
        <f t="shared" si="119"/>
        <v>0.63417380373910082</v>
      </c>
      <c r="AI209" s="937">
        <f t="shared" si="120"/>
        <v>0.36582619626089924</v>
      </c>
    </row>
    <row r="210" spans="1:35" x14ac:dyDescent="0.2">
      <c r="A210" s="330">
        <v>2037</v>
      </c>
      <c r="B210" s="344">
        <v>0</v>
      </c>
      <c r="C210" s="345">
        <v>0</v>
      </c>
      <c r="D210" s="345">
        <v>0</v>
      </c>
      <c r="E210" s="345">
        <v>0</v>
      </c>
      <c r="F210" s="345">
        <v>0</v>
      </c>
      <c r="G210" s="345">
        <v>8.3497887116480828E-3</v>
      </c>
      <c r="H210" s="345">
        <v>5.5617997370418455E-2</v>
      </c>
      <c r="I210" s="345">
        <v>0.11974903986441225</v>
      </c>
      <c r="J210" s="345">
        <v>0.16615937062809974</v>
      </c>
      <c r="K210" s="345">
        <v>0.20541271102833822</v>
      </c>
      <c r="L210" s="380">
        <v>0.25193760088853123</v>
      </c>
      <c r="M210" s="296">
        <f t="shared" si="109"/>
        <v>3.0125974146823914E-2</v>
      </c>
      <c r="N210" s="298">
        <f t="shared" si="110"/>
        <v>1.3956081767522022E-2</v>
      </c>
      <c r="O210" s="344">
        <v>0</v>
      </c>
      <c r="P210" s="345">
        <v>0</v>
      </c>
      <c r="Q210" s="345">
        <v>0</v>
      </c>
      <c r="R210" s="345">
        <v>0</v>
      </c>
      <c r="S210" s="345">
        <v>2.5774776442717266E-3</v>
      </c>
      <c r="T210" s="345">
        <v>4.5453282531060409E-2</v>
      </c>
      <c r="U210" s="345">
        <v>9.5025443535473333E-2</v>
      </c>
      <c r="V210" s="345">
        <v>0.14682156046433206</v>
      </c>
      <c r="W210" s="345">
        <v>0.20541271102833822</v>
      </c>
      <c r="X210" s="345">
        <v>0.23387410588502675</v>
      </c>
      <c r="Y210" s="380">
        <v>0.26847781104779678</v>
      </c>
      <c r="Z210" s="296">
        <f t="shared" si="111"/>
        <v>1.7868308452781863E-2</v>
      </c>
      <c r="AA210" s="298">
        <f t="shared" si="112"/>
        <v>9.1134041063922113E-3</v>
      </c>
      <c r="AB210" s="948">
        <f t="array" ref="AB210">IF(AND($AD$175=TRUE,SUM(B210:L210)&gt;0),SUMPRODUCT((((TRANSPOSE(Cls2CentDailyRng)&lt;INDEX(CDRANGE_CLS2,$A210-$A$180+1,AD$176))*TRANSPOSE(Cls2CentDailyRng)+(TRANSPOSE(Cls2CentDailyRng)&gt;INDEX(CDRANGE_CLS2,$A210-$A$180+1,AD$176))*INDEX(CDRANGE_CLS2,$A210-$A$180+1,AD$176))/TRANSPOSE(Cls2CentDailyRng)),B210:L210,TRANSPOSE(Cls2CentVMTShr))/SUMPRODUCT(B210:L210,TRANSPOSE(Cls2CentVMTShr)),0)</f>
        <v>0.20885420993716816</v>
      </c>
      <c r="AC210" s="949">
        <f t="array" ref="AC210">IF(AND($AD$175=TRUE,SUM(O210:Y210)&gt;0),SUMPRODUCT((((TRANSPOSE(Cls2NCentDailyRng)&lt;INDEX(CDRANGE_CLS2,$A210-$A$180+1,AD$176))*TRANSPOSE(Cls2NCentDailyRng)+(TRANSPOSE(Cls2NCentDailyRng)&gt;INDEX(CDRANGE_CLS2,$A210-$A$180+1,AD$176))*INDEX(CDRANGE_CLS2,$A210-$A$180+1,AD$176))/TRANSPOSE(Cls2NCentDailyRng)),O210:Y210,TRANSPOSE(Cls2NCentVMTShr))/SUMPRODUCT(O210:Y210,TRANSPOSE(Cls2NCentVMTShr)),0)</f>
        <v>0.22994184671363574</v>
      </c>
      <c r="AD210" s="1226">
        <f t="shared" si="121"/>
        <v>0.21670515338402874</v>
      </c>
      <c r="AE210" s="937">
        <f t="shared" si="116"/>
        <v>3.0125974146823914E-2</v>
      </c>
      <c r="AF210" s="937">
        <f t="shared" si="117"/>
        <v>1.7868308452781863E-2</v>
      </c>
      <c r="AG210" s="937">
        <f t="shared" si="118"/>
        <v>4.7994282599605781E-2</v>
      </c>
      <c r="AH210" s="1172">
        <f t="shared" si="119"/>
        <v>0.6276992282216417</v>
      </c>
      <c r="AI210" s="937">
        <f t="shared" si="120"/>
        <v>0.3723007717783583</v>
      </c>
    </row>
    <row r="211" spans="1:35" x14ac:dyDescent="0.2">
      <c r="A211" s="330">
        <v>2038</v>
      </c>
      <c r="B211" s="344">
        <v>0</v>
      </c>
      <c r="C211" s="345">
        <v>0</v>
      </c>
      <c r="D211" s="345">
        <v>0</v>
      </c>
      <c r="E211" s="345">
        <v>0</v>
      </c>
      <c r="F211" s="345">
        <v>5.8365228657709001E-4</v>
      </c>
      <c r="G211" s="345">
        <v>2.0716198919363434E-2</v>
      </c>
      <c r="H211" s="345">
        <v>8.0456695061719971E-2</v>
      </c>
      <c r="I211" s="345">
        <v>0.14692786808446526</v>
      </c>
      <c r="J211" s="345">
        <v>0.19549207978281194</v>
      </c>
      <c r="K211" s="345">
        <v>0.22471039387085795</v>
      </c>
      <c r="L211" s="380">
        <v>0.26056270456094788</v>
      </c>
      <c r="M211" s="296">
        <f t="shared" si="109"/>
        <v>3.6534914226508924E-2</v>
      </c>
      <c r="N211" s="298">
        <f t="shared" si="110"/>
        <v>1.7486100704103578E-2</v>
      </c>
      <c r="O211" s="344">
        <v>0</v>
      </c>
      <c r="P211" s="345">
        <v>0</v>
      </c>
      <c r="Q211" s="345">
        <v>0</v>
      </c>
      <c r="R211" s="345">
        <v>0</v>
      </c>
      <c r="S211" s="345">
        <v>8.3524569866625115E-3</v>
      </c>
      <c r="T211" s="345">
        <v>6.7204276518431597E-2</v>
      </c>
      <c r="U211" s="345">
        <v>0.11959940367854231</v>
      </c>
      <c r="V211" s="345">
        <v>0.16593050818801561</v>
      </c>
      <c r="W211" s="345">
        <v>0.22471039387085795</v>
      </c>
      <c r="X211" s="345">
        <v>0.24310186899225628</v>
      </c>
      <c r="Y211" s="380">
        <v>0.27629996634312198</v>
      </c>
      <c r="Z211" s="296">
        <f t="shared" si="111"/>
        <v>2.1502553561468494E-2</v>
      </c>
      <c r="AA211" s="298">
        <f t="shared" si="112"/>
        <v>1.1423018100048763E-2</v>
      </c>
      <c r="AB211" s="948">
        <f t="array" ref="AB211">IF(AND($AD$175=TRUE,SUM(B211:L211)&gt;0),SUMPRODUCT((((TRANSPOSE(Cls2CentDailyRng)&lt;INDEX(CDRANGE_CLS2,$A211-$A$180+1,AD$176))*TRANSPOSE(Cls2CentDailyRng)+(TRANSPOSE(Cls2CentDailyRng)&gt;INDEX(CDRANGE_CLS2,$A211-$A$180+1,AD$176))*INDEX(CDRANGE_CLS2,$A211-$A$180+1,AD$176))/TRANSPOSE(Cls2CentDailyRng)),B211:L211,TRANSPOSE(Cls2CentVMTShr))/SUMPRODUCT(B211:L211,TRANSPOSE(Cls2CentVMTShr)),0)</f>
        <v>0.21591796124493406</v>
      </c>
      <c r="AC211" s="949">
        <f t="array" ref="AC211">IF(AND($AD$175=TRUE,SUM(O211:Y211)&gt;0),SUMPRODUCT((((TRANSPOSE(Cls2NCentDailyRng)&lt;INDEX(CDRANGE_CLS2,$A211-$A$180+1,AD$176))*TRANSPOSE(Cls2NCentDailyRng)+(TRANSPOSE(Cls2NCentDailyRng)&gt;INDEX(CDRANGE_CLS2,$A211-$A$180+1,AD$176))*INDEX(CDRANGE_CLS2,$A211-$A$180+1,AD$176))/TRANSPOSE(Cls2NCentDailyRng)),O211:Y211,TRANSPOSE(Cls2NCentVMTShr))/SUMPRODUCT(O211:Y211,TRANSPOSE(Cls2NCentVMTShr)),0)</f>
        <v>0.23965953620841365</v>
      </c>
      <c r="AD211" s="1226">
        <f t="shared" si="121"/>
        <v>0.22471408048898545</v>
      </c>
      <c r="AE211" s="937">
        <f t="shared" si="116"/>
        <v>3.6534914226508924E-2</v>
      </c>
      <c r="AF211" s="937">
        <f t="shared" si="117"/>
        <v>2.1502553561468494E-2</v>
      </c>
      <c r="AG211" s="937">
        <f t="shared" si="118"/>
        <v>5.8037467787977415E-2</v>
      </c>
      <c r="AH211" s="1172">
        <f t="shared" si="119"/>
        <v>0.62950565589764085</v>
      </c>
      <c r="AI211" s="937">
        <f t="shared" si="120"/>
        <v>0.37049434410235921</v>
      </c>
    </row>
    <row r="212" spans="1:35" x14ac:dyDescent="0.2">
      <c r="A212" s="330">
        <v>2039</v>
      </c>
      <c r="B212" s="344">
        <v>0</v>
      </c>
      <c r="C212" s="345">
        <v>0</v>
      </c>
      <c r="D212" s="345">
        <v>0</v>
      </c>
      <c r="E212" s="345">
        <v>0</v>
      </c>
      <c r="F212" s="345">
        <v>4.7289401209836979E-3</v>
      </c>
      <c r="G212" s="345">
        <v>4.5475194606335624E-2</v>
      </c>
      <c r="H212" s="345">
        <v>0.11968793371970818</v>
      </c>
      <c r="I212" s="345">
        <v>0.1757145371015201</v>
      </c>
      <c r="J212" s="345">
        <v>0.21496301162672635</v>
      </c>
      <c r="K212" s="345">
        <v>0.24325709294973669</v>
      </c>
      <c r="L212" s="380">
        <v>0.27646876641822599</v>
      </c>
      <c r="M212" s="296">
        <f t="shared" si="109"/>
        <v>4.5514600902991934E-2</v>
      </c>
      <c r="N212" s="298">
        <f t="shared" si="110"/>
        <v>2.2742240588610855E-2</v>
      </c>
      <c r="O212" s="344">
        <v>0</v>
      </c>
      <c r="P212" s="345">
        <v>0</v>
      </c>
      <c r="Q212" s="345">
        <v>0</v>
      </c>
      <c r="R212" s="345">
        <v>8.2456039997549501E-4</v>
      </c>
      <c r="S212" s="345">
        <v>2.6244566990590783E-2</v>
      </c>
      <c r="T212" s="345">
        <v>0.10280164450034754</v>
      </c>
      <c r="U212" s="345">
        <v>0.14666737033071608</v>
      </c>
      <c r="V212" s="345">
        <v>0.19561208154821766</v>
      </c>
      <c r="W212" s="345">
        <v>0.24323011075223169</v>
      </c>
      <c r="X212" s="345">
        <v>0.26046548590563973</v>
      </c>
      <c r="Y212" s="380">
        <v>0.28360311326109638</v>
      </c>
      <c r="Z212" s="296">
        <f t="shared" si="111"/>
        <v>2.7325188175551539E-2</v>
      </c>
      <c r="AA212" s="298">
        <f t="shared" si="112"/>
        <v>1.5400716049517926E-2</v>
      </c>
      <c r="AB212" s="948">
        <f t="array" ref="AB212">IF(AND($AD$175=TRUE,SUM(B212:L212)&gt;0),SUMPRODUCT((((TRANSPOSE(Cls2CentDailyRng)&lt;INDEX(CDRANGE_CLS2,$A212-$A$180+1,AD$176))*TRANSPOSE(Cls2CentDailyRng)+(TRANSPOSE(Cls2CentDailyRng)&gt;INDEX(CDRANGE_CLS2,$A212-$A$180+1,AD$176))*INDEX(CDRANGE_CLS2,$A212-$A$180+1,AD$176))/TRANSPOSE(Cls2CentDailyRng)),B212:L212,TRANSPOSE(Cls2CentVMTShr))/SUMPRODUCT(B212:L212,TRANSPOSE(Cls2CentVMTShr)),0)</f>
        <v>0.22556373333707258</v>
      </c>
      <c r="AC212" s="949">
        <f t="array" ref="AC212">IF(AND($AD$175=TRUE,SUM(O212:Y212)&gt;0),SUMPRODUCT((((TRANSPOSE(Cls2NCentDailyRng)&lt;INDEX(CDRANGE_CLS2,$A212-$A$180+1,AD$176))*TRANSPOSE(Cls2NCentDailyRng)+(TRANSPOSE(Cls2NCentDailyRng)&gt;INDEX(CDRANGE_CLS2,$A212-$A$180+1,AD$176))*INDEX(CDRANGE_CLS2,$A212-$A$180+1,AD$176))/TRANSPOSE(Cls2NCentDailyRng)),O212:Y212,TRANSPOSE(Cls2NCentVMTShr))/SUMPRODUCT(O212:Y212,TRANSPOSE(Cls2NCentVMTShr)),0)</f>
        <v>0.25442777244509718</v>
      </c>
      <c r="AD212" s="1226">
        <f t="shared" si="121"/>
        <v>0.23639181658814812</v>
      </c>
      <c r="AE212" s="937">
        <f t="shared" si="116"/>
        <v>4.5514600902991934E-2</v>
      </c>
      <c r="AF212" s="937">
        <f t="shared" si="117"/>
        <v>2.7325188175551539E-2</v>
      </c>
      <c r="AG212" s="937">
        <f t="shared" si="118"/>
        <v>7.2839789078543465E-2</v>
      </c>
      <c r="AH212" s="1172">
        <f t="shared" si="119"/>
        <v>0.62485904309680718</v>
      </c>
      <c r="AI212" s="937">
        <f t="shared" si="120"/>
        <v>0.37514095690319293</v>
      </c>
    </row>
    <row r="213" spans="1:35" ht="15" thickBot="1" x14ac:dyDescent="0.25">
      <c r="A213" s="328">
        <v>2040</v>
      </c>
      <c r="B213" s="346">
        <v>0</v>
      </c>
      <c r="C213" s="347">
        <v>0</v>
      </c>
      <c r="D213" s="347">
        <v>0</v>
      </c>
      <c r="E213" s="347">
        <v>1.9789749255696073E-4</v>
      </c>
      <c r="F213" s="347">
        <v>1.8337853793724913E-2</v>
      </c>
      <c r="G213" s="347">
        <v>7.3516830241503461E-2</v>
      </c>
      <c r="H213" s="347">
        <v>0.14603165080166841</v>
      </c>
      <c r="I213" s="347">
        <v>0.19176975578412622</v>
      </c>
      <c r="J213" s="347">
        <v>0.22512739671154622</v>
      </c>
      <c r="K213" s="347">
        <v>0.23858261569541664</v>
      </c>
      <c r="L213" s="381">
        <v>0.25732061059629002</v>
      </c>
      <c r="M213" s="310">
        <f t="shared" si="109"/>
        <v>5.2152121749325694E-2</v>
      </c>
      <c r="N213" s="312">
        <f t="shared" si="110"/>
        <v>2.7419312191834466E-2</v>
      </c>
      <c r="O213" s="346">
        <v>0</v>
      </c>
      <c r="P213" s="347">
        <v>0</v>
      </c>
      <c r="Q213" s="347">
        <v>0</v>
      </c>
      <c r="R213" s="347">
        <v>5.4714978504585747E-3</v>
      </c>
      <c r="S213" s="347">
        <v>5.0208249418345591E-2</v>
      </c>
      <c r="T213" s="347">
        <v>0.13711563564716747</v>
      </c>
      <c r="U213" s="347">
        <v>0.17525197670698564</v>
      </c>
      <c r="V213" s="347">
        <v>0.21500421506613113</v>
      </c>
      <c r="W213" s="347">
        <v>0.2520762561118271</v>
      </c>
      <c r="X213" s="347">
        <v>0.26859055223406658</v>
      </c>
      <c r="Y213" s="381">
        <v>0.29033453280930133</v>
      </c>
      <c r="Z213" s="310">
        <f t="shared" si="111"/>
        <v>3.3602232763455794E-2</v>
      </c>
      <c r="AA213" s="312">
        <f t="shared" si="112"/>
        <v>1.9949109745141125E-2</v>
      </c>
      <c r="AB213" s="948">
        <f t="array" ref="AB213">IF(AND($AD$175=TRUE,SUM(B213:L213)&gt;0),SUMPRODUCT((((TRANSPOSE(Cls2CentDailyRng)&lt;INDEX(CDRANGE_CLS2,$A213-$A$180+1,AD$176))*TRANSPOSE(Cls2CentDailyRng)+(TRANSPOSE(Cls2CentDailyRng)&gt;INDEX(CDRANGE_CLS2,$A213-$A$180+1,AD$176))*INDEX(CDRANGE_CLS2,$A213-$A$180+1,AD$176))/TRANSPOSE(Cls2CentDailyRng)),B213:L213,TRANSPOSE(Cls2CentVMTShr))/SUMPRODUCT(B213:L213,TRANSPOSE(Cls2CentVMTShr)),0)</f>
        <v>0.23749475863682046</v>
      </c>
      <c r="AC213" s="949">
        <f t="array" ref="AC213">IF(AND($AD$175=TRUE,SUM(O213:Y213)&gt;0),SUMPRODUCT((((TRANSPOSE(Cls2NCentDailyRng)&lt;INDEX(CDRANGE_CLS2,$A213-$A$180+1,AD$176))*TRANSPOSE(Cls2NCentDailyRng)+(TRANSPOSE(Cls2NCentDailyRng)&gt;INDEX(CDRANGE_CLS2,$A213-$A$180+1,AD$176))*INDEX(CDRANGE_CLS2,$A213-$A$180+1,AD$176))/TRANSPOSE(Cls2NCentDailyRng)),O213:Y213,TRANSPOSE(Cls2NCentVMTShr))/SUMPRODUCT(O213:Y213,TRANSPOSE(Cls2NCentVMTShr)),0)</f>
        <v>0.26817904419510358</v>
      </c>
      <c r="AD213" s="1226">
        <f t="shared" si="121"/>
        <v>0.24951817728847736</v>
      </c>
      <c r="AE213" s="937">
        <f t="shared" si="116"/>
        <v>5.2152121749325694E-2</v>
      </c>
      <c r="AF213" s="937">
        <f t="shared" si="117"/>
        <v>3.3602232763455794E-2</v>
      </c>
      <c r="AG213" s="937">
        <f t="shared" si="118"/>
        <v>8.5754354512781489E-2</v>
      </c>
      <c r="AH213" s="1172">
        <f t="shared" si="119"/>
        <v>0.60815712561340007</v>
      </c>
      <c r="AI213" s="937">
        <f t="shared" si="120"/>
        <v>0.39184287438659993</v>
      </c>
    </row>
    <row r="214" spans="1:35" x14ac:dyDescent="0.2">
      <c r="A214" s="329">
        <v>2041</v>
      </c>
      <c r="B214" s="342">
        <v>0</v>
      </c>
      <c r="C214" s="343">
        <v>0</v>
      </c>
      <c r="D214" s="343">
        <v>0</v>
      </c>
      <c r="E214" s="343">
        <v>6.1939173031969313E-3</v>
      </c>
      <c r="F214" s="343">
        <v>5.1621191071201257E-2</v>
      </c>
      <c r="G214" s="343">
        <v>0.10490386088759843</v>
      </c>
      <c r="H214" s="343">
        <v>0.15556206425711683</v>
      </c>
      <c r="I214" s="343">
        <v>0.18239198754486435</v>
      </c>
      <c r="J214" s="343">
        <v>0.20253541676662545</v>
      </c>
      <c r="K214" s="343">
        <v>0.21328690494945246</v>
      </c>
      <c r="L214" s="379">
        <v>0.22422155840078772</v>
      </c>
      <c r="M214" s="282">
        <f t="shared" si="109"/>
        <v>5.7019266740352181E-2</v>
      </c>
      <c r="N214" s="284">
        <f t="shared" si="110"/>
        <v>3.2430496240689326E-2</v>
      </c>
      <c r="O214" s="342">
        <v>0</v>
      </c>
      <c r="P214" s="343">
        <v>0</v>
      </c>
      <c r="Q214" s="343">
        <v>4.9062725866128466E-4</v>
      </c>
      <c r="R214" s="343">
        <v>2.9345183402588331E-2</v>
      </c>
      <c r="S214" s="343">
        <v>9.454393731995156E-2</v>
      </c>
      <c r="T214" s="343">
        <v>0.17460573715870367</v>
      </c>
      <c r="U214" s="343">
        <v>0.20484704614228288</v>
      </c>
      <c r="V214" s="343">
        <v>0.24279173825663597</v>
      </c>
      <c r="W214" s="343">
        <v>0.26857017549407819</v>
      </c>
      <c r="X214" s="343">
        <v>0.28397741184157377</v>
      </c>
      <c r="Y214" s="379">
        <v>0.29642484908463679</v>
      </c>
      <c r="Z214" s="282">
        <f t="shared" si="111"/>
        <v>4.3476920665954974E-2</v>
      </c>
      <c r="AA214" s="284">
        <f t="shared" si="112"/>
        <v>2.7723388834167195E-2</v>
      </c>
      <c r="AB214" s="948">
        <f t="array" ref="AB214">IF(AND($AD$175=TRUE,SUM(B214:L214)&gt;0),SUMPRODUCT((((TRANSPOSE(Cls2CentDailyRng)&lt;INDEX(CDRANGE_CLS2,$A214-$A$180+1,AD$176))*TRANSPOSE(Cls2CentDailyRng)+(TRANSPOSE(Cls2CentDailyRng)&gt;INDEX(CDRANGE_CLS2,$A214-$A$180+1,AD$176))*INDEX(CDRANGE_CLS2,$A214-$A$180+1,AD$176))/TRANSPOSE(Cls2CentDailyRng)),B214:L214,TRANSPOSE(Cls2CentVMTShr))/SUMPRODUCT(B214:L214,TRANSPOSE(Cls2CentVMTShr)),0)</f>
        <v>0.25708925675301109</v>
      </c>
      <c r="AC214" s="949">
        <f t="array" ref="AC214">IF(AND($AD$175=TRUE,SUM(O214:Y214)&gt;0),SUMPRODUCT((((TRANSPOSE(Cls2NCentDailyRng)&lt;INDEX(CDRANGE_CLS2,$A214-$A$180+1,AD$176))*TRANSPOSE(Cls2NCentDailyRng)+(TRANSPOSE(Cls2NCentDailyRng)&gt;INDEX(CDRANGE_CLS2,$A214-$A$180+1,AD$176))*INDEX(CDRANGE_CLS2,$A214-$A$180+1,AD$176))/TRANSPOSE(Cls2NCentDailyRng)),O214:Y214,TRANSPOSE(Cls2NCentVMTShr))/SUMPRODUCT(O214:Y214,TRANSPOSE(Cls2NCentVMTShr)),0)</f>
        <v>0.28823021256636572</v>
      </c>
      <c r="AD214" s="1226">
        <f t="shared" si="121"/>
        <v>0.27056153764547264</v>
      </c>
      <c r="AE214" s="937">
        <f t="shared" si="116"/>
        <v>5.7019266740352181E-2</v>
      </c>
      <c r="AF214" s="937">
        <f t="shared" si="117"/>
        <v>4.3476920665954974E-2</v>
      </c>
      <c r="AG214" s="937">
        <f t="shared" si="118"/>
        <v>0.10049618740630716</v>
      </c>
      <c r="AH214" s="1172">
        <f t="shared" si="119"/>
        <v>0.56737741213826032</v>
      </c>
      <c r="AI214" s="937">
        <f t="shared" si="120"/>
        <v>0.43262258786173968</v>
      </c>
    </row>
    <row r="215" spans="1:35" x14ac:dyDescent="0.2">
      <c r="A215" s="330">
        <v>2042</v>
      </c>
      <c r="B215" s="344">
        <v>0</v>
      </c>
      <c r="C215" s="345">
        <v>0</v>
      </c>
      <c r="D215" s="345">
        <v>2.3763915029072946E-3</v>
      </c>
      <c r="E215" s="345">
        <v>3.7176024389371981E-2</v>
      </c>
      <c r="F215" s="345">
        <v>9.3094304192352539E-2</v>
      </c>
      <c r="G215" s="345">
        <v>0.13401387617571742</v>
      </c>
      <c r="H215" s="345">
        <v>0.16891092019460707</v>
      </c>
      <c r="I215" s="345">
        <v>0.19005056278357813</v>
      </c>
      <c r="J215" s="345">
        <v>0.20288229152256101</v>
      </c>
      <c r="K215" s="345">
        <v>0.21254679518056721</v>
      </c>
      <c r="L215" s="380">
        <v>0.2269644771086457</v>
      </c>
      <c r="M215" s="296">
        <f t="shared" si="109"/>
        <v>6.8775948323800323E-2</v>
      </c>
      <c r="N215" s="298">
        <f t="shared" si="110"/>
        <v>4.2433487992536607E-2</v>
      </c>
      <c r="O215" s="344">
        <v>0</v>
      </c>
      <c r="P215" s="345">
        <v>0</v>
      </c>
      <c r="Q215" s="345">
        <v>1.8141798787838004E-2</v>
      </c>
      <c r="R215" s="345">
        <v>8.5844457312120523E-2</v>
      </c>
      <c r="S215" s="345">
        <v>0.154212781073506</v>
      </c>
      <c r="T215" s="345">
        <v>0.21257028097202274</v>
      </c>
      <c r="U215" s="345">
        <v>0.24192041228223332</v>
      </c>
      <c r="V215" s="345">
        <v>0.2598069051396612</v>
      </c>
      <c r="W215" s="345">
        <v>0.28324089291630244</v>
      </c>
      <c r="X215" s="345">
        <v>0.29016981504646205</v>
      </c>
      <c r="Y215" s="380">
        <v>0.30178995229283562</v>
      </c>
      <c r="Z215" s="296">
        <f t="shared" si="111"/>
        <v>5.7716425092896401E-2</v>
      </c>
      <c r="AA215" s="298">
        <f t="shared" si="112"/>
        <v>4.0141254863526675E-2</v>
      </c>
      <c r="AB215" s="948">
        <f t="array" ref="AB215">IF(AND($AD$175=TRUE,SUM(B215:L215)&gt;0),SUMPRODUCT((((TRANSPOSE(Cls2CentDailyRng)&lt;INDEX(CDRANGE_CLS2,$A215-$A$180+1,AD$176))*TRANSPOSE(Cls2CentDailyRng)+(TRANSPOSE(Cls2CentDailyRng)&gt;INDEX(CDRANGE_CLS2,$A215-$A$180+1,AD$176))*INDEX(CDRANGE_CLS2,$A215-$A$180+1,AD$176))/TRANSPOSE(Cls2CentDailyRng)),B215:L215,TRANSPOSE(Cls2CentVMTShr))/SUMPRODUCT(B215:L215,TRANSPOSE(Cls2CentVMTShr)),0)</f>
        <v>0.2790656810156143</v>
      </c>
      <c r="AC215" s="949">
        <f t="array" ref="AC215">IF(AND($AD$175=TRUE,SUM(O215:Y215)&gt;0),SUMPRODUCT((((TRANSPOSE(Cls2NCentDailyRng)&lt;INDEX(CDRANGE_CLS2,$A215-$A$180+1,AD$176))*TRANSPOSE(Cls2NCentDailyRng)+(TRANSPOSE(Cls2NCentDailyRng)&gt;INDEX(CDRANGE_CLS2,$A215-$A$180+1,AD$176))*INDEX(CDRANGE_CLS2,$A215-$A$180+1,AD$176))/TRANSPOSE(Cls2NCentDailyRng)),O215:Y215,TRANSPOSE(Cls2NCentVMTShr))/SUMPRODUCT(O215:Y215,TRANSPOSE(Cls2NCentVMTShr)),0)</f>
        <v>0.31457616100730906</v>
      </c>
      <c r="AD215" s="1226">
        <f t="shared" si="121"/>
        <v>0.29526853896738797</v>
      </c>
      <c r="AE215" s="937">
        <f t="shared" si="116"/>
        <v>6.8775948323800323E-2</v>
      </c>
      <c r="AF215" s="937">
        <f t="shared" si="117"/>
        <v>5.7716425092896401E-2</v>
      </c>
      <c r="AG215" s="937">
        <f t="shared" si="118"/>
        <v>0.12649237341669672</v>
      </c>
      <c r="AH215" s="1172">
        <f t="shared" si="119"/>
        <v>0.54371616616944629</v>
      </c>
      <c r="AI215" s="937">
        <f t="shared" si="120"/>
        <v>0.45628383383055371</v>
      </c>
    </row>
    <row r="216" spans="1:35" x14ac:dyDescent="0.2">
      <c r="A216" s="330">
        <v>2043</v>
      </c>
      <c r="B216" s="344">
        <v>0</v>
      </c>
      <c r="C216" s="345">
        <v>2.6599398065034577E-4</v>
      </c>
      <c r="D216" s="345">
        <v>2.8403051193713131E-2</v>
      </c>
      <c r="E216" s="345">
        <v>8.1086931831354889E-2</v>
      </c>
      <c r="F216" s="345">
        <v>0.1282736954822947</v>
      </c>
      <c r="G216" s="345">
        <v>0.16608074088870536</v>
      </c>
      <c r="H216" s="345">
        <v>0.18508366068897386</v>
      </c>
      <c r="I216" s="345">
        <v>0.20593277644665661</v>
      </c>
      <c r="J216" s="345">
        <v>0.21068883982435285</v>
      </c>
      <c r="K216" s="345">
        <v>0.22120081123910867</v>
      </c>
      <c r="L216" s="380">
        <v>0.2289887198114112</v>
      </c>
      <c r="M216" s="296">
        <f t="shared" si="109"/>
        <v>8.3603906663949873E-2</v>
      </c>
      <c r="N216" s="298">
        <f t="shared" si="110"/>
        <v>5.5872669709182622E-2</v>
      </c>
      <c r="O216" s="344">
        <v>0</v>
      </c>
      <c r="P216" s="345">
        <v>6.4065475451561384E-3</v>
      </c>
      <c r="Q216" s="345">
        <v>6.9149089150214046E-2</v>
      </c>
      <c r="R216" s="345">
        <v>0.15015986284825691</v>
      </c>
      <c r="S216" s="345">
        <v>0.20067299453208626</v>
      </c>
      <c r="T216" s="345">
        <v>0.23943472491886</v>
      </c>
      <c r="U216" s="345">
        <v>0.25864696592728864</v>
      </c>
      <c r="V216" s="345">
        <v>0.27511949715951278</v>
      </c>
      <c r="W216" s="345">
        <v>0.29566003519625639</v>
      </c>
      <c r="X216" s="345">
        <v>0.30145876657310328</v>
      </c>
      <c r="Y216" s="380">
        <v>0.30632598463308391</v>
      </c>
      <c r="Z216" s="296">
        <f t="shared" si="111"/>
        <v>7.1180902203403826E-2</v>
      </c>
      <c r="AA216" s="298">
        <f t="shared" si="112"/>
        <v>5.3541577167763921E-2</v>
      </c>
      <c r="AB216" s="948">
        <f t="array" ref="AB216">IF(AND($AD$175=TRUE,SUM(B216:L216)&gt;0),SUMPRODUCT((((TRANSPOSE(Cls2CentDailyRng)&lt;INDEX(CDRANGE_CLS2,$A216-$A$180+1,AD$176))*TRANSPOSE(Cls2CentDailyRng)+(TRANSPOSE(Cls2CentDailyRng)&gt;INDEX(CDRANGE_CLS2,$A216-$A$180+1,AD$176))*INDEX(CDRANGE_CLS2,$A216-$A$180+1,AD$176))/TRANSPOSE(Cls2CentDailyRng)),B216:L216,TRANSPOSE(Cls2CentVMTShr))/SUMPRODUCT(B216:L216,TRANSPOSE(Cls2CentVMTShr)),0)</f>
        <v>0.30245701674894931</v>
      </c>
      <c r="AC216" s="949">
        <f t="array" ref="AC216">IF(AND($AD$175=TRUE,SUM(O216:Y216)&gt;0),SUMPRODUCT((((TRANSPOSE(Cls2NCentDailyRng)&lt;INDEX(CDRANGE_CLS2,$A216-$A$180+1,AD$176))*TRANSPOSE(Cls2NCentDailyRng)+(TRANSPOSE(Cls2NCentDailyRng)&gt;INDEX(CDRANGE_CLS2,$A216-$A$180+1,AD$176))*INDEX(CDRANGE_CLS2,$A216-$A$180+1,AD$176))/TRANSPOSE(Cls2NCentDailyRng)),O216:Y216,TRANSPOSE(Cls2NCentVMTShr))/SUMPRODUCT(O216:Y216,TRANSPOSE(Cls2NCentVMTShr)),0)</f>
        <v>0.34019293907056564</v>
      </c>
      <c r="AD216" s="1226">
        <f t="shared" si="121"/>
        <v>0.31981063830900891</v>
      </c>
      <c r="AE216" s="937">
        <f t="shared" si="116"/>
        <v>8.3603906663949873E-2</v>
      </c>
      <c r="AF216" s="937">
        <f t="shared" si="117"/>
        <v>7.1180902203403826E-2</v>
      </c>
      <c r="AG216" s="937">
        <f t="shared" si="118"/>
        <v>0.15478480886735368</v>
      </c>
      <c r="AH216" s="1172">
        <f t="shared" si="119"/>
        <v>0.54012992150667782</v>
      </c>
      <c r="AI216" s="937">
        <f t="shared" si="120"/>
        <v>0.45987007849332229</v>
      </c>
    </row>
    <row r="217" spans="1:35" x14ac:dyDescent="0.2">
      <c r="A217" s="330">
        <v>2044</v>
      </c>
      <c r="B217" s="344">
        <v>0</v>
      </c>
      <c r="C217" s="345">
        <v>8.4173881858778787E-3</v>
      </c>
      <c r="D217" s="345">
        <v>6.4837393398304938E-2</v>
      </c>
      <c r="E217" s="345">
        <v>0.12386943496296242</v>
      </c>
      <c r="F217" s="345">
        <v>0.15196272481098616</v>
      </c>
      <c r="G217" s="345">
        <v>0.18237047826378894</v>
      </c>
      <c r="H217" s="345">
        <v>0.19614942555985773</v>
      </c>
      <c r="I217" s="345">
        <v>0.20927980237795218</v>
      </c>
      <c r="J217" s="345">
        <v>0.22011616731342909</v>
      </c>
      <c r="K217" s="345">
        <v>0.22466422449670523</v>
      </c>
      <c r="L217" s="380">
        <v>0.23234966206519642</v>
      </c>
      <c r="M217" s="296">
        <f t="shared" si="109"/>
        <v>9.546609260278513E-2</v>
      </c>
      <c r="N217" s="298">
        <f t="shared" si="110"/>
        <v>6.8178501032921154E-2</v>
      </c>
      <c r="O217" s="344">
        <v>0</v>
      </c>
      <c r="P217" s="345">
        <v>3.366142147169783E-2</v>
      </c>
      <c r="Q217" s="345">
        <v>0.11353605691760284</v>
      </c>
      <c r="R217" s="345">
        <v>0.19589012003366296</v>
      </c>
      <c r="S217" s="345">
        <v>0.22756477719108259</v>
      </c>
      <c r="T217" s="345">
        <v>0.26525674067457294</v>
      </c>
      <c r="U217" s="345">
        <v>0.28106898052576468</v>
      </c>
      <c r="V217" s="345">
        <v>0.28868977992990941</v>
      </c>
      <c r="W217" s="345">
        <v>0.30097766993492758</v>
      </c>
      <c r="X217" s="345">
        <v>0.30614795437646747</v>
      </c>
      <c r="Y217" s="380">
        <v>0.310325644910803</v>
      </c>
      <c r="Z217" s="296">
        <f t="shared" si="111"/>
        <v>8.2025033749887705E-2</v>
      </c>
      <c r="AA217" s="298">
        <f t="shared" si="112"/>
        <v>6.5170990048850325E-2</v>
      </c>
      <c r="AB217" s="948">
        <f t="array" ref="AB217">IF(AND($AD$175=TRUE,SUM(B217:L217)&gt;0),SUMPRODUCT((((TRANSPOSE(Cls2CentDailyRng)&lt;INDEX(CDRANGE_CLS2,$A217-$A$180+1,AD$176))*TRANSPOSE(Cls2CentDailyRng)+(TRANSPOSE(Cls2CentDailyRng)&gt;INDEX(CDRANGE_CLS2,$A217-$A$180+1,AD$176))*INDEX(CDRANGE_CLS2,$A217-$A$180+1,AD$176))/TRANSPOSE(Cls2CentDailyRng)),B217:L217,TRANSPOSE(Cls2CentVMTShr))/SUMPRODUCT(B217:L217,TRANSPOSE(Cls2CentVMTShr)),0)</f>
        <v>0.32294549746270657</v>
      </c>
      <c r="AC217" s="949">
        <f t="array" ref="AC217">IF(AND($AD$175=TRUE,SUM(O217:Y217)&gt;0),SUMPRODUCT((((TRANSPOSE(Cls2NCentDailyRng)&lt;INDEX(CDRANGE_CLS2,$A217-$A$180+1,AD$176))*TRANSPOSE(Cls2NCentDailyRng)+(TRANSPOSE(Cls2NCentDailyRng)&gt;INDEX(CDRANGE_CLS2,$A217-$A$180+1,AD$176))*INDEX(CDRANGE_CLS2,$A217-$A$180+1,AD$176))/TRANSPOSE(Cls2NCentDailyRng)),O217:Y217,TRANSPOSE(Cls2NCentVMTShr))/SUMPRODUCT(O217:Y217,TRANSPOSE(Cls2NCentVMTShr)),0)</f>
        <v>0.35869023534478189</v>
      </c>
      <c r="AD217" s="1226">
        <f t="shared" si="121"/>
        <v>0.33946442655740583</v>
      </c>
      <c r="AE217" s="937">
        <f t="shared" si="116"/>
        <v>9.546609260278513E-2</v>
      </c>
      <c r="AF217" s="937">
        <f t="shared" si="117"/>
        <v>8.2025033749887705E-2</v>
      </c>
      <c r="AG217" s="937">
        <f t="shared" si="118"/>
        <v>0.17749112635267283</v>
      </c>
      <c r="AH217" s="1172">
        <f t="shared" si="119"/>
        <v>0.53786403052677179</v>
      </c>
      <c r="AI217" s="937">
        <f t="shared" si="120"/>
        <v>0.46213596947322821</v>
      </c>
    </row>
    <row r="218" spans="1:35" ht="15" thickBot="1" x14ac:dyDescent="0.25">
      <c r="A218" s="328">
        <v>2045</v>
      </c>
      <c r="B218" s="346">
        <v>0</v>
      </c>
      <c r="C218" s="347">
        <v>5.3335867472419453E-2</v>
      </c>
      <c r="D218" s="347">
        <v>0.11301192116363634</v>
      </c>
      <c r="E218" s="347">
        <v>0.16421014569528047</v>
      </c>
      <c r="F218" s="347">
        <v>0.18996660609404173</v>
      </c>
      <c r="G218" s="347">
        <v>0.20036390031435108</v>
      </c>
      <c r="H218" s="347">
        <v>0.211711274907253</v>
      </c>
      <c r="I218" s="347">
        <v>0.22139218524057441</v>
      </c>
      <c r="J218" s="347">
        <v>0.22501837612020695</v>
      </c>
      <c r="K218" s="347">
        <v>0.22905833806479517</v>
      </c>
      <c r="L218" s="381">
        <v>0.23530032271309159</v>
      </c>
      <c r="M218" s="310">
        <f t="shared" si="109"/>
        <v>0.11186430543552267</v>
      </c>
      <c r="N218" s="312">
        <f t="shared" si="110"/>
        <v>8.6741385005451879E-2</v>
      </c>
      <c r="O218" s="346">
        <v>0</v>
      </c>
      <c r="P218" s="347">
        <v>7.2767256226705559E-2</v>
      </c>
      <c r="Q218" s="347">
        <v>0.13339002821338208</v>
      </c>
      <c r="R218" s="347">
        <v>0.22090212215906035</v>
      </c>
      <c r="S218" s="347">
        <v>0.25165281376894921</v>
      </c>
      <c r="T218" s="347">
        <v>0.2789586670776531</v>
      </c>
      <c r="U218" s="347">
        <v>0.28685503965640102</v>
      </c>
      <c r="V218" s="347">
        <v>0.29397847484970113</v>
      </c>
      <c r="W218" s="347">
        <v>0.30505066003714248</v>
      </c>
      <c r="X218" s="347">
        <v>0.30953844589832302</v>
      </c>
      <c r="Y218" s="381">
        <v>0.31297279563311114</v>
      </c>
      <c r="Z218" s="310">
        <f t="shared" si="111"/>
        <v>8.8940363208517961E-2</v>
      </c>
      <c r="AA218" s="312">
        <f t="shared" si="112"/>
        <v>7.339487644463738E-2</v>
      </c>
      <c r="AB218" s="948">
        <f t="array" ref="AB218">IF(AND($AD$175=TRUE,SUM(B218:L218)&gt;0),SUMPRODUCT((((TRANSPOSE(Cls2CentDailyRng)&lt;INDEX(CDRANGE_CLS2,$A218-$A$180+1,AD$176))*TRANSPOSE(Cls2CentDailyRng)+(TRANSPOSE(Cls2CentDailyRng)&gt;INDEX(CDRANGE_CLS2,$A218-$A$180+1,AD$176))*INDEX(CDRANGE_CLS2,$A218-$A$180+1,AD$176))/TRANSPOSE(Cls2CentDailyRng)),B218:L218,TRANSPOSE(Cls2CentVMTShr))/SUMPRODUCT(B218:L218,TRANSPOSE(Cls2CentVMTShr)),0)</f>
        <v>0.34871218318906072</v>
      </c>
      <c r="AC218" s="949">
        <f t="array" ref="AC218">IF(AND($AD$175=TRUE,SUM(O218:Y218)&gt;0),SUMPRODUCT((((TRANSPOSE(Cls2NCentDailyRng)&lt;INDEX(CDRANGE_CLS2,$A218-$A$180+1,AD$176))*TRANSPOSE(Cls2NCentDailyRng)+(TRANSPOSE(Cls2NCentDailyRng)&gt;INDEX(CDRANGE_CLS2,$A218-$A$180+1,AD$176))*INDEX(CDRANGE_CLS2,$A218-$A$180+1,AD$176))/TRANSPOSE(Cls2NCentDailyRng)),O218:Y218,TRANSPOSE(Cls2NCentVMTShr))/SUMPRODUCT(O218:Y218,TRANSPOSE(Cls2NCentVMTShr)),0)</f>
        <v>0.37167566477666919</v>
      </c>
      <c r="AD218" s="1226">
        <f t="shared" si="121"/>
        <v>0.35888316380781549</v>
      </c>
      <c r="AE218" s="937">
        <f t="shared" si="116"/>
        <v>0.11186430543552267</v>
      </c>
      <c r="AF218" s="937">
        <f t="shared" si="117"/>
        <v>8.8940363208517961E-2</v>
      </c>
      <c r="AG218" s="937">
        <f t="shared" si="118"/>
        <v>0.20080466864404062</v>
      </c>
      <c r="AH218" s="1172">
        <f t="shared" si="119"/>
        <v>0.55708020232248978</v>
      </c>
      <c r="AI218" s="937">
        <f t="shared" si="120"/>
        <v>0.44291979767751027</v>
      </c>
    </row>
    <row r="219" spans="1:35" x14ac:dyDescent="0.2">
      <c r="A219" s="329">
        <v>2046</v>
      </c>
      <c r="B219" s="342">
        <v>0</v>
      </c>
      <c r="C219" s="343">
        <v>8.9461505761913321E-2</v>
      </c>
      <c r="D219" s="343">
        <v>0.13439738459460168</v>
      </c>
      <c r="E219" s="343">
        <v>0.18285323760305763</v>
      </c>
      <c r="F219" s="343">
        <v>0.20219359022648223</v>
      </c>
      <c r="G219" s="343">
        <v>0.2087367744620211</v>
      </c>
      <c r="H219" s="343">
        <v>0.21750494607678236</v>
      </c>
      <c r="I219" s="343">
        <v>0.22627683018771058</v>
      </c>
      <c r="J219" s="343">
        <v>0.22937783001105547</v>
      </c>
      <c r="K219" s="343">
        <v>0.23286253914337438</v>
      </c>
      <c r="L219" s="379">
        <v>0.2353822259864706</v>
      </c>
      <c r="M219" s="282">
        <f t="shared" si="109"/>
        <v>0.11913768762377615</v>
      </c>
      <c r="N219" s="284">
        <f t="shared" si="110"/>
        <v>9.596771806347798E-2</v>
      </c>
      <c r="O219" s="342">
        <v>7.9424847454634081E-4</v>
      </c>
      <c r="P219" s="343">
        <v>0.12971033796404599</v>
      </c>
      <c r="Q219" s="343">
        <v>0.14438248945522258</v>
      </c>
      <c r="R219" s="343">
        <v>0.23568943931736913</v>
      </c>
      <c r="S219" s="343">
        <v>0.25804138536614862</v>
      </c>
      <c r="T219" s="343">
        <v>0.28425586865813174</v>
      </c>
      <c r="U219" s="343">
        <v>0.2916688451926388</v>
      </c>
      <c r="V219" s="343">
        <v>0.29823745066522139</v>
      </c>
      <c r="W219" s="343">
        <v>0.30799629234509285</v>
      </c>
      <c r="X219" s="343">
        <v>0.30832274955557037</v>
      </c>
      <c r="Y219" s="379">
        <v>0.31438050370410997</v>
      </c>
      <c r="Z219" s="282">
        <f t="shared" si="111"/>
        <v>9.3151721283288594E-2</v>
      </c>
      <c r="AA219" s="284">
        <f t="shared" si="112"/>
        <v>7.9848167062542538E-2</v>
      </c>
      <c r="AB219" s="948">
        <f t="array" ref="AB219">IF(AND($AD$175=TRUE,SUM(B219:L219)&gt;0),SUMPRODUCT((((TRANSPOSE(Cls2CentDailyRng)&lt;INDEX(CDRANGE_CLS2,$A219-$A$180+1,AD$176))*TRANSPOSE(Cls2CentDailyRng)+(TRANSPOSE(Cls2CentDailyRng)&gt;INDEX(CDRANGE_CLS2,$A219-$A$180+1,AD$176))*INDEX(CDRANGE_CLS2,$A219-$A$180+1,AD$176))/TRANSPOSE(Cls2CentDailyRng)),B219:L219,TRANSPOSE(Cls2CentVMTShr))/SUMPRODUCT(B219:L219,TRANSPOSE(Cls2CentVMTShr)),0)</f>
        <v>0.36102023144189338</v>
      </c>
      <c r="AC219" s="949">
        <f t="array" ref="AC219">IF(AND($AD$175=TRUE,SUM(O219:Y219)&gt;0),SUMPRODUCT((((TRANSPOSE(Cls2NCentDailyRng)&lt;INDEX(CDRANGE_CLS2,$A219-$A$180+1,AD$176))*TRANSPOSE(Cls2NCentDailyRng)+(TRANSPOSE(Cls2NCentDailyRng)&gt;INDEX(CDRANGE_CLS2,$A219-$A$180+1,AD$176))*INDEX(CDRANGE_CLS2,$A219-$A$180+1,AD$176))/TRANSPOSE(Cls2NCentDailyRng)),O219:Y219,TRANSPOSE(Cls2NCentVMTShr))/SUMPRODUCT(O219:Y219,TRANSPOSE(Cls2NCentVMTShr)),0)</f>
        <v>0.38466294945690827</v>
      </c>
      <c r="AD219" s="1226">
        <f t="shared" si="121"/>
        <v>0.37139455906498359</v>
      </c>
      <c r="AE219" s="937">
        <f t="shared" si="116"/>
        <v>0.11913768762377615</v>
      </c>
      <c r="AF219" s="937">
        <f t="shared" si="117"/>
        <v>9.3151721283288594E-2</v>
      </c>
      <c r="AG219" s="937">
        <f t="shared" si="118"/>
        <v>0.21228940890706474</v>
      </c>
      <c r="AH219" s="1172">
        <f t="shared" si="119"/>
        <v>0.56120410451532132</v>
      </c>
      <c r="AI219" s="937">
        <f t="shared" si="120"/>
        <v>0.43879589548467868</v>
      </c>
    </row>
    <row r="220" spans="1:35" x14ac:dyDescent="0.2">
      <c r="A220" s="330">
        <v>2047</v>
      </c>
      <c r="B220" s="344">
        <v>0</v>
      </c>
      <c r="C220" s="345">
        <v>0.12656089231803586</v>
      </c>
      <c r="D220" s="345">
        <v>0.15268476283884289</v>
      </c>
      <c r="E220" s="345">
        <v>0.20383376311752219</v>
      </c>
      <c r="F220" s="345">
        <v>0.20793624834237409</v>
      </c>
      <c r="G220" s="345">
        <v>0.21623692494850999</v>
      </c>
      <c r="H220" s="345">
        <v>0.22340194894144677</v>
      </c>
      <c r="I220" s="345">
        <v>0.22657818206876795</v>
      </c>
      <c r="J220" s="345">
        <v>0.22968328126105228</v>
      </c>
      <c r="K220" s="345">
        <v>0.23317224199851269</v>
      </c>
      <c r="L220" s="380">
        <v>0.23787266379681812</v>
      </c>
      <c r="M220" s="296">
        <f t="shared" si="109"/>
        <v>0.12517858491932726</v>
      </c>
      <c r="N220" s="298">
        <f t="shared" si="110"/>
        <v>0.10426049257023841</v>
      </c>
      <c r="O220" s="344">
        <v>3.2818041870121698E-3</v>
      </c>
      <c r="P220" s="345">
        <v>0.14703654533445401</v>
      </c>
      <c r="Q220" s="345">
        <v>0.15446590755108003</v>
      </c>
      <c r="R220" s="345">
        <v>0.24135965269861825</v>
      </c>
      <c r="S220" s="345">
        <v>0.27012552801362333</v>
      </c>
      <c r="T220" s="345">
        <v>0.28845725792545751</v>
      </c>
      <c r="U220" s="345">
        <v>0.29533405798420159</v>
      </c>
      <c r="V220" s="345">
        <v>0.30130197860427249</v>
      </c>
      <c r="W220" s="345">
        <v>0.30624021612139668</v>
      </c>
      <c r="X220" s="345">
        <v>0.30998555613944134</v>
      </c>
      <c r="Y220" s="380">
        <v>0.31260823959334028</v>
      </c>
      <c r="Z220" s="296">
        <f t="shared" si="111"/>
        <v>9.5944399007252601E-2</v>
      </c>
      <c r="AA220" s="298">
        <f t="shared" si="112"/>
        <v>8.335774368499646E-2</v>
      </c>
      <c r="AB220" s="948">
        <f t="array" ref="AB220">IF(AND($AD$175=TRUE,SUM(B220:L220)&gt;0),SUMPRODUCT((((TRANSPOSE(Cls2CentDailyRng)&lt;INDEX(CDRANGE_CLS2,$A220-$A$180+1,AD$176))*TRANSPOSE(Cls2CentDailyRng)+(TRANSPOSE(Cls2CentDailyRng)&gt;INDEX(CDRANGE_CLS2,$A220-$A$180+1,AD$176))*INDEX(CDRANGE_CLS2,$A220-$A$180+1,AD$176))/TRANSPOSE(Cls2CentDailyRng)),B220:L220,TRANSPOSE(Cls2CentVMTShr))/SUMPRODUCT(B220:L220,TRANSPOSE(Cls2CentVMTShr)),0)</f>
        <v>0.372173198951741</v>
      </c>
      <c r="AC220" s="949">
        <f t="array" ref="AC220">IF(AND($AD$175=TRUE,SUM(O220:Y220)&gt;0),SUMPRODUCT((((TRANSPOSE(Cls2NCentDailyRng)&lt;INDEX(CDRANGE_CLS2,$A220-$A$180+1,AD$176))*TRANSPOSE(Cls2NCentDailyRng)+(TRANSPOSE(Cls2NCentDailyRng)&gt;INDEX(CDRANGE_CLS2,$A220-$A$180+1,AD$176))*INDEX(CDRANGE_CLS2,$A220-$A$180+1,AD$176))/TRANSPOSE(Cls2NCentDailyRng)),O220:Y220,TRANSPOSE(Cls2NCentVMTShr))/SUMPRODUCT(O220:Y220,TRANSPOSE(Cls2NCentVMTShr)),0)</f>
        <v>0.38943651384460004</v>
      </c>
      <c r="AD220" s="1226">
        <f t="shared" si="121"/>
        <v>0.37966368385229876</v>
      </c>
      <c r="AE220" s="937">
        <f t="shared" si="116"/>
        <v>0.12517858491932726</v>
      </c>
      <c r="AF220" s="937">
        <f t="shared" si="117"/>
        <v>9.5944399007252601E-2</v>
      </c>
      <c r="AG220" s="937">
        <f t="shared" si="118"/>
        <v>0.22112298392657986</v>
      </c>
      <c r="AH220" s="1172">
        <f t="shared" si="119"/>
        <v>0.56610390605478933</v>
      </c>
      <c r="AI220" s="937">
        <f t="shared" si="120"/>
        <v>0.43389609394521067</v>
      </c>
    </row>
    <row r="221" spans="1:35" x14ac:dyDescent="0.2">
      <c r="A221" s="330">
        <v>2048</v>
      </c>
      <c r="B221" s="344">
        <v>0</v>
      </c>
      <c r="C221" s="345">
        <v>0.15523004411842928</v>
      </c>
      <c r="D221" s="345">
        <v>0.17103384604140459</v>
      </c>
      <c r="E221" s="345">
        <v>0.21371887614662494</v>
      </c>
      <c r="F221" s="345">
        <v>0.21588699605306935</v>
      </c>
      <c r="G221" s="345">
        <v>0.22262737408535327</v>
      </c>
      <c r="H221" s="345">
        <v>0.22829207744255736</v>
      </c>
      <c r="I221" s="345">
        <v>0.23093235031686218</v>
      </c>
      <c r="J221" s="345">
        <v>0.23346760702886418</v>
      </c>
      <c r="K221" s="345">
        <v>0.23635101962259708</v>
      </c>
      <c r="L221" s="380">
        <v>0.23817354232795776</v>
      </c>
      <c r="M221" s="296">
        <f t="shared" si="109"/>
        <v>0.13045584971441482</v>
      </c>
      <c r="N221" s="298">
        <f t="shared" si="110"/>
        <v>0.11109011252898433</v>
      </c>
      <c r="O221" s="344">
        <v>6.2737618915872434E-3</v>
      </c>
      <c r="P221" s="345">
        <v>0.17212747712987717</v>
      </c>
      <c r="Q221" s="345">
        <v>0.16571927097418421</v>
      </c>
      <c r="R221" s="345">
        <v>0.24737173507750981</v>
      </c>
      <c r="S221" s="345">
        <v>0.26907392762726146</v>
      </c>
      <c r="T221" s="345">
        <v>0.28743408741670401</v>
      </c>
      <c r="U221" s="345">
        <v>0.29430852095510052</v>
      </c>
      <c r="V221" s="345">
        <v>0.30027353291167536</v>
      </c>
      <c r="W221" s="345">
        <v>0.3086111271749023</v>
      </c>
      <c r="X221" s="345">
        <v>0.3089488761941383</v>
      </c>
      <c r="Y221" s="380">
        <v>0.31156678530428022</v>
      </c>
      <c r="Z221" s="296">
        <f t="shared" si="111"/>
        <v>9.731497728190984E-2</v>
      </c>
      <c r="AA221" s="298">
        <f t="shared" si="112"/>
        <v>8.6143729830017071E-2</v>
      </c>
      <c r="AB221" s="948">
        <f t="array" ref="AB221">IF(AND($AD$175=TRUE,SUM(B221:L221)&gt;0),SUMPRODUCT((((TRANSPOSE(Cls2CentDailyRng)&lt;INDEX(CDRANGE_CLS2,$A221-$A$180+1,AD$176))*TRANSPOSE(Cls2CentDailyRng)+(TRANSPOSE(Cls2CentDailyRng)&gt;INDEX(CDRANGE_CLS2,$A221-$A$180+1,AD$176))*INDEX(CDRANGE_CLS2,$A221-$A$180+1,AD$176))/TRANSPOSE(Cls2CentDailyRng)),B221:L221,TRANSPOSE(Cls2CentVMTShr))/SUMPRODUCT(B221:L221,TRANSPOSE(Cls2CentVMTShr)),0)</f>
        <v>0.3798375900206904</v>
      </c>
      <c r="AC221" s="949">
        <f t="array" ref="AC221">IF(AND($AD$175=TRUE,SUM(O221:Y221)&gt;0),SUMPRODUCT((((TRANSPOSE(Cls2NCentDailyRng)&lt;INDEX(CDRANGE_CLS2,$A221-$A$180+1,AD$176))*TRANSPOSE(Cls2NCentDailyRng)+(TRANSPOSE(Cls2NCentDailyRng)&gt;INDEX(CDRANGE_CLS2,$A221-$A$180+1,AD$176))*INDEX(CDRANGE_CLS2,$A221-$A$180+1,AD$176))/TRANSPOSE(Cls2NCentDailyRng)),O221:Y221,TRANSPOSE(Cls2NCentVMTShr))/SUMPRODUCT(O221:Y221,TRANSPOSE(Cls2NCentVMTShr)),0)</f>
        <v>0.39603844498384577</v>
      </c>
      <c r="AD221" s="1226">
        <f t="shared" si="121"/>
        <v>0.38675939758260625</v>
      </c>
      <c r="AE221" s="937">
        <f t="shared" si="116"/>
        <v>0.13045584971441482</v>
      </c>
      <c r="AF221" s="937">
        <f t="shared" si="117"/>
        <v>9.731497728190984E-2</v>
      </c>
      <c r="AG221" s="937">
        <f t="shared" si="118"/>
        <v>0.22777082699632467</v>
      </c>
      <c r="AH221" s="1172">
        <f t="shared" si="119"/>
        <v>0.57275047658548417</v>
      </c>
      <c r="AI221" s="937">
        <f t="shared" si="120"/>
        <v>0.42724952341451577</v>
      </c>
    </row>
    <row r="222" spans="1:35" x14ac:dyDescent="0.2">
      <c r="A222" s="330">
        <v>2049</v>
      </c>
      <c r="B222" s="344">
        <v>0</v>
      </c>
      <c r="C222" s="345">
        <v>0.17174963515904812</v>
      </c>
      <c r="D222" s="345">
        <v>0.17224865542842516</v>
      </c>
      <c r="E222" s="345">
        <v>0.21581217267724842</v>
      </c>
      <c r="F222" s="345">
        <v>0.22277496768282376</v>
      </c>
      <c r="G222" s="345">
        <v>0.22805339572658298</v>
      </c>
      <c r="H222" s="345">
        <v>0.22856681293443137</v>
      </c>
      <c r="I222" s="345">
        <v>0.23121034293738452</v>
      </c>
      <c r="J222" s="345">
        <v>0.23374860765280273</v>
      </c>
      <c r="K222" s="345">
        <v>0.23624163332527454</v>
      </c>
      <c r="L222" s="380">
        <v>0.2384597324998472</v>
      </c>
      <c r="M222" s="296">
        <f t="shared" si="109"/>
        <v>0.13258215435366205</v>
      </c>
      <c r="N222" s="298">
        <f t="shared" si="110"/>
        <v>0.11391881634091874</v>
      </c>
      <c r="O222" s="344">
        <v>9.1925655046620376E-3</v>
      </c>
      <c r="P222" s="345">
        <v>0.17720254325718804</v>
      </c>
      <c r="Q222" s="345">
        <v>0.16198114390906229</v>
      </c>
      <c r="R222" s="345">
        <v>0.25125920535117502</v>
      </c>
      <c r="S222" s="345">
        <v>0.27249733434655216</v>
      </c>
      <c r="T222" s="345">
        <v>0.29001761886024302</v>
      </c>
      <c r="U222" s="345">
        <v>0.29631046754005119</v>
      </c>
      <c r="V222" s="345">
        <v>0.30162745887958115</v>
      </c>
      <c r="W222" s="345">
        <v>0.30584457823674865</v>
      </c>
      <c r="X222" s="345">
        <v>0.30879086209020951</v>
      </c>
      <c r="Y222" s="380">
        <v>0.30879086209020951</v>
      </c>
      <c r="Z222" s="296">
        <f t="shared" si="111"/>
        <v>9.8057045629136488E-2</v>
      </c>
      <c r="AA222" s="298">
        <f t="shared" si="112"/>
        <v>8.7052586634176948E-2</v>
      </c>
      <c r="AB222" s="948">
        <f t="array" ref="AB222">IF(AND($AD$175=TRUE,SUM(B222:L222)&gt;0),SUMPRODUCT((((TRANSPOSE(Cls2CentDailyRng)&lt;INDEX(CDRANGE_CLS2,$A222-$A$180+1,AD$176))*TRANSPOSE(Cls2CentDailyRng)+(TRANSPOSE(Cls2CentDailyRng)&gt;INDEX(CDRANGE_CLS2,$A222-$A$180+1,AD$176))*INDEX(CDRANGE_CLS2,$A222-$A$180+1,AD$176))/TRANSPOSE(Cls2CentDailyRng)),B222:L222,TRANSPOSE(Cls2CentVMTShr))/SUMPRODUCT(B222:L222,TRANSPOSE(Cls2CentVMTShr)),0)</f>
        <v>0.3829371041726497</v>
      </c>
      <c r="AC222" s="949">
        <f t="array" ref="AC222">IF(AND($AD$175=TRUE,SUM(O222:Y222)&gt;0),SUMPRODUCT((((TRANSPOSE(Cls2NCentDailyRng)&lt;INDEX(CDRANGE_CLS2,$A222-$A$180+1,AD$176))*TRANSPOSE(Cls2NCentDailyRng)+(TRANSPOSE(Cls2NCentDailyRng)&gt;INDEX(CDRANGE_CLS2,$A222-$A$180+1,AD$176))*INDEX(CDRANGE_CLS2,$A222-$A$180+1,AD$176))/TRANSPOSE(Cls2NCentDailyRng)),O222:Y222,TRANSPOSE(Cls2NCentVMTShr))/SUMPRODUCT(O222:Y222,TRANSPOSE(Cls2NCentVMTShr)),0)</f>
        <v>0.39694462307714923</v>
      </c>
      <c r="AD222" s="1226">
        <f t="shared" si="121"/>
        <v>0.38889244879954726</v>
      </c>
      <c r="AE222" s="937">
        <f t="shared" si="116"/>
        <v>0.13258215435366205</v>
      </c>
      <c r="AF222" s="937">
        <f t="shared" si="117"/>
        <v>9.8057045629136488E-2</v>
      </c>
      <c r="AG222" s="937">
        <f t="shared" si="118"/>
        <v>0.23063919998279853</v>
      </c>
      <c r="AH222" s="1172">
        <f t="shared" si="119"/>
        <v>0.57484657579262444</v>
      </c>
      <c r="AI222" s="937">
        <f t="shared" si="120"/>
        <v>0.42515342420737567</v>
      </c>
    </row>
    <row r="223" spans="1:35" ht="15" thickBot="1" x14ac:dyDescent="0.25">
      <c r="A223" s="328">
        <v>2050</v>
      </c>
      <c r="B223" s="346">
        <v>2.7319604368761837E-4</v>
      </c>
      <c r="C223" s="347">
        <v>0.1886611085876414</v>
      </c>
      <c r="D223" s="347">
        <v>0.18273567743913516</v>
      </c>
      <c r="E223" s="347">
        <v>0.22443149138187576</v>
      </c>
      <c r="F223" s="347">
        <v>0.2230273156164797</v>
      </c>
      <c r="G223" s="347">
        <v>0.22831254593020159</v>
      </c>
      <c r="H223" s="347">
        <v>0.22882752022798186</v>
      </c>
      <c r="I223" s="347">
        <v>0.23498451652920432</v>
      </c>
      <c r="J223" s="347">
        <v>0.23690462631929129</v>
      </c>
      <c r="K223" s="347">
        <v>0.236510820422555</v>
      </c>
      <c r="L223" s="381">
        <v>0.23873116188334123</v>
      </c>
      <c r="M223" s="310">
        <f t="shared" si="109"/>
        <v>0.13496575539858091</v>
      </c>
      <c r="N223" s="312">
        <f t="shared" si="110"/>
        <v>0.11743920232812639</v>
      </c>
      <c r="O223" s="346">
        <v>1.202083044197033E-2</v>
      </c>
      <c r="P223" s="347">
        <v>0.1654960152965996</v>
      </c>
      <c r="Q223" s="347">
        <v>0.17280470143688204</v>
      </c>
      <c r="R223" s="347">
        <v>0.24965940948571974</v>
      </c>
      <c r="S223" s="347">
        <v>0.27091620885062162</v>
      </c>
      <c r="T223" s="347">
        <v>0.28844649215588147</v>
      </c>
      <c r="U223" s="347">
        <v>0.2947356314088842</v>
      </c>
      <c r="V223" s="347">
        <v>0.30004861611514727</v>
      </c>
      <c r="W223" s="347">
        <v>0.30426127180225893</v>
      </c>
      <c r="X223" s="347">
        <v>0.30720226489576857</v>
      </c>
      <c r="Y223" s="381">
        <v>0.30893186857639821</v>
      </c>
      <c r="Z223" s="310">
        <f t="shared" si="111"/>
        <v>9.7749576044653216E-2</v>
      </c>
      <c r="AA223" s="312">
        <f t="shared" si="112"/>
        <v>8.6709245374052862E-2</v>
      </c>
      <c r="AB223" s="950">
        <f t="array" ref="AB223">IF(AND($AD$175=TRUE,SUM(B223:L223)&gt;0),SUMPRODUCT((((TRANSPOSE(Cls2CentDailyRng)&lt;INDEX(CDRANGE_CLS2,$A223-$A$180+1,AD$176))*TRANSPOSE(Cls2CentDailyRng)+(TRANSPOSE(Cls2CentDailyRng)&gt;INDEX(CDRANGE_CLS2,$A223-$A$180+1,AD$176))*INDEX(CDRANGE_CLS2,$A223-$A$180+1,AD$176))/TRANSPOSE(Cls2CentDailyRng)),B223:L223,TRANSPOSE(Cls2CentVMTShr))/SUMPRODUCT(B223:L223,TRANSPOSE(Cls2CentVMTShr)),0)</f>
        <v>0.38749856961641932</v>
      </c>
      <c r="AC223" s="951">
        <f t="array" ref="AC223">IF(AND($AD$175=TRUE,SUM(O223:Y223)&gt;0),SUMPRODUCT((((TRANSPOSE(Cls2NCentDailyRng)&lt;INDEX(CDRANGE_CLS2,$A223-$A$180+1,AD$176))*TRANSPOSE(Cls2NCentDailyRng)+(TRANSPOSE(Cls2NCentDailyRng)&gt;INDEX(CDRANGE_CLS2,$A223-$A$180+1,AD$176))*INDEX(CDRANGE_CLS2,$A223-$A$180+1,AD$176))/TRANSPOSE(Cls2NCentDailyRng)),O223:Y223,TRANSPOSE(Cls2NCentVMTShr))/SUMPRODUCT(O223:Y223,TRANSPOSE(Cls2NCentVMTShr)),0)</f>
        <v>0.39679914126244814</v>
      </c>
      <c r="AD223" s="1227">
        <f t="shared" si="121"/>
        <v>0.39140517486556248</v>
      </c>
      <c r="AE223" s="937">
        <f t="shared" ref="AE223" si="122">SUMPRODUCT($B$74:$L$74,B223:L223)</f>
        <v>0.13496575539858091</v>
      </c>
      <c r="AF223" s="937">
        <f t="shared" ref="AF223" si="123">SUMPRODUCT($O$74:$Y$74,O223:Y223)</f>
        <v>9.7749576044653216E-2</v>
      </c>
      <c r="AG223" s="937">
        <f t="shared" ref="AG223" si="124">SUM(AE223:AF223)</f>
        <v>0.23271533144323414</v>
      </c>
      <c r="AH223" s="1172">
        <f t="shared" ref="AH223" si="125">IF(AG223&gt;0,AE223/AG223,0)</f>
        <v>0.57996073813255777</v>
      </c>
      <c r="AI223" s="937">
        <f t="shared" ref="AI223" si="126">IF(AG223&gt;0,AF223/AG223,0)</f>
        <v>0.42003926186744212</v>
      </c>
    </row>
    <row r="224" spans="1:35" x14ac:dyDescent="0.2">
      <c r="B224" s="227" t="str">
        <f>B$120</f>
        <v>Output generated: 7/21/2020 15:48</v>
      </c>
      <c r="O224" s="227" t="str">
        <f>O$120</f>
        <v>Output generated: 7/21/2020 15:48</v>
      </c>
      <c r="AE224" s="937"/>
      <c r="AF224" s="937"/>
      <c r="AG224" s="937"/>
      <c r="AH224" s="937"/>
      <c r="AI224" s="937"/>
    </row>
    <row r="225" spans="1:39" x14ac:dyDescent="0.2">
      <c r="AE225" s="937"/>
      <c r="AF225" s="937"/>
      <c r="AG225" s="937"/>
      <c r="AH225" s="937"/>
      <c r="AI225" s="937"/>
    </row>
    <row r="226" spans="1:39" ht="15" thickBot="1" x14ac:dyDescent="0.25">
      <c r="AE226" s="937"/>
      <c r="AF226" s="937"/>
      <c r="AG226" s="937"/>
      <c r="AH226" s="937"/>
      <c r="AI226" s="937"/>
    </row>
    <row r="227" spans="1:39" ht="15" x14ac:dyDescent="0.2">
      <c r="A227" s="333"/>
      <c r="B227" s="1555" t="s">
        <v>257</v>
      </c>
      <c r="C227" s="1556"/>
      <c r="D227" s="1556"/>
      <c r="E227" s="1556"/>
      <c r="F227" s="1556"/>
      <c r="G227" s="1556"/>
      <c r="H227" s="1556"/>
      <c r="I227" s="1556"/>
      <c r="J227" s="1556"/>
      <c r="K227" s="1556"/>
      <c r="L227" s="1556"/>
      <c r="M227" s="1556"/>
      <c r="N227" s="1557"/>
      <c r="O227" s="1555" t="s">
        <v>258</v>
      </c>
      <c r="P227" s="1556"/>
      <c r="Q227" s="1556"/>
      <c r="R227" s="1556"/>
      <c r="S227" s="1556"/>
      <c r="T227" s="1556"/>
      <c r="U227" s="1556"/>
      <c r="V227" s="1556"/>
      <c r="W227" s="1556"/>
      <c r="X227" s="1556"/>
      <c r="Y227" s="1556"/>
      <c r="Z227" s="1556"/>
      <c r="AA227" s="1557"/>
      <c r="AE227" s="937"/>
      <c r="AF227" s="937"/>
      <c r="AG227" s="937"/>
      <c r="AH227" s="937"/>
      <c r="AI227" s="937"/>
    </row>
    <row r="228" spans="1:39" x14ac:dyDescent="0.2">
      <c r="A228" s="324"/>
      <c r="B228" s="1552" t="s">
        <v>121</v>
      </c>
      <c r="C228" s="1553"/>
      <c r="D228" s="1553"/>
      <c r="E228" s="1553"/>
      <c r="F228" s="1553"/>
      <c r="G228" s="1553"/>
      <c r="H228" s="1553"/>
      <c r="I228" s="1553"/>
      <c r="J228" s="1553"/>
      <c r="K228" s="1553"/>
      <c r="L228" s="1553"/>
      <c r="M228" s="382"/>
      <c r="N228" s="325"/>
      <c r="O228" s="1552" t="s">
        <v>121</v>
      </c>
      <c r="P228" s="1553"/>
      <c r="Q228" s="1553"/>
      <c r="R228" s="1553"/>
      <c r="S228" s="1553"/>
      <c r="T228" s="1553"/>
      <c r="U228" s="1553"/>
      <c r="V228" s="1553"/>
      <c r="W228" s="1553"/>
      <c r="X228" s="1553"/>
      <c r="Y228" s="1553"/>
      <c r="Z228" s="382"/>
      <c r="AA228" s="325"/>
      <c r="AC228" s="954" t="s">
        <v>267</v>
      </c>
      <c r="AD228" s="234" t="b">
        <f>INDEX(TECH_OPT_FUEL2_Cls2,MATCH(RIGHT(O227),TECH_OPT_ROWS_Cls2,0))&lt;&gt;"N/A"</f>
        <v>0</v>
      </c>
      <c r="AE228" s="937"/>
      <c r="AF228" s="937"/>
      <c r="AG228" s="937"/>
      <c r="AH228" s="937"/>
      <c r="AI228" s="937"/>
    </row>
    <row r="229" spans="1:39"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MATCH(RIGHT(O227),TECH_OPT_ROWS_Cls2,0)</f>
        <v>5</v>
      </c>
      <c r="AE229" s="937"/>
      <c r="AF229" s="937"/>
      <c r="AG229" s="937"/>
      <c r="AH229" s="937"/>
      <c r="AI229" s="937"/>
    </row>
    <row r="230" spans="1:39" ht="16" thickTop="1" thickBot="1" x14ac:dyDescent="0.25">
      <c r="A230" s="348" t="s">
        <v>124</v>
      </c>
      <c r="B230" s="340">
        <f t="array" ref="B230:L230">TRANSPOSE(Cls2CentTruckShr)</f>
        <v>3.9559734044076443E-2</v>
      </c>
      <c r="C230" s="341">
        <v>8.9650908809480775E-2</v>
      </c>
      <c r="D230" s="341">
        <v>9.1857251580802685E-2</v>
      </c>
      <c r="E230" s="341">
        <v>9.271536797287637E-2</v>
      </c>
      <c r="F230" s="341">
        <v>0.10920126324528824</v>
      </c>
      <c r="G230" s="341">
        <v>4.7813378096654632E-2</v>
      </c>
      <c r="H230" s="341">
        <v>5.2826626309680449E-2</v>
      </c>
      <c r="I230" s="341">
        <v>3.3324854637922362E-2</v>
      </c>
      <c r="J230" s="341">
        <v>1.4796369103015083E-2</v>
      </c>
      <c r="K230" s="341">
        <v>6.5522293759777608E-3</v>
      </c>
      <c r="L230" s="378">
        <v>1.1207747736094297E-2</v>
      </c>
      <c r="M230" s="384"/>
      <c r="N230" s="336"/>
      <c r="O230" s="340">
        <f t="array" ref="O230:Y230">TRANSPOSE(Cls2NCentTruckShr)</f>
        <v>4.6052840844996765E-2</v>
      </c>
      <c r="P230" s="341">
        <v>6.7033462620106746E-2</v>
      </c>
      <c r="Q230" s="341">
        <v>6.2316087841293416E-2</v>
      </c>
      <c r="R230" s="341">
        <v>6.9108422941336428E-2</v>
      </c>
      <c r="S230" s="341">
        <v>7.8222088301235171E-2</v>
      </c>
      <c r="T230" s="341">
        <v>3.5529474750239771E-2</v>
      </c>
      <c r="U230" s="341">
        <v>3.0248313910710867E-2</v>
      </c>
      <c r="V230" s="341">
        <v>8.2628405675757074E-3</v>
      </c>
      <c r="W230" s="341">
        <v>6.4250307191884484E-3</v>
      </c>
      <c r="X230" s="341">
        <v>1.9993158802676368E-3</v>
      </c>
      <c r="Y230" s="1209">
        <v>5.2963907111801883E-3</v>
      </c>
      <c r="Z230" s="1214"/>
      <c r="AA230" s="1215"/>
    </row>
    <row r="231" spans="1:39" x14ac:dyDescent="0.2">
      <c r="A231" s="331" t="s">
        <v>125</v>
      </c>
      <c r="B231" s="923">
        <f t="array" ref="B231:L231">TRANSPOSE(Cls2CentVMTShr)</f>
        <v>6.3375455551975849E-3</v>
      </c>
      <c r="C231" s="924">
        <v>3.496913005496359E-2</v>
      </c>
      <c r="D231" s="924">
        <v>5.9955127131675522E-2</v>
      </c>
      <c r="E231" s="924">
        <v>8.4599669387910512E-2</v>
      </c>
      <c r="F231" s="924">
        <v>0.12702701008436962</v>
      </c>
      <c r="G231" s="924">
        <v>6.7204731283582092E-2</v>
      </c>
      <c r="H231" s="924">
        <v>8.8708982453757024E-2</v>
      </c>
      <c r="I231" s="924">
        <v>6.4694225377098208E-2</v>
      </c>
      <c r="J231" s="924">
        <v>3.2526447027526634E-2</v>
      </c>
      <c r="K231" s="924">
        <v>1.589064319454132E-2</v>
      </c>
      <c r="L231" s="1210">
        <v>3.2608183213810787E-2</v>
      </c>
      <c r="M231" s="1211"/>
      <c r="N231" s="1212"/>
      <c r="O231" s="923">
        <f t="array" ref="O231:Y231">TRANSPOSE(Cls2NCentVMTShr)</f>
        <v>8.1228463417563086E-3</v>
      </c>
      <c r="P231" s="924">
        <v>2.7563836768431361E-2</v>
      </c>
      <c r="Q231" s="924">
        <v>4.1883113088337191E-2</v>
      </c>
      <c r="R231" s="924">
        <v>6.4289357588678764E-2</v>
      </c>
      <c r="S231" s="924">
        <v>9.1183275251204537E-2</v>
      </c>
      <c r="T231" s="924">
        <v>5.1984283219922628E-2</v>
      </c>
      <c r="U231" s="924">
        <v>5.0286059545109812E-2</v>
      </c>
      <c r="V231" s="924">
        <v>1.5542287574292338E-2</v>
      </c>
      <c r="W231" s="924">
        <v>1.4506257462625264E-2</v>
      </c>
      <c r="X231" s="924">
        <v>4.9330966304706684E-3</v>
      </c>
      <c r="Y231" s="925">
        <v>1.5183891764738403E-2</v>
      </c>
      <c r="Z231" s="1211"/>
      <c r="AA231" s="1212"/>
      <c r="AB231" s="1568" t="str">
        <f>"% of miles on f2 for Tech "&amp; RIGHT(O226)&amp;" adopters"</f>
        <v>% of miles on f2 for Tech  adopters</v>
      </c>
      <c r="AC231" s="1569"/>
      <c r="AD231" s="1570"/>
      <c r="AE231" s="937" t="s">
        <v>301</v>
      </c>
      <c r="AF231" s="937"/>
      <c r="AG231" s="937"/>
      <c r="AH231" s="1172" t="s">
        <v>302</v>
      </c>
      <c r="AI231" s="937"/>
    </row>
    <row r="232" spans="1:39" ht="15" thickBot="1" x14ac:dyDescent="0.25">
      <c r="A232" s="942" t="s">
        <v>266</v>
      </c>
      <c r="B232" s="933">
        <f t="array" ref="B232:L232">TRANSPOSE(Cls2CentVMT/OPDAYS_Cls2)</f>
        <v>49.332453271995263</v>
      </c>
      <c r="C232" s="934">
        <v>120.11441047790339</v>
      </c>
      <c r="D232" s="934">
        <v>200.99157969807086</v>
      </c>
      <c r="E232" s="934">
        <v>280.98421424125928</v>
      </c>
      <c r="F232" s="934">
        <v>358.20644524895255</v>
      </c>
      <c r="G232" s="934">
        <v>432.82805471770689</v>
      </c>
      <c r="H232" s="934">
        <v>517.10615118099815</v>
      </c>
      <c r="I232" s="934">
        <v>597.8087063838957</v>
      </c>
      <c r="J232" s="934">
        <v>676.93419409560215</v>
      </c>
      <c r="K232" s="934">
        <v>746.82245226325631</v>
      </c>
      <c r="L232" s="935">
        <v>895.92826380844349</v>
      </c>
      <c r="M232" s="931"/>
      <c r="N232" s="932"/>
      <c r="O232" s="933">
        <f t="array" ref="O232:Y232">TRANSPOSE(Cls2NCentVMT/OPDAYS_Cls2)</f>
        <v>54.31462614952413</v>
      </c>
      <c r="P232" s="934">
        <v>126.62311644744663</v>
      </c>
      <c r="Q232" s="934">
        <v>206.96826351576016</v>
      </c>
      <c r="R232" s="934">
        <v>286.46600131499179</v>
      </c>
      <c r="S232" s="934">
        <v>358.9638908170715</v>
      </c>
      <c r="T232" s="934">
        <v>450.55545819643328</v>
      </c>
      <c r="U232" s="934">
        <v>511.93098482414172</v>
      </c>
      <c r="V232" s="934">
        <v>579.22933632093111</v>
      </c>
      <c r="W232" s="934">
        <v>695.25665569614875</v>
      </c>
      <c r="X232" s="934">
        <v>759.80682330760794</v>
      </c>
      <c r="Y232" s="1213">
        <v>882.81167173661356</v>
      </c>
      <c r="Z232" s="943"/>
      <c r="AA232" s="932"/>
      <c r="AB232" s="945" t="s">
        <v>186</v>
      </c>
      <c r="AC232" s="946" t="s">
        <v>15</v>
      </c>
      <c r="AD232" s="947" t="s">
        <v>18</v>
      </c>
      <c r="AE232" s="937" t="s">
        <v>186</v>
      </c>
      <c r="AF232" s="937" t="s">
        <v>15</v>
      </c>
      <c r="AG232" s="937" t="s">
        <v>18</v>
      </c>
      <c r="AH232" s="1172" t="s">
        <v>186</v>
      </c>
      <c r="AI232" s="937" t="s">
        <v>15</v>
      </c>
      <c r="AJ232" s="323"/>
      <c r="AK232" s="323"/>
      <c r="AL232" s="323"/>
      <c r="AM232" s="323"/>
    </row>
    <row r="233" spans="1:39" ht="15" thickTop="1" x14ac:dyDescent="0.2">
      <c r="A233" s="326">
        <v>2007</v>
      </c>
      <c r="B233" s="342">
        <v>0</v>
      </c>
      <c r="C233" s="343">
        <v>0</v>
      </c>
      <c r="D233" s="343">
        <v>0</v>
      </c>
      <c r="E233" s="343">
        <v>0</v>
      </c>
      <c r="F233" s="343">
        <v>0</v>
      </c>
      <c r="G233" s="343">
        <v>0</v>
      </c>
      <c r="H233" s="343">
        <v>0</v>
      </c>
      <c r="I233" s="343">
        <v>0</v>
      </c>
      <c r="J233" s="343">
        <v>0</v>
      </c>
      <c r="K233" s="343">
        <v>0</v>
      </c>
      <c r="L233" s="379">
        <v>0</v>
      </c>
      <c r="M233" s="282">
        <f>SUMPRODUCT($B$178:$L$178,$B233:$L233)</f>
        <v>0</v>
      </c>
      <c r="N233" s="284">
        <f>SUMPRODUCT($B$177:$L$177,$B233:$L233)</f>
        <v>0</v>
      </c>
      <c r="O233" s="342">
        <v>0</v>
      </c>
      <c r="P233" s="343">
        <v>0</v>
      </c>
      <c r="Q233" s="343">
        <v>0</v>
      </c>
      <c r="R233" s="343">
        <v>0</v>
      </c>
      <c r="S233" s="343">
        <v>0</v>
      </c>
      <c r="T233" s="343">
        <v>0</v>
      </c>
      <c r="U233" s="343">
        <v>0</v>
      </c>
      <c r="V233" s="343">
        <v>0</v>
      </c>
      <c r="W233" s="343">
        <v>0</v>
      </c>
      <c r="X233" s="343">
        <v>0</v>
      </c>
      <c r="Y233" s="379">
        <v>0</v>
      </c>
      <c r="Z233" s="387">
        <f>SUMPRODUCT($O$178:$Y$178,$O233:$Y233)</f>
        <v>0</v>
      </c>
      <c r="AA233" s="284">
        <f>SUMPRODUCT($O$177:$Y$177,$O233:$Y233)</f>
        <v>0</v>
      </c>
      <c r="AB233" s="948">
        <f t="array" ref="AB233">IF(AND($AD$228=TRUE,SUM(B233:L233)&gt;0),SUMPRODUCT((((TRANSPOSE(Cls2CentDailyRng)&lt;INDEX(CDRANGE_CLS2,$A233-$A$233+1,AD$229))*TRANSPOSE(Cls2CentDailyRng)+(TRANSPOSE(Cls2CentDailyRng)&gt;INDEX(CDRANGE_CLS2,$A233-$A$233+1,AD$229))*INDEX(CDRANGE_CLS2,$A233-$A$233+1,AD$229))/TRANSPOSE(Cls2CentDailyRng)),B233:L233,TRANSPOSE(Cls2CentVMTShr))/SUMPRODUCT(B233:L233,TRANSPOSE(Cls2CentVMTShr)),0)</f>
        <v>0</v>
      </c>
      <c r="AC233" s="949">
        <f t="array" ref="AC233">IF(AND($AD$228=TRUE,SUM(O233:Y233)&gt;0),SUMPRODUCT((((TRANSPOSE(Cls2NCentDailyRng)&lt;INDEX(CDRANGE_CLS2,$A233-$A$233+1,AD$229))*TRANSPOSE(Cls2NCentDailyRng)+(TRANSPOSE(Cls2NCentDailyRng)&gt;INDEX(CDRANGE_CLS2,$A233-$A$233+1,AD$229))*INDEX(CDRANGE_CLS2,$A233-$A$233+1,AD$229))/TRANSPOSE(Cls2NCentDailyRng)),O233:Y233,TRANSPOSE(Cls2NCentVMTShr))/SUMPRODUCT(O233:Y233,TRANSPOSE(Cls2NCentVMTShr)),0)</f>
        <v>0</v>
      </c>
      <c r="AD233" s="1226">
        <f>AB233*AH233+AC233*AI233</f>
        <v>0</v>
      </c>
      <c r="AE233" s="937">
        <f t="shared" ref="AE233:AE247" si="127">SUMPRODUCT($B$74:$L$74,B233:L233)</f>
        <v>0</v>
      </c>
      <c r="AF233" s="937">
        <f t="shared" ref="AF233:AF247" si="128">SUMPRODUCT($O$74:$Y$74,O233:Y233)</f>
        <v>0</v>
      </c>
      <c r="AG233" s="937">
        <f t="shared" ref="AG233:AG247" si="129">SUM(AE233:AF233)</f>
        <v>0</v>
      </c>
      <c r="AH233" s="1172">
        <f>IF(AG233&gt;0,AE233/AG233,0)</f>
        <v>0</v>
      </c>
      <c r="AI233" s="937">
        <f>IF(AG233&gt;0,AF233/AG233,0)</f>
        <v>0</v>
      </c>
    </row>
    <row r="234" spans="1:39"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30">SUMPRODUCT($B$178:$L$178,$B234:$L234)</f>
        <v>0</v>
      </c>
      <c r="N234" s="298">
        <f t="shared" ref="N234:N276" si="131">SUMPRODUCT($B$177:$L$177,$B234:$L234)</f>
        <v>0</v>
      </c>
      <c r="O234" s="344">
        <v>0</v>
      </c>
      <c r="P234" s="345">
        <v>0</v>
      </c>
      <c r="Q234" s="345">
        <v>0</v>
      </c>
      <c r="R234" s="345">
        <v>0</v>
      </c>
      <c r="S234" s="345">
        <v>0</v>
      </c>
      <c r="T234" s="345">
        <v>0</v>
      </c>
      <c r="U234" s="345">
        <v>0</v>
      </c>
      <c r="V234" s="345">
        <v>0</v>
      </c>
      <c r="W234" s="345">
        <v>0</v>
      </c>
      <c r="X234" s="345">
        <v>0</v>
      </c>
      <c r="Y234" s="380">
        <v>0</v>
      </c>
      <c r="Z234" s="296">
        <f t="shared" ref="Z234:Z276" si="132">SUMPRODUCT($O$178:$Y$178,$O234:$Y234)</f>
        <v>0</v>
      </c>
      <c r="AA234" s="298">
        <f t="shared" ref="AA234:AA276" si="133">SUMPRODUCT($O$177:$Y$177,$O234:$Y234)</f>
        <v>0</v>
      </c>
      <c r="AB234" s="948">
        <f t="array" ref="AB234">IF(AND($AD$228=TRUE,SUM(B234:L234)&gt;0),SUMPRODUCT((((TRANSPOSE(Cls2CentDailyRng)&lt;INDEX(CDRANGE_CLS2,$A234-$A$233+1,AD$229))*TRANSPOSE(Cls2CentDailyRng)+(TRANSPOSE(Cls2CentDailyRng)&gt;INDEX(CDRANGE_CLS2,$A234-$A$233+1,AD$229))*INDEX(CDRANGE_CLS2,$A234-$A$233+1,AD$229))/TRANSPOSE(Cls2CentDailyRng)),B234:L234,TRANSPOSE(Cls2CentVMTShr))/SUMPRODUCT(B234:L234,TRANSPOSE(Cls2CentVMTShr)),0)</f>
        <v>0</v>
      </c>
      <c r="AC234" s="949">
        <f t="array" ref="AC234">IF(AND($AD$228=TRUE,SUM(O234:Y234)&gt;0),SUMPRODUCT((((TRANSPOSE(Cls2NCentDailyRng)&lt;INDEX(CDRANGE_CLS2,$A234-$A$233+1,AD$229))*TRANSPOSE(Cls2NCentDailyRng)+(TRANSPOSE(Cls2NCentDailyRng)&gt;INDEX(CDRANGE_CLS2,$A234-$A$233+1,AD$229))*INDEX(CDRANGE_CLS2,$A234-$A$233+1,AD$229))/TRANSPOSE(Cls2NCentDailyRng)),O234:Y234,TRANSPOSE(Cls2NCentVMTShr))/SUMPRODUCT(O234:Y234,TRANSPOSE(Cls2NCentVMTShr)),0)</f>
        <v>0</v>
      </c>
      <c r="AD234" s="1226">
        <f t="shared" ref="AD234:AD258" si="134">AB234*AH234+AC234*AI234</f>
        <v>0</v>
      </c>
      <c r="AE234" s="937">
        <f t="shared" si="127"/>
        <v>0</v>
      </c>
      <c r="AF234" s="937">
        <f t="shared" si="128"/>
        <v>0</v>
      </c>
      <c r="AG234" s="937">
        <f t="shared" si="129"/>
        <v>0</v>
      </c>
      <c r="AH234" s="1172">
        <f t="shared" ref="AH234:AH275" si="135">IF(AG234&gt;0,AE234/AG234,0)</f>
        <v>0</v>
      </c>
      <c r="AI234" s="937">
        <f t="shared" ref="AI234:AI275" si="136">IF(AG234&gt;0,AF234/AG234,0)</f>
        <v>0</v>
      </c>
    </row>
    <row r="235" spans="1:39" x14ac:dyDescent="0.2">
      <c r="A235" s="327">
        <v>2009</v>
      </c>
      <c r="B235" s="344">
        <v>0</v>
      </c>
      <c r="C235" s="345">
        <v>0</v>
      </c>
      <c r="D235" s="345">
        <v>0</v>
      </c>
      <c r="E235" s="345">
        <v>0</v>
      </c>
      <c r="F235" s="345">
        <v>0</v>
      </c>
      <c r="G235" s="345">
        <v>0</v>
      </c>
      <c r="H235" s="345">
        <v>0</v>
      </c>
      <c r="I235" s="345">
        <v>0</v>
      </c>
      <c r="J235" s="345">
        <v>0</v>
      </c>
      <c r="K235" s="345">
        <v>0</v>
      </c>
      <c r="L235" s="380">
        <v>0</v>
      </c>
      <c r="M235" s="296">
        <f t="shared" si="130"/>
        <v>0</v>
      </c>
      <c r="N235" s="298">
        <f t="shared" si="131"/>
        <v>0</v>
      </c>
      <c r="O235" s="344">
        <v>0</v>
      </c>
      <c r="P235" s="345">
        <v>0</v>
      </c>
      <c r="Q235" s="345">
        <v>0</v>
      </c>
      <c r="R235" s="345">
        <v>0</v>
      </c>
      <c r="S235" s="345">
        <v>0</v>
      </c>
      <c r="T235" s="345">
        <v>0</v>
      </c>
      <c r="U235" s="345">
        <v>0</v>
      </c>
      <c r="V235" s="345">
        <v>0</v>
      </c>
      <c r="W235" s="345">
        <v>0</v>
      </c>
      <c r="X235" s="345">
        <v>0</v>
      </c>
      <c r="Y235" s="380">
        <v>0</v>
      </c>
      <c r="Z235" s="296">
        <f t="shared" si="132"/>
        <v>0</v>
      </c>
      <c r="AA235" s="298">
        <f t="shared" si="133"/>
        <v>0</v>
      </c>
      <c r="AB235" s="948">
        <f t="array" ref="AB235">IF(AND($AD$228=TRUE,SUM(B235:L235)&gt;0),SUMPRODUCT((((TRANSPOSE(Cls2CentDailyRng)&lt;INDEX(CDRANGE_CLS2,$A235-$A$233+1,AD$229))*TRANSPOSE(Cls2CentDailyRng)+(TRANSPOSE(Cls2CentDailyRng)&gt;INDEX(CDRANGE_CLS2,$A235-$A$233+1,AD$229))*INDEX(CDRANGE_CLS2,$A235-$A$233+1,AD$229))/TRANSPOSE(Cls2CentDailyRng)),B235:L235,TRANSPOSE(Cls2CentVMTShr))/SUMPRODUCT(B235:L235,TRANSPOSE(Cls2CentVMTShr)),0)</f>
        <v>0</v>
      </c>
      <c r="AC235" s="949">
        <f t="array" ref="AC235">IF(AND($AD$228=TRUE,SUM(O235:Y235)&gt;0),SUMPRODUCT((((TRANSPOSE(Cls2NCentDailyRng)&lt;INDEX(CDRANGE_CLS2,$A235-$A$233+1,AD$229))*TRANSPOSE(Cls2NCentDailyRng)+(TRANSPOSE(Cls2NCentDailyRng)&gt;INDEX(CDRANGE_CLS2,$A235-$A$233+1,AD$229))*INDEX(CDRANGE_CLS2,$A235-$A$233+1,AD$229))/TRANSPOSE(Cls2NCentDailyRng)),O235:Y235,TRANSPOSE(Cls2NCentVMTShr))/SUMPRODUCT(O235:Y235,TRANSPOSE(Cls2NCentVMTShr)),0)</f>
        <v>0</v>
      </c>
      <c r="AD235" s="1226">
        <f t="shared" si="134"/>
        <v>0</v>
      </c>
      <c r="AE235" s="937">
        <f t="shared" si="127"/>
        <v>0</v>
      </c>
      <c r="AF235" s="937">
        <f t="shared" si="128"/>
        <v>0</v>
      </c>
      <c r="AG235" s="937">
        <f t="shared" si="129"/>
        <v>0</v>
      </c>
      <c r="AH235" s="1172">
        <f t="shared" si="135"/>
        <v>0</v>
      </c>
      <c r="AI235" s="937">
        <f t="shared" si="136"/>
        <v>0</v>
      </c>
    </row>
    <row r="236" spans="1:39"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30"/>
        <v>0</v>
      </c>
      <c r="N236" s="312">
        <f t="shared" si="131"/>
        <v>0</v>
      </c>
      <c r="O236" s="346">
        <v>0</v>
      </c>
      <c r="P236" s="347">
        <v>0</v>
      </c>
      <c r="Q236" s="347">
        <v>0</v>
      </c>
      <c r="R236" s="347">
        <v>0</v>
      </c>
      <c r="S236" s="347">
        <v>0</v>
      </c>
      <c r="T236" s="347">
        <v>0</v>
      </c>
      <c r="U236" s="347">
        <v>0</v>
      </c>
      <c r="V236" s="347">
        <v>0</v>
      </c>
      <c r="W236" s="347">
        <v>0</v>
      </c>
      <c r="X236" s="347">
        <v>0</v>
      </c>
      <c r="Y236" s="381">
        <v>0</v>
      </c>
      <c r="Z236" s="310">
        <f t="shared" si="132"/>
        <v>0</v>
      </c>
      <c r="AA236" s="312">
        <f t="shared" si="133"/>
        <v>0</v>
      </c>
      <c r="AB236" s="948">
        <f t="array" ref="AB236">IF(AND($AD$228=TRUE,SUM(B236:L236)&gt;0),SUMPRODUCT((((TRANSPOSE(Cls2CentDailyRng)&lt;INDEX(CDRANGE_CLS2,$A236-$A$233+1,AD$229))*TRANSPOSE(Cls2CentDailyRng)+(TRANSPOSE(Cls2CentDailyRng)&gt;INDEX(CDRANGE_CLS2,$A236-$A$233+1,AD$229))*INDEX(CDRANGE_CLS2,$A236-$A$233+1,AD$229))/TRANSPOSE(Cls2CentDailyRng)),B236:L236,TRANSPOSE(Cls2CentVMTShr))/SUMPRODUCT(B236:L236,TRANSPOSE(Cls2CentVMTShr)),0)</f>
        <v>0</v>
      </c>
      <c r="AC236" s="949">
        <f t="array" ref="AC236">IF(AND($AD$228=TRUE,SUM(O236:Y236)&gt;0),SUMPRODUCT((((TRANSPOSE(Cls2NCentDailyRng)&lt;INDEX(CDRANGE_CLS2,$A236-$A$233+1,AD$229))*TRANSPOSE(Cls2NCentDailyRng)+(TRANSPOSE(Cls2NCentDailyRng)&gt;INDEX(CDRANGE_CLS2,$A236-$A$233+1,AD$229))*INDEX(CDRANGE_CLS2,$A236-$A$233+1,AD$229))/TRANSPOSE(Cls2NCentDailyRng)),O236:Y236,TRANSPOSE(Cls2NCentVMTShr))/SUMPRODUCT(O236:Y236,TRANSPOSE(Cls2NCentVMTShr)),0)</f>
        <v>0</v>
      </c>
      <c r="AD236" s="1226">
        <f t="shared" si="134"/>
        <v>0</v>
      </c>
      <c r="AE236" s="937">
        <f t="shared" si="127"/>
        <v>0</v>
      </c>
      <c r="AF236" s="937">
        <f t="shared" si="128"/>
        <v>0</v>
      </c>
      <c r="AG236" s="937">
        <f t="shared" si="129"/>
        <v>0</v>
      </c>
      <c r="AH236" s="1172">
        <f t="shared" si="135"/>
        <v>0</v>
      </c>
      <c r="AI236" s="937">
        <f t="shared" si="136"/>
        <v>0</v>
      </c>
    </row>
    <row r="237" spans="1:39" x14ac:dyDescent="0.2">
      <c r="A237" s="329">
        <v>2011</v>
      </c>
      <c r="B237" s="342">
        <v>0</v>
      </c>
      <c r="C237" s="343">
        <v>0</v>
      </c>
      <c r="D237" s="343">
        <v>0</v>
      </c>
      <c r="E237" s="343">
        <v>0</v>
      </c>
      <c r="F237" s="343">
        <v>0</v>
      </c>
      <c r="G237" s="343">
        <v>0</v>
      </c>
      <c r="H237" s="343">
        <v>0</v>
      </c>
      <c r="I237" s="343">
        <v>0</v>
      </c>
      <c r="J237" s="343">
        <v>0</v>
      </c>
      <c r="K237" s="343">
        <v>0</v>
      </c>
      <c r="L237" s="379">
        <v>0</v>
      </c>
      <c r="M237" s="282">
        <f t="shared" si="130"/>
        <v>0</v>
      </c>
      <c r="N237" s="284">
        <f t="shared" si="131"/>
        <v>0</v>
      </c>
      <c r="O237" s="342">
        <v>0</v>
      </c>
      <c r="P237" s="343">
        <v>0</v>
      </c>
      <c r="Q237" s="343">
        <v>0</v>
      </c>
      <c r="R237" s="343">
        <v>0</v>
      </c>
      <c r="S237" s="343">
        <v>0</v>
      </c>
      <c r="T237" s="343">
        <v>0</v>
      </c>
      <c r="U237" s="343">
        <v>0</v>
      </c>
      <c r="V237" s="343">
        <v>0</v>
      </c>
      <c r="W237" s="343">
        <v>0</v>
      </c>
      <c r="X237" s="343">
        <v>0</v>
      </c>
      <c r="Y237" s="379">
        <v>0</v>
      </c>
      <c r="Z237" s="282">
        <f t="shared" si="132"/>
        <v>0</v>
      </c>
      <c r="AA237" s="284">
        <f t="shared" si="133"/>
        <v>0</v>
      </c>
      <c r="AB237" s="948">
        <f t="array" ref="AB237">IF(AND($AD$228=TRUE,SUM(B237:L237)&gt;0),SUMPRODUCT((((TRANSPOSE(Cls2CentDailyRng)&lt;INDEX(CDRANGE_CLS2,$A237-$A$233+1,AD$229))*TRANSPOSE(Cls2CentDailyRng)+(TRANSPOSE(Cls2CentDailyRng)&gt;INDEX(CDRANGE_CLS2,$A237-$A$233+1,AD$229))*INDEX(CDRANGE_CLS2,$A237-$A$233+1,AD$229))/TRANSPOSE(Cls2CentDailyRng)),B237:L237,TRANSPOSE(Cls2CentVMTShr))/SUMPRODUCT(B237:L237,TRANSPOSE(Cls2CentVMTShr)),0)</f>
        <v>0</v>
      </c>
      <c r="AC237" s="949">
        <f t="array" ref="AC237">IF(AND($AD$228=TRUE,SUM(O237:Y237)&gt;0),SUMPRODUCT((((TRANSPOSE(Cls2NCentDailyRng)&lt;INDEX(CDRANGE_CLS2,$A237-$A$233+1,AD$229))*TRANSPOSE(Cls2NCentDailyRng)+(TRANSPOSE(Cls2NCentDailyRng)&gt;INDEX(CDRANGE_CLS2,$A237-$A$233+1,AD$229))*INDEX(CDRANGE_CLS2,$A237-$A$233+1,AD$229))/TRANSPOSE(Cls2NCentDailyRng)),O237:Y237,TRANSPOSE(Cls2NCentVMTShr))/SUMPRODUCT(O237:Y237,TRANSPOSE(Cls2NCentVMTShr)),0)</f>
        <v>0</v>
      </c>
      <c r="AD237" s="1226">
        <f t="shared" si="134"/>
        <v>0</v>
      </c>
      <c r="AE237" s="937">
        <f t="shared" si="127"/>
        <v>0</v>
      </c>
      <c r="AF237" s="937">
        <f t="shared" si="128"/>
        <v>0</v>
      </c>
      <c r="AG237" s="937">
        <f t="shared" si="129"/>
        <v>0</v>
      </c>
      <c r="AH237" s="1172">
        <f t="shared" si="135"/>
        <v>0</v>
      </c>
      <c r="AI237" s="937">
        <f t="shared" si="136"/>
        <v>0</v>
      </c>
    </row>
    <row r="238" spans="1:39" x14ac:dyDescent="0.2">
      <c r="A238" s="330">
        <v>2012</v>
      </c>
      <c r="B238" s="344">
        <v>0</v>
      </c>
      <c r="C238" s="345">
        <v>0</v>
      </c>
      <c r="D238" s="345">
        <v>0</v>
      </c>
      <c r="E238" s="345">
        <v>0</v>
      </c>
      <c r="F238" s="345">
        <v>0</v>
      </c>
      <c r="G238" s="345">
        <v>0</v>
      </c>
      <c r="H238" s="345">
        <v>0</v>
      </c>
      <c r="I238" s="345">
        <v>0</v>
      </c>
      <c r="J238" s="345">
        <v>0</v>
      </c>
      <c r="K238" s="345">
        <v>0</v>
      </c>
      <c r="L238" s="380">
        <v>0</v>
      </c>
      <c r="M238" s="296">
        <f t="shared" si="130"/>
        <v>0</v>
      </c>
      <c r="N238" s="298">
        <f t="shared" si="131"/>
        <v>0</v>
      </c>
      <c r="O238" s="344">
        <v>0</v>
      </c>
      <c r="P238" s="345">
        <v>0</v>
      </c>
      <c r="Q238" s="345">
        <v>0</v>
      </c>
      <c r="R238" s="345">
        <v>0</v>
      </c>
      <c r="S238" s="345">
        <v>0</v>
      </c>
      <c r="T238" s="345">
        <v>0</v>
      </c>
      <c r="U238" s="345">
        <v>0</v>
      </c>
      <c r="V238" s="345">
        <v>0</v>
      </c>
      <c r="W238" s="345">
        <v>0</v>
      </c>
      <c r="X238" s="345">
        <v>0</v>
      </c>
      <c r="Y238" s="380">
        <v>0</v>
      </c>
      <c r="Z238" s="296">
        <f t="shared" si="132"/>
        <v>0</v>
      </c>
      <c r="AA238" s="298">
        <f t="shared" si="133"/>
        <v>0</v>
      </c>
      <c r="AB238" s="948">
        <f t="array" ref="AB238">IF(AND($AD$228=TRUE,SUM(B238:L238)&gt;0),SUMPRODUCT((((TRANSPOSE(Cls2CentDailyRng)&lt;INDEX(CDRANGE_CLS2,$A238-$A$233+1,AD$229))*TRANSPOSE(Cls2CentDailyRng)+(TRANSPOSE(Cls2CentDailyRng)&gt;INDEX(CDRANGE_CLS2,$A238-$A$233+1,AD$229))*INDEX(CDRANGE_CLS2,$A238-$A$233+1,AD$229))/TRANSPOSE(Cls2CentDailyRng)),B238:L238,TRANSPOSE(Cls2CentVMTShr))/SUMPRODUCT(B238:L238,TRANSPOSE(Cls2CentVMTShr)),0)</f>
        <v>0</v>
      </c>
      <c r="AC238" s="949">
        <f t="array" ref="AC238">IF(AND($AD$228=TRUE,SUM(O238:Y238)&gt;0),SUMPRODUCT((((TRANSPOSE(Cls2NCentDailyRng)&lt;INDEX(CDRANGE_CLS2,$A238-$A$233+1,AD$229))*TRANSPOSE(Cls2NCentDailyRng)+(TRANSPOSE(Cls2NCentDailyRng)&gt;INDEX(CDRANGE_CLS2,$A238-$A$233+1,AD$229))*INDEX(CDRANGE_CLS2,$A238-$A$233+1,AD$229))/TRANSPOSE(Cls2NCentDailyRng)),O238:Y238,TRANSPOSE(Cls2NCentVMTShr))/SUMPRODUCT(O238:Y238,TRANSPOSE(Cls2NCentVMTShr)),0)</f>
        <v>0</v>
      </c>
      <c r="AD238" s="1226">
        <f t="shared" si="134"/>
        <v>0</v>
      </c>
      <c r="AE238" s="937">
        <f t="shared" si="127"/>
        <v>0</v>
      </c>
      <c r="AF238" s="937">
        <f t="shared" si="128"/>
        <v>0</v>
      </c>
      <c r="AG238" s="937">
        <f t="shared" si="129"/>
        <v>0</v>
      </c>
      <c r="AH238" s="1172">
        <f t="shared" si="135"/>
        <v>0</v>
      </c>
      <c r="AI238" s="937">
        <f t="shared" si="136"/>
        <v>0</v>
      </c>
    </row>
    <row r="239" spans="1:39" x14ac:dyDescent="0.2">
      <c r="A239" s="330">
        <v>2013</v>
      </c>
      <c r="B239" s="344">
        <v>0</v>
      </c>
      <c r="C239" s="345">
        <v>0</v>
      </c>
      <c r="D239" s="345">
        <v>0</v>
      </c>
      <c r="E239" s="345">
        <v>0</v>
      </c>
      <c r="F239" s="345">
        <v>0</v>
      </c>
      <c r="G239" s="345">
        <v>0</v>
      </c>
      <c r="H239" s="345">
        <v>0</v>
      </c>
      <c r="I239" s="345">
        <v>0</v>
      </c>
      <c r="J239" s="345">
        <v>0</v>
      </c>
      <c r="K239" s="345">
        <v>0</v>
      </c>
      <c r="L239" s="380">
        <v>0</v>
      </c>
      <c r="M239" s="296">
        <f t="shared" si="130"/>
        <v>0</v>
      </c>
      <c r="N239" s="298">
        <f t="shared" si="131"/>
        <v>0</v>
      </c>
      <c r="O239" s="344">
        <v>0</v>
      </c>
      <c r="P239" s="345">
        <v>0</v>
      </c>
      <c r="Q239" s="345">
        <v>0</v>
      </c>
      <c r="R239" s="345">
        <v>0</v>
      </c>
      <c r="S239" s="345">
        <v>0</v>
      </c>
      <c r="T239" s="345">
        <v>0</v>
      </c>
      <c r="U239" s="345">
        <v>0</v>
      </c>
      <c r="V239" s="345">
        <v>0</v>
      </c>
      <c r="W239" s="345">
        <v>0</v>
      </c>
      <c r="X239" s="345">
        <v>0</v>
      </c>
      <c r="Y239" s="380">
        <v>0</v>
      </c>
      <c r="Z239" s="296">
        <f t="shared" si="132"/>
        <v>0</v>
      </c>
      <c r="AA239" s="298">
        <f t="shared" si="133"/>
        <v>0</v>
      </c>
      <c r="AB239" s="948">
        <f t="array" ref="AB239">IF(AND($AD$228=TRUE,SUM(B239:L239)&gt;0),SUMPRODUCT((((TRANSPOSE(Cls2CentDailyRng)&lt;INDEX(CDRANGE_CLS2,$A239-$A$233+1,AD$229))*TRANSPOSE(Cls2CentDailyRng)+(TRANSPOSE(Cls2CentDailyRng)&gt;INDEX(CDRANGE_CLS2,$A239-$A$233+1,AD$229))*INDEX(CDRANGE_CLS2,$A239-$A$233+1,AD$229))/TRANSPOSE(Cls2CentDailyRng)),B239:L239,TRANSPOSE(Cls2CentVMTShr))/SUMPRODUCT(B239:L239,TRANSPOSE(Cls2CentVMTShr)),0)</f>
        <v>0</v>
      </c>
      <c r="AC239" s="949">
        <f t="array" ref="AC239">IF(AND($AD$228=TRUE,SUM(O239:Y239)&gt;0),SUMPRODUCT((((TRANSPOSE(Cls2NCentDailyRng)&lt;INDEX(CDRANGE_CLS2,$A239-$A$233+1,AD$229))*TRANSPOSE(Cls2NCentDailyRng)+(TRANSPOSE(Cls2NCentDailyRng)&gt;INDEX(CDRANGE_CLS2,$A239-$A$233+1,AD$229))*INDEX(CDRANGE_CLS2,$A239-$A$233+1,AD$229))/TRANSPOSE(Cls2NCentDailyRng)),O239:Y239,TRANSPOSE(Cls2NCentVMTShr))/SUMPRODUCT(O239:Y239,TRANSPOSE(Cls2NCentVMTShr)),0)</f>
        <v>0</v>
      </c>
      <c r="AD239" s="1226">
        <f t="shared" si="134"/>
        <v>0</v>
      </c>
      <c r="AE239" s="937">
        <f t="shared" si="127"/>
        <v>0</v>
      </c>
      <c r="AF239" s="937">
        <f t="shared" si="128"/>
        <v>0</v>
      </c>
      <c r="AG239" s="937">
        <f t="shared" si="129"/>
        <v>0</v>
      </c>
      <c r="AH239" s="1172">
        <f t="shared" si="135"/>
        <v>0</v>
      </c>
      <c r="AI239" s="937">
        <f t="shared" si="136"/>
        <v>0</v>
      </c>
    </row>
    <row r="240" spans="1:39" x14ac:dyDescent="0.2">
      <c r="A240" s="330">
        <v>2014</v>
      </c>
      <c r="B240" s="344">
        <v>0</v>
      </c>
      <c r="C240" s="345">
        <v>0</v>
      </c>
      <c r="D240" s="345">
        <v>0</v>
      </c>
      <c r="E240" s="345">
        <v>0</v>
      </c>
      <c r="F240" s="345">
        <v>0</v>
      </c>
      <c r="G240" s="345">
        <v>0</v>
      </c>
      <c r="H240" s="345">
        <v>0</v>
      </c>
      <c r="I240" s="345">
        <v>0</v>
      </c>
      <c r="J240" s="345">
        <v>0</v>
      </c>
      <c r="K240" s="345">
        <v>0</v>
      </c>
      <c r="L240" s="380">
        <v>0</v>
      </c>
      <c r="M240" s="296">
        <f t="shared" si="130"/>
        <v>0</v>
      </c>
      <c r="N240" s="298">
        <f t="shared" si="131"/>
        <v>0</v>
      </c>
      <c r="O240" s="344">
        <v>0</v>
      </c>
      <c r="P240" s="345">
        <v>0</v>
      </c>
      <c r="Q240" s="345">
        <v>0</v>
      </c>
      <c r="R240" s="345">
        <v>0</v>
      </c>
      <c r="S240" s="345">
        <v>0</v>
      </c>
      <c r="T240" s="345">
        <v>0</v>
      </c>
      <c r="U240" s="345">
        <v>0</v>
      </c>
      <c r="V240" s="345">
        <v>0</v>
      </c>
      <c r="W240" s="345">
        <v>0</v>
      </c>
      <c r="X240" s="345">
        <v>0</v>
      </c>
      <c r="Y240" s="380">
        <v>0</v>
      </c>
      <c r="Z240" s="296">
        <f t="shared" si="132"/>
        <v>0</v>
      </c>
      <c r="AA240" s="298">
        <f t="shared" si="133"/>
        <v>0</v>
      </c>
      <c r="AB240" s="948">
        <f t="array" ref="AB240">IF(AND($AD$228=TRUE,SUM(B240:L240)&gt;0),SUMPRODUCT((((TRANSPOSE(Cls2CentDailyRng)&lt;INDEX(CDRANGE_CLS2,$A240-$A$233+1,AD$229))*TRANSPOSE(Cls2CentDailyRng)+(TRANSPOSE(Cls2CentDailyRng)&gt;INDEX(CDRANGE_CLS2,$A240-$A$233+1,AD$229))*INDEX(CDRANGE_CLS2,$A240-$A$233+1,AD$229))/TRANSPOSE(Cls2CentDailyRng)),B240:L240,TRANSPOSE(Cls2CentVMTShr))/SUMPRODUCT(B240:L240,TRANSPOSE(Cls2CentVMTShr)),0)</f>
        <v>0</v>
      </c>
      <c r="AC240" s="949">
        <f t="array" ref="AC240">IF(AND($AD$228=TRUE,SUM(O240:Y240)&gt;0),SUMPRODUCT((((TRANSPOSE(Cls2NCentDailyRng)&lt;INDEX(CDRANGE_CLS2,$A240-$A$233+1,AD$229))*TRANSPOSE(Cls2NCentDailyRng)+(TRANSPOSE(Cls2NCentDailyRng)&gt;INDEX(CDRANGE_CLS2,$A240-$A$233+1,AD$229))*INDEX(CDRANGE_CLS2,$A240-$A$233+1,AD$229))/TRANSPOSE(Cls2NCentDailyRng)),O240:Y240,TRANSPOSE(Cls2NCentVMTShr))/SUMPRODUCT(O240:Y240,TRANSPOSE(Cls2NCentVMTShr)),0)</f>
        <v>0</v>
      </c>
      <c r="AD240" s="1226">
        <f t="shared" si="134"/>
        <v>0</v>
      </c>
      <c r="AE240" s="937">
        <f t="shared" si="127"/>
        <v>0</v>
      </c>
      <c r="AF240" s="937">
        <f t="shared" si="128"/>
        <v>0</v>
      </c>
      <c r="AG240" s="937">
        <f t="shared" si="129"/>
        <v>0</v>
      </c>
      <c r="AH240" s="1172">
        <f t="shared" si="135"/>
        <v>0</v>
      </c>
      <c r="AI240" s="937">
        <f t="shared" si="136"/>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30"/>
        <v>0</v>
      </c>
      <c r="N241" s="312">
        <f t="shared" si="131"/>
        <v>0</v>
      </c>
      <c r="O241" s="346">
        <v>0</v>
      </c>
      <c r="P241" s="347">
        <v>0</v>
      </c>
      <c r="Q241" s="347">
        <v>0</v>
      </c>
      <c r="R241" s="347">
        <v>0</v>
      </c>
      <c r="S241" s="347">
        <v>0</v>
      </c>
      <c r="T241" s="347">
        <v>0</v>
      </c>
      <c r="U241" s="347">
        <v>0</v>
      </c>
      <c r="V241" s="347">
        <v>0</v>
      </c>
      <c r="W241" s="347">
        <v>0</v>
      </c>
      <c r="X241" s="347">
        <v>0</v>
      </c>
      <c r="Y241" s="381">
        <v>0</v>
      </c>
      <c r="Z241" s="310">
        <f t="shared" si="132"/>
        <v>0</v>
      </c>
      <c r="AA241" s="312">
        <f t="shared" si="133"/>
        <v>0</v>
      </c>
      <c r="AB241" s="948">
        <f t="array" ref="AB241">IF(AND($AD$228=TRUE,SUM(B241:L241)&gt;0),SUMPRODUCT((((TRANSPOSE(Cls2CentDailyRng)&lt;INDEX(CDRANGE_CLS2,$A241-$A$233+1,AD$229))*TRANSPOSE(Cls2CentDailyRng)+(TRANSPOSE(Cls2CentDailyRng)&gt;INDEX(CDRANGE_CLS2,$A241-$A$233+1,AD$229))*INDEX(CDRANGE_CLS2,$A241-$A$233+1,AD$229))/TRANSPOSE(Cls2CentDailyRng)),B241:L241,TRANSPOSE(Cls2CentVMTShr))/SUMPRODUCT(B241:L241,TRANSPOSE(Cls2CentVMTShr)),0)</f>
        <v>0</v>
      </c>
      <c r="AC241" s="949">
        <f t="array" ref="AC241">IF(AND($AD$228=TRUE,SUM(O241:Y241)&gt;0),SUMPRODUCT((((TRANSPOSE(Cls2NCentDailyRng)&lt;INDEX(CDRANGE_CLS2,$A241-$A$233+1,AD$229))*TRANSPOSE(Cls2NCentDailyRng)+(TRANSPOSE(Cls2NCentDailyRng)&gt;INDEX(CDRANGE_CLS2,$A241-$A$233+1,AD$229))*INDEX(CDRANGE_CLS2,$A241-$A$233+1,AD$229))/TRANSPOSE(Cls2NCentDailyRng)),O241:Y241,TRANSPOSE(Cls2NCentVMTShr))/SUMPRODUCT(O241:Y241,TRANSPOSE(Cls2NCentVMTShr)),0)</f>
        <v>0</v>
      </c>
      <c r="AD241" s="1226">
        <f t="shared" si="134"/>
        <v>0</v>
      </c>
      <c r="AE241" s="937">
        <f t="shared" si="127"/>
        <v>0</v>
      </c>
      <c r="AF241" s="937">
        <f t="shared" si="128"/>
        <v>0</v>
      </c>
      <c r="AG241" s="937">
        <f t="shared" si="129"/>
        <v>0</v>
      </c>
      <c r="AH241" s="1172">
        <f t="shared" si="135"/>
        <v>0</v>
      </c>
      <c r="AI241" s="937">
        <f t="shared" si="136"/>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30"/>
        <v>0</v>
      </c>
      <c r="N242" s="284">
        <f t="shared" si="131"/>
        <v>0</v>
      </c>
      <c r="O242" s="342">
        <v>0</v>
      </c>
      <c r="P242" s="343">
        <v>0</v>
      </c>
      <c r="Q242" s="343">
        <v>0</v>
      </c>
      <c r="R242" s="343">
        <v>0</v>
      </c>
      <c r="S242" s="343">
        <v>0</v>
      </c>
      <c r="T242" s="343">
        <v>0</v>
      </c>
      <c r="U242" s="343">
        <v>0</v>
      </c>
      <c r="V242" s="343">
        <v>0</v>
      </c>
      <c r="W242" s="343">
        <v>0</v>
      </c>
      <c r="X242" s="343">
        <v>0</v>
      </c>
      <c r="Y242" s="379">
        <v>0</v>
      </c>
      <c r="Z242" s="282">
        <f t="shared" si="132"/>
        <v>0</v>
      </c>
      <c r="AA242" s="284">
        <f t="shared" si="133"/>
        <v>0</v>
      </c>
      <c r="AB242" s="948">
        <f t="array" ref="AB242">IF(AND($AD$228=TRUE,SUM(B242:L242)&gt;0),SUMPRODUCT((((TRANSPOSE(Cls2CentDailyRng)&lt;INDEX(CDRANGE_CLS2,$A242-$A$233+1,AD$229))*TRANSPOSE(Cls2CentDailyRng)+(TRANSPOSE(Cls2CentDailyRng)&gt;INDEX(CDRANGE_CLS2,$A242-$A$233+1,AD$229))*INDEX(CDRANGE_CLS2,$A242-$A$233+1,AD$229))/TRANSPOSE(Cls2CentDailyRng)),B242:L242,TRANSPOSE(Cls2CentVMTShr))/SUMPRODUCT(B242:L242,TRANSPOSE(Cls2CentVMTShr)),0)</f>
        <v>0</v>
      </c>
      <c r="AC242" s="949">
        <f t="array" ref="AC242">IF(AND($AD$228=TRUE,SUM(O242:Y242)&gt;0),SUMPRODUCT((((TRANSPOSE(Cls2NCentDailyRng)&lt;INDEX(CDRANGE_CLS2,$A242-$A$233+1,AD$229))*TRANSPOSE(Cls2NCentDailyRng)+(TRANSPOSE(Cls2NCentDailyRng)&gt;INDEX(CDRANGE_CLS2,$A242-$A$233+1,AD$229))*INDEX(CDRANGE_CLS2,$A242-$A$233+1,AD$229))/TRANSPOSE(Cls2NCentDailyRng)),O242:Y242,TRANSPOSE(Cls2NCentVMTShr))/SUMPRODUCT(O242:Y242,TRANSPOSE(Cls2NCentVMTShr)),0)</f>
        <v>0</v>
      </c>
      <c r="AD242" s="1226">
        <f t="shared" si="134"/>
        <v>0</v>
      </c>
      <c r="AE242" s="937">
        <f t="shared" si="127"/>
        <v>0</v>
      </c>
      <c r="AF242" s="937">
        <f t="shared" si="128"/>
        <v>0</v>
      </c>
      <c r="AG242" s="937">
        <f t="shared" si="129"/>
        <v>0</v>
      </c>
      <c r="AH242" s="1172">
        <f t="shared" si="135"/>
        <v>0</v>
      </c>
      <c r="AI242" s="937">
        <f t="shared" si="136"/>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30"/>
        <v>0</v>
      </c>
      <c r="N243" s="298">
        <f t="shared" si="131"/>
        <v>0</v>
      </c>
      <c r="O243" s="344">
        <v>0</v>
      </c>
      <c r="P243" s="345">
        <v>0</v>
      </c>
      <c r="Q243" s="345">
        <v>0</v>
      </c>
      <c r="R243" s="345">
        <v>0</v>
      </c>
      <c r="S243" s="345">
        <v>0</v>
      </c>
      <c r="T243" s="345">
        <v>0</v>
      </c>
      <c r="U243" s="345">
        <v>0</v>
      </c>
      <c r="V243" s="345">
        <v>0</v>
      </c>
      <c r="W243" s="345">
        <v>0</v>
      </c>
      <c r="X243" s="345">
        <v>0</v>
      </c>
      <c r="Y243" s="380">
        <v>0</v>
      </c>
      <c r="Z243" s="296">
        <f t="shared" si="132"/>
        <v>0</v>
      </c>
      <c r="AA243" s="298">
        <f t="shared" si="133"/>
        <v>0</v>
      </c>
      <c r="AB243" s="948">
        <f t="array" ref="AB243">IF(AND($AD$228=TRUE,SUM(B243:L243)&gt;0),SUMPRODUCT((((TRANSPOSE(Cls2CentDailyRng)&lt;INDEX(CDRANGE_CLS2,$A243-$A$233+1,AD$229))*TRANSPOSE(Cls2CentDailyRng)+(TRANSPOSE(Cls2CentDailyRng)&gt;INDEX(CDRANGE_CLS2,$A243-$A$233+1,AD$229))*INDEX(CDRANGE_CLS2,$A243-$A$233+1,AD$229))/TRANSPOSE(Cls2CentDailyRng)),B243:L243,TRANSPOSE(Cls2CentVMTShr))/SUMPRODUCT(B243:L243,TRANSPOSE(Cls2CentVMTShr)),0)</f>
        <v>0</v>
      </c>
      <c r="AC243" s="949">
        <f t="array" ref="AC243">IF(AND($AD$228=TRUE,SUM(O243:Y243)&gt;0),SUMPRODUCT((((TRANSPOSE(Cls2NCentDailyRng)&lt;INDEX(CDRANGE_CLS2,$A243-$A$233+1,AD$229))*TRANSPOSE(Cls2NCentDailyRng)+(TRANSPOSE(Cls2NCentDailyRng)&gt;INDEX(CDRANGE_CLS2,$A243-$A$233+1,AD$229))*INDEX(CDRANGE_CLS2,$A243-$A$233+1,AD$229))/TRANSPOSE(Cls2NCentDailyRng)),O243:Y243,TRANSPOSE(Cls2NCentVMTShr))/SUMPRODUCT(O243:Y243,TRANSPOSE(Cls2NCentVMTShr)),0)</f>
        <v>0</v>
      </c>
      <c r="AD243" s="1226">
        <f t="shared" si="134"/>
        <v>0</v>
      </c>
      <c r="AE243" s="937">
        <f t="shared" si="127"/>
        <v>0</v>
      </c>
      <c r="AF243" s="937">
        <f t="shared" si="128"/>
        <v>0</v>
      </c>
      <c r="AG243" s="937">
        <f t="shared" si="129"/>
        <v>0</v>
      </c>
      <c r="AH243" s="1172">
        <f t="shared" si="135"/>
        <v>0</v>
      </c>
      <c r="AI243" s="937">
        <f t="shared" si="136"/>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30"/>
        <v>0</v>
      </c>
      <c r="N244" s="298">
        <f t="shared" si="131"/>
        <v>0</v>
      </c>
      <c r="O244" s="344">
        <v>0</v>
      </c>
      <c r="P244" s="345">
        <v>0</v>
      </c>
      <c r="Q244" s="345">
        <v>0</v>
      </c>
      <c r="R244" s="345">
        <v>0</v>
      </c>
      <c r="S244" s="345">
        <v>0</v>
      </c>
      <c r="T244" s="345">
        <v>0</v>
      </c>
      <c r="U244" s="345">
        <v>0</v>
      </c>
      <c r="V244" s="345">
        <v>0</v>
      </c>
      <c r="W244" s="345">
        <v>0</v>
      </c>
      <c r="X244" s="345">
        <v>0</v>
      </c>
      <c r="Y244" s="380">
        <v>0</v>
      </c>
      <c r="Z244" s="296">
        <f t="shared" si="132"/>
        <v>0</v>
      </c>
      <c r="AA244" s="298">
        <f t="shared" si="133"/>
        <v>0</v>
      </c>
      <c r="AB244" s="948">
        <f t="array" ref="AB244">IF(AND($AD$228=TRUE,SUM(B244:L244)&gt;0),SUMPRODUCT((((TRANSPOSE(Cls2CentDailyRng)&lt;INDEX(CDRANGE_CLS2,$A244-$A$233+1,AD$229))*TRANSPOSE(Cls2CentDailyRng)+(TRANSPOSE(Cls2CentDailyRng)&gt;INDEX(CDRANGE_CLS2,$A244-$A$233+1,AD$229))*INDEX(CDRANGE_CLS2,$A244-$A$233+1,AD$229))/TRANSPOSE(Cls2CentDailyRng)),B244:L244,TRANSPOSE(Cls2CentVMTShr))/SUMPRODUCT(B244:L244,TRANSPOSE(Cls2CentVMTShr)),0)</f>
        <v>0</v>
      </c>
      <c r="AC244" s="949">
        <f t="array" ref="AC244">IF(AND($AD$228=TRUE,SUM(O244:Y244)&gt;0),SUMPRODUCT((((TRANSPOSE(Cls2NCentDailyRng)&lt;INDEX(CDRANGE_CLS2,$A244-$A$233+1,AD$229))*TRANSPOSE(Cls2NCentDailyRng)+(TRANSPOSE(Cls2NCentDailyRng)&gt;INDEX(CDRANGE_CLS2,$A244-$A$233+1,AD$229))*INDEX(CDRANGE_CLS2,$A244-$A$233+1,AD$229))/TRANSPOSE(Cls2NCentDailyRng)),O244:Y244,TRANSPOSE(Cls2NCentVMTShr))/SUMPRODUCT(O244:Y244,TRANSPOSE(Cls2NCentVMTShr)),0)</f>
        <v>0</v>
      </c>
      <c r="AD244" s="1226">
        <f t="shared" si="134"/>
        <v>0</v>
      </c>
      <c r="AE244" s="937">
        <f t="shared" si="127"/>
        <v>0</v>
      </c>
      <c r="AF244" s="937">
        <f t="shared" si="128"/>
        <v>0</v>
      </c>
      <c r="AG244" s="937">
        <f t="shared" si="129"/>
        <v>0</v>
      </c>
      <c r="AH244" s="1172">
        <f t="shared" si="135"/>
        <v>0</v>
      </c>
      <c r="AI244" s="937">
        <f t="shared" si="136"/>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30"/>
        <v>0</v>
      </c>
      <c r="N245" s="298">
        <f t="shared" si="131"/>
        <v>0</v>
      </c>
      <c r="O245" s="344">
        <v>0</v>
      </c>
      <c r="P245" s="345">
        <v>0</v>
      </c>
      <c r="Q245" s="345">
        <v>0</v>
      </c>
      <c r="R245" s="345">
        <v>0</v>
      </c>
      <c r="S245" s="345">
        <v>0</v>
      </c>
      <c r="T245" s="345">
        <v>0</v>
      </c>
      <c r="U245" s="345">
        <v>0</v>
      </c>
      <c r="V245" s="345">
        <v>0</v>
      </c>
      <c r="W245" s="345">
        <v>0</v>
      </c>
      <c r="X245" s="345">
        <v>0</v>
      </c>
      <c r="Y245" s="380">
        <v>0</v>
      </c>
      <c r="Z245" s="296">
        <f t="shared" si="132"/>
        <v>0</v>
      </c>
      <c r="AA245" s="298">
        <f t="shared" si="133"/>
        <v>0</v>
      </c>
      <c r="AB245" s="948">
        <f t="array" ref="AB245">IF(AND($AD$228=TRUE,SUM(B245:L245)&gt;0),SUMPRODUCT((((TRANSPOSE(Cls2CentDailyRng)&lt;INDEX(CDRANGE_CLS2,$A245-$A$233+1,AD$229))*TRANSPOSE(Cls2CentDailyRng)+(TRANSPOSE(Cls2CentDailyRng)&gt;INDEX(CDRANGE_CLS2,$A245-$A$233+1,AD$229))*INDEX(CDRANGE_CLS2,$A245-$A$233+1,AD$229))/TRANSPOSE(Cls2CentDailyRng)),B245:L245,TRANSPOSE(Cls2CentVMTShr))/SUMPRODUCT(B245:L245,TRANSPOSE(Cls2CentVMTShr)),0)</f>
        <v>0</v>
      </c>
      <c r="AC245" s="949">
        <f t="array" ref="AC245">IF(AND($AD$228=TRUE,SUM(O245:Y245)&gt;0),SUMPRODUCT((((TRANSPOSE(Cls2NCentDailyRng)&lt;INDEX(CDRANGE_CLS2,$A245-$A$233+1,AD$229))*TRANSPOSE(Cls2NCentDailyRng)+(TRANSPOSE(Cls2NCentDailyRng)&gt;INDEX(CDRANGE_CLS2,$A245-$A$233+1,AD$229))*INDEX(CDRANGE_CLS2,$A245-$A$233+1,AD$229))/TRANSPOSE(Cls2NCentDailyRng)),O245:Y245,TRANSPOSE(Cls2NCentVMTShr))/SUMPRODUCT(O245:Y245,TRANSPOSE(Cls2NCentVMTShr)),0)</f>
        <v>0</v>
      </c>
      <c r="AD245" s="1226">
        <f t="shared" si="134"/>
        <v>0</v>
      </c>
      <c r="AE245" s="937">
        <f t="shared" si="127"/>
        <v>0</v>
      </c>
      <c r="AF245" s="937">
        <f t="shared" si="128"/>
        <v>0</v>
      </c>
      <c r="AG245" s="937">
        <f t="shared" si="129"/>
        <v>0</v>
      </c>
      <c r="AH245" s="1172">
        <f t="shared" si="135"/>
        <v>0</v>
      </c>
      <c r="AI245" s="937">
        <f t="shared" si="136"/>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30"/>
        <v>0</v>
      </c>
      <c r="N246" s="312">
        <f t="shared" si="131"/>
        <v>0</v>
      </c>
      <c r="O246" s="346">
        <v>0</v>
      </c>
      <c r="P246" s="347">
        <v>0</v>
      </c>
      <c r="Q246" s="347">
        <v>0</v>
      </c>
      <c r="R246" s="347">
        <v>0</v>
      </c>
      <c r="S246" s="347">
        <v>0</v>
      </c>
      <c r="T246" s="347">
        <v>0</v>
      </c>
      <c r="U246" s="347">
        <v>0</v>
      </c>
      <c r="V246" s="347">
        <v>0</v>
      </c>
      <c r="W246" s="347">
        <v>0</v>
      </c>
      <c r="X246" s="347">
        <v>0</v>
      </c>
      <c r="Y246" s="381">
        <v>0</v>
      </c>
      <c r="Z246" s="310">
        <f t="shared" si="132"/>
        <v>0</v>
      </c>
      <c r="AA246" s="312">
        <f t="shared" si="133"/>
        <v>0</v>
      </c>
      <c r="AB246" s="948">
        <f t="array" ref="AB246">IF(AND($AD$228=TRUE,SUM(B246:L246)&gt;0),SUMPRODUCT((((TRANSPOSE(Cls2CentDailyRng)&lt;INDEX(CDRANGE_CLS2,$A246-$A$233+1,AD$229))*TRANSPOSE(Cls2CentDailyRng)+(TRANSPOSE(Cls2CentDailyRng)&gt;INDEX(CDRANGE_CLS2,$A246-$A$233+1,AD$229))*INDEX(CDRANGE_CLS2,$A246-$A$233+1,AD$229))/TRANSPOSE(Cls2CentDailyRng)),B246:L246,TRANSPOSE(Cls2CentVMTShr))/SUMPRODUCT(B246:L246,TRANSPOSE(Cls2CentVMTShr)),0)</f>
        <v>0</v>
      </c>
      <c r="AC246" s="949">
        <f t="array" ref="AC246">IF(AND($AD$228=TRUE,SUM(O246:Y246)&gt;0),SUMPRODUCT((((TRANSPOSE(Cls2NCentDailyRng)&lt;INDEX(CDRANGE_CLS2,$A246-$A$233+1,AD$229))*TRANSPOSE(Cls2NCentDailyRng)+(TRANSPOSE(Cls2NCentDailyRng)&gt;INDEX(CDRANGE_CLS2,$A246-$A$233+1,AD$229))*INDEX(CDRANGE_CLS2,$A246-$A$233+1,AD$229))/TRANSPOSE(Cls2NCentDailyRng)),O246:Y246,TRANSPOSE(Cls2NCentVMTShr))/SUMPRODUCT(O246:Y246,TRANSPOSE(Cls2NCentVMTShr)),0)</f>
        <v>0</v>
      </c>
      <c r="AD246" s="1226">
        <f t="shared" si="134"/>
        <v>0</v>
      </c>
      <c r="AE246" s="937">
        <f t="shared" si="127"/>
        <v>0</v>
      </c>
      <c r="AF246" s="937">
        <f t="shared" si="128"/>
        <v>0</v>
      </c>
      <c r="AG246" s="937">
        <f t="shared" si="129"/>
        <v>0</v>
      </c>
      <c r="AH246" s="1172">
        <f t="shared" si="135"/>
        <v>0</v>
      </c>
      <c r="AI246" s="937">
        <f t="shared" si="136"/>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30"/>
        <v>0</v>
      </c>
      <c r="N247" s="284">
        <f t="shared" si="131"/>
        <v>0</v>
      </c>
      <c r="O247" s="342">
        <v>0</v>
      </c>
      <c r="P247" s="343">
        <v>0</v>
      </c>
      <c r="Q247" s="343">
        <v>0</v>
      </c>
      <c r="R247" s="343">
        <v>0</v>
      </c>
      <c r="S247" s="343">
        <v>0</v>
      </c>
      <c r="T247" s="343">
        <v>0</v>
      </c>
      <c r="U247" s="343">
        <v>0</v>
      </c>
      <c r="V247" s="343">
        <v>0</v>
      </c>
      <c r="W247" s="343">
        <v>0</v>
      </c>
      <c r="X247" s="343">
        <v>0</v>
      </c>
      <c r="Y247" s="379">
        <v>0</v>
      </c>
      <c r="Z247" s="282">
        <f t="shared" si="132"/>
        <v>0</v>
      </c>
      <c r="AA247" s="284">
        <f t="shared" si="133"/>
        <v>0</v>
      </c>
      <c r="AB247" s="948">
        <f t="array" ref="AB247">IF(AND($AD$228=TRUE,SUM(B247:L247)&gt;0),SUMPRODUCT((((TRANSPOSE(Cls2CentDailyRng)&lt;INDEX(CDRANGE_CLS2,$A247-$A$233+1,AD$229))*TRANSPOSE(Cls2CentDailyRng)+(TRANSPOSE(Cls2CentDailyRng)&gt;INDEX(CDRANGE_CLS2,$A247-$A$233+1,AD$229))*INDEX(CDRANGE_CLS2,$A247-$A$233+1,AD$229))/TRANSPOSE(Cls2CentDailyRng)),B247:L247,TRANSPOSE(Cls2CentVMTShr))/SUMPRODUCT(B247:L247,TRANSPOSE(Cls2CentVMTShr)),0)</f>
        <v>0</v>
      </c>
      <c r="AC247" s="949">
        <f t="array" ref="AC247">IF(AND($AD$228=TRUE,SUM(O247:Y247)&gt;0),SUMPRODUCT((((TRANSPOSE(Cls2NCentDailyRng)&lt;INDEX(CDRANGE_CLS2,$A247-$A$233+1,AD$229))*TRANSPOSE(Cls2NCentDailyRng)+(TRANSPOSE(Cls2NCentDailyRng)&gt;INDEX(CDRANGE_CLS2,$A247-$A$233+1,AD$229))*INDEX(CDRANGE_CLS2,$A247-$A$233+1,AD$229))/TRANSPOSE(Cls2NCentDailyRng)),O247:Y247,TRANSPOSE(Cls2NCentVMTShr))/SUMPRODUCT(O247:Y247,TRANSPOSE(Cls2NCentVMTShr)),0)</f>
        <v>0</v>
      </c>
      <c r="AD247" s="1226">
        <f t="shared" si="134"/>
        <v>0</v>
      </c>
      <c r="AE247" s="937">
        <f t="shared" si="127"/>
        <v>0</v>
      </c>
      <c r="AF247" s="937">
        <f t="shared" si="128"/>
        <v>0</v>
      </c>
      <c r="AG247" s="937">
        <f t="shared" si="129"/>
        <v>0</v>
      </c>
      <c r="AH247" s="1172">
        <f t="shared" si="135"/>
        <v>0</v>
      </c>
      <c r="AI247" s="937">
        <f t="shared" si="136"/>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30"/>
        <v>0</v>
      </c>
      <c r="N248" s="298">
        <f t="shared" si="131"/>
        <v>0</v>
      </c>
      <c r="O248" s="344">
        <v>0</v>
      </c>
      <c r="P248" s="345">
        <v>0</v>
      </c>
      <c r="Q248" s="345">
        <v>0</v>
      </c>
      <c r="R248" s="345">
        <v>0</v>
      </c>
      <c r="S248" s="345">
        <v>0</v>
      </c>
      <c r="T248" s="345">
        <v>0</v>
      </c>
      <c r="U248" s="345">
        <v>0</v>
      </c>
      <c r="V248" s="345">
        <v>0</v>
      </c>
      <c r="W248" s="345">
        <v>0</v>
      </c>
      <c r="X248" s="345">
        <v>0</v>
      </c>
      <c r="Y248" s="380">
        <v>0</v>
      </c>
      <c r="Z248" s="296">
        <f t="shared" si="132"/>
        <v>0</v>
      </c>
      <c r="AA248" s="298">
        <f t="shared" si="133"/>
        <v>0</v>
      </c>
      <c r="AB248" s="948">
        <f t="array" ref="AB248">IF(AND($AD$228=TRUE,SUM(B248:L248)&gt;0),SUMPRODUCT((((TRANSPOSE(Cls2CentDailyRng)&lt;INDEX(CDRANGE_CLS2,$A248-$A$233+1,AD$229))*TRANSPOSE(Cls2CentDailyRng)+(TRANSPOSE(Cls2CentDailyRng)&gt;INDEX(CDRANGE_CLS2,$A248-$A$233+1,AD$229))*INDEX(CDRANGE_CLS2,$A248-$A$233+1,AD$229))/TRANSPOSE(Cls2CentDailyRng)),B248:L248,TRANSPOSE(Cls2CentVMTShr))/SUMPRODUCT(B248:L248,TRANSPOSE(Cls2CentVMTShr)),0)</f>
        <v>0</v>
      </c>
      <c r="AC248" s="949">
        <f t="array" ref="AC248">IF(AND($AD$228=TRUE,SUM(O248:Y248)&gt;0),SUMPRODUCT((((TRANSPOSE(Cls2NCentDailyRng)&lt;INDEX(CDRANGE_CLS2,$A248-$A$233+1,AD$229))*TRANSPOSE(Cls2NCentDailyRng)+(TRANSPOSE(Cls2NCentDailyRng)&gt;INDEX(CDRANGE_CLS2,$A248-$A$233+1,AD$229))*INDEX(CDRANGE_CLS2,$A248-$A$233+1,AD$229))/TRANSPOSE(Cls2NCentDailyRng)),O248:Y248,TRANSPOSE(Cls2NCentVMTShr))/SUMPRODUCT(O248:Y248,TRANSPOSE(Cls2NCentVMTShr)),0)</f>
        <v>0</v>
      </c>
      <c r="AD248" s="1226">
        <f t="shared" si="134"/>
        <v>0</v>
      </c>
      <c r="AE248" s="937">
        <f>SUMPRODUCT($B$74:$L$74,B248:L248)</f>
        <v>0</v>
      </c>
      <c r="AF248" s="937">
        <f>SUMPRODUCT($O$74:$Y$74,O248:Y248)</f>
        <v>0</v>
      </c>
      <c r="AG248" s="937">
        <f>SUM(AE248:AF248)</f>
        <v>0</v>
      </c>
      <c r="AH248" s="1172">
        <f t="shared" si="135"/>
        <v>0</v>
      </c>
      <c r="AI248" s="937">
        <f t="shared" si="136"/>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30"/>
        <v>0</v>
      </c>
      <c r="N249" s="298">
        <f t="shared" si="131"/>
        <v>0</v>
      </c>
      <c r="O249" s="344">
        <v>0</v>
      </c>
      <c r="P249" s="345">
        <v>0</v>
      </c>
      <c r="Q249" s="345">
        <v>0</v>
      </c>
      <c r="R249" s="345">
        <v>0</v>
      </c>
      <c r="S249" s="345">
        <v>0</v>
      </c>
      <c r="T249" s="345">
        <v>0</v>
      </c>
      <c r="U249" s="345">
        <v>0</v>
      </c>
      <c r="V249" s="345">
        <v>0</v>
      </c>
      <c r="W249" s="345">
        <v>0</v>
      </c>
      <c r="X249" s="345">
        <v>0</v>
      </c>
      <c r="Y249" s="380">
        <v>0</v>
      </c>
      <c r="Z249" s="296">
        <f t="shared" si="132"/>
        <v>0</v>
      </c>
      <c r="AA249" s="298">
        <f t="shared" si="133"/>
        <v>0</v>
      </c>
      <c r="AB249" s="948">
        <f t="array" ref="AB249">IF(AND($AD$228=TRUE,SUM(B249:L249)&gt;0),SUMPRODUCT((((TRANSPOSE(Cls2CentDailyRng)&lt;INDEX(CDRANGE_CLS2,$A249-$A$233+1,AD$229))*TRANSPOSE(Cls2CentDailyRng)+(TRANSPOSE(Cls2CentDailyRng)&gt;INDEX(CDRANGE_CLS2,$A249-$A$233+1,AD$229))*INDEX(CDRANGE_CLS2,$A249-$A$233+1,AD$229))/TRANSPOSE(Cls2CentDailyRng)),B249:L249,TRANSPOSE(Cls2CentVMTShr))/SUMPRODUCT(B249:L249,TRANSPOSE(Cls2CentVMTShr)),0)</f>
        <v>0</v>
      </c>
      <c r="AC249" s="949">
        <f t="array" ref="AC249">IF(AND($AD$228=TRUE,SUM(O249:Y249)&gt;0),SUMPRODUCT((((TRANSPOSE(Cls2NCentDailyRng)&lt;INDEX(CDRANGE_CLS2,$A249-$A$233+1,AD$229))*TRANSPOSE(Cls2NCentDailyRng)+(TRANSPOSE(Cls2NCentDailyRng)&gt;INDEX(CDRANGE_CLS2,$A249-$A$233+1,AD$229))*INDEX(CDRANGE_CLS2,$A249-$A$233+1,AD$229))/TRANSPOSE(Cls2NCentDailyRng)),O249:Y249,TRANSPOSE(Cls2NCentVMTShr))/SUMPRODUCT(O249:Y249,TRANSPOSE(Cls2NCentVMTShr)),0)</f>
        <v>0</v>
      </c>
      <c r="AD249" s="1226">
        <f t="shared" si="134"/>
        <v>0</v>
      </c>
      <c r="AE249" s="937">
        <f t="shared" ref="AE249:AE275" si="137">SUMPRODUCT($B$74:$L$74,B249:L249)</f>
        <v>0</v>
      </c>
      <c r="AF249" s="937">
        <f t="shared" ref="AF249:AF275" si="138">SUMPRODUCT($O$74:$Y$74,O249:Y249)</f>
        <v>0</v>
      </c>
      <c r="AG249" s="937">
        <f t="shared" ref="AG249:AG275" si="139">SUM(AE249:AF249)</f>
        <v>0</v>
      </c>
      <c r="AH249" s="1172">
        <f t="shared" si="135"/>
        <v>0</v>
      </c>
      <c r="AI249" s="937">
        <f t="shared" si="136"/>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30"/>
        <v>0</v>
      </c>
      <c r="N250" s="298">
        <f t="shared" si="131"/>
        <v>0</v>
      </c>
      <c r="O250" s="344">
        <v>0</v>
      </c>
      <c r="P250" s="345">
        <v>0</v>
      </c>
      <c r="Q250" s="345">
        <v>0</v>
      </c>
      <c r="R250" s="345">
        <v>0</v>
      </c>
      <c r="S250" s="345">
        <v>0</v>
      </c>
      <c r="T250" s="345">
        <v>0</v>
      </c>
      <c r="U250" s="345">
        <v>0</v>
      </c>
      <c r="V250" s="345">
        <v>0</v>
      </c>
      <c r="W250" s="345">
        <v>0</v>
      </c>
      <c r="X250" s="345">
        <v>0</v>
      </c>
      <c r="Y250" s="380">
        <v>0</v>
      </c>
      <c r="Z250" s="296">
        <f t="shared" si="132"/>
        <v>0</v>
      </c>
      <c r="AA250" s="298">
        <f t="shared" si="133"/>
        <v>0</v>
      </c>
      <c r="AB250" s="948">
        <f t="array" ref="AB250">IF(AND($AD$228=TRUE,SUM(B250:L250)&gt;0),SUMPRODUCT((((TRANSPOSE(Cls2CentDailyRng)&lt;INDEX(CDRANGE_CLS2,$A250-$A$233+1,AD$229))*TRANSPOSE(Cls2CentDailyRng)+(TRANSPOSE(Cls2CentDailyRng)&gt;INDEX(CDRANGE_CLS2,$A250-$A$233+1,AD$229))*INDEX(CDRANGE_CLS2,$A250-$A$233+1,AD$229))/TRANSPOSE(Cls2CentDailyRng)),B250:L250,TRANSPOSE(Cls2CentVMTShr))/SUMPRODUCT(B250:L250,TRANSPOSE(Cls2CentVMTShr)),0)</f>
        <v>0</v>
      </c>
      <c r="AC250" s="949">
        <f t="array" ref="AC250">IF(AND($AD$228=TRUE,SUM(O250:Y250)&gt;0),SUMPRODUCT((((TRANSPOSE(Cls2NCentDailyRng)&lt;INDEX(CDRANGE_CLS2,$A250-$A$233+1,AD$229))*TRANSPOSE(Cls2NCentDailyRng)+(TRANSPOSE(Cls2NCentDailyRng)&gt;INDEX(CDRANGE_CLS2,$A250-$A$233+1,AD$229))*INDEX(CDRANGE_CLS2,$A250-$A$233+1,AD$229))/TRANSPOSE(Cls2NCentDailyRng)),O250:Y250,TRANSPOSE(Cls2NCentVMTShr))/SUMPRODUCT(O250:Y250,TRANSPOSE(Cls2NCentVMTShr)),0)</f>
        <v>0</v>
      </c>
      <c r="AD250" s="1226">
        <f t="shared" si="134"/>
        <v>0</v>
      </c>
      <c r="AE250" s="937">
        <f t="shared" si="137"/>
        <v>0</v>
      </c>
      <c r="AF250" s="937">
        <f t="shared" si="138"/>
        <v>0</v>
      </c>
      <c r="AG250" s="937">
        <f t="shared" si="139"/>
        <v>0</v>
      </c>
      <c r="AH250" s="1172">
        <f t="shared" si="135"/>
        <v>0</v>
      </c>
      <c r="AI250" s="937">
        <f t="shared" si="136"/>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30"/>
        <v>0</v>
      </c>
      <c r="N251" s="312">
        <f t="shared" si="131"/>
        <v>0</v>
      </c>
      <c r="O251" s="346">
        <v>0</v>
      </c>
      <c r="P251" s="347">
        <v>0</v>
      </c>
      <c r="Q251" s="347">
        <v>0</v>
      </c>
      <c r="R251" s="347">
        <v>0</v>
      </c>
      <c r="S251" s="347">
        <v>0</v>
      </c>
      <c r="T251" s="347">
        <v>0</v>
      </c>
      <c r="U251" s="347">
        <v>0</v>
      </c>
      <c r="V251" s="347">
        <v>0</v>
      </c>
      <c r="W251" s="347">
        <v>0</v>
      </c>
      <c r="X251" s="347">
        <v>0</v>
      </c>
      <c r="Y251" s="381">
        <v>0</v>
      </c>
      <c r="Z251" s="310">
        <f t="shared" si="132"/>
        <v>0</v>
      </c>
      <c r="AA251" s="312">
        <f t="shared" si="133"/>
        <v>0</v>
      </c>
      <c r="AB251" s="948">
        <f t="array" ref="AB251">IF(AND($AD$228=TRUE,SUM(B251:L251)&gt;0),SUMPRODUCT((((TRANSPOSE(Cls2CentDailyRng)&lt;INDEX(CDRANGE_CLS2,$A251-$A$233+1,AD$229))*TRANSPOSE(Cls2CentDailyRng)+(TRANSPOSE(Cls2CentDailyRng)&gt;INDEX(CDRANGE_CLS2,$A251-$A$233+1,AD$229))*INDEX(CDRANGE_CLS2,$A251-$A$233+1,AD$229))/TRANSPOSE(Cls2CentDailyRng)),B251:L251,TRANSPOSE(Cls2CentVMTShr))/SUMPRODUCT(B251:L251,TRANSPOSE(Cls2CentVMTShr)),0)</f>
        <v>0</v>
      </c>
      <c r="AC251" s="949">
        <f t="array" ref="AC251">IF(AND($AD$228=TRUE,SUM(O251:Y251)&gt;0),SUMPRODUCT((((TRANSPOSE(Cls2NCentDailyRng)&lt;INDEX(CDRANGE_CLS2,$A251-$A$233+1,AD$229))*TRANSPOSE(Cls2NCentDailyRng)+(TRANSPOSE(Cls2NCentDailyRng)&gt;INDEX(CDRANGE_CLS2,$A251-$A$233+1,AD$229))*INDEX(CDRANGE_CLS2,$A251-$A$233+1,AD$229))/TRANSPOSE(Cls2NCentDailyRng)),O251:Y251,TRANSPOSE(Cls2NCentVMTShr))/SUMPRODUCT(O251:Y251,TRANSPOSE(Cls2NCentVMTShr)),0)</f>
        <v>0</v>
      </c>
      <c r="AD251" s="1226">
        <f t="shared" si="134"/>
        <v>0</v>
      </c>
      <c r="AE251" s="937">
        <f t="shared" si="137"/>
        <v>0</v>
      </c>
      <c r="AF251" s="937">
        <f t="shared" si="138"/>
        <v>0</v>
      </c>
      <c r="AG251" s="937">
        <f t="shared" si="139"/>
        <v>0</v>
      </c>
      <c r="AH251" s="1172">
        <f t="shared" si="135"/>
        <v>0</v>
      </c>
      <c r="AI251" s="937">
        <f t="shared" si="136"/>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30"/>
        <v>0</v>
      </c>
      <c r="N252" s="284">
        <f t="shared" si="131"/>
        <v>0</v>
      </c>
      <c r="O252" s="342">
        <v>0</v>
      </c>
      <c r="P252" s="343">
        <v>0</v>
      </c>
      <c r="Q252" s="343">
        <v>0</v>
      </c>
      <c r="R252" s="343">
        <v>0</v>
      </c>
      <c r="S252" s="343">
        <v>0</v>
      </c>
      <c r="T252" s="343">
        <v>0</v>
      </c>
      <c r="U252" s="343">
        <v>0</v>
      </c>
      <c r="V252" s="343">
        <v>0</v>
      </c>
      <c r="W252" s="343">
        <v>0</v>
      </c>
      <c r="X252" s="343">
        <v>0</v>
      </c>
      <c r="Y252" s="379">
        <v>0</v>
      </c>
      <c r="Z252" s="282">
        <f t="shared" si="132"/>
        <v>0</v>
      </c>
      <c r="AA252" s="284">
        <f t="shared" si="133"/>
        <v>0</v>
      </c>
      <c r="AB252" s="948">
        <f t="array" ref="AB252">IF(AND($AD$228=TRUE,SUM(B252:L252)&gt;0),SUMPRODUCT((((TRANSPOSE(Cls2CentDailyRng)&lt;INDEX(CDRANGE_CLS2,$A252-$A$233+1,AD$229))*TRANSPOSE(Cls2CentDailyRng)+(TRANSPOSE(Cls2CentDailyRng)&gt;INDEX(CDRANGE_CLS2,$A252-$A$233+1,AD$229))*INDEX(CDRANGE_CLS2,$A252-$A$233+1,AD$229))/TRANSPOSE(Cls2CentDailyRng)),B252:L252,TRANSPOSE(Cls2CentVMTShr))/SUMPRODUCT(B252:L252,TRANSPOSE(Cls2CentVMTShr)),0)</f>
        <v>0</v>
      </c>
      <c r="AC252" s="949">
        <f t="array" ref="AC252">IF(AND($AD$228=TRUE,SUM(O252:Y252)&gt;0),SUMPRODUCT((((TRANSPOSE(Cls2NCentDailyRng)&lt;INDEX(CDRANGE_CLS2,$A252-$A$233+1,AD$229))*TRANSPOSE(Cls2NCentDailyRng)+(TRANSPOSE(Cls2NCentDailyRng)&gt;INDEX(CDRANGE_CLS2,$A252-$A$233+1,AD$229))*INDEX(CDRANGE_CLS2,$A252-$A$233+1,AD$229))/TRANSPOSE(Cls2NCentDailyRng)),O252:Y252,TRANSPOSE(Cls2NCentVMTShr))/SUMPRODUCT(O252:Y252,TRANSPOSE(Cls2NCentVMTShr)),0)</f>
        <v>0</v>
      </c>
      <c r="AD252" s="1226">
        <f t="shared" si="134"/>
        <v>0</v>
      </c>
      <c r="AE252" s="937">
        <f t="shared" si="137"/>
        <v>0</v>
      </c>
      <c r="AF252" s="937">
        <f t="shared" si="138"/>
        <v>0</v>
      </c>
      <c r="AG252" s="937">
        <f t="shared" si="139"/>
        <v>0</v>
      </c>
      <c r="AH252" s="1172">
        <f t="shared" si="135"/>
        <v>0</v>
      </c>
      <c r="AI252" s="937">
        <f t="shared" si="136"/>
        <v>0</v>
      </c>
    </row>
    <row r="253" spans="1:35" x14ac:dyDescent="0.2">
      <c r="A253" s="330">
        <v>2027</v>
      </c>
      <c r="B253" s="344">
        <v>0</v>
      </c>
      <c r="C253" s="345">
        <v>0</v>
      </c>
      <c r="D253" s="345">
        <v>0</v>
      </c>
      <c r="E253" s="345">
        <v>0</v>
      </c>
      <c r="F253" s="345">
        <v>0</v>
      </c>
      <c r="G253" s="345">
        <v>0</v>
      </c>
      <c r="H253" s="345">
        <v>0</v>
      </c>
      <c r="I253" s="345">
        <v>0</v>
      </c>
      <c r="J253" s="345">
        <v>0</v>
      </c>
      <c r="K253" s="345">
        <v>0</v>
      </c>
      <c r="L253" s="380">
        <v>0</v>
      </c>
      <c r="M253" s="296">
        <f t="shared" si="130"/>
        <v>0</v>
      </c>
      <c r="N253" s="298">
        <f t="shared" si="131"/>
        <v>0</v>
      </c>
      <c r="O253" s="344">
        <v>0</v>
      </c>
      <c r="P253" s="345">
        <v>0</v>
      </c>
      <c r="Q253" s="345">
        <v>0</v>
      </c>
      <c r="R253" s="345">
        <v>0</v>
      </c>
      <c r="S253" s="345">
        <v>0</v>
      </c>
      <c r="T253" s="345">
        <v>0</v>
      </c>
      <c r="U253" s="345">
        <v>0</v>
      </c>
      <c r="V253" s="345">
        <v>0</v>
      </c>
      <c r="W253" s="345">
        <v>0</v>
      </c>
      <c r="X253" s="345">
        <v>0</v>
      </c>
      <c r="Y253" s="380">
        <v>0</v>
      </c>
      <c r="Z253" s="296">
        <f t="shared" si="132"/>
        <v>0</v>
      </c>
      <c r="AA253" s="298">
        <f t="shared" si="133"/>
        <v>0</v>
      </c>
      <c r="AB253" s="948">
        <f t="array" ref="AB253">IF(AND($AD$228=TRUE,SUM(B253:L253)&gt;0),SUMPRODUCT((((TRANSPOSE(Cls2CentDailyRng)&lt;INDEX(CDRANGE_CLS2,$A253-$A$233+1,AD$229))*TRANSPOSE(Cls2CentDailyRng)+(TRANSPOSE(Cls2CentDailyRng)&gt;INDEX(CDRANGE_CLS2,$A253-$A$233+1,AD$229))*INDEX(CDRANGE_CLS2,$A253-$A$233+1,AD$229))/TRANSPOSE(Cls2CentDailyRng)),B253:L253,TRANSPOSE(Cls2CentVMTShr))/SUMPRODUCT(B253:L253,TRANSPOSE(Cls2CentVMTShr)),0)</f>
        <v>0</v>
      </c>
      <c r="AC253" s="949">
        <f t="array" ref="AC253">IF(AND($AD$228=TRUE,SUM(O253:Y253)&gt;0),SUMPRODUCT((((TRANSPOSE(Cls2NCentDailyRng)&lt;INDEX(CDRANGE_CLS2,$A253-$A$233+1,AD$229))*TRANSPOSE(Cls2NCentDailyRng)+(TRANSPOSE(Cls2NCentDailyRng)&gt;INDEX(CDRANGE_CLS2,$A253-$A$233+1,AD$229))*INDEX(CDRANGE_CLS2,$A253-$A$233+1,AD$229))/TRANSPOSE(Cls2NCentDailyRng)),O253:Y253,TRANSPOSE(Cls2NCentVMTShr))/SUMPRODUCT(O253:Y253,TRANSPOSE(Cls2NCentVMTShr)),0)</f>
        <v>0</v>
      </c>
      <c r="AD253" s="1226">
        <f t="shared" si="134"/>
        <v>0</v>
      </c>
      <c r="AE253" s="937">
        <f t="shared" si="137"/>
        <v>0</v>
      </c>
      <c r="AF253" s="937">
        <f t="shared" si="138"/>
        <v>0</v>
      </c>
      <c r="AG253" s="937">
        <f t="shared" si="139"/>
        <v>0</v>
      </c>
      <c r="AH253" s="1172">
        <f t="shared" si="135"/>
        <v>0</v>
      </c>
      <c r="AI253" s="937">
        <f t="shared" si="136"/>
        <v>0</v>
      </c>
    </row>
    <row r="254" spans="1:35" x14ac:dyDescent="0.2">
      <c r="A254" s="330">
        <v>2028</v>
      </c>
      <c r="B254" s="344">
        <v>0</v>
      </c>
      <c r="C254" s="345">
        <v>0</v>
      </c>
      <c r="D254" s="345">
        <v>0</v>
      </c>
      <c r="E254" s="345">
        <v>0</v>
      </c>
      <c r="F254" s="345">
        <v>0</v>
      </c>
      <c r="G254" s="345">
        <v>0</v>
      </c>
      <c r="H254" s="345">
        <v>0</v>
      </c>
      <c r="I254" s="345">
        <v>0</v>
      </c>
      <c r="J254" s="345">
        <v>0</v>
      </c>
      <c r="K254" s="345">
        <v>0</v>
      </c>
      <c r="L254" s="380">
        <v>0</v>
      </c>
      <c r="M254" s="296">
        <f t="shared" si="130"/>
        <v>0</v>
      </c>
      <c r="N254" s="298">
        <f t="shared" si="131"/>
        <v>0</v>
      </c>
      <c r="O254" s="344">
        <v>0</v>
      </c>
      <c r="P254" s="345">
        <v>0</v>
      </c>
      <c r="Q254" s="345">
        <v>0</v>
      </c>
      <c r="R254" s="345">
        <v>0</v>
      </c>
      <c r="S254" s="345">
        <v>0</v>
      </c>
      <c r="T254" s="345">
        <v>0</v>
      </c>
      <c r="U254" s="345">
        <v>0</v>
      </c>
      <c r="V254" s="345">
        <v>0</v>
      </c>
      <c r="W254" s="345">
        <v>0</v>
      </c>
      <c r="X254" s="345">
        <v>0</v>
      </c>
      <c r="Y254" s="380">
        <v>0</v>
      </c>
      <c r="Z254" s="296">
        <f t="shared" si="132"/>
        <v>0</v>
      </c>
      <c r="AA254" s="298">
        <f t="shared" si="133"/>
        <v>0</v>
      </c>
      <c r="AB254" s="948">
        <f t="array" ref="AB254">IF(AND($AD$228=TRUE,SUM(B254:L254)&gt;0),SUMPRODUCT((((TRANSPOSE(Cls2CentDailyRng)&lt;INDEX(CDRANGE_CLS2,$A254-$A$233+1,AD$229))*TRANSPOSE(Cls2CentDailyRng)+(TRANSPOSE(Cls2CentDailyRng)&gt;INDEX(CDRANGE_CLS2,$A254-$A$233+1,AD$229))*INDEX(CDRANGE_CLS2,$A254-$A$233+1,AD$229))/TRANSPOSE(Cls2CentDailyRng)),B254:L254,TRANSPOSE(Cls2CentVMTShr))/SUMPRODUCT(B254:L254,TRANSPOSE(Cls2CentVMTShr)),0)</f>
        <v>0</v>
      </c>
      <c r="AC254" s="949">
        <f t="array" ref="AC254">IF(AND($AD$228=TRUE,SUM(O254:Y254)&gt;0),SUMPRODUCT((((TRANSPOSE(Cls2NCentDailyRng)&lt;INDEX(CDRANGE_CLS2,$A254-$A$233+1,AD$229))*TRANSPOSE(Cls2NCentDailyRng)+(TRANSPOSE(Cls2NCentDailyRng)&gt;INDEX(CDRANGE_CLS2,$A254-$A$233+1,AD$229))*INDEX(CDRANGE_CLS2,$A254-$A$233+1,AD$229))/TRANSPOSE(Cls2NCentDailyRng)),O254:Y254,TRANSPOSE(Cls2NCentVMTShr))/SUMPRODUCT(O254:Y254,TRANSPOSE(Cls2NCentVMTShr)),0)</f>
        <v>0</v>
      </c>
      <c r="AD254" s="1226">
        <f t="shared" si="134"/>
        <v>0</v>
      </c>
      <c r="AE254" s="937">
        <f t="shared" si="137"/>
        <v>0</v>
      </c>
      <c r="AF254" s="937">
        <f t="shared" si="138"/>
        <v>0</v>
      </c>
      <c r="AG254" s="937">
        <f t="shared" si="139"/>
        <v>0</v>
      </c>
      <c r="AH254" s="1172">
        <f t="shared" si="135"/>
        <v>0</v>
      </c>
      <c r="AI254" s="937">
        <f t="shared" si="136"/>
        <v>0</v>
      </c>
    </row>
    <row r="255" spans="1:35" x14ac:dyDescent="0.2">
      <c r="A255" s="330">
        <v>2029</v>
      </c>
      <c r="B255" s="344">
        <v>0</v>
      </c>
      <c r="C255" s="345">
        <v>0</v>
      </c>
      <c r="D255" s="345">
        <v>0</v>
      </c>
      <c r="E255" s="345">
        <v>0</v>
      </c>
      <c r="F255" s="345">
        <v>0</v>
      </c>
      <c r="G255" s="345">
        <v>0</v>
      </c>
      <c r="H255" s="345">
        <v>0</v>
      </c>
      <c r="I255" s="345">
        <v>0</v>
      </c>
      <c r="J255" s="345">
        <v>0</v>
      </c>
      <c r="K255" s="345">
        <v>0</v>
      </c>
      <c r="L255" s="380">
        <v>0</v>
      </c>
      <c r="M255" s="296">
        <f t="shared" si="130"/>
        <v>0</v>
      </c>
      <c r="N255" s="298">
        <f t="shared" si="131"/>
        <v>0</v>
      </c>
      <c r="O255" s="344">
        <v>0</v>
      </c>
      <c r="P255" s="345">
        <v>0</v>
      </c>
      <c r="Q255" s="345">
        <v>0</v>
      </c>
      <c r="R255" s="345">
        <v>0</v>
      </c>
      <c r="S255" s="345">
        <v>0</v>
      </c>
      <c r="T255" s="345">
        <v>0</v>
      </c>
      <c r="U255" s="345">
        <v>0</v>
      </c>
      <c r="V255" s="345">
        <v>0</v>
      </c>
      <c r="W255" s="345">
        <v>0</v>
      </c>
      <c r="X255" s="345">
        <v>0</v>
      </c>
      <c r="Y255" s="380">
        <v>0</v>
      </c>
      <c r="Z255" s="296">
        <f t="shared" si="132"/>
        <v>0</v>
      </c>
      <c r="AA255" s="298">
        <f t="shared" si="133"/>
        <v>0</v>
      </c>
      <c r="AB255" s="948">
        <f t="array" ref="AB255">IF(AND($AD$228=TRUE,SUM(B255:L255)&gt;0),SUMPRODUCT((((TRANSPOSE(Cls2CentDailyRng)&lt;INDEX(CDRANGE_CLS2,$A255-$A$233+1,AD$229))*TRANSPOSE(Cls2CentDailyRng)+(TRANSPOSE(Cls2CentDailyRng)&gt;INDEX(CDRANGE_CLS2,$A255-$A$233+1,AD$229))*INDEX(CDRANGE_CLS2,$A255-$A$233+1,AD$229))/TRANSPOSE(Cls2CentDailyRng)),B255:L255,TRANSPOSE(Cls2CentVMTShr))/SUMPRODUCT(B255:L255,TRANSPOSE(Cls2CentVMTShr)),0)</f>
        <v>0</v>
      </c>
      <c r="AC255" s="949">
        <f t="array" ref="AC255">IF(AND($AD$228=TRUE,SUM(O255:Y255)&gt;0),SUMPRODUCT((((TRANSPOSE(Cls2NCentDailyRng)&lt;INDEX(CDRANGE_CLS2,$A255-$A$233+1,AD$229))*TRANSPOSE(Cls2NCentDailyRng)+(TRANSPOSE(Cls2NCentDailyRng)&gt;INDEX(CDRANGE_CLS2,$A255-$A$233+1,AD$229))*INDEX(CDRANGE_CLS2,$A255-$A$233+1,AD$229))/TRANSPOSE(Cls2NCentDailyRng)),O255:Y255,TRANSPOSE(Cls2NCentVMTShr))/SUMPRODUCT(O255:Y255,TRANSPOSE(Cls2NCentVMTShr)),0)</f>
        <v>0</v>
      </c>
      <c r="AD255" s="1226">
        <f t="shared" si="134"/>
        <v>0</v>
      </c>
      <c r="AE255" s="937">
        <f t="shared" si="137"/>
        <v>0</v>
      </c>
      <c r="AF255" s="937">
        <f t="shared" si="138"/>
        <v>0</v>
      </c>
      <c r="AG255" s="937">
        <f t="shared" si="139"/>
        <v>0</v>
      </c>
      <c r="AH255" s="1172">
        <f t="shared" si="135"/>
        <v>0</v>
      </c>
      <c r="AI255" s="937">
        <f t="shared" si="136"/>
        <v>0</v>
      </c>
    </row>
    <row r="256" spans="1:35" ht="15" thickBot="1" x14ac:dyDescent="0.25">
      <c r="A256" s="328">
        <v>2030</v>
      </c>
      <c r="B256" s="346">
        <v>0</v>
      </c>
      <c r="C256" s="347">
        <v>0</v>
      </c>
      <c r="D256" s="347">
        <v>0</v>
      </c>
      <c r="E256" s="347">
        <v>0</v>
      </c>
      <c r="F256" s="347">
        <v>0</v>
      </c>
      <c r="G256" s="347">
        <v>0</v>
      </c>
      <c r="H256" s="347">
        <v>0</v>
      </c>
      <c r="I256" s="347">
        <v>0</v>
      </c>
      <c r="J256" s="347">
        <v>0</v>
      </c>
      <c r="K256" s="347">
        <v>0</v>
      </c>
      <c r="L256" s="381">
        <v>0</v>
      </c>
      <c r="M256" s="310">
        <f t="shared" si="130"/>
        <v>0</v>
      </c>
      <c r="N256" s="312">
        <f t="shared" si="131"/>
        <v>0</v>
      </c>
      <c r="O256" s="346">
        <v>0</v>
      </c>
      <c r="P256" s="347">
        <v>0</v>
      </c>
      <c r="Q256" s="347">
        <v>0</v>
      </c>
      <c r="R256" s="347">
        <v>0</v>
      </c>
      <c r="S256" s="347">
        <v>0</v>
      </c>
      <c r="T256" s="347">
        <v>0</v>
      </c>
      <c r="U256" s="347">
        <v>0</v>
      </c>
      <c r="V256" s="347">
        <v>0</v>
      </c>
      <c r="W256" s="347">
        <v>0</v>
      </c>
      <c r="X256" s="347">
        <v>0</v>
      </c>
      <c r="Y256" s="381">
        <v>0</v>
      </c>
      <c r="Z256" s="310">
        <f t="shared" si="132"/>
        <v>0</v>
      </c>
      <c r="AA256" s="312">
        <f t="shared" si="133"/>
        <v>0</v>
      </c>
      <c r="AB256" s="948">
        <f t="array" ref="AB256">IF(AND($AD$228=TRUE,SUM(B256:L256)&gt;0),SUMPRODUCT((((TRANSPOSE(Cls2CentDailyRng)&lt;INDEX(CDRANGE_CLS2,$A256-$A$233+1,AD$229))*TRANSPOSE(Cls2CentDailyRng)+(TRANSPOSE(Cls2CentDailyRng)&gt;INDEX(CDRANGE_CLS2,$A256-$A$233+1,AD$229))*INDEX(CDRANGE_CLS2,$A256-$A$233+1,AD$229))/TRANSPOSE(Cls2CentDailyRng)),B256:L256,TRANSPOSE(Cls2CentVMTShr))/SUMPRODUCT(B256:L256,TRANSPOSE(Cls2CentVMTShr)),0)</f>
        <v>0</v>
      </c>
      <c r="AC256" s="949">
        <f t="array" ref="AC256">IF(AND($AD$228=TRUE,SUM(O256:Y256)&gt;0),SUMPRODUCT((((TRANSPOSE(Cls2NCentDailyRng)&lt;INDEX(CDRANGE_CLS2,$A256-$A$233+1,AD$229))*TRANSPOSE(Cls2NCentDailyRng)+(TRANSPOSE(Cls2NCentDailyRng)&gt;INDEX(CDRANGE_CLS2,$A256-$A$233+1,AD$229))*INDEX(CDRANGE_CLS2,$A256-$A$233+1,AD$229))/TRANSPOSE(Cls2NCentDailyRng)),O256:Y256,TRANSPOSE(Cls2NCentVMTShr))/SUMPRODUCT(O256:Y256,TRANSPOSE(Cls2NCentVMTShr)),0)</f>
        <v>0</v>
      </c>
      <c r="AD256" s="1226">
        <f t="shared" si="134"/>
        <v>0</v>
      </c>
      <c r="AE256" s="937">
        <f t="shared" si="137"/>
        <v>0</v>
      </c>
      <c r="AF256" s="937">
        <f t="shared" si="138"/>
        <v>0</v>
      </c>
      <c r="AG256" s="937">
        <f t="shared" si="139"/>
        <v>0</v>
      </c>
      <c r="AH256" s="1172">
        <f t="shared" si="135"/>
        <v>0</v>
      </c>
      <c r="AI256" s="937">
        <f t="shared" si="136"/>
        <v>0</v>
      </c>
    </row>
    <row r="257" spans="1:35" x14ac:dyDescent="0.2">
      <c r="A257" s="329">
        <v>2031</v>
      </c>
      <c r="B257" s="342">
        <v>0</v>
      </c>
      <c r="C257" s="343">
        <v>0</v>
      </c>
      <c r="D257" s="343">
        <v>0</v>
      </c>
      <c r="E257" s="343">
        <v>0</v>
      </c>
      <c r="F257" s="343">
        <v>0</v>
      </c>
      <c r="G257" s="343">
        <v>0</v>
      </c>
      <c r="H257" s="343">
        <v>0</v>
      </c>
      <c r="I257" s="343">
        <v>0</v>
      </c>
      <c r="J257" s="343">
        <v>0</v>
      </c>
      <c r="K257" s="343">
        <v>0</v>
      </c>
      <c r="L257" s="379">
        <v>0</v>
      </c>
      <c r="M257" s="282">
        <f t="shared" si="130"/>
        <v>0</v>
      </c>
      <c r="N257" s="284">
        <f t="shared" si="131"/>
        <v>0</v>
      </c>
      <c r="O257" s="342">
        <v>0</v>
      </c>
      <c r="P257" s="343">
        <v>0</v>
      </c>
      <c r="Q257" s="343">
        <v>0</v>
      </c>
      <c r="R257" s="343">
        <v>0</v>
      </c>
      <c r="S257" s="343">
        <v>0</v>
      </c>
      <c r="T257" s="343">
        <v>0</v>
      </c>
      <c r="U257" s="343">
        <v>0</v>
      </c>
      <c r="V257" s="343">
        <v>0</v>
      </c>
      <c r="W257" s="343">
        <v>0</v>
      </c>
      <c r="X257" s="343">
        <v>0</v>
      </c>
      <c r="Y257" s="379">
        <v>0</v>
      </c>
      <c r="Z257" s="282">
        <f t="shared" si="132"/>
        <v>0</v>
      </c>
      <c r="AA257" s="284">
        <f t="shared" si="133"/>
        <v>0</v>
      </c>
      <c r="AB257" s="948">
        <f t="array" ref="AB257">IF(AND($AD$228=TRUE,SUM(B257:L257)&gt;0),SUMPRODUCT((((TRANSPOSE(Cls2CentDailyRng)&lt;INDEX(CDRANGE_CLS2,$A257-$A$233+1,AD$229))*TRANSPOSE(Cls2CentDailyRng)+(TRANSPOSE(Cls2CentDailyRng)&gt;INDEX(CDRANGE_CLS2,$A257-$A$233+1,AD$229))*INDEX(CDRANGE_CLS2,$A257-$A$233+1,AD$229))/TRANSPOSE(Cls2CentDailyRng)),B257:L257,TRANSPOSE(Cls2CentVMTShr))/SUMPRODUCT(B257:L257,TRANSPOSE(Cls2CentVMTShr)),0)</f>
        <v>0</v>
      </c>
      <c r="AC257" s="949">
        <f t="array" ref="AC257">IF(AND($AD$228=TRUE,SUM(O257:Y257)&gt;0),SUMPRODUCT((((TRANSPOSE(Cls2NCentDailyRng)&lt;INDEX(CDRANGE_CLS2,$A257-$A$233+1,AD$229))*TRANSPOSE(Cls2NCentDailyRng)+(TRANSPOSE(Cls2NCentDailyRng)&gt;INDEX(CDRANGE_CLS2,$A257-$A$233+1,AD$229))*INDEX(CDRANGE_CLS2,$A257-$A$233+1,AD$229))/TRANSPOSE(Cls2NCentDailyRng)),O257:Y257,TRANSPOSE(Cls2NCentVMTShr))/SUMPRODUCT(O257:Y257,TRANSPOSE(Cls2NCentVMTShr)),0)</f>
        <v>0</v>
      </c>
      <c r="AD257" s="1226">
        <f t="shared" si="134"/>
        <v>0</v>
      </c>
      <c r="AE257" s="937">
        <f t="shared" si="137"/>
        <v>0</v>
      </c>
      <c r="AF257" s="937">
        <f t="shared" si="138"/>
        <v>0</v>
      </c>
      <c r="AG257" s="937">
        <f t="shared" si="139"/>
        <v>0</v>
      </c>
      <c r="AH257" s="1172">
        <f t="shared" si="135"/>
        <v>0</v>
      </c>
      <c r="AI257" s="937">
        <f t="shared" si="136"/>
        <v>0</v>
      </c>
    </row>
    <row r="258" spans="1:35" x14ac:dyDescent="0.2">
      <c r="A258" s="330">
        <v>2032</v>
      </c>
      <c r="B258" s="344">
        <v>0</v>
      </c>
      <c r="C258" s="345">
        <v>0</v>
      </c>
      <c r="D258" s="345">
        <v>0</v>
      </c>
      <c r="E258" s="345">
        <v>0</v>
      </c>
      <c r="F258" s="345">
        <v>0</v>
      </c>
      <c r="G258" s="345">
        <v>0</v>
      </c>
      <c r="H258" s="345">
        <v>0</v>
      </c>
      <c r="I258" s="345">
        <v>0</v>
      </c>
      <c r="J258" s="345">
        <v>0</v>
      </c>
      <c r="K258" s="345">
        <v>0</v>
      </c>
      <c r="L258" s="380">
        <v>0</v>
      </c>
      <c r="M258" s="296">
        <f t="shared" si="130"/>
        <v>0</v>
      </c>
      <c r="N258" s="298">
        <f t="shared" si="131"/>
        <v>0</v>
      </c>
      <c r="O258" s="344">
        <v>0</v>
      </c>
      <c r="P258" s="345">
        <v>0</v>
      </c>
      <c r="Q258" s="345">
        <v>0</v>
      </c>
      <c r="R258" s="345">
        <v>0</v>
      </c>
      <c r="S258" s="345">
        <v>0</v>
      </c>
      <c r="T258" s="345">
        <v>0</v>
      </c>
      <c r="U258" s="345">
        <v>0</v>
      </c>
      <c r="V258" s="345">
        <v>0</v>
      </c>
      <c r="W258" s="345">
        <v>0</v>
      </c>
      <c r="X258" s="345">
        <v>0</v>
      </c>
      <c r="Y258" s="380">
        <v>0</v>
      </c>
      <c r="Z258" s="296">
        <f t="shared" si="132"/>
        <v>0</v>
      </c>
      <c r="AA258" s="298">
        <f t="shared" si="133"/>
        <v>0</v>
      </c>
      <c r="AB258" s="948">
        <f t="array" ref="AB258">IF(AND($AD$228=TRUE,SUM(B258:L258)&gt;0),SUMPRODUCT((((TRANSPOSE(Cls2CentDailyRng)&lt;INDEX(CDRANGE_CLS2,$A258-$A$233+1,AD$229))*TRANSPOSE(Cls2CentDailyRng)+(TRANSPOSE(Cls2CentDailyRng)&gt;INDEX(CDRANGE_CLS2,$A258-$A$233+1,AD$229))*INDEX(CDRANGE_CLS2,$A258-$A$233+1,AD$229))/TRANSPOSE(Cls2CentDailyRng)),B258:L258,TRANSPOSE(Cls2CentVMTShr))/SUMPRODUCT(B258:L258,TRANSPOSE(Cls2CentVMTShr)),0)</f>
        <v>0</v>
      </c>
      <c r="AC258" s="949">
        <f t="array" ref="AC258">IF(AND($AD$228=TRUE,SUM(O258:Y258)&gt;0),SUMPRODUCT((((TRANSPOSE(Cls2NCentDailyRng)&lt;INDEX(CDRANGE_CLS2,$A258-$A$233+1,AD$229))*TRANSPOSE(Cls2NCentDailyRng)+(TRANSPOSE(Cls2NCentDailyRng)&gt;INDEX(CDRANGE_CLS2,$A258-$A$233+1,AD$229))*INDEX(CDRANGE_CLS2,$A258-$A$233+1,AD$229))/TRANSPOSE(Cls2NCentDailyRng)),O258:Y258,TRANSPOSE(Cls2NCentVMTShr))/SUMPRODUCT(O258:Y258,TRANSPOSE(Cls2NCentVMTShr)),0)</f>
        <v>0</v>
      </c>
      <c r="AD258" s="1226">
        <f t="shared" si="134"/>
        <v>0</v>
      </c>
      <c r="AE258" s="937">
        <f t="shared" si="137"/>
        <v>0</v>
      </c>
      <c r="AF258" s="937">
        <f t="shared" si="138"/>
        <v>0</v>
      </c>
      <c r="AG258" s="937">
        <f t="shared" si="139"/>
        <v>0</v>
      </c>
      <c r="AH258" s="1172">
        <f t="shared" si="135"/>
        <v>0</v>
      </c>
      <c r="AI258" s="937">
        <f t="shared" si="136"/>
        <v>0</v>
      </c>
    </row>
    <row r="259" spans="1:35" x14ac:dyDescent="0.2">
      <c r="A259" s="330">
        <v>2033</v>
      </c>
      <c r="B259" s="344">
        <v>0</v>
      </c>
      <c r="C259" s="345">
        <v>0</v>
      </c>
      <c r="D259" s="345">
        <v>0</v>
      </c>
      <c r="E259" s="345">
        <v>0</v>
      </c>
      <c r="F259" s="345">
        <v>0</v>
      </c>
      <c r="G259" s="345">
        <v>0</v>
      </c>
      <c r="H259" s="345">
        <v>0</v>
      </c>
      <c r="I259" s="345">
        <v>0</v>
      </c>
      <c r="J259" s="345">
        <v>0</v>
      </c>
      <c r="K259" s="345">
        <v>0</v>
      </c>
      <c r="L259" s="380">
        <v>0</v>
      </c>
      <c r="M259" s="296">
        <f t="shared" si="130"/>
        <v>0</v>
      </c>
      <c r="N259" s="298">
        <f t="shared" si="131"/>
        <v>0</v>
      </c>
      <c r="O259" s="344">
        <v>0</v>
      </c>
      <c r="P259" s="345">
        <v>0</v>
      </c>
      <c r="Q259" s="345">
        <v>0</v>
      </c>
      <c r="R259" s="345">
        <v>0</v>
      </c>
      <c r="S259" s="345">
        <v>0</v>
      </c>
      <c r="T259" s="345">
        <v>0</v>
      </c>
      <c r="U259" s="345">
        <v>0</v>
      </c>
      <c r="V259" s="345">
        <v>0</v>
      </c>
      <c r="W259" s="345">
        <v>0</v>
      </c>
      <c r="X259" s="345">
        <v>0</v>
      </c>
      <c r="Y259" s="380">
        <v>0</v>
      </c>
      <c r="Z259" s="296">
        <f t="shared" si="132"/>
        <v>0</v>
      </c>
      <c r="AA259" s="298">
        <f t="shared" si="133"/>
        <v>0</v>
      </c>
      <c r="AB259" s="948">
        <f t="array" ref="AB259">IF(AND($AD$228=TRUE,SUM(B259:L259)&gt;0),SUMPRODUCT((((TRANSPOSE(Cls2CentDailyRng)&lt;INDEX(CDRANGE_CLS2,$A259-$A$233+1,AD$229))*TRANSPOSE(Cls2CentDailyRng)+(TRANSPOSE(Cls2CentDailyRng)&gt;INDEX(CDRANGE_CLS2,$A259-$A$233+1,AD$229))*INDEX(CDRANGE_CLS2,$A259-$A$233+1,AD$229))/TRANSPOSE(Cls2CentDailyRng)),B259:L259,TRANSPOSE(Cls2CentVMTShr))/SUMPRODUCT(B259:L259,TRANSPOSE(Cls2CentVMTShr)),0)</f>
        <v>0</v>
      </c>
      <c r="AC259" s="949">
        <f t="array" ref="AC259">IF(AND($AD$228=TRUE,SUM(O259:Y259)&gt;0),SUMPRODUCT((((TRANSPOSE(Cls2NCentDailyRng)&lt;INDEX(CDRANGE_CLS2,$A259-$A$233+1,AD$229))*TRANSPOSE(Cls2NCentDailyRng)+(TRANSPOSE(Cls2NCentDailyRng)&gt;INDEX(CDRANGE_CLS2,$A259-$A$233+1,AD$229))*INDEX(CDRANGE_CLS2,$A259-$A$233+1,AD$229))/TRANSPOSE(Cls2NCentDailyRng)),O259:Y259,TRANSPOSE(Cls2NCentVMTShr))/SUMPRODUCT(O259:Y259,TRANSPOSE(Cls2NCentVMTShr)),0)</f>
        <v>0</v>
      </c>
      <c r="AD259" s="1226">
        <f>AB259*AH259+AC259*AI259</f>
        <v>0</v>
      </c>
      <c r="AE259" s="937">
        <f t="shared" si="137"/>
        <v>0</v>
      </c>
      <c r="AF259" s="937">
        <f t="shared" si="138"/>
        <v>0</v>
      </c>
      <c r="AG259" s="937">
        <f t="shared" si="139"/>
        <v>0</v>
      </c>
      <c r="AH259" s="1172">
        <f t="shared" si="135"/>
        <v>0</v>
      </c>
      <c r="AI259" s="937">
        <f t="shared" si="136"/>
        <v>0</v>
      </c>
    </row>
    <row r="260" spans="1:35" x14ac:dyDescent="0.2">
      <c r="A260" s="330">
        <v>2034</v>
      </c>
      <c r="B260" s="344">
        <v>0</v>
      </c>
      <c r="C260" s="345">
        <v>0</v>
      </c>
      <c r="D260" s="345">
        <v>0</v>
      </c>
      <c r="E260" s="345">
        <v>0</v>
      </c>
      <c r="F260" s="345">
        <v>0</v>
      </c>
      <c r="G260" s="345">
        <v>0</v>
      </c>
      <c r="H260" s="345">
        <v>0</v>
      </c>
      <c r="I260" s="345">
        <v>0</v>
      </c>
      <c r="J260" s="345">
        <v>0</v>
      </c>
      <c r="K260" s="345">
        <v>0</v>
      </c>
      <c r="L260" s="380">
        <v>0</v>
      </c>
      <c r="M260" s="296">
        <f t="shared" si="130"/>
        <v>0</v>
      </c>
      <c r="N260" s="298">
        <f t="shared" si="131"/>
        <v>0</v>
      </c>
      <c r="O260" s="344">
        <v>0</v>
      </c>
      <c r="P260" s="345">
        <v>0</v>
      </c>
      <c r="Q260" s="345">
        <v>0</v>
      </c>
      <c r="R260" s="345">
        <v>0</v>
      </c>
      <c r="S260" s="345">
        <v>0</v>
      </c>
      <c r="T260" s="345">
        <v>0</v>
      </c>
      <c r="U260" s="345">
        <v>0</v>
      </c>
      <c r="V260" s="345">
        <v>0</v>
      </c>
      <c r="W260" s="345">
        <v>0</v>
      </c>
      <c r="X260" s="345">
        <v>0</v>
      </c>
      <c r="Y260" s="380">
        <v>0</v>
      </c>
      <c r="Z260" s="296">
        <f t="shared" si="132"/>
        <v>0</v>
      </c>
      <c r="AA260" s="298">
        <f t="shared" si="133"/>
        <v>0</v>
      </c>
      <c r="AB260" s="948">
        <f t="array" ref="AB260">IF(AND($AD$228=TRUE,SUM(B260:L260)&gt;0),SUMPRODUCT((((TRANSPOSE(Cls2CentDailyRng)&lt;INDEX(CDRANGE_CLS2,$A260-$A$233+1,AD$229))*TRANSPOSE(Cls2CentDailyRng)+(TRANSPOSE(Cls2CentDailyRng)&gt;INDEX(CDRANGE_CLS2,$A260-$A$233+1,AD$229))*INDEX(CDRANGE_CLS2,$A260-$A$233+1,AD$229))/TRANSPOSE(Cls2CentDailyRng)),B260:L260,TRANSPOSE(Cls2CentVMTShr))/SUMPRODUCT(B260:L260,TRANSPOSE(Cls2CentVMTShr)),0)</f>
        <v>0</v>
      </c>
      <c r="AC260" s="949">
        <f t="array" ref="AC260">IF(AND($AD$228=TRUE,SUM(O260:Y260)&gt;0),SUMPRODUCT((((TRANSPOSE(Cls2NCentDailyRng)&lt;INDEX(CDRANGE_CLS2,$A260-$A$233+1,AD$229))*TRANSPOSE(Cls2NCentDailyRng)+(TRANSPOSE(Cls2NCentDailyRng)&gt;INDEX(CDRANGE_CLS2,$A260-$A$233+1,AD$229))*INDEX(CDRANGE_CLS2,$A260-$A$233+1,AD$229))/TRANSPOSE(Cls2NCentDailyRng)),O260:Y260,TRANSPOSE(Cls2NCentVMTShr))/SUMPRODUCT(O260:Y260,TRANSPOSE(Cls2NCentVMTShr)),0)</f>
        <v>0</v>
      </c>
      <c r="AD260" s="1226">
        <f t="shared" ref="AD260:AD276" si="140">AB260*AH260+AC260*AI260</f>
        <v>0</v>
      </c>
      <c r="AE260" s="937">
        <f t="shared" si="137"/>
        <v>0</v>
      </c>
      <c r="AF260" s="937">
        <f t="shared" si="138"/>
        <v>0</v>
      </c>
      <c r="AG260" s="937">
        <f t="shared" si="139"/>
        <v>0</v>
      </c>
      <c r="AH260" s="1172">
        <f t="shared" si="135"/>
        <v>0</v>
      </c>
      <c r="AI260" s="937">
        <f t="shared" si="136"/>
        <v>0</v>
      </c>
    </row>
    <row r="261" spans="1:35" ht="15" thickBot="1" x14ac:dyDescent="0.25">
      <c r="A261" s="328">
        <v>2035</v>
      </c>
      <c r="B261" s="346">
        <v>0</v>
      </c>
      <c r="C261" s="347">
        <v>0</v>
      </c>
      <c r="D261" s="347">
        <v>0</v>
      </c>
      <c r="E261" s="347">
        <v>0</v>
      </c>
      <c r="F261" s="347">
        <v>0</v>
      </c>
      <c r="G261" s="347">
        <v>0</v>
      </c>
      <c r="H261" s="347">
        <v>0</v>
      </c>
      <c r="I261" s="347">
        <v>0</v>
      </c>
      <c r="J261" s="347">
        <v>0</v>
      </c>
      <c r="K261" s="347">
        <v>0</v>
      </c>
      <c r="L261" s="381">
        <v>0</v>
      </c>
      <c r="M261" s="310">
        <f t="shared" si="130"/>
        <v>0</v>
      </c>
      <c r="N261" s="312">
        <f t="shared" si="131"/>
        <v>0</v>
      </c>
      <c r="O261" s="346">
        <v>0</v>
      </c>
      <c r="P261" s="347">
        <v>0</v>
      </c>
      <c r="Q261" s="347">
        <v>0</v>
      </c>
      <c r="R261" s="347">
        <v>0</v>
      </c>
      <c r="S261" s="347">
        <v>0</v>
      </c>
      <c r="T261" s="347">
        <v>0</v>
      </c>
      <c r="U261" s="347">
        <v>0</v>
      </c>
      <c r="V261" s="347">
        <v>0</v>
      </c>
      <c r="W261" s="347">
        <v>0</v>
      </c>
      <c r="X261" s="347">
        <v>0</v>
      </c>
      <c r="Y261" s="381">
        <v>0</v>
      </c>
      <c r="Z261" s="310">
        <f t="shared" si="132"/>
        <v>0</v>
      </c>
      <c r="AA261" s="312">
        <f t="shared" si="133"/>
        <v>0</v>
      </c>
      <c r="AB261" s="948">
        <f t="array" ref="AB261">IF(AND($AD$228=TRUE,SUM(B261:L261)&gt;0),SUMPRODUCT((((TRANSPOSE(Cls2CentDailyRng)&lt;INDEX(CDRANGE_CLS2,$A261-$A$233+1,AD$229))*TRANSPOSE(Cls2CentDailyRng)+(TRANSPOSE(Cls2CentDailyRng)&gt;INDEX(CDRANGE_CLS2,$A261-$A$233+1,AD$229))*INDEX(CDRANGE_CLS2,$A261-$A$233+1,AD$229))/TRANSPOSE(Cls2CentDailyRng)),B261:L261,TRANSPOSE(Cls2CentVMTShr))/SUMPRODUCT(B261:L261,TRANSPOSE(Cls2CentVMTShr)),0)</f>
        <v>0</v>
      </c>
      <c r="AC261" s="949">
        <f t="array" ref="AC261">IF(AND($AD$228=TRUE,SUM(O261:Y261)&gt;0),SUMPRODUCT((((TRANSPOSE(Cls2NCentDailyRng)&lt;INDEX(CDRANGE_CLS2,$A261-$A$233+1,AD$229))*TRANSPOSE(Cls2NCentDailyRng)+(TRANSPOSE(Cls2NCentDailyRng)&gt;INDEX(CDRANGE_CLS2,$A261-$A$233+1,AD$229))*INDEX(CDRANGE_CLS2,$A261-$A$233+1,AD$229))/TRANSPOSE(Cls2NCentDailyRng)),O261:Y261,TRANSPOSE(Cls2NCentVMTShr))/SUMPRODUCT(O261:Y261,TRANSPOSE(Cls2NCentVMTShr)),0)</f>
        <v>0</v>
      </c>
      <c r="AD261" s="1226">
        <f t="shared" si="140"/>
        <v>0</v>
      </c>
      <c r="AE261" s="937">
        <f t="shared" si="137"/>
        <v>0</v>
      </c>
      <c r="AF261" s="937">
        <f t="shared" si="138"/>
        <v>0</v>
      </c>
      <c r="AG261" s="937">
        <f t="shared" si="139"/>
        <v>0</v>
      </c>
      <c r="AH261" s="1172">
        <f t="shared" si="135"/>
        <v>0</v>
      </c>
      <c r="AI261" s="937">
        <f t="shared" si="136"/>
        <v>0</v>
      </c>
    </row>
    <row r="262" spans="1:35" x14ac:dyDescent="0.2">
      <c r="A262" s="329">
        <v>2036</v>
      </c>
      <c r="B262" s="342">
        <v>0</v>
      </c>
      <c r="C262" s="343">
        <v>0</v>
      </c>
      <c r="D262" s="343">
        <v>0</v>
      </c>
      <c r="E262" s="343">
        <v>0</v>
      </c>
      <c r="F262" s="343">
        <v>0</v>
      </c>
      <c r="G262" s="343">
        <v>0</v>
      </c>
      <c r="H262" s="343">
        <v>0</v>
      </c>
      <c r="I262" s="343">
        <v>0</v>
      </c>
      <c r="J262" s="343">
        <v>0</v>
      </c>
      <c r="K262" s="343">
        <v>0</v>
      </c>
      <c r="L262" s="379">
        <v>0</v>
      </c>
      <c r="M262" s="282">
        <f t="shared" si="130"/>
        <v>0</v>
      </c>
      <c r="N262" s="284">
        <f t="shared" si="131"/>
        <v>0</v>
      </c>
      <c r="O262" s="342">
        <v>0</v>
      </c>
      <c r="P262" s="343">
        <v>0</v>
      </c>
      <c r="Q262" s="343">
        <v>0</v>
      </c>
      <c r="R262" s="343">
        <v>0</v>
      </c>
      <c r="S262" s="343">
        <v>0</v>
      </c>
      <c r="T262" s="343">
        <v>0</v>
      </c>
      <c r="U262" s="343">
        <v>0</v>
      </c>
      <c r="V262" s="343">
        <v>0</v>
      </c>
      <c r="W262" s="343">
        <v>0</v>
      </c>
      <c r="X262" s="343">
        <v>0</v>
      </c>
      <c r="Y262" s="379">
        <v>0</v>
      </c>
      <c r="Z262" s="282">
        <f t="shared" si="132"/>
        <v>0</v>
      </c>
      <c r="AA262" s="284">
        <f t="shared" si="133"/>
        <v>0</v>
      </c>
      <c r="AB262" s="948">
        <f t="array" ref="AB262">IF(AND($AD$228=TRUE,SUM(B262:L262)&gt;0),SUMPRODUCT((((TRANSPOSE(Cls2CentDailyRng)&lt;INDEX(CDRANGE_CLS2,$A262-$A$233+1,AD$229))*TRANSPOSE(Cls2CentDailyRng)+(TRANSPOSE(Cls2CentDailyRng)&gt;INDEX(CDRANGE_CLS2,$A262-$A$233+1,AD$229))*INDEX(CDRANGE_CLS2,$A262-$A$233+1,AD$229))/TRANSPOSE(Cls2CentDailyRng)),B262:L262,TRANSPOSE(Cls2CentVMTShr))/SUMPRODUCT(B262:L262,TRANSPOSE(Cls2CentVMTShr)),0)</f>
        <v>0</v>
      </c>
      <c r="AC262" s="949">
        <f t="array" ref="AC262">IF(AND($AD$228=TRUE,SUM(O262:Y262)&gt;0),SUMPRODUCT((((TRANSPOSE(Cls2NCentDailyRng)&lt;INDEX(CDRANGE_CLS2,$A262-$A$233+1,AD$229))*TRANSPOSE(Cls2NCentDailyRng)+(TRANSPOSE(Cls2NCentDailyRng)&gt;INDEX(CDRANGE_CLS2,$A262-$A$233+1,AD$229))*INDEX(CDRANGE_CLS2,$A262-$A$233+1,AD$229))/TRANSPOSE(Cls2NCentDailyRng)),O262:Y262,TRANSPOSE(Cls2NCentVMTShr))/SUMPRODUCT(O262:Y262,TRANSPOSE(Cls2NCentVMTShr)),0)</f>
        <v>0</v>
      </c>
      <c r="AD262" s="1226">
        <f t="shared" si="140"/>
        <v>0</v>
      </c>
      <c r="AE262" s="937">
        <f t="shared" si="137"/>
        <v>0</v>
      </c>
      <c r="AF262" s="937">
        <f t="shared" si="138"/>
        <v>0</v>
      </c>
      <c r="AG262" s="937">
        <f t="shared" si="139"/>
        <v>0</v>
      </c>
      <c r="AH262" s="1172">
        <f t="shared" si="135"/>
        <v>0</v>
      </c>
      <c r="AI262" s="937">
        <f t="shared" si="136"/>
        <v>0</v>
      </c>
    </row>
    <row r="263" spans="1:35" x14ac:dyDescent="0.2">
      <c r="A263" s="330">
        <v>2037</v>
      </c>
      <c r="B263" s="344">
        <v>0</v>
      </c>
      <c r="C263" s="345">
        <v>0</v>
      </c>
      <c r="D263" s="345">
        <v>0</v>
      </c>
      <c r="E263" s="345">
        <v>0</v>
      </c>
      <c r="F263" s="345">
        <v>0</v>
      </c>
      <c r="G263" s="345">
        <v>0</v>
      </c>
      <c r="H263" s="345">
        <v>0</v>
      </c>
      <c r="I263" s="345">
        <v>0</v>
      </c>
      <c r="J263" s="345">
        <v>0</v>
      </c>
      <c r="K263" s="345">
        <v>0</v>
      </c>
      <c r="L263" s="380">
        <v>0</v>
      </c>
      <c r="M263" s="296">
        <f t="shared" si="130"/>
        <v>0</v>
      </c>
      <c r="N263" s="298">
        <f t="shared" si="131"/>
        <v>0</v>
      </c>
      <c r="O263" s="344">
        <v>0</v>
      </c>
      <c r="P263" s="345">
        <v>0</v>
      </c>
      <c r="Q263" s="345">
        <v>0</v>
      </c>
      <c r="R263" s="345">
        <v>0</v>
      </c>
      <c r="S263" s="345">
        <v>0</v>
      </c>
      <c r="T263" s="345">
        <v>0</v>
      </c>
      <c r="U263" s="345">
        <v>0</v>
      </c>
      <c r="V263" s="345">
        <v>0</v>
      </c>
      <c r="W263" s="345">
        <v>0</v>
      </c>
      <c r="X263" s="345">
        <v>0</v>
      </c>
      <c r="Y263" s="380">
        <v>0</v>
      </c>
      <c r="Z263" s="296">
        <f t="shared" si="132"/>
        <v>0</v>
      </c>
      <c r="AA263" s="298">
        <f t="shared" si="133"/>
        <v>0</v>
      </c>
      <c r="AB263" s="948">
        <f t="array" ref="AB263">IF(AND($AD$228=TRUE,SUM(B263:L263)&gt;0),SUMPRODUCT((((TRANSPOSE(Cls2CentDailyRng)&lt;INDEX(CDRANGE_CLS2,$A263-$A$233+1,AD$229))*TRANSPOSE(Cls2CentDailyRng)+(TRANSPOSE(Cls2CentDailyRng)&gt;INDEX(CDRANGE_CLS2,$A263-$A$233+1,AD$229))*INDEX(CDRANGE_CLS2,$A263-$A$233+1,AD$229))/TRANSPOSE(Cls2CentDailyRng)),B263:L263,TRANSPOSE(Cls2CentVMTShr))/SUMPRODUCT(B263:L263,TRANSPOSE(Cls2CentVMTShr)),0)</f>
        <v>0</v>
      </c>
      <c r="AC263" s="949">
        <f t="array" ref="AC263">IF(AND($AD$228=TRUE,SUM(O263:Y263)&gt;0),SUMPRODUCT((((TRANSPOSE(Cls2NCentDailyRng)&lt;INDEX(CDRANGE_CLS2,$A263-$A$233+1,AD$229))*TRANSPOSE(Cls2NCentDailyRng)+(TRANSPOSE(Cls2NCentDailyRng)&gt;INDEX(CDRANGE_CLS2,$A263-$A$233+1,AD$229))*INDEX(CDRANGE_CLS2,$A263-$A$233+1,AD$229))/TRANSPOSE(Cls2NCentDailyRng)),O263:Y263,TRANSPOSE(Cls2NCentVMTShr))/SUMPRODUCT(O263:Y263,TRANSPOSE(Cls2NCentVMTShr)),0)</f>
        <v>0</v>
      </c>
      <c r="AD263" s="1226">
        <f t="shared" si="140"/>
        <v>0</v>
      </c>
      <c r="AE263" s="937">
        <f t="shared" si="137"/>
        <v>0</v>
      </c>
      <c r="AF263" s="937">
        <f t="shared" si="138"/>
        <v>0</v>
      </c>
      <c r="AG263" s="937">
        <f t="shared" si="139"/>
        <v>0</v>
      </c>
      <c r="AH263" s="1172">
        <f t="shared" si="135"/>
        <v>0</v>
      </c>
      <c r="AI263" s="937">
        <f t="shared" si="136"/>
        <v>0</v>
      </c>
    </row>
    <row r="264" spans="1:35" x14ac:dyDescent="0.2">
      <c r="A264" s="330">
        <v>2038</v>
      </c>
      <c r="B264" s="344">
        <v>0</v>
      </c>
      <c r="C264" s="345">
        <v>0</v>
      </c>
      <c r="D264" s="345">
        <v>0</v>
      </c>
      <c r="E264" s="345">
        <v>0</v>
      </c>
      <c r="F264" s="345">
        <v>0</v>
      </c>
      <c r="G264" s="345">
        <v>0</v>
      </c>
      <c r="H264" s="345">
        <v>0</v>
      </c>
      <c r="I264" s="345">
        <v>0</v>
      </c>
      <c r="J264" s="345">
        <v>0</v>
      </c>
      <c r="K264" s="345">
        <v>0</v>
      </c>
      <c r="L264" s="380">
        <v>0</v>
      </c>
      <c r="M264" s="296">
        <f t="shared" si="130"/>
        <v>0</v>
      </c>
      <c r="N264" s="298">
        <f t="shared" si="131"/>
        <v>0</v>
      </c>
      <c r="O264" s="344">
        <v>0</v>
      </c>
      <c r="P264" s="345">
        <v>0</v>
      </c>
      <c r="Q264" s="345">
        <v>0</v>
      </c>
      <c r="R264" s="345">
        <v>0</v>
      </c>
      <c r="S264" s="345">
        <v>0</v>
      </c>
      <c r="T264" s="345">
        <v>0</v>
      </c>
      <c r="U264" s="345">
        <v>0</v>
      </c>
      <c r="V264" s="345">
        <v>0</v>
      </c>
      <c r="W264" s="345">
        <v>0</v>
      </c>
      <c r="X264" s="345">
        <v>0</v>
      </c>
      <c r="Y264" s="380">
        <v>0</v>
      </c>
      <c r="Z264" s="296">
        <f t="shared" si="132"/>
        <v>0</v>
      </c>
      <c r="AA264" s="298">
        <f t="shared" si="133"/>
        <v>0</v>
      </c>
      <c r="AB264" s="948">
        <f t="array" ref="AB264">IF(AND($AD$228=TRUE,SUM(B264:L264)&gt;0),SUMPRODUCT((((TRANSPOSE(Cls2CentDailyRng)&lt;INDEX(CDRANGE_CLS2,$A264-$A$233+1,AD$229))*TRANSPOSE(Cls2CentDailyRng)+(TRANSPOSE(Cls2CentDailyRng)&gt;INDEX(CDRANGE_CLS2,$A264-$A$233+1,AD$229))*INDEX(CDRANGE_CLS2,$A264-$A$233+1,AD$229))/TRANSPOSE(Cls2CentDailyRng)),B264:L264,TRANSPOSE(Cls2CentVMTShr))/SUMPRODUCT(B264:L264,TRANSPOSE(Cls2CentVMTShr)),0)</f>
        <v>0</v>
      </c>
      <c r="AC264" s="949">
        <f t="array" ref="AC264">IF(AND($AD$228=TRUE,SUM(O264:Y264)&gt;0),SUMPRODUCT((((TRANSPOSE(Cls2NCentDailyRng)&lt;INDEX(CDRANGE_CLS2,$A264-$A$233+1,AD$229))*TRANSPOSE(Cls2NCentDailyRng)+(TRANSPOSE(Cls2NCentDailyRng)&gt;INDEX(CDRANGE_CLS2,$A264-$A$233+1,AD$229))*INDEX(CDRANGE_CLS2,$A264-$A$233+1,AD$229))/TRANSPOSE(Cls2NCentDailyRng)),O264:Y264,TRANSPOSE(Cls2NCentVMTShr))/SUMPRODUCT(O264:Y264,TRANSPOSE(Cls2NCentVMTShr)),0)</f>
        <v>0</v>
      </c>
      <c r="AD264" s="1226">
        <f t="shared" si="140"/>
        <v>0</v>
      </c>
      <c r="AE264" s="937">
        <f t="shared" si="137"/>
        <v>0</v>
      </c>
      <c r="AF264" s="937">
        <f t="shared" si="138"/>
        <v>0</v>
      </c>
      <c r="AG264" s="937">
        <f t="shared" si="139"/>
        <v>0</v>
      </c>
      <c r="AH264" s="1172">
        <f t="shared" si="135"/>
        <v>0</v>
      </c>
      <c r="AI264" s="937">
        <f t="shared" si="136"/>
        <v>0</v>
      </c>
    </row>
    <row r="265" spans="1:35" x14ac:dyDescent="0.2">
      <c r="A265" s="330">
        <v>2039</v>
      </c>
      <c r="B265" s="344">
        <v>0</v>
      </c>
      <c r="C265" s="345">
        <v>0</v>
      </c>
      <c r="D265" s="345">
        <v>0</v>
      </c>
      <c r="E265" s="345">
        <v>0</v>
      </c>
      <c r="F265" s="345">
        <v>0</v>
      </c>
      <c r="G265" s="345">
        <v>0</v>
      </c>
      <c r="H265" s="345">
        <v>0</v>
      </c>
      <c r="I265" s="345">
        <v>0</v>
      </c>
      <c r="J265" s="345">
        <v>0</v>
      </c>
      <c r="K265" s="345">
        <v>0</v>
      </c>
      <c r="L265" s="380">
        <v>0</v>
      </c>
      <c r="M265" s="296">
        <f t="shared" si="130"/>
        <v>0</v>
      </c>
      <c r="N265" s="298">
        <f t="shared" si="131"/>
        <v>0</v>
      </c>
      <c r="O265" s="344">
        <v>0</v>
      </c>
      <c r="P265" s="345">
        <v>0</v>
      </c>
      <c r="Q265" s="345">
        <v>0</v>
      </c>
      <c r="R265" s="345">
        <v>0</v>
      </c>
      <c r="S265" s="345">
        <v>0</v>
      </c>
      <c r="T265" s="345">
        <v>0</v>
      </c>
      <c r="U265" s="345">
        <v>0</v>
      </c>
      <c r="V265" s="345">
        <v>0</v>
      </c>
      <c r="W265" s="345">
        <v>0</v>
      </c>
      <c r="X265" s="345">
        <v>0</v>
      </c>
      <c r="Y265" s="380">
        <v>0</v>
      </c>
      <c r="Z265" s="296">
        <f t="shared" si="132"/>
        <v>0</v>
      </c>
      <c r="AA265" s="298">
        <f t="shared" si="133"/>
        <v>0</v>
      </c>
      <c r="AB265" s="948">
        <f t="array" ref="AB265">IF(AND($AD$228=TRUE,SUM(B265:L265)&gt;0),SUMPRODUCT((((TRANSPOSE(Cls2CentDailyRng)&lt;INDEX(CDRANGE_CLS2,$A265-$A$233+1,AD$229))*TRANSPOSE(Cls2CentDailyRng)+(TRANSPOSE(Cls2CentDailyRng)&gt;INDEX(CDRANGE_CLS2,$A265-$A$233+1,AD$229))*INDEX(CDRANGE_CLS2,$A265-$A$233+1,AD$229))/TRANSPOSE(Cls2CentDailyRng)),B265:L265,TRANSPOSE(Cls2CentVMTShr))/SUMPRODUCT(B265:L265,TRANSPOSE(Cls2CentVMTShr)),0)</f>
        <v>0</v>
      </c>
      <c r="AC265" s="949">
        <f t="array" ref="AC265">IF(AND($AD$228=TRUE,SUM(O265:Y265)&gt;0),SUMPRODUCT((((TRANSPOSE(Cls2NCentDailyRng)&lt;INDEX(CDRANGE_CLS2,$A265-$A$233+1,AD$229))*TRANSPOSE(Cls2NCentDailyRng)+(TRANSPOSE(Cls2NCentDailyRng)&gt;INDEX(CDRANGE_CLS2,$A265-$A$233+1,AD$229))*INDEX(CDRANGE_CLS2,$A265-$A$233+1,AD$229))/TRANSPOSE(Cls2NCentDailyRng)),O265:Y265,TRANSPOSE(Cls2NCentVMTShr))/SUMPRODUCT(O265:Y265,TRANSPOSE(Cls2NCentVMTShr)),0)</f>
        <v>0</v>
      </c>
      <c r="AD265" s="1226">
        <f t="shared" si="140"/>
        <v>0</v>
      </c>
      <c r="AE265" s="937">
        <f t="shared" si="137"/>
        <v>0</v>
      </c>
      <c r="AF265" s="937">
        <f t="shared" si="138"/>
        <v>0</v>
      </c>
      <c r="AG265" s="937">
        <f t="shared" si="139"/>
        <v>0</v>
      </c>
      <c r="AH265" s="1172">
        <f t="shared" si="135"/>
        <v>0</v>
      </c>
      <c r="AI265" s="937">
        <f t="shared" si="136"/>
        <v>0</v>
      </c>
    </row>
    <row r="266" spans="1:35" ht="15" thickBot="1" x14ac:dyDescent="0.25">
      <c r="A266" s="328">
        <v>2040</v>
      </c>
      <c r="B266" s="346">
        <v>0</v>
      </c>
      <c r="C266" s="347">
        <v>0</v>
      </c>
      <c r="D266" s="347">
        <v>0</v>
      </c>
      <c r="E266" s="347">
        <v>0</v>
      </c>
      <c r="F266" s="347">
        <v>0</v>
      </c>
      <c r="G266" s="347">
        <v>0</v>
      </c>
      <c r="H266" s="347">
        <v>0</v>
      </c>
      <c r="I266" s="347">
        <v>0</v>
      </c>
      <c r="J266" s="347">
        <v>0</v>
      </c>
      <c r="K266" s="347">
        <v>0</v>
      </c>
      <c r="L266" s="381">
        <v>0</v>
      </c>
      <c r="M266" s="310">
        <f t="shared" si="130"/>
        <v>0</v>
      </c>
      <c r="N266" s="312">
        <f t="shared" si="131"/>
        <v>0</v>
      </c>
      <c r="O266" s="346">
        <v>0</v>
      </c>
      <c r="P266" s="347">
        <v>0</v>
      </c>
      <c r="Q266" s="347">
        <v>0</v>
      </c>
      <c r="R266" s="347">
        <v>0</v>
      </c>
      <c r="S266" s="347">
        <v>0</v>
      </c>
      <c r="T266" s="347">
        <v>0</v>
      </c>
      <c r="U266" s="347">
        <v>0</v>
      </c>
      <c r="V266" s="347">
        <v>0</v>
      </c>
      <c r="W266" s="347">
        <v>0</v>
      </c>
      <c r="X266" s="347">
        <v>0</v>
      </c>
      <c r="Y266" s="381">
        <v>0</v>
      </c>
      <c r="Z266" s="310">
        <f t="shared" si="132"/>
        <v>0</v>
      </c>
      <c r="AA266" s="312">
        <f t="shared" si="133"/>
        <v>0</v>
      </c>
      <c r="AB266" s="948">
        <f t="array" ref="AB266">IF(AND($AD$228=TRUE,SUM(B266:L266)&gt;0),SUMPRODUCT((((TRANSPOSE(Cls2CentDailyRng)&lt;INDEX(CDRANGE_CLS2,$A266-$A$233+1,AD$229))*TRANSPOSE(Cls2CentDailyRng)+(TRANSPOSE(Cls2CentDailyRng)&gt;INDEX(CDRANGE_CLS2,$A266-$A$233+1,AD$229))*INDEX(CDRANGE_CLS2,$A266-$A$233+1,AD$229))/TRANSPOSE(Cls2CentDailyRng)),B266:L266,TRANSPOSE(Cls2CentVMTShr))/SUMPRODUCT(B266:L266,TRANSPOSE(Cls2CentVMTShr)),0)</f>
        <v>0</v>
      </c>
      <c r="AC266" s="949">
        <f t="array" ref="AC266">IF(AND($AD$228=TRUE,SUM(O266:Y266)&gt;0),SUMPRODUCT((((TRANSPOSE(Cls2NCentDailyRng)&lt;INDEX(CDRANGE_CLS2,$A266-$A$233+1,AD$229))*TRANSPOSE(Cls2NCentDailyRng)+(TRANSPOSE(Cls2NCentDailyRng)&gt;INDEX(CDRANGE_CLS2,$A266-$A$233+1,AD$229))*INDEX(CDRANGE_CLS2,$A266-$A$233+1,AD$229))/TRANSPOSE(Cls2NCentDailyRng)),O266:Y266,TRANSPOSE(Cls2NCentVMTShr))/SUMPRODUCT(O266:Y266,TRANSPOSE(Cls2NCentVMTShr)),0)</f>
        <v>0</v>
      </c>
      <c r="AD266" s="1226">
        <f t="shared" si="140"/>
        <v>0</v>
      </c>
      <c r="AE266" s="937">
        <f t="shared" si="137"/>
        <v>0</v>
      </c>
      <c r="AF266" s="937">
        <f t="shared" si="138"/>
        <v>0</v>
      </c>
      <c r="AG266" s="937">
        <f t="shared" si="139"/>
        <v>0</v>
      </c>
      <c r="AH266" s="1172">
        <f t="shared" si="135"/>
        <v>0</v>
      </c>
      <c r="AI266" s="937">
        <f t="shared" si="136"/>
        <v>0</v>
      </c>
    </row>
    <row r="267" spans="1:35" x14ac:dyDescent="0.2">
      <c r="A267" s="329">
        <v>2041</v>
      </c>
      <c r="B267" s="342">
        <v>0</v>
      </c>
      <c r="C267" s="343">
        <v>0</v>
      </c>
      <c r="D267" s="343">
        <v>0</v>
      </c>
      <c r="E267" s="343">
        <v>0</v>
      </c>
      <c r="F267" s="343">
        <v>0</v>
      </c>
      <c r="G267" s="343">
        <v>0</v>
      </c>
      <c r="H267" s="343">
        <v>0</v>
      </c>
      <c r="I267" s="343">
        <v>0</v>
      </c>
      <c r="J267" s="343">
        <v>0</v>
      </c>
      <c r="K267" s="343">
        <v>0</v>
      </c>
      <c r="L267" s="379">
        <v>0</v>
      </c>
      <c r="M267" s="282">
        <f t="shared" si="130"/>
        <v>0</v>
      </c>
      <c r="N267" s="284">
        <f t="shared" si="131"/>
        <v>0</v>
      </c>
      <c r="O267" s="342">
        <v>0</v>
      </c>
      <c r="P267" s="343">
        <v>0</v>
      </c>
      <c r="Q267" s="343">
        <v>0</v>
      </c>
      <c r="R267" s="343">
        <v>0</v>
      </c>
      <c r="S267" s="343">
        <v>0</v>
      </c>
      <c r="T267" s="343">
        <v>0</v>
      </c>
      <c r="U267" s="343">
        <v>0</v>
      </c>
      <c r="V267" s="343">
        <v>0</v>
      </c>
      <c r="W267" s="343">
        <v>0</v>
      </c>
      <c r="X267" s="343">
        <v>0</v>
      </c>
      <c r="Y267" s="379">
        <v>0</v>
      </c>
      <c r="Z267" s="282">
        <f t="shared" si="132"/>
        <v>0</v>
      </c>
      <c r="AA267" s="284">
        <f t="shared" si="133"/>
        <v>0</v>
      </c>
      <c r="AB267" s="948">
        <f t="array" ref="AB267">IF(AND($AD$228=TRUE,SUM(B267:L267)&gt;0),SUMPRODUCT((((TRANSPOSE(Cls2CentDailyRng)&lt;INDEX(CDRANGE_CLS2,$A267-$A$233+1,AD$229))*TRANSPOSE(Cls2CentDailyRng)+(TRANSPOSE(Cls2CentDailyRng)&gt;INDEX(CDRANGE_CLS2,$A267-$A$233+1,AD$229))*INDEX(CDRANGE_CLS2,$A267-$A$233+1,AD$229))/TRANSPOSE(Cls2CentDailyRng)),B267:L267,TRANSPOSE(Cls2CentVMTShr))/SUMPRODUCT(B267:L267,TRANSPOSE(Cls2CentVMTShr)),0)</f>
        <v>0</v>
      </c>
      <c r="AC267" s="949">
        <f t="array" ref="AC267">IF(AND($AD$228=TRUE,SUM(O267:Y267)&gt;0),SUMPRODUCT((((TRANSPOSE(Cls2NCentDailyRng)&lt;INDEX(CDRANGE_CLS2,$A267-$A$233+1,AD$229))*TRANSPOSE(Cls2NCentDailyRng)+(TRANSPOSE(Cls2NCentDailyRng)&gt;INDEX(CDRANGE_CLS2,$A267-$A$233+1,AD$229))*INDEX(CDRANGE_CLS2,$A267-$A$233+1,AD$229))/TRANSPOSE(Cls2NCentDailyRng)),O267:Y267,TRANSPOSE(Cls2NCentVMTShr))/SUMPRODUCT(O267:Y267,TRANSPOSE(Cls2NCentVMTShr)),0)</f>
        <v>0</v>
      </c>
      <c r="AD267" s="1226">
        <f t="shared" si="140"/>
        <v>0</v>
      </c>
      <c r="AE267" s="937">
        <f t="shared" si="137"/>
        <v>0</v>
      </c>
      <c r="AF267" s="937">
        <f t="shared" si="138"/>
        <v>0</v>
      </c>
      <c r="AG267" s="937">
        <f t="shared" si="139"/>
        <v>0</v>
      </c>
      <c r="AH267" s="1172">
        <f t="shared" si="135"/>
        <v>0</v>
      </c>
      <c r="AI267" s="937">
        <f t="shared" si="136"/>
        <v>0</v>
      </c>
    </row>
    <row r="268" spans="1:35" x14ac:dyDescent="0.2">
      <c r="A268" s="330">
        <v>2042</v>
      </c>
      <c r="B268" s="344">
        <v>0</v>
      </c>
      <c r="C268" s="345">
        <v>0</v>
      </c>
      <c r="D268" s="345">
        <v>0</v>
      </c>
      <c r="E268" s="345">
        <v>0</v>
      </c>
      <c r="F268" s="345">
        <v>0</v>
      </c>
      <c r="G268" s="345">
        <v>0</v>
      </c>
      <c r="H268" s="345">
        <v>0</v>
      </c>
      <c r="I268" s="345">
        <v>0</v>
      </c>
      <c r="J268" s="345">
        <v>0</v>
      </c>
      <c r="K268" s="345">
        <v>0</v>
      </c>
      <c r="L268" s="380">
        <v>0</v>
      </c>
      <c r="M268" s="296">
        <f t="shared" si="130"/>
        <v>0</v>
      </c>
      <c r="N268" s="298">
        <f t="shared" si="131"/>
        <v>0</v>
      </c>
      <c r="O268" s="344">
        <v>0</v>
      </c>
      <c r="P268" s="345">
        <v>0</v>
      </c>
      <c r="Q268" s="345">
        <v>0</v>
      </c>
      <c r="R268" s="345">
        <v>0</v>
      </c>
      <c r="S268" s="345">
        <v>0</v>
      </c>
      <c r="T268" s="345">
        <v>0</v>
      </c>
      <c r="U268" s="345">
        <v>0</v>
      </c>
      <c r="V268" s="345">
        <v>0</v>
      </c>
      <c r="W268" s="345">
        <v>0</v>
      </c>
      <c r="X268" s="345">
        <v>0</v>
      </c>
      <c r="Y268" s="380">
        <v>0</v>
      </c>
      <c r="Z268" s="296">
        <f t="shared" si="132"/>
        <v>0</v>
      </c>
      <c r="AA268" s="298">
        <f t="shared" si="133"/>
        <v>0</v>
      </c>
      <c r="AB268" s="948">
        <f t="array" ref="AB268">IF(AND($AD$228=TRUE,SUM(B268:L268)&gt;0),SUMPRODUCT((((TRANSPOSE(Cls2CentDailyRng)&lt;INDEX(CDRANGE_CLS2,$A268-$A$233+1,AD$229))*TRANSPOSE(Cls2CentDailyRng)+(TRANSPOSE(Cls2CentDailyRng)&gt;INDEX(CDRANGE_CLS2,$A268-$A$233+1,AD$229))*INDEX(CDRANGE_CLS2,$A268-$A$233+1,AD$229))/TRANSPOSE(Cls2CentDailyRng)),B268:L268,TRANSPOSE(Cls2CentVMTShr))/SUMPRODUCT(B268:L268,TRANSPOSE(Cls2CentVMTShr)),0)</f>
        <v>0</v>
      </c>
      <c r="AC268" s="949">
        <f t="array" ref="AC268">IF(AND($AD$228=TRUE,SUM(O268:Y268)&gt;0),SUMPRODUCT((((TRANSPOSE(Cls2NCentDailyRng)&lt;INDEX(CDRANGE_CLS2,$A268-$A$233+1,AD$229))*TRANSPOSE(Cls2NCentDailyRng)+(TRANSPOSE(Cls2NCentDailyRng)&gt;INDEX(CDRANGE_CLS2,$A268-$A$233+1,AD$229))*INDEX(CDRANGE_CLS2,$A268-$A$233+1,AD$229))/TRANSPOSE(Cls2NCentDailyRng)),O268:Y268,TRANSPOSE(Cls2NCentVMTShr))/SUMPRODUCT(O268:Y268,TRANSPOSE(Cls2NCentVMTShr)),0)</f>
        <v>0</v>
      </c>
      <c r="AD268" s="1226">
        <f t="shared" si="140"/>
        <v>0</v>
      </c>
      <c r="AE268" s="937">
        <f t="shared" si="137"/>
        <v>0</v>
      </c>
      <c r="AF268" s="937">
        <f t="shared" si="138"/>
        <v>0</v>
      </c>
      <c r="AG268" s="937">
        <f t="shared" si="139"/>
        <v>0</v>
      </c>
      <c r="AH268" s="1172">
        <f t="shared" si="135"/>
        <v>0</v>
      </c>
      <c r="AI268" s="937">
        <f t="shared" si="136"/>
        <v>0</v>
      </c>
    </row>
    <row r="269" spans="1:35" x14ac:dyDescent="0.2">
      <c r="A269" s="330">
        <v>2043</v>
      </c>
      <c r="B269" s="344">
        <v>0</v>
      </c>
      <c r="C269" s="345">
        <v>0</v>
      </c>
      <c r="D269" s="345">
        <v>4.171895050502077E-4</v>
      </c>
      <c r="E269" s="345">
        <v>0</v>
      </c>
      <c r="F269" s="345">
        <v>0</v>
      </c>
      <c r="G269" s="345">
        <v>0</v>
      </c>
      <c r="H269" s="345">
        <v>0</v>
      </c>
      <c r="I269" s="345">
        <v>0</v>
      </c>
      <c r="J269" s="345">
        <v>0</v>
      </c>
      <c r="K269" s="345">
        <v>0</v>
      </c>
      <c r="L269" s="380">
        <v>0</v>
      </c>
      <c r="M269" s="296">
        <f t="shared" si="130"/>
        <v>2.5012649813285992E-5</v>
      </c>
      <c r="N269" s="298">
        <f t="shared" si="131"/>
        <v>3.8321881322267479E-5</v>
      </c>
      <c r="O269" s="344">
        <v>0</v>
      </c>
      <c r="P269" s="345">
        <v>0</v>
      </c>
      <c r="Q269" s="345">
        <v>8.0391874176495449E-3</v>
      </c>
      <c r="R269" s="345">
        <v>0</v>
      </c>
      <c r="S269" s="345">
        <v>0</v>
      </c>
      <c r="T269" s="345">
        <v>0</v>
      </c>
      <c r="U269" s="345">
        <v>0</v>
      </c>
      <c r="V269" s="345">
        <v>0</v>
      </c>
      <c r="W269" s="345">
        <v>0</v>
      </c>
      <c r="X269" s="345">
        <v>0</v>
      </c>
      <c r="Y269" s="380">
        <v>0</v>
      </c>
      <c r="Z269" s="296">
        <f t="shared" si="132"/>
        <v>3.3670619575175333E-4</v>
      </c>
      <c r="AA269" s="298">
        <f t="shared" si="133"/>
        <v>5.0097070929086985E-4</v>
      </c>
      <c r="AB269" s="948">
        <f t="array" ref="AB269">IF(AND($AD$228=TRUE,SUM(B269:L269)&gt;0),SUMPRODUCT((((TRANSPOSE(Cls2CentDailyRng)&lt;INDEX(CDRANGE_CLS2,$A269-$A$233+1,AD$229))*TRANSPOSE(Cls2CentDailyRng)+(TRANSPOSE(Cls2CentDailyRng)&gt;INDEX(CDRANGE_CLS2,$A269-$A$233+1,AD$229))*INDEX(CDRANGE_CLS2,$A269-$A$233+1,AD$229))/TRANSPOSE(Cls2CentDailyRng)),B269:L269,TRANSPOSE(Cls2CentVMTShr))/SUMPRODUCT(B269:L269,TRANSPOSE(Cls2CentVMTShr)),0)</f>
        <v>0</v>
      </c>
      <c r="AC269" s="949">
        <f t="array" ref="AC269">IF(AND($AD$228=TRUE,SUM(O269:Y269)&gt;0),SUMPRODUCT((((TRANSPOSE(Cls2NCentDailyRng)&lt;INDEX(CDRANGE_CLS2,$A269-$A$233+1,AD$229))*TRANSPOSE(Cls2NCentDailyRng)+(TRANSPOSE(Cls2NCentDailyRng)&gt;INDEX(CDRANGE_CLS2,$A269-$A$233+1,AD$229))*INDEX(CDRANGE_CLS2,$A269-$A$233+1,AD$229))/TRANSPOSE(Cls2NCentDailyRng)),O269:Y269,TRANSPOSE(Cls2NCentVMTShr))/SUMPRODUCT(O269:Y269,TRANSPOSE(Cls2NCentVMTShr)),0)</f>
        <v>0</v>
      </c>
      <c r="AD269" s="1226">
        <f t="shared" si="140"/>
        <v>0</v>
      </c>
      <c r="AE269" s="937">
        <f t="shared" si="137"/>
        <v>2.5012649813285992E-5</v>
      </c>
      <c r="AF269" s="937">
        <f t="shared" si="138"/>
        <v>3.3670619575175333E-4</v>
      </c>
      <c r="AG269" s="937">
        <f t="shared" si="139"/>
        <v>3.6171884556503934E-4</v>
      </c>
      <c r="AH269" s="1172">
        <f t="shared" si="135"/>
        <v>6.914942397931699E-2</v>
      </c>
      <c r="AI269" s="937">
        <f t="shared" si="136"/>
        <v>0.930850576020683</v>
      </c>
    </row>
    <row r="270" spans="1:35" x14ac:dyDescent="0.2">
      <c r="A270" s="330">
        <v>2044</v>
      </c>
      <c r="B270" s="344">
        <v>0</v>
      </c>
      <c r="C270" s="345">
        <v>0</v>
      </c>
      <c r="D270" s="345">
        <v>1.8582158104773129E-2</v>
      </c>
      <c r="E270" s="345">
        <v>0</v>
      </c>
      <c r="F270" s="345">
        <v>0</v>
      </c>
      <c r="G270" s="345">
        <v>0</v>
      </c>
      <c r="H270" s="345">
        <v>0</v>
      </c>
      <c r="I270" s="345">
        <v>0</v>
      </c>
      <c r="J270" s="345">
        <v>0</v>
      </c>
      <c r="K270" s="345">
        <v>0</v>
      </c>
      <c r="L270" s="380">
        <v>0</v>
      </c>
      <c r="M270" s="296">
        <f t="shared" si="130"/>
        <v>1.1140956515525676E-3</v>
      </c>
      <c r="N270" s="298">
        <f t="shared" si="131"/>
        <v>1.706905971944397E-3</v>
      </c>
      <c r="O270" s="344">
        <v>0</v>
      </c>
      <c r="P270" s="345">
        <v>1.21547446725898E-3</v>
      </c>
      <c r="Q270" s="345">
        <v>5.4490010972605904E-2</v>
      </c>
      <c r="R270" s="345">
        <v>0</v>
      </c>
      <c r="S270" s="345">
        <v>0</v>
      </c>
      <c r="T270" s="345">
        <v>0</v>
      </c>
      <c r="U270" s="345">
        <v>0</v>
      </c>
      <c r="V270" s="345">
        <v>0</v>
      </c>
      <c r="W270" s="345">
        <v>0</v>
      </c>
      <c r="X270" s="345">
        <v>0</v>
      </c>
      <c r="Y270" s="380">
        <v>0</v>
      </c>
      <c r="Z270" s="296">
        <f t="shared" si="132"/>
        <v>2.3157144315621102E-3</v>
      </c>
      <c r="AA270" s="298">
        <f t="shared" si="133"/>
        <v>3.4770817725086503E-3</v>
      </c>
      <c r="AB270" s="948">
        <f t="array" ref="AB270">IF(AND($AD$228=TRUE,SUM(B270:L270)&gt;0),SUMPRODUCT((((TRANSPOSE(Cls2CentDailyRng)&lt;INDEX(CDRANGE_CLS2,$A270-$A$233+1,AD$229))*TRANSPOSE(Cls2CentDailyRng)+(TRANSPOSE(Cls2CentDailyRng)&gt;INDEX(CDRANGE_CLS2,$A270-$A$233+1,AD$229))*INDEX(CDRANGE_CLS2,$A270-$A$233+1,AD$229))/TRANSPOSE(Cls2CentDailyRng)),B270:L270,TRANSPOSE(Cls2CentVMTShr))/SUMPRODUCT(B270:L270,TRANSPOSE(Cls2CentVMTShr)),0)</f>
        <v>0</v>
      </c>
      <c r="AC270" s="949">
        <f t="array" ref="AC270">IF(AND($AD$228=TRUE,SUM(O270:Y270)&gt;0),SUMPRODUCT((((TRANSPOSE(Cls2NCentDailyRng)&lt;INDEX(CDRANGE_CLS2,$A270-$A$233+1,AD$229))*TRANSPOSE(Cls2NCentDailyRng)+(TRANSPOSE(Cls2NCentDailyRng)&gt;INDEX(CDRANGE_CLS2,$A270-$A$233+1,AD$229))*INDEX(CDRANGE_CLS2,$A270-$A$233+1,AD$229))/TRANSPOSE(Cls2NCentDailyRng)),O270:Y270,TRANSPOSE(Cls2NCentVMTShr))/SUMPRODUCT(O270:Y270,TRANSPOSE(Cls2NCentVMTShr)),0)</f>
        <v>0</v>
      </c>
      <c r="AD270" s="1226">
        <f t="shared" si="140"/>
        <v>0</v>
      </c>
      <c r="AE270" s="937">
        <f t="shared" si="137"/>
        <v>1.1140956515525676E-3</v>
      </c>
      <c r="AF270" s="937">
        <f t="shared" si="138"/>
        <v>2.3157144315621102E-3</v>
      </c>
      <c r="AG270" s="937">
        <f t="shared" si="139"/>
        <v>3.4298100831146776E-3</v>
      </c>
      <c r="AH270" s="1172">
        <f t="shared" si="135"/>
        <v>0.3248272133309596</v>
      </c>
      <c r="AI270" s="937">
        <f t="shared" si="136"/>
        <v>0.67517278666904046</v>
      </c>
    </row>
    <row r="271" spans="1:35" ht="15" thickBot="1" x14ac:dyDescent="0.25">
      <c r="A271" s="328">
        <v>2045</v>
      </c>
      <c r="B271" s="346">
        <v>0</v>
      </c>
      <c r="C271" s="347">
        <v>4.8159173364769091E-3</v>
      </c>
      <c r="D271" s="347">
        <v>7.3968393235450916E-2</v>
      </c>
      <c r="E271" s="347">
        <v>0</v>
      </c>
      <c r="F271" s="347">
        <v>0</v>
      </c>
      <c r="G271" s="347">
        <v>0</v>
      </c>
      <c r="H271" s="347">
        <v>0</v>
      </c>
      <c r="I271" s="347">
        <v>0</v>
      </c>
      <c r="J271" s="347">
        <v>0</v>
      </c>
      <c r="K271" s="347">
        <v>0</v>
      </c>
      <c r="L271" s="381">
        <v>0</v>
      </c>
      <c r="M271" s="310">
        <f t="shared" si="130"/>
        <v>4.603192859830442E-3</v>
      </c>
      <c r="N271" s="312">
        <f t="shared" si="131"/>
        <v>7.2262846724230473E-3</v>
      </c>
      <c r="O271" s="346">
        <v>0</v>
      </c>
      <c r="P271" s="347">
        <v>1.4153308506678008E-2</v>
      </c>
      <c r="Q271" s="347">
        <v>0.10520695760798728</v>
      </c>
      <c r="R271" s="347">
        <v>0</v>
      </c>
      <c r="S271" s="347">
        <v>0</v>
      </c>
      <c r="T271" s="347">
        <v>0</v>
      </c>
      <c r="U271" s="347">
        <v>0</v>
      </c>
      <c r="V271" s="347">
        <v>0</v>
      </c>
      <c r="W271" s="347">
        <v>0</v>
      </c>
      <c r="X271" s="347">
        <v>0</v>
      </c>
      <c r="Y271" s="381">
        <v>0</v>
      </c>
      <c r="Z271" s="310">
        <f t="shared" si="132"/>
        <v>4.7965143885865518E-3</v>
      </c>
      <c r="AA271" s="312">
        <f t="shared" si="133"/>
        <v>7.5048312885478063E-3</v>
      </c>
      <c r="AB271" s="948">
        <f t="array" ref="AB271">IF(AND($AD$228=TRUE,SUM(B271:L271)&gt;0),SUMPRODUCT((((TRANSPOSE(Cls2CentDailyRng)&lt;INDEX(CDRANGE_CLS2,$A271-$A$233+1,AD$229))*TRANSPOSE(Cls2CentDailyRng)+(TRANSPOSE(Cls2CentDailyRng)&gt;INDEX(CDRANGE_CLS2,$A271-$A$233+1,AD$229))*INDEX(CDRANGE_CLS2,$A271-$A$233+1,AD$229))/TRANSPOSE(Cls2CentDailyRng)),B271:L271,TRANSPOSE(Cls2CentVMTShr))/SUMPRODUCT(B271:L271,TRANSPOSE(Cls2CentVMTShr)),0)</f>
        <v>0</v>
      </c>
      <c r="AC271" s="949">
        <f t="array" ref="AC271">IF(AND($AD$228=TRUE,SUM(O271:Y271)&gt;0),SUMPRODUCT((((TRANSPOSE(Cls2NCentDailyRng)&lt;INDEX(CDRANGE_CLS2,$A271-$A$233+1,AD$229))*TRANSPOSE(Cls2NCentDailyRng)+(TRANSPOSE(Cls2NCentDailyRng)&gt;INDEX(CDRANGE_CLS2,$A271-$A$233+1,AD$229))*INDEX(CDRANGE_CLS2,$A271-$A$233+1,AD$229))/TRANSPOSE(Cls2NCentDailyRng)),O271:Y271,TRANSPOSE(Cls2NCentVMTShr))/SUMPRODUCT(O271:Y271,TRANSPOSE(Cls2NCentVMTShr)),0)</f>
        <v>0</v>
      </c>
      <c r="AD271" s="1226">
        <f t="shared" si="140"/>
        <v>0</v>
      </c>
      <c r="AE271" s="937">
        <f t="shared" si="137"/>
        <v>4.603192859830442E-3</v>
      </c>
      <c r="AF271" s="937">
        <f t="shared" si="138"/>
        <v>4.7965143885865518E-3</v>
      </c>
      <c r="AG271" s="937">
        <f t="shared" si="139"/>
        <v>9.3997072484169938E-3</v>
      </c>
      <c r="AH271" s="1172">
        <f t="shared" si="135"/>
        <v>0.48971661969639174</v>
      </c>
      <c r="AI271" s="937">
        <f t="shared" si="136"/>
        <v>0.5102833803036082</v>
      </c>
    </row>
    <row r="272" spans="1:35" x14ac:dyDescent="0.2">
      <c r="A272" s="329">
        <v>2046</v>
      </c>
      <c r="B272" s="342">
        <v>0</v>
      </c>
      <c r="C272" s="343">
        <v>1.9134160561626798E-2</v>
      </c>
      <c r="D272" s="343">
        <v>0.10644055378260017</v>
      </c>
      <c r="E272" s="343">
        <v>0</v>
      </c>
      <c r="F272" s="343">
        <v>0</v>
      </c>
      <c r="G272" s="343">
        <v>0</v>
      </c>
      <c r="H272" s="343">
        <v>0</v>
      </c>
      <c r="I272" s="343">
        <v>0</v>
      </c>
      <c r="J272" s="343">
        <v>0</v>
      </c>
      <c r="K272" s="343">
        <v>0</v>
      </c>
      <c r="L272" s="379">
        <v>0</v>
      </c>
      <c r="M272" s="282">
        <f t="shared" si="130"/>
        <v>7.0507618831738214E-3</v>
      </c>
      <c r="N272" s="284">
        <f t="shared" si="131"/>
        <v>1.1492731610864631E-2</v>
      </c>
      <c r="O272" s="342">
        <v>0</v>
      </c>
      <c r="P272" s="343">
        <v>4.1856747651543423E-2</v>
      </c>
      <c r="Q272" s="343">
        <v>0.12466700169580128</v>
      </c>
      <c r="R272" s="343">
        <v>0</v>
      </c>
      <c r="S272" s="343">
        <v>0</v>
      </c>
      <c r="T272" s="343">
        <v>0</v>
      </c>
      <c r="U272" s="343">
        <v>0</v>
      </c>
      <c r="V272" s="343">
        <v>0</v>
      </c>
      <c r="W272" s="343">
        <v>0</v>
      </c>
      <c r="X272" s="343">
        <v>0</v>
      </c>
      <c r="Y272" s="379">
        <v>0</v>
      </c>
      <c r="Z272" s="282">
        <f t="shared" si="132"/>
        <v>6.3751746903337354E-3</v>
      </c>
      <c r="AA272" s="284">
        <f t="shared" si="133"/>
        <v>1.0574562557685204E-2</v>
      </c>
      <c r="AB272" s="948">
        <f t="array" ref="AB272">IF(AND($AD$228=TRUE,SUM(B272:L272)&gt;0),SUMPRODUCT((((TRANSPOSE(Cls2CentDailyRng)&lt;INDEX(CDRANGE_CLS2,$A272-$A$233+1,AD$229))*TRANSPOSE(Cls2CentDailyRng)+(TRANSPOSE(Cls2CentDailyRng)&gt;INDEX(CDRANGE_CLS2,$A272-$A$233+1,AD$229))*INDEX(CDRANGE_CLS2,$A272-$A$233+1,AD$229))/TRANSPOSE(Cls2CentDailyRng)),B272:L272,TRANSPOSE(Cls2CentVMTShr))/SUMPRODUCT(B272:L272,TRANSPOSE(Cls2CentVMTShr)),0)</f>
        <v>0</v>
      </c>
      <c r="AC272" s="949">
        <f t="array" ref="AC272">IF(AND($AD$228=TRUE,SUM(O272:Y272)&gt;0),SUMPRODUCT((((TRANSPOSE(Cls2NCentDailyRng)&lt;INDEX(CDRANGE_CLS2,$A272-$A$233+1,AD$229))*TRANSPOSE(Cls2NCentDailyRng)+(TRANSPOSE(Cls2NCentDailyRng)&gt;INDEX(CDRANGE_CLS2,$A272-$A$233+1,AD$229))*INDEX(CDRANGE_CLS2,$A272-$A$233+1,AD$229))/TRANSPOSE(Cls2NCentDailyRng)),O272:Y272,TRANSPOSE(Cls2NCentVMTShr))/SUMPRODUCT(O272:Y272,TRANSPOSE(Cls2NCentVMTShr)),0)</f>
        <v>0</v>
      </c>
      <c r="AD272" s="1226">
        <f t="shared" si="140"/>
        <v>0</v>
      </c>
      <c r="AE272" s="937">
        <f t="shared" si="137"/>
        <v>7.0507618831738214E-3</v>
      </c>
      <c r="AF272" s="937">
        <f t="shared" si="138"/>
        <v>6.3751746903337354E-3</v>
      </c>
      <c r="AG272" s="937">
        <f t="shared" si="139"/>
        <v>1.3425936573507557E-2</v>
      </c>
      <c r="AH272" s="1172">
        <f t="shared" si="135"/>
        <v>0.52515977895252286</v>
      </c>
      <c r="AI272" s="937">
        <f t="shared" si="136"/>
        <v>0.47484022104747708</v>
      </c>
    </row>
    <row r="273" spans="1:39" x14ac:dyDescent="0.2">
      <c r="A273" s="330">
        <v>2047</v>
      </c>
      <c r="B273" s="344">
        <v>0</v>
      </c>
      <c r="C273" s="345">
        <v>4.3203274109689806E-2</v>
      </c>
      <c r="D273" s="345">
        <v>0.14023489539086917</v>
      </c>
      <c r="E273" s="345">
        <v>0</v>
      </c>
      <c r="F273" s="345">
        <v>0</v>
      </c>
      <c r="G273" s="345">
        <v>0</v>
      </c>
      <c r="H273" s="345">
        <v>0</v>
      </c>
      <c r="I273" s="345">
        <v>0</v>
      </c>
      <c r="J273" s="345">
        <v>0</v>
      </c>
      <c r="K273" s="345">
        <v>0</v>
      </c>
      <c r="L273" s="380">
        <v>0</v>
      </c>
      <c r="M273" s="296">
        <f t="shared" si="130"/>
        <v>9.9185818925987632E-3</v>
      </c>
      <c r="N273" s="298">
        <f t="shared" si="131"/>
        <v>1.675480485380542E-2</v>
      </c>
      <c r="O273" s="344">
        <v>0</v>
      </c>
      <c r="P273" s="345">
        <v>6.7644410242728978E-2</v>
      </c>
      <c r="Q273" s="345">
        <v>0.14299633616001584</v>
      </c>
      <c r="R273" s="345">
        <v>0</v>
      </c>
      <c r="S273" s="345">
        <v>0</v>
      </c>
      <c r="T273" s="345">
        <v>0</v>
      </c>
      <c r="U273" s="345">
        <v>0</v>
      </c>
      <c r="V273" s="345">
        <v>0</v>
      </c>
      <c r="W273" s="345">
        <v>0</v>
      </c>
      <c r="X273" s="345">
        <v>0</v>
      </c>
      <c r="Y273" s="380">
        <v>0</v>
      </c>
      <c r="Z273" s="296">
        <f t="shared" si="132"/>
        <v>7.8536712008352126E-3</v>
      </c>
      <c r="AA273" s="298">
        <f t="shared" si="133"/>
        <v>1.3445411290595809E-2</v>
      </c>
      <c r="AB273" s="948">
        <f t="array" ref="AB273">IF(AND($AD$228=TRUE,SUM(B273:L273)&gt;0),SUMPRODUCT((((TRANSPOSE(Cls2CentDailyRng)&lt;INDEX(CDRANGE_CLS2,$A273-$A$233+1,AD$229))*TRANSPOSE(Cls2CentDailyRng)+(TRANSPOSE(Cls2CentDailyRng)&gt;INDEX(CDRANGE_CLS2,$A273-$A$233+1,AD$229))*INDEX(CDRANGE_CLS2,$A273-$A$233+1,AD$229))/TRANSPOSE(Cls2CentDailyRng)),B273:L273,TRANSPOSE(Cls2CentVMTShr))/SUMPRODUCT(B273:L273,TRANSPOSE(Cls2CentVMTShr)),0)</f>
        <v>0</v>
      </c>
      <c r="AC273" s="949">
        <f t="array" ref="AC273">IF(AND($AD$228=TRUE,SUM(O273:Y273)&gt;0),SUMPRODUCT((((TRANSPOSE(Cls2NCentDailyRng)&lt;INDEX(CDRANGE_CLS2,$A273-$A$233+1,AD$229))*TRANSPOSE(Cls2NCentDailyRng)+(TRANSPOSE(Cls2NCentDailyRng)&gt;INDEX(CDRANGE_CLS2,$A273-$A$233+1,AD$229))*INDEX(CDRANGE_CLS2,$A273-$A$233+1,AD$229))/TRANSPOSE(Cls2NCentDailyRng)),O273:Y273,TRANSPOSE(Cls2NCentVMTShr))/SUMPRODUCT(O273:Y273,TRANSPOSE(Cls2NCentVMTShr)),0)</f>
        <v>0</v>
      </c>
      <c r="AD273" s="1226">
        <f t="shared" si="140"/>
        <v>0</v>
      </c>
      <c r="AE273" s="937">
        <f t="shared" si="137"/>
        <v>9.9185818925987632E-3</v>
      </c>
      <c r="AF273" s="937">
        <f t="shared" si="138"/>
        <v>7.8536712008352126E-3</v>
      </c>
      <c r="AG273" s="937">
        <f t="shared" si="139"/>
        <v>1.7772253093433978E-2</v>
      </c>
      <c r="AH273" s="1172">
        <f t="shared" si="135"/>
        <v>0.55809366659668036</v>
      </c>
      <c r="AI273" s="937">
        <f t="shared" si="136"/>
        <v>0.44190633340331953</v>
      </c>
    </row>
    <row r="274" spans="1:39" x14ac:dyDescent="0.2">
      <c r="A274" s="330">
        <v>2048</v>
      </c>
      <c r="B274" s="344">
        <v>0</v>
      </c>
      <c r="C274" s="345">
        <v>6.2040693851946674E-2</v>
      </c>
      <c r="D274" s="345">
        <v>0.15839375635452305</v>
      </c>
      <c r="E274" s="345">
        <v>0</v>
      </c>
      <c r="F274" s="345">
        <v>0</v>
      </c>
      <c r="G274" s="345">
        <v>0</v>
      </c>
      <c r="H274" s="345">
        <v>0</v>
      </c>
      <c r="I274" s="345">
        <v>0</v>
      </c>
      <c r="J274" s="345">
        <v>0</v>
      </c>
      <c r="K274" s="345">
        <v>0</v>
      </c>
      <c r="L274" s="380">
        <v>0</v>
      </c>
      <c r="M274" s="296">
        <f t="shared" si="130"/>
        <v>1.1666026891107972E-2</v>
      </c>
      <c r="N274" s="298">
        <f t="shared" si="131"/>
        <v>2.0111619713283575E-2</v>
      </c>
      <c r="O274" s="344">
        <v>0</v>
      </c>
      <c r="P274" s="345">
        <v>9.0693254689070787E-2</v>
      </c>
      <c r="Q274" s="345">
        <v>0.15430337682011597</v>
      </c>
      <c r="R274" s="345">
        <v>0</v>
      </c>
      <c r="S274" s="345">
        <v>0</v>
      </c>
      <c r="T274" s="345">
        <v>0</v>
      </c>
      <c r="U274" s="345">
        <v>0</v>
      </c>
      <c r="V274" s="345">
        <v>0</v>
      </c>
      <c r="W274" s="345">
        <v>0</v>
      </c>
      <c r="X274" s="345">
        <v>0</v>
      </c>
      <c r="Y274" s="380">
        <v>0</v>
      </c>
      <c r="Z274" s="296">
        <f t="shared" si="132"/>
        <v>8.9625598495165441E-3</v>
      </c>
      <c r="AA274" s="298">
        <f t="shared" si="133"/>
        <v>1.5695065682226193E-2</v>
      </c>
      <c r="AB274" s="948">
        <f t="array" ref="AB274">IF(AND($AD$228=TRUE,SUM(B274:L274)&gt;0),SUMPRODUCT((((TRANSPOSE(Cls2CentDailyRng)&lt;INDEX(CDRANGE_CLS2,$A274-$A$233+1,AD$229))*TRANSPOSE(Cls2CentDailyRng)+(TRANSPOSE(Cls2CentDailyRng)&gt;INDEX(CDRANGE_CLS2,$A274-$A$233+1,AD$229))*INDEX(CDRANGE_CLS2,$A274-$A$233+1,AD$229))/TRANSPOSE(Cls2CentDailyRng)),B274:L274,TRANSPOSE(Cls2CentVMTShr))/SUMPRODUCT(B274:L274,TRANSPOSE(Cls2CentVMTShr)),0)</f>
        <v>0</v>
      </c>
      <c r="AC274" s="949">
        <f t="array" ref="AC274">IF(AND($AD$228=TRUE,SUM(O274:Y274)&gt;0),SUMPRODUCT((((TRANSPOSE(Cls2NCentDailyRng)&lt;INDEX(CDRANGE_CLS2,$A274-$A$233+1,AD$229))*TRANSPOSE(Cls2NCentDailyRng)+(TRANSPOSE(Cls2NCentDailyRng)&gt;INDEX(CDRANGE_CLS2,$A274-$A$233+1,AD$229))*INDEX(CDRANGE_CLS2,$A274-$A$233+1,AD$229))/TRANSPOSE(Cls2NCentDailyRng)),O274:Y274,TRANSPOSE(Cls2NCentVMTShr))/SUMPRODUCT(O274:Y274,TRANSPOSE(Cls2NCentVMTShr)),0)</f>
        <v>0</v>
      </c>
      <c r="AD274" s="1226">
        <f t="shared" si="140"/>
        <v>0</v>
      </c>
      <c r="AE274" s="937">
        <f t="shared" si="137"/>
        <v>1.1666026891107972E-2</v>
      </c>
      <c r="AF274" s="937">
        <f t="shared" si="138"/>
        <v>8.9625598495165441E-3</v>
      </c>
      <c r="AG274" s="937">
        <f t="shared" si="139"/>
        <v>2.0628586740624517E-2</v>
      </c>
      <c r="AH274" s="1172">
        <f t="shared" si="135"/>
        <v>0.56552719959887998</v>
      </c>
      <c r="AI274" s="937">
        <f t="shared" si="136"/>
        <v>0.43447280040111991</v>
      </c>
    </row>
    <row r="275" spans="1:39" x14ac:dyDescent="0.2">
      <c r="A275" s="330">
        <v>2049</v>
      </c>
      <c r="B275" s="344">
        <v>0</v>
      </c>
      <c r="C275" s="345">
        <v>8.5568879205004916E-2</v>
      </c>
      <c r="D275" s="345">
        <v>0.16911868580372416</v>
      </c>
      <c r="E275" s="345">
        <v>0</v>
      </c>
      <c r="F275" s="345">
        <v>0</v>
      </c>
      <c r="G275" s="345">
        <v>0</v>
      </c>
      <c r="H275" s="345">
        <v>0</v>
      </c>
      <c r="I275" s="345">
        <v>0</v>
      </c>
      <c r="J275" s="345">
        <v>0</v>
      </c>
      <c r="K275" s="345">
        <v>0</v>
      </c>
      <c r="L275" s="380">
        <v>0</v>
      </c>
      <c r="M275" s="296">
        <f t="shared" si="130"/>
        <v>1.3131801573281457E-2</v>
      </c>
      <c r="N275" s="298">
        <f t="shared" si="131"/>
        <v>2.3206105455424786E-2</v>
      </c>
      <c r="O275" s="344">
        <v>0</v>
      </c>
      <c r="P275" s="345">
        <v>0.10385634470929016</v>
      </c>
      <c r="Q275" s="345">
        <v>0.15903440162666638</v>
      </c>
      <c r="R275" s="345">
        <v>0</v>
      </c>
      <c r="S275" s="345">
        <v>0</v>
      </c>
      <c r="T275" s="345">
        <v>0</v>
      </c>
      <c r="U275" s="345">
        <v>0</v>
      </c>
      <c r="V275" s="345">
        <v>0</v>
      </c>
      <c r="W275" s="345">
        <v>0</v>
      </c>
      <c r="X275" s="345">
        <v>0</v>
      </c>
      <c r="Y275" s="380">
        <v>0</v>
      </c>
      <c r="Z275" s="296">
        <f t="shared" si="132"/>
        <v>9.5235351611985177E-3</v>
      </c>
      <c r="AA275" s="298">
        <f t="shared" si="133"/>
        <v>1.6872252142486003E-2</v>
      </c>
      <c r="AB275" s="948">
        <f t="array" ref="AB275">IF(AND($AD$228=TRUE,SUM(B275:L275)&gt;0),SUMPRODUCT((((TRANSPOSE(Cls2CentDailyRng)&lt;INDEX(CDRANGE_CLS2,$A275-$A$233+1,AD$229))*TRANSPOSE(Cls2CentDailyRng)+(TRANSPOSE(Cls2CentDailyRng)&gt;INDEX(CDRANGE_CLS2,$A275-$A$233+1,AD$229))*INDEX(CDRANGE_CLS2,$A275-$A$233+1,AD$229))/TRANSPOSE(Cls2CentDailyRng)),B275:L275,TRANSPOSE(Cls2CentVMTShr))/SUMPRODUCT(B275:L275,TRANSPOSE(Cls2CentVMTShr)),0)</f>
        <v>0</v>
      </c>
      <c r="AC275" s="949">
        <f t="array" ref="AC275">IF(AND($AD$228=TRUE,SUM(O275:Y275)&gt;0),SUMPRODUCT((((TRANSPOSE(Cls2NCentDailyRng)&lt;INDEX(CDRANGE_CLS2,$A275-$A$233+1,AD$229))*TRANSPOSE(Cls2NCentDailyRng)+(TRANSPOSE(Cls2NCentDailyRng)&gt;INDEX(CDRANGE_CLS2,$A275-$A$233+1,AD$229))*INDEX(CDRANGE_CLS2,$A275-$A$233+1,AD$229))/TRANSPOSE(Cls2NCentDailyRng)),O275:Y275,TRANSPOSE(Cls2NCentVMTShr))/SUMPRODUCT(O275:Y275,TRANSPOSE(Cls2NCentVMTShr)),0)</f>
        <v>0</v>
      </c>
      <c r="AD275" s="1226">
        <f t="shared" si="140"/>
        <v>0</v>
      </c>
      <c r="AE275" s="937">
        <f t="shared" si="137"/>
        <v>1.3131801573281457E-2</v>
      </c>
      <c r="AF275" s="937">
        <f t="shared" si="138"/>
        <v>9.5235351611985177E-3</v>
      </c>
      <c r="AG275" s="937">
        <f t="shared" si="139"/>
        <v>2.2655336734479975E-2</v>
      </c>
      <c r="AH275" s="1172">
        <f t="shared" si="135"/>
        <v>0.5796339170406456</v>
      </c>
      <c r="AI275" s="937">
        <f t="shared" si="136"/>
        <v>0.42036608295935435</v>
      </c>
    </row>
    <row r="276" spans="1:39" ht="15" thickBot="1" x14ac:dyDescent="0.25">
      <c r="A276" s="328">
        <v>2050</v>
      </c>
      <c r="B276" s="346">
        <v>0</v>
      </c>
      <c r="C276" s="347">
        <v>0.10525072236570349</v>
      </c>
      <c r="D276" s="347">
        <v>0.17991436616639803</v>
      </c>
      <c r="E276" s="347">
        <v>0</v>
      </c>
      <c r="F276" s="347">
        <v>0</v>
      </c>
      <c r="G276" s="347">
        <v>0</v>
      </c>
      <c r="H276" s="347">
        <v>0</v>
      </c>
      <c r="I276" s="347">
        <v>0</v>
      </c>
      <c r="J276" s="347">
        <v>0</v>
      </c>
      <c r="K276" s="347">
        <v>0</v>
      </c>
      <c r="L276" s="381">
        <v>0</v>
      </c>
      <c r="M276" s="310">
        <f t="shared" si="130"/>
        <v>1.4467314895106364E-2</v>
      </c>
      <c r="N276" s="312">
        <f t="shared" si="131"/>
        <v>2.5962262108887139E-2</v>
      </c>
      <c r="O276" s="346">
        <v>5.9892136402422643E-4</v>
      </c>
      <c r="P276" s="347">
        <v>0.11413371153245161</v>
      </c>
      <c r="Q276" s="347">
        <v>0.1701359726675496</v>
      </c>
      <c r="R276" s="347">
        <v>0</v>
      </c>
      <c r="S276" s="347">
        <v>0</v>
      </c>
      <c r="T276" s="347">
        <v>0</v>
      </c>
      <c r="U276" s="347">
        <v>0</v>
      </c>
      <c r="V276" s="347">
        <v>0</v>
      </c>
      <c r="W276" s="347">
        <v>0</v>
      </c>
      <c r="X276" s="347">
        <v>0</v>
      </c>
      <c r="Y276" s="381">
        <v>0</v>
      </c>
      <c r="Z276" s="310">
        <f t="shared" si="132"/>
        <v>1.0276652124295717E-2</v>
      </c>
      <c r="AA276" s="312">
        <f t="shared" si="133"/>
        <v>1.8280568133675634E-2</v>
      </c>
      <c r="AB276" s="950">
        <f t="array" ref="AB276">IF(AND($AD$228=TRUE,SUM(B276:L276)&gt;0),SUMPRODUCT((((TRANSPOSE(Cls2CentDailyRng)&lt;INDEX(CDRANGE_CLS2,$A276-$A$233+1,AD$229))*TRANSPOSE(Cls2CentDailyRng)+(TRANSPOSE(Cls2CentDailyRng)&gt;INDEX(CDRANGE_CLS2,$A276-$A$233+1,AD$229))*INDEX(CDRANGE_CLS2,$A276-$A$233+1,AD$229))/TRANSPOSE(Cls2CentDailyRng)),B276:L276,TRANSPOSE(Cls2CentVMTShr))/SUMPRODUCT(B276:L276,TRANSPOSE(Cls2CentVMTShr)),0)</f>
        <v>0</v>
      </c>
      <c r="AC276" s="951">
        <f t="array" ref="AC276">IF(AND($AD$228=TRUE,SUM(O276:Y276)&gt;0),SUMPRODUCT((((TRANSPOSE(Cls2NCentDailyRng)&lt;INDEX(CDRANGE_CLS2,$A276-$A$233+1,AD$229))*TRANSPOSE(Cls2NCentDailyRng)+(TRANSPOSE(Cls2NCentDailyRng)&gt;INDEX(CDRANGE_CLS2,$A276-$A$233+1,AD$229))*INDEX(CDRANGE_CLS2,$A276-$A$233+1,AD$229))/TRANSPOSE(Cls2NCentDailyRng)),O276:Y276,TRANSPOSE(Cls2NCentVMTShr))/SUMPRODUCT(O276:Y276,TRANSPOSE(Cls2NCentVMTShr)),0)</f>
        <v>0</v>
      </c>
      <c r="AD276" s="1226">
        <f t="shared" si="140"/>
        <v>0</v>
      </c>
      <c r="AE276" s="937">
        <f t="shared" ref="AE276" si="141">SUMPRODUCT($B$74:$L$74,B276:L276)</f>
        <v>1.4467314895106364E-2</v>
      </c>
      <c r="AF276" s="937">
        <f t="shared" ref="AF276" si="142">SUMPRODUCT($O$74:$Y$74,O276:Y276)</f>
        <v>1.0276652124295717E-2</v>
      </c>
      <c r="AG276" s="937">
        <f t="shared" ref="AG276" si="143">SUM(AE276:AF276)</f>
        <v>2.4743967019402083E-2</v>
      </c>
      <c r="AH276" s="1172">
        <f t="shared" ref="AH276" si="144">IF(AG276&gt;0,AE276/AG276,0)</f>
        <v>0.58468049540166078</v>
      </c>
      <c r="AI276" s="937">
        <f t="shared" ref="AI276" si="145">IF(AG276&gt;0,AF276/AG276,0)</f>
        <v>0.41531950459833922</v>
      </c>
    </row>
    <row r="277" spans="1:39" x14ac:dyDescent="0.2">
      <c r="B277" s="227" t="str">
        <f>B$120</f>
        <v>Output generated: 7/21/2020 15:48</v>
      </c>
      <c r="O277" s="227" t="str">
        <f>O$120</f>
        <v>Output generated: 7/21/2020 15:48</v>
      </c>
      <c r="AE277" s="937"/>
      <c r="AF277" s="937"/>
      <c r="AG277" s="937"/>
      <c r="AH277" s="937"/>
      <c r="AI277" s="937"/>
    </row>
    <row r="278" spans="1:39" x14ac:dyDescent="0.2">
      <c r="AE278" s="937"/>
      <c r="AF278" s="937"/>
      <c r="AG278" s="937"/>
      <c r="AH278" s="937"/>
      <c r="AI278" s="937"/>
    </row>
    <row r="279" spans="1:39" ht="15" thickBot="1" x14ac:dyDescent="0.25">
      <c r="AE279" s="937"/>
      <c r="AF279" s="937"/>
      <c r="AG279" s="937"/>
      <c r="AH279" s="937"/>
      <c r="AI279" s="937"/>
    </row>
    <row r="280" spans="1:39" ht="15" x14ac:dyDescent="0.2">
      <c r="A280" s="333"/>
      <c r="B280" s="1555" t="s">
        <v>259</v>
      </c>
      <c r="C280" s="1556"/>
      <c r="D280" s="1556"/>
      <c r="E280" s="1556"/>
      <c r="F280" s="1556"/>
      <c r="G280" s="1556"/>
      <c r="H280" s="1556"/>
      <c r="I280" s="1556"/>
      <c r="J280" s="1556"/>
      <c r="K280" s="1556"/>
      <c r="L280" s="1556"/>
      <c r="M280" s="1556"/>
      <c r="N280" s="1557"/>
      <c r="O280" s="1555" t="s">
        <v>260</v>
      </c>
      <c r="P280" s="1556"/>
      <c r="Q280" s="1556"/>
      <c r="R280" s="1556"/>
      <c r="S280" s="1556"/>
      <c r="T280" s="1556"/>
      <c r="U280" s="1556"/>
      <c r="V280" s="1556"/>
      <c r="W280" s="1556"/>
      <c r="X280" s="1556"/>
      <c r="Y280" s="1556"/>
      <c r="Z280" s="1556"/>
      <c r="AA280" s="1557"/>
      <c r="AE280" s="937"/>
      <c r="AF280" s="937"/>
      <c r="AG280" s="937"/>
      <c r="AH280" s="937"/>
      <c r="AI280" s="937"/>
    </row>
    <row r="281" spans="1:39" x14ac:dyDescent="0.2">
      <c r="A281" s="324"/>
      <c r="B281" s="1552" t="s">
        <v>121</v>
      </c>
      <c r="C281" s="1553"/>
      <c r="D281" s="1553"/>
      <c r="E281" s="1553"/>
      <c r="F281" s="1553"/>
      <c r="G281" s="1553"/>
      <c r="H281" s="1553"/>
      <c r="I281" s="1553"/>
      <c r="J281" s="1553"/>
      <c r="K281" s="1553"/>
      <c r="L281" s="1553"/>
      <c r="M281" s="382"/>
      <c r="N281" s="325"/>
      <c r="O281" s="1552" t="s">
        <v>121</v>
      </c>
      <c r="P281" s="1553"/>
      <c r="Q281" s="1553"/>
      <c r="R281" s="1553"/>
      <c r="S281" s="1553"/>
      <c r="T281" s="1553"/>
      <c r="U281" s="1553"/>
      <c r="V281" s="1553"/>
      <c r="W281" s="1553"/>
      <c r="X281" s="1553"/>
      <c r="Y281" s="1553"/>
      <c r="Z281" s="382"/>
      <c r="AA281" s="325"/>
      <c r="AC281" s="954" t="s">
        <v>267</v>
      </c>
      <c r="AD281" s="234" t="b">
        <f>INDEX(TECH_OPT_FUEL2_Cls2,MATCH(RIGHT(O280),TECH_OPT_ROWS_Cls2,0))&lt;&gt;"N/A"</f>
        <v>0</v>
      </c>
      <c r="AE281" s="937"/>
      <c r="AF281" s="937"/>
      <c r="AG281" s="937"/>
      <c r="AH281" s="937"/>
      <c r="AI281" s="937"/>
    </row>
    <row r="282" spans="1:39"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MATCH(RIGHT(O280),TECH_OPT_ROWS_Cls2,0)</f>
        <v>6</v>
      </c>
      <c r="AE282" s="937"/>
      <c r="AF282" s="937"/>
      <c r="AG282" s="937"/>
      <c r="AH282" s="937"/>
      <c r="AI282" s="937"/>
    </row>
    <row r="283" spans="1:39" ht="16" thickTop="1" thickBot="1" x14ac:dyDescent="0.25">
      <c r="A283" s="348" t="s">
        <v>124</v>
      </c>
      <c r="B283" s="340">
        <f t="array" ref="B283:L283">TRANSPOSE(Cls2CentTruckShr)</f>
        <v>3.9559734044076443E-2</v>
      </c>
      <c r="C283" s="341">
        <v>8.9650908809480775E-2</v>
      </c>
      <c r="D283" s="341">
        <v>9.1857251580802685E-2</v>
      </c>
      <c r="E283" s="341">
        <v>9.271536797287637E-2</v>
      </c>
      <c r="F283" s="341">
        <v>0.10920126324528824</v>
      </c>
      <c r="G283" s="341">
        <v>4.7813378096654632E-2</v>
      </c>
      <c r="H283" s="341">
        <v>5.2826626309680449E-2</v>
      </c>
      <c r="I283" s="341">
        <v>3.3324854637922362E-2</v>
      </c>
      <c r="J283" s="341">
        <v>1.4796369103015083E-2</v>
      </c>
      <c r="K283" s="341">
        <v>6.5522293759777608E-3</v>
      </c>
      <c r="L283" s="378">
        <v>1.1207747736094297E-2</v>
      </c>
      <c r="M283" s="384"/>
      <c r="N283" s="336"/>
      <c r="O283" s="340">
        <f t="array" ref="O283:Y283">TRANSPOSE(Cls2NCentTruckShr)</f>
        <v>4.6052840844996765E-2</v>
      </c>
      <c r="P283" s="341">
        <v>6.7033462620106746E-2</v>
      </c>
      <c r="Q283" s="341">
        <v>6.2316087841293416E-2</v>
      </c>
      <c r="R283" s="341">
        <v>6.9108422941336428E-2</v>
      </c>
      <c r="S283" s="341">
        <v>7.8222088301235171E-2</v>
      </c>
      <c r="T283" s="341">
        <v>3.5529474750239771E-2</v>
      </c>
      <c r="U283" s="341">
        <v>3.0248313910710867E-2</v>
      </c>
      <c r="V283" s="341">
        <v>8.2628405675757074E-3</v>
      </c>
      <c r="W283" s="341">
        <v>6.4250307191884484E-3</v>
      </c>
      <c r="X283" s="341">
        <v>1.9993158802676368E-3</v>
      </c>
      <c r="Y283" s="1209">
        <v>5.2963907111801883E-3</v>
      </c>
      <c r="Z283" s="1214"/>
      <c r="AA283" s="1215"/>
    </row>
    <row r="284" spans="1:39" x14ac:dyDescent="0.2">
      <c r="A284" s="331" t="s">
        <v>125</v>
      </c>
      <c r="B284" s="923">
        <f t="array" ref="B284:L284">TRANSPOSE(Cls2CentVMTShr)</f>
        <v>6.3375455551975849E-3</v>
      </c>
      <c r="C284" s="924">
        <v>3.496913005496359E-2</v>
      </c>
      <c r="D284" s="924">
        <v>5.9955127131675522E-2</v>
      </c>
      <c r="E284" s="924">
        <v>8.4599669387910512E-2</v>
      </c>
      <c r="F284" s="924">
        <v>0.12702701008436962</v>
      </c>
      <c r="G284" s="924">
        <v>6.7204731283582092E-2</v>
      </c>
      <c r="H284" s="924">
        <v>8.8708982453757024E-2</v>
      </c>
      <c r="I284" s="924">
        <v>6.4694225377098208E-2</v>
      </c>
      <c r="J284" s="924">
        <v>3.2526447027526634E-2</v>
      </c>
      <c r="K284" s="924">
        <v>1.589064319454132E-2</v>
      </c>
      <c r="L284" s="1210">
        <v>3.2608183213810787E-2</v>
      </c>
      <c r="M284" s="1211"/>
      <c r="N284" s="1212"/>
      <c r="O284" s="923">
        <f t="array" ref="O284:Y284">TRANSPOSE(Cls2NCentVMTShr)</f>
        <v>8.1228463417563086E-3</v>
      </c>
      <c r="P284" s="924">
        <v>2.7563836768431361E-2</v>
      </c>
      <c r="Q284" s="924">
        <v>4.1883113088337191E-2</v>
      </c>
      <c r="R284" s="924">
        <v>6.4289357588678764E-2</v>
      </c>
      <c r="S284" s="924">
        <v>9.1183275251204537E-2</v>
      </c>
      <c r="T284" s="924">
        <v>5.1984283219922628E-2</v>
      </c>
      <c r="U284" s="924">
        <v>5.0286059545109812E-2</v>
      </c>
      <c r="V284" s="924">
        <v>1.5542287574292338E-2</v>
      </c>
      <c r="W284" s="924">
        <v>1.4506257462625264E-2</v>
      </c>
      <c r="X284" s="924">
        <v>4.9330966304706684E-3</v>
      </c>
      <c r="Y284" s="925">
        <v>1.5183891764738403E-2</v>
      </c>
      <c r="Z284" s="1211"/>
      <c r="AA284" s="1212"/>
      <c r="AB284" s="1568" t="str">
        <f>"% of miles on f2 for Tech "&amp; RIGHT(O279)&amp;" adopters"</f>
        <v>% of miles on f2 for Tech  adopters</v>
      </c>
      <c r="AC284" s="1569"/>
      <c r="AD284" s="1570"/>
      <c r="AE284" s="937" t="s">
        <v>300</v>
      </c>
      <c r="AF284" s="937"/>
      <c r="AG284" s="937"/>
      <c r="AH284" s="1172" t="s">
        <v>299</v>
      </c>
      <c r="AI284" s="937"/>
    </row>
    <row r="285" spans="1:39" ht="15" thickBot="1" x14ac:dyDescent="0.25">
      <c r="A285" s="942" t="s">
        <v>266</v>
      </c>
      <c r="B285" s="933">
        <f t="array" ref="B285:L285">TRANSPOSE(Cls2CentVMT/OPDAYS_Cls2)</f>
        <v>49.332453271995263</v>
      </c>
      <c r="C285" s="934">
        <v>120.11441047790339</v>
      </c>
      <c r="D285" s="934">
        <v>200.99157969807086</v>
      </c>
      <c r="E285" s="934">
        <v>280.98421424125928</v>
      </c>
      <c r="F285" s="934">
        <v>358.20644524895255</v>
      </c>
      <c r="G285" s="934">
        <v>432.82805471770689</v>
      </c>
      <c r="H285" s="934">
        <v>517.10615118099815</v>
      </c>
      <c r="I285" s="934">
        <v>597.8087063838957</v>
      </c>
      <c r="J285" s="934">
        <v>676.93419409560215</v>
      </c>
      <c r="K285" s="934">
        <v>746.82245226325631</v>
      </c>
      <c r="L285" s="935">
        <v>895.92826380844349</v>
      </c>
      <c r="M285" s="931"/>
      <c r="N285" s="932"/>
      <c r="O285" s="933">
        <f t="array" ref="O285:Y285">TRANSPOSE(Cls2NCentVMT/OPDAYS_Cls2)</f>
        <v>54.31462614952413</v>
      </c>
      <c r="P285" s="934">
        <v>126.62311644744663</v>
      </c>
      <c r="Q285" s="934">
        <v>206.96826351576016</v>
      </c>
      <c r="R285" s="934">
        <v>286.46600131499179</v>
      </c>
      <c r="S285" s="934">
        <v>358.9638908170715</v>
      </c>
      <c r="T285" s="934">
        <v>450.55545819643328</v>
      </c>
      <c r="U285" s="934">
        <v>511.93098482414172</v>
      </c>
      <c r="V285" s="934">
        <v>579.22933632093111</v>
      </c>
      <c r="W285" s="934">
        <v>695.25665569614875</v>
      </c>
      <c r="X285" s="934">
        <v>759.80682330760794</v>
      </c>
      <c r="Y285" s="1213">
        <v>882.81167173661356</v>
      </c>
      <c r="Z285" s="943"/>
      <c r="AA285" s="932"/>
      <c r="AB285" s="945" t="s">
        <v>186</v>
      </c>
      <c r="AC285" s="946" t="s">
        <v>15</v>
      </c>
      <c r="AD285" s="947" t="s">
        <v>18</v>
      </c>
      <c r="AE285" s="937" t="s">
        <v>186</v>
      </c>
      <c r="AF285" s="937" t="s">
        <v>15</v>
      </c>
      <c r="AG285" s="937" t="s">
        <v>18</v>
      </c>
      <c r="AH285" s="1172" t="s">
        <v>186</v>
      </c>
      <c r="AI285" s="937" t="s">
        <v>15</v>
      </c>
      <c r="AJ285" s="323"/>
      <c r="AK285" s="323"/>
      <c r="AL285" s="323"/>
      <c r="AM285" s="323"/>
    </row>
    <row r="286" spans="1:39" ht="15" thickTop="1" x14ac:dyDescent="0.2">
      <c r="A286" s="326">
        <v>2007</v>
      </c>
      <c r="B286" s="342">
        <v>0</v>
      </c>
      <c r="C286" s="343">
        <v>0</v>
      </c>
      <c r="D286" s="343">
        <v>0</v>
      </c>
      <c r="E286" s="343">
        <v>0</v>
      </c>
      <c r="F286" s="343">
        <v>0</v>
      </c>
      <c r="G286" s="343">
        <v>0</v>
      </c>
      <c r="H286" s="343">
        <v>0</v>
      </c>
      <c r="I286" s="343">
        <v>0</v>
      </c>
      <c r="J286" s="343">
        <v>0</v>
      </c>
      <c r="K286" s="343">
        <v>0</v>
      </c>
      <c r="L286" s="379">
        <v>0</v>
      </c>
      <c r="M286" s="282">
        <f>SUMPRODUCT($B$178:$L$178,$B286:$L286)</f>
        <v>0</v>
      </c>
      <c r="N286" s="284">
        <f>SUMPRODUCT($B$177:$L$177,$B286:$L286)</f>
        <v>0</v>
      </c>
      <c r="O286" s="342">
        <v>0</v>
      </c>
      <c r="P286" s="343">
        <v>0</v>
      </c>
      <c r="Q286" s="343">
        <v>0</v>
      </c>
      <c r="R286" s="343">
        <v>0</v>
      </c>
      <c r="S286" s="343">
        <v>0</v>
      </c>
      <c r="T286" s="343">
        <v>0</v>
      </c>
      <c r="U286" s="343">
        <v>0</v>
      </c>
      <c r="V286" s="343">
        <v>0</v>
      </c>
      <c r="W286" s="343">
        <v>0</v>
      </c>
      <c r="X286" s="343">
        <v>0</v>
      </c>
      <c r="Y286" s="379">
        <v>0</v>
      </c>
      <c r="Z286" s="387">
        <f>SUMPRODUCT($O$178:$Y$178,$O286:$Y286)</f>
        <v>0</v>
      </c>
      <c r="AA286" s="284">
        <f>SUMPRODUCT($O$177:$Y$177,$O286:$Y286)</f>
        <v>0</v>
      </c>
      <c r="AB286" s="948">
        <f t="array" ref="AB286">IF(AND($AD$281=TRUE,SUM(B286:L286)&gt;0),SUMPRODUCT((((TRANSPOSE(Cls2CentDailyRng)&lt;INDEX(CDRANGE_CLS2,$A286-$A$286+1,AD$282))*TRANSPOSE(Cls2CentDailyRng)+(TRANSPOSE(Cls2CentDailyRng)&gt;INDEX(CDRANGE_CLS2,$A286-$A$286+1,AD$282))*INDEX(CDRANGE_CLS2,$A286-$A$286+1,AD$282))/TRANSPOSE(Cls2CentDailyRng)),B286:L286,TRANSPOSE(Cls2CentVMTShr))/SUMPRODUCT(B286:L286,TRANSPOSE(Cls2CentVMTShr)),0)</f>
        <v>0</v>
      </c>
      <c r="AC286" s="949">
        <f t="array" ref="AC286">IF(AND($AD$281=TRUE,SUM(O286:Y286)&gt;0),SUMPRODUCT((((TRANSPOSE(Cls2NCentDailyRng)&lt;INDEX(CDRANGE_CLS2,$A286-$A$286+1,AD$282))*TRANSPOSE(Cls2NCentDailyRng)+(TRANSPOSE(Cls2NCentDailyRng)&gt;INDEX(CDRANGE_CLS2,$A286-$A$286+1,AD$282))*INDEX(CDRANGE_CLS2,$A286-$A$286+1,AD$282))/TRANSPOSE(Cls2NCentDailyRng)),O286:Y286,TRANSPOSE(Cls2NCentVMTShr))/SUMPRODUCT(O286:Y286,TRANSPOSE(Cls2NCentVMTShr)),0)</f>
        <v>0</v>
      </c>
      <c r="AD286" s="1226">
        <f>AB286*AH286+AC286*AI286</f>
        <v>0</v>
      </c>
      <c r="AE286" s="937">
        <f t="shared" ref="AE286:AE300" si="146">SUMPRODUCT($B$74:$L$74,B286:L286)</f>
        <v>0</v>
      </c>
      <c r="AF286" s="937">
        <f t="shared" ref="AF286:AF300" si="147">SUMPRODUCT($O$74:$Y$74,O286:Y286)</f>
        <v>0</v>
      </c>
      <c r="AG286" s="937">
        <f t="shared" ref="AG286:AG300" si="148">SUM(AE286:AF286)</f>
        <v>0</v>
      </c>
      <c r="AH286" s="1172">
        <f>IF(AG286&gt;0,AE286/AG286,0)</f>
        <v>0</v>
      </c>
      <c r="AI286" s="937">
        <f>IF(AG286&gt;0,AF286/AG286,0)</f>
        <v>0</v>
      </c>
    </row>
    <row r="287" spans="1:39"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49">SUMPRODUCT($B$178:$L$178,$B287:$L287)</f>
        <v>0</v>
      </c>
      <c r="N287" s="298">
        <f t="shared" ref="N287:N329" si="150">SUMPRODUCT($B$177:$L$177,$B287:$L287)</f>
        <v>0</v>
      </c>
      <c r="O287" s="344">
        <v>0</v>
      </c>
      <c r="P287" s="345">
        <v>0</v>
      </c>
      <c r="Q287" s="345">
        <v>0</v>
      </c>
      <c r="R287" s="345">
        <v>0</v>
      </c>
      <c r="S287" s="345">
        <v>0</v>
      </c>
      <c r="T287" s="345">
        <v>0</v>
      </c>
      <c r="U287" s="345">
        <v>0</v>
      </c>
      <c r="V287" s="345">
        <v>0</v>
      </c>
      <c r="W287" s="345">
        <v>0</v>
      </c>
      <c r="X287" s="345">
        <v>0</v>
      </c>
      <c r="Y287" s="380">
        <v>0</v>
      </c>
      <c r="Z287" s="296">
        <f t="shared" ref="Z287:Z329" si="151">SUMPRODUCT($O$178:$Y$178,$O287:$Y287)</f>
        <v>0</v>
      </c>
      <c r="AA287" s="298">
        <f t="shared" ref="AA287:AA329" si="152">SUMPRODUCT($O$177:$Y$177,$O287:$Y287)</f>
        <v>0</v>
      </c>
      <c r="AB287" s="948">
        <f t="array" ref="AB287">IF(AND($AD$281=TRUE,SUM(B287:L287)&gt;0),SUMPRODUCT((((TRANSPOSE(Cls2CentDailyRng)&lt;INDEX(CDRANGE_CLS2,$A287-$A$286+1,AD$282))*TRANSPOSE(Cls2CentDailyRng)+(TRANSPOSE(Cls2CentDailyRng)&gt;INDEX(CDRANGE_CLS2,$A287-$A$286+1,AD$282))*INDEX(CDRANGE_CLS2,$A287-$A$286+1,AD$282))/TRANSPOSE(Cls2CentDailyRng)),B287:L287,TRANSPOSE(Cls2CentVMTShr))/SUMPRODUCT(B287:L287,TRANSPOSE(Cls2CentVMTShr)),0)</f>
        <v>0</v>
      </c>
      <c r="AC287" s="949">
        <f t="array" ref="AC287">IF(AND($AD$281=TRUE,SUM(O287:Y287)&gt;0),SUMPRODUCT((((TRANSPOSE(Cls2NCentDailyRng)&lt;INDEX(CDRANGE_CLS2,$A287-$A$286+1,AD$282))*TRANSPOSE(Cls2NCentDailyRng)+(TRANSPOSE(Cls2NCentDailyRng)&gt;INDEX(CDRANGE_CLS2,$A287-$A$286+1,AD$282))*INDEX(CDRANGE_CLS2,$A287-$A$286+1,AD$282))/TRANSPOSE(Cls2NCentDailyRng)),O287:Y287,TRANSPOSE(Cls2NCentVMTShr))/SUMPRODUCT(O287:Y287,TRANSPOSE(Cls2NCentVMTShr)),0)</f>
        <v>0</v>
      </c>
      <c r="AD287" s="1226">
        <f t="shared" ref="AD287:AD311" si="153">AB287*AH287+AC287*AI287</f>
        <v>0</v>
      </c>
      <c r="AE287" s="937">
        <f t="shared" si="146"/>
        <v>0</v>
      </c>
      <c r="AF287" s="937">
        <f t="shared" si="147"/>
        <v>0</v>
      </c>
      <c r="AG287" s="937">
        <f t="shared" si="148"/>
        <v>0</v>
      </c>
      <c r="AH287" s="1172">
        <f t="shared" ref="AH287:AH328" si="154">IF(AG287&gt;0,AE287/AG287,0)</f>
        <v>0</v>
      </c>
      <c r="AI287" s="937">
        <f t="shared" ref="AI287:AI328" si="155">IF(AG287&gt;0,AF287/AG287,0)</f>
        <v>0</v>
      </c>
    </row>
    <row r="288" spans="1:39" x14ac:dyDescent="0.2">
      <c r="A288" s="327">
        <v>2009</v>
      </c>
      <c r="B288" s="344">
        <v>0</v>
      </c>
      <c r="C288" s="345">
        <v>0</v>
      </c>
      <c r="D288" s="345">
        <v>0</v>
      </c>
      <c r="E288" s="345">
        <v>0</v>
      </c>
      <c r="F288" s="345">
        <v>0</v>
      </c>
      <c r="G288" s="345">
        <v>0</v>
      </c>
      <c r="H288" s="345">
        <v>0</v>
      </c>
      <c r="I288" s="345">
        <v>0</v>
      </c>
      <c r="J288" s="345">
        <v>0</v>
      </c>
      <c r="K288" s="345">
        <v>0</v>
      </c>
      <c r="L288" s="380">
        <v>0</v>
      </c>
      <c r="M288" s="296">
        <f t="shared" si="149"/>
        <v>0</v>
      </c>
      <c r="N288" s="298">
        <f t="shared" si="150"/>
        <v>0</v>
      </c>
      <c r="O288" s="344">
        <v>0</v>
      </c>
      <c r="P288" s="345">
        <v>0</v>
      </c>
      <c r="Q288" s="345">
        <v>0</v>
      </c>
      <c r="R288" s="345">
        <v>0</v>
      </c>
      <c r="S288" s="345">
        <v>0</v>
      </c>
      <c r="T288" s="345">
        <v>0</v>
      </c>
      <c r="U288" s="345">
        <v>0</v>
      </c>
      <c r="V288" s="345">
        <v>0</v>
      </c>
      <c r="W288" s="345">
        <v>0</v>
      </c>
      <c r="X288" s="345">
        <v>0</v>
      </c>
      <c r="Y288" s="380">
        <v>0</v>
      </c>
      <c r="Z288" s="296">
        <f t="shared" si="151"/>
        <v>0</v>
      </c>
      <c r="AA288" s="298">
        <f t="shared" si="152"/>
        <v>0</v>
      </c>
      <c r="AB288" s="948">
        <f t="array" ref="AB288">IF(AND($AD$281=TRUE,SUM(B288:L288)&gt;0),SUMPRODUCT((((TRANSPOSE(Cls2CentDailyRng)&lt;INDEX(CDRANGE_CLS2,$A288-$A$286+1,AD$282))*TRANSPOSE(Cls2CentDailyRng)+(TRANSPOSE(Cls2CentDailyRng)&gt;INDEX(CDRANGE_CLS2,$A288-$A$286+1,AD$282))*INDEX(CDRANGE_CLS2,$A288-$A$286+1,AD$282))/TRANSPOSE(Cls2CentDailyRng)),B288:L288,TRANSPOSE(Cls2CentVMTShr))/SUMPRODUCT(B288:L288,TRANSPOSE(Cls2CentVMTShr)),0)</f>
        <v>0</v>
      </c>
      <c r="AC288" s="949">
        <f t="array" ref="AC288">IF(AND($AD$281=TRUE,SUM(O288:Y288)&gt;0),SUMPRODUCT((((TRANSPOSE(Cls2NCentDailyRng)&lt;INDEX(CDRANGE_CLS2,$A288-$A$286+1,AD$282))*TRANSPOSE(Cls2NCentDailyRng)+(TRANSPOSE(Cls2NCentDailyRng)&gt;INDEX(CDRANGE_CLS2,$A288-$A$286+1,AD$282))*INDEX(CDRANGE_CLS2,$A288-$A$286+1,AD$282))/TRANSPOSE(Cls2NCentDailyRng)),O288:Y288,TRANSPOSE(Cls2NCentVMTShr))/SUMPRODUCT(O288:Y288,TRANSPOSE(Cls2NCentVMTShr)),0)</f>
        <v>0</v>
      </c>
      <c r="AD288" s="1226">
        <f t="shared" si="153"/>
        <v>0</v>
      </c>
      <c r="AE288" s="937">
        <f t="shared" si="146"/>
        <v>0</v>
      </c>
      <c r="AF288" s="937">
        <f t="shared" si="147"/>
        <v>0</v>
      </c>
      <c r="AG288" s="937">
        <f t="shared" si="148"/>
        <v>0</v>
      </c>
      <c r="AH288" s="1172">
        <f t="shared" si="154"/>
        <v>0</v>
      </c>
      <c r="AI288" s="937">
        <f t="shared" si="155"/>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49"/>
        <v>0</v>
      </c>
      <c r="N289" s="312">
        <f t="shared" si="150"/>
        <v>0</v>
      </c>
      <c r="O289" s="346">
        <v>0</v>
      </c>
      <c r="P289" s="347">
        <v>0</v>
      </c>
      <c r="Q289" s="347">
        <v>0</v>
      </c>
      <c r="R289" s="347">
        <v>0</v>
      </c>
      <c r="S289" s="347">
        <v>0</v>
      </c>
      <c r="T289" s="347">
        <v>0</v>
      </c>
      <c r="U289" s="347">
        <v>0</v>
      </c>
      <c r="V289" s="347">
        <v>0</v>
      </c>
      <c r="W289" s="347">
        <v>0</v>
      </c>
      <c r="X289" s="347">
        <v>0</v>
      </c>
      <c r="Y289" s="381">
        <v>0</v>
      </c>
      <c r="Z289" s="310">
        <f t="shared" si="151"/>
        <v>0</v>
      </c>
      <c r="AA289" s="312">
        <f t="shared" si="152"/>
        <v>0</v>
      </c>
      <c r="AB289" s="948">
        <f t="array" ref="AB289">IF(AND($AD$281=TRUE,SUM(B289:L289)&gt;0),SUMPRODUCT((((TRANSPOSE(Cls2CentDailyRng)&lt;INDEX(CDRANGE_CLS2,$A289-$A$286+1,AD$282))*TRANSPOSE(Cls2CentDailyRng)+(TRANSPOSE(Cls2CentDailyRng)&gt;INDEX(CDRANGE_CLS2,$A289-$A$286+1,AD$282))*INDEX(CDRANGE_CLS2,$A289-$A$286+1,AD$282))/TRANSPOSE(Cls2CentDailyRng)),B289:L289,TRANSPOSE(Cls2CentVMTShr))/SUMPRODUCT(B289:L289,TRANSPOSE(Cls2CentVMTShr)),0)</f>
        <v>0</v>
      </c>
      <c r="AC289" s="949">
        <f t="array" ref="AC289">IF(AND($AD$281=TRUE,SUM(O289:Y289)&gt;0),SUMPRODUCT((((TRANSPOSE(Cls2NCentDailyRng)&lt;INDEX(CDRANGE_CLS2,$A289-$A$286+1,AD$282))*TRANSPOSE(Cls2NCentDailyRng)+(TRANSPOSE(Cls2NCentDailyRng)&gt;INDEX(CDRANGE_CLS2,$A289-$A$286+1,AD$282))*INDEX(CDRANGE_CLS2,$A289-$A$286+1,AD$282))/TRANSPOSE(Cls2NCentDailyRng)),O289:Y289,TRANSPOSE(Cls2NCentVMTShr))/SUMPRODUCT(O289:Y289,TRANSPOSE(Cls2NCentVMTShr)),0)</f>
        <v>0</v>
      </c>
      <c r="AD289" s="1226">
        <f t="shared" si="153"/>
        <v>0</v>
      </c>
      <c r="AE289" s="937">
        <f t="shared" si="146"/>
        <v>0</v>
      </c>
      <c r="AF289" s="937">
        <f t="shared" si="147"/>
        <v>0</v>
      </c>
      <c r="AG289" s="937">
        <f t="shared" si="148"/>
        <v>0</v>
      </c>
      <c r="AH289" s="1172">
        <f t="shared" si="154"/>
        <v>0</v>
      </c>
      <c r="AI289" s="937">
        <f t="shared" si="155"/>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49"/>
        <v>0</v>
      </c>
      <c r="N290" s="284">
        <f t="shared" si="150"/>
        <v>0</v>
      </c>
      <c r="O290" s="342">
        <v>0</v>
      </c>
      <c r="P290" s="343">
        <v>0</v>
      </c>
      <c r="Q290" s="343">
        <v>0</v>
      </c>
      <c r="R290" s="343">
        <v>0</v>
      </c>
      <c r="S290" s="343">
        <v>0</v>
      </c>
      <c r="T290" s="343">
        <v>0</v>
      </c>
      <c r="U290" s="343">
        <v>0</v>
      </c>
      <c r="V290" s="343">
        <v>0</v>
      </c>
      <c r="W290" s="343">
        <v>0</v>
      </c>
      <c r="X290" s="343">
        <v>0</v>
      </c>
      <c r="Y290" s="379">
        <v>0</v>
      </c>
      <c r="Z290" s="282">
        <f t="shared" si="151"/>
        <v>0</v>
      </c>
      <c r="AA290" s="284">
        <f t="shared" si="152"/>
        <v>0</v>
      </c>
      <c r="AB290" s="948">
        <f t="array" ref="AB290">IF(AND($AD$281=TRUE,SUM(B290:L290)&gt;0),SUMPRODUCT((((TRANSPOSE(Cls2CentDailyRng)&lt;INDEX(CDRANGE_CLS2,$A290-$A$286+1,AD$282))*TRANSPOSE(Cls2CentDailyRng)+(TRANSPOSE(Cls2CentDailyRng)&gt;INDEX(CDRANGE_CLS2,$A290-$A$286+1,AD$282))*INDEX(CDRANGE_CLS2,$A290-$A$286+1,AD$282))/TRANSPOSE(Cls2CentDailyRng)),B290:L290,TRANSPOSE(Cls2CentVMTShr))/SUMPRODUCT(B290:L290,TRANSPOSE(Cls2CentVMTShr)),0)</f>
        <v>0</v>
      </c>
      <c r="AC290" s="949">
        <f t="array" ref="AC290">IF(AND($AD$281=TRUE,SUM(O290:Y290)&gt;0),SUMPRODUCT((((TRANSPOSE(Cls2NCentDailyRng)&lt;INDEX(CDRANGE_CLS2,$A290-$A$286+1,AD$282))*TRANSPOSE(Cls2NCentDailyRng)+(TRANSPOSE(Cls2NCentDailyRng)&gt;INDEX(CDRANGE_CLS2,$A290-$A$286+1,AD$282))*INDEX(CDRANGE_CLS2,$A290-$A$286+1,AD$282))/TRANSPOSE(Cls2NCentDailyRng)),O290:Y290,TRANSPOSE(Cls2NCentVMTShr))/SUMPRODUCT(O290:Y290,TRANSPOSE(Cls2NCentVMTShr)),0)</f>
        <v>0</v>
      </c>
      <c r="AD290" s="1226">
        <f t="shared" si="153"/>
        <v>0</v>
      </c>
      <c r="AE290" s="937">
        <f t="shared" si="146"/>
        <v>0</v>
      </c>
      <c r="AF290" s="937">
        <f t="shared" si="147"/>
        <v>0</v>
      </c>
      <c r="AG290" s="937">
        <f t="shared" si="148"/>
        <v>0</v>
      </c>
      <c r="AH290" s="1172">
        <f t="shared" si="154"/>
        <v>0</v>
      </c>
      <c r="AI290" s="937">
        <f t="shared" si="155"/>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49"/>
        <v>0</v>
      </c>
      <c r="N291" s="298">
        <f t="shared" si="150"/>
        <v>0</v>
      </c>
      <c r="O291" s="344">
        <v>0</v>
      </c>
      <c r="P291" s="345">
        <v>0</v>
      </c>
      <c r="Q291" s="345">
        <v>0</v>
      </c>
      <c r="R291" s="345">
        <v>0</v>
      </c>
      <c r="S291" s="345">
        <v>0</v>
      </c>
      <c r="T291" s="345">
        <v>0</v>
      </c>
      <c r="U291" s="345">
        <v>0</v>
      </c>
      <c r="V291" s="345">
        <v>0</v>
      </c>
      <c r="W291" s="345">
        <v>0</v>
      </c>
      <c r="X291" s="345">
        <v>0</v>
      </c>
      <c r="Y291" s="380">
        <v>0</v>
      </c>
      <c r="Z291" s="296">
        <f t="shared" si="151"/>
        <v>0</v>
      </c>
      <c r="AA291" s="298">
        <f t="shared" si="152"/>
        <v>0</v>
      </c>
      <c r="AB291" s="948">
        <f t="array" ref="AB291">IF(AND($AD$281=TRUE,SUM(B291:L291)&gt;0),SUMPRODUCT((((TRANSPOSE(Cls2CentDailyRng)&lt;INDEX(CDRANGE_CLS2,$A291-$A$286+1,AD$282))*TRANSPOSE(Cls2CentDailyRng)+(TRANSPOSE(Cls2CentDailyRng)&gt;INDEX(CDRANGE_CLS2,$A291-$A$286+1,AD$282))*INDEX(CDRANGE_CLS2,$A291-$A$286+1,AD$282))/TRANSPOSE(Cls2CentDailyRng)),B291:L291,TRANSPOSE(Cls2CentVMTShr))/SUMPRODUCT(B291:L291,TRANSPOSE(Cls2CentVMTShr)),0)</f>
        <v>0</v>
      </c>
      <c r="AC291" s="949">
        <f t="array" ref="AC291">IF(AND($AD$281=TRUE,SUM(O291:Y291)&gt;0),SUMPRODUCT((((TRANSPOSE(Cls2NCentDailyRng)&lt;INDEX(CDRANGE_CLS2,$A291-$A$286+1,AD$282))*TRANSPOSE(Cls2NCentDailyRng)+(TRANSPOSE(Cls2NCentDailyRng)&gt;INDEX(CDRANGE_CLS2,$A291-$A$286+1,AD$282))*INDEX(CDRANGE_CLS2,$A291-$A$286+1,AD$282))/TRANSPOSE(Cls2NCentDailyRng)),O291:Y291,TRANSPOSE(Cls2NCentVMTShr))/SUMPRODUCT(O291:Y291,TRANSPOSE(Cls2NCentVMTShr)),0)</f>
        <v>0</v>
      </c>
      <c r="AD291" s="1226">
        <f t="shared" si="153"/>
        <v>0</v>
      </c>
      <c r="AE291" s="937">
        <f t="shared" si="146"/>
        <v>0</v>
      </c>
      <c r="AF291" s="937">
        <f t="shared" si="147"/>
        <v>0</v>
      </c>
      <c r="AG291" s="937">
        <f t="shared" si="148"/>
        <v>0</v>
      </c>
      <c r="AH291" s="1172">
        <f t="shared" si="154"/>
        <v>0</v>
      </c>
      <c r="AI291" s="937">
        <f t="shared" si="155"/>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49"/>
        <v>0</v>
      </c>
      <c r="N292" s="298">
        <f t="shared" si="150"/>
        <v>0</v>
      </c>
      <c r="O292" s="344">
        <v>0</v>
      </c>
      <c r="P292" s="345">
        <v>0</v>
      </c>
      <c r="Q292" s="345">
        <v>0</v>
      </c>
      <c r="R292" s="345">
        <v>0</v>
      </c>
      <c r="S292" s="345">
        <v>0</v>
      </c>
      <c r="T292" s="345">
        <v>0</v>
      </c>
      <c r="U292" s="345">
        <v>0</v>
      </c>
      <c r="V292" s="345">
        <v>0</v>
      </c>
      <c r="W292" s="345">
        <v>0</v>
      </c>
      <c r="X292" s="345">
        <v>0</v>
      </c>
      <c r="Y292" s="380">
        <v>0</v>
      </c>
      <c r="Z292" s="296">
        <f t="shared" si="151"/>
        <v>0</v>
      </c>
      <c r="AA292" s="298">
        <f t="shared" si="152"/>
        <v>0</v>
      </c>
      <c r="AB292" s="948">
        <f t="array" ref="AB292">IF(AND($AD$281=TRUE,SUM(B292:L292)&gt;0),SUMPRODUCT((((TRANSPOSE(Cls2CentDailyRng)&lt;INDEX(CDRANGE_CLS2,$A292-$A$286+1,AD$282))*TRANSPOSE(Cls2CentDailyRng)+(TRANSPOSE(Cls2CentDailyRng)&gt;INDEX(CDRANGE_CLS2,$A292-$A$286+1,AD$282))*INDEX(CDRANGE_CLS2,$A292-$A$286+1,AD$282))/TRANSPOSE(Cls2CentDailyRng)),B292:L292,TRANSPOSE(Cls2CentVMTShr))/SUMPRODUCT(B292:L292,TRANSPOSE(Cls2CentVMTShr)),0)</f>
        <v>0</v>
      </c>
      <c r="AC292" s="949">
        <f t="array" ref="AC292">IF(AND($AD$281=TRUE,SUM(O292:Y292)&gt;0),SUMPRODUCT((((TRANSPOSE(Cls2NCentDailyRng)&lt;INDEX(CDRANGE_CLS2,$A292-$A$286+1,AD$282))*TRANSPOSE(Cls2NCentDailyRng)+(TRANSPOSE(Cls2NCentDailyRng)&gt;INDEX(CDRANGE_CLS2,$A292-$A$286+1,AD$282))*INDEX(CDRANGE_CLS2,$A292-$A$286+1,AD$282))/TRANSPOSE(Cls2NCentDailyRng)),O292:Y292,TRANSPOSE(Cls2NCentVMTShr))/SUMPRODUCT(O292:Y292,TRANSPOSE(Cls2NCentVMTShr)),0)</f>
        <v>0</v>
      </c>
      <c r="AD292" s="1226">
        <f t="shared" si="153"/>
        <v>0</v>
      </c>
      <c r="AE292" s="937">
        <f t="shared" si="146"/>
        <v>0</v>
      </c>
      <c r="AF292" s="937">
        <f t="shared" si="147"/>
        <v>0</v>
      </c>
      <c r="AG292" s="937">
        <f t="shared" si="148"/>
        <v>0</v>
      </c>
      <c r="AH292" s="1172">
        <f t="shared" si="154"/>
        <v>0</v>
      </c>
      <c r="AI292" s="937">
        <f t="shared" si="155"/>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49"/>
        <v>0</v>
      </c>
      <c r="N293" s="298">
        <f t="shared" si="150"/>
        <v>0</v>
      </c>
      <c r="O293" s="344">
        <v>0</v>
      </c>
      <c r="P293" s="345">
        <v>0</v>
      </c>
      <c r="Q293" s="345">
        <v>0</v>
      </c>
      <c r="R293" s="345">
        <v>0</v>
      </c>
      <c r="S293" s="345">
        <v>0</v>
      </c>
      <c r="T293" s="345">
        <v>0</v>
      </c>
      <c r="U293" s="345">
        <v>0</v>
      </c>
      <c r="V293" s="345">
        <v>0</v>
      </c>
      <c r="W293" s="345">
        <v>0</v>
      </c>
      <c r="X293" s="345">
        <v>0</v>
      </c>
      <c r="Y293" s="380">
        <v>0</v>
      </c>
      <c r="Z293" s="296">
        <f t="shared" si="151"/>
        <v>0</v>
      </c>
      <c r="AA293" s="298">
        <f t="shared" si="152"/>
        <v>0</v>
      </c>
      <c r="AB293" s="948">
        <f t="array" ref="AB293">IF(AND($AD$281=TRUE,SUM(B293:L293)&gt;0),SUMPRODUCT((((TRANSPOSE(Cls2CentDailyRng)&lt;INDEX(CDRANGE_CLS2,$A293-$A$286+1,AD$282))*TRANSPOSE(Cls2CentDailyRng)+(TRANSPOSE(Cls2CentDailyRng)&gt;INDEX(CDRANGE_CLS2,$A293-$A$286+1,AD$282))*INDEX(CDRANGE_CLS2,$A293-$A$286+1,AD$282))/TRANSPOSE(Cls2CentDailyRng)),B293:L293,TRANSPOSE(Cls2CentVMTShr))/SUMPRODUCT(B293:L293,TRANSPOSE(Cls2CentVMTShr)),0)</f>
        <v>0</v>
      </c>
      <c r="AC293" s="949">
        <f t="array" ref="AC293">IF(AND($AD$281=TRUE,SUM(O293:Y293)&gt;0),SUMPRODUCT((((TRANSPOSE(Cls2NCentDailyRng)&lt;INDEX(CDRANGE_CLS2,$A293-$A$286+1,AD$282))*TRANSPOSE(Cls2NCentDailyRng)+(TRANSPOSE(Cls2NCentDailyRng)&gt;INDEX(CDRANGE_CLS2,$A293-$A$286+1,AD$282))*INDEX(CDRANGE_CLS2,$A293-$A$286+1,AD$282))/TRANSPOSE(Cls2NCentDailyRng)),O293:Y293,TRANSPOSE(Cls2NCentVMTShr))/SUMPRODUCT(O293:Y293,TRANSPOSE(Cls2NCentVMTShr)),0)</f>
        <v>0</v>
      </c>
      <c r="AD293" s="1226">
        <f t="shared" si="153"/>
        <v>0</v>
      </c>
      <c r="AE293" s="937">
        <f t="shared" si="146"/>
        <v>0</v>
      </c>
      <c r="AF293" s="937">
        <f t="shared" si="147"/>
        <v>0</v>
      </c>
      <c r="AG293" s="937">
        <f t="shared" si="148"/>
        <v>0</v>
      </c>
      <c r="AH293" s="1172">
        <f t="shared" si="154"/>
        <v>0</v>
      </c>
      <c r="AI293" s="937">
        <f t="shared" si="155"/>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49"/>
        <v>0</v>
      </c>
      <c r="N294" s="312">
        <f t="shared" si="150"/>
        <v>0</v>
      </c>
      <c r="O294" s="346">
        <v>0</v>
      </c>
      <c r="P294" s="347">
        <v>0</v>
      </c>
      <c r="Q294" s="347">
        <v>0</v>
      </c>
      <c r="R294" s="347">
        <v>0</v>
      </c>
      <c r="S294" s="347">
        <v>0</v>
      </c>
      <c r="T294" s="347">
        <v>0</v>
      </c>
      <c r="U294" s="347">
        <v>0</v>
      </c>
      <c r="V294" s="347">
        <v>0</v>
      </c>
      <c r="W294" s="347">
        <v>0</v>
      </c>
      <c r="X294" s="347">
        <v>0</v>
      </c>
      <c r="Y294" s="381">
        <v>0</v>
      </c>
      <c r="Z294" s="310">
        <f t="shared" si="151"/>
        <v>0</v>
      </c>
      <c r="AA294" s="312">
        <f t="shared" si="152"/>
        <v>0</v>
      </c>
      <c r="AB294" s="948">
        <f t="array" ref="AB294">IF(AND($AD$281=TRUE,SUM(B294:L294)&gt;0),SUMPRODUCT((((TRANSPOSE(Cls2CentDailyRng)&lt;INDEX(CDRANGE_CLS2,$A294-$A$286+1,AD$282))*TRANSPOSE(Cls2CentDailyRng)+(TRANSPOSE(Cls2CentDailyRng)&gt;INDEX(CDRANGE_CLS2,$A294-$A$286+1,AD$282))*INDEX(CDRANGE_CLS2,$A294-$A$286+1,AD$282))/TRANSPOSE(Cls2CentDailyRng)),B294:L294,TRANSPOSE(Cls2CentVMTShr))/SUMPRODUCT(B294:L294,TRANSPOSE(Cls2CentVMTShr)),0)</f>
        <v>0</v>
      </c>
      <c r="AC294" s="949">
        <f t="array" ref="AC294">IF(AND($AD$281=TRUE,SUM(O294:Y294)&gt;0),SUMPRODUCT((((TRANSPOSE(Cls2NCentDailyRng)&lt;INDEX(CDRANGE_CLS2,$A294-$A$286+1,AD$282))*TRANSPOSE(Cls2NCentDailyRng)+(TRANSPOSE(Cls2NCentDailyRng)&gt;INDEX(CDRANGE_CLS2,$A294-$A$286+1,AD$282))*INDEX(CDRANGE_CLS2,$A294-$A$286+1,AD$282))/TRANSPOSE(Cls2NCentDailyRng)),O294:Y294,TRANSPOSE(Cls2NCentVMTShr))/SUMPRODUCT(O294:Y294,TRANSPOSE(Cls2NCentVMTShr)),0)</f>
        <v>0</v>
      </c>
      <c r="AD294" s="1226">
        <f t="shared" si="153"/>
        <v>0</v>
      </c>
      <c r="AE294" s="937">
        <f t="shared" si="146"/>
        <v>0</v>
      </c>
      <c r="AF294" s="937">
        <f t="shared" si="147"/>
        <v>0</v>
      </c>
      <c r="AG294" s="937">
        <f t="shared" si="148"/>
        <v>0</v>
      </c>
      <c r="AH294" s="1172">
        <f t="shared" si="154"/>
        <v>0</v>
      </c>
      <c r="AI294" s="937">
        <f t="shared" si="155"/>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49"/>
        <v>0</v>
      </c>
      <c r="N295" s="284">
        <f t="shared" si="150"/>
        <v>0</v>
      </c>
      <c r="O295" s="342">
        <v>0</v>
      </c>
      <c r="P295" s="343">
        <v>0</v>
      </c>
      <c r="Q295" s="343">
        <v>0</v>
      </c>
      <c r="R295" s="343">
        <v>0</v>
      </c>
      <c r="S295" s="343">
        <v>0</v>
      </c>
      <c r="T295" s="343">
        <v>0</v>
      </c>
      <c r="U295" s="343">
        <v>0</v>
      </c>
      <c r="V295" s="343">
        <v>0</v>
      </c>
      <c r="W295" s="343">
        <v>0</v>
      </c>
      <c r="X295" s="343">
        <v>0</v>
      </c>
      <c r="Y295" s="379">
        <v>0</v>
      </c>
      <c r="Z295" s="282">
        <f t="shared" si="151"/>
        <v>0</v>
      </c>
      <c r="AA295" s="284">
        <f t="shared" si="152"/>
        <v>0</v>
      </c>
      <c r="AB295" s="948">
        <f t="array" ref="AB295">IF(AND($AD$281=TRUE,SUM(B295:L295)&gt;0),SUMPRODUCT((((TRANSPOSE(Cls2CentDailyRng)&lt;INDEX(CDRANGE_CLS2,$A295-$A$286+1,AD$282))*TRANSPOSE(Cls2CentDailyRng)+(TRANSPOSE(Cls2CentDailyRng)&gt;INDEX(CDRANGE_CLS2,$A295-$A$286+1,AD$282))*INDEX(CDRANGE_CLS2,$A295-$A$286+1,AD$282))/TRANSPOSE(Cls2CentDailyRng)),B295:L295,TRANSPOSE(Cls2CentVMTShr))/SUMPRODUCT(B295:L295,TRANSPOSE(Cls2CentVMTShr)),0)</f>
        <v>0</v>
      </c>
      <c r="AC295" s="949">
        <f t="array" ref="AC295">IF(AND($AD$281=TRUE,SUM(O295:Y295)&gt;0),SUMPRODUCT((((TRANSPOSE(Cls2NCentDailyRng)&lt;INDEX(CDRANGE_CLS2,$A295-$A$286+1,AD$282))*TRANSPOSE(Cls2NCentDailyRng)+(TRANSPOSE(Cls2NCentDailyRng)&gt;INDEX(CDRANGE_CLS2,$A295-$A$286+1,AD$282))*INDEX(CDRANGE_CLS2,$A295-$A$286+1,AD$282))/TRANSPOSE(Cls2NCentDailyRng)),O295:Y295,TRANSPOSE(Cls2NCentVMTShr))/SUMPRODUCT(O295:Y295,TRANSPOSE(Cls2NCentVMTShr)),0)</f>
        <v>0</v>
      </c>
      <c r="AD295" s="1226">
        <f t="shared" si="153"/>
        <v>0</v>
      </c>
      <c r="AE295" s="937">
        <f t="shared" si="146"/>
        <v>0</v>
      </c>
      <c r="AF295" s="937">
        <f t="shared" si="147"/>
        <v>0</v>
      </c>
      <c r="AG295" s="937">
        <f t="shared" si="148"/>
        <v>0</v>
      </c>
      <c r="AH295" s="1172">
        <f t="shared" si="154"/>
        <v>0</v>
      </c>
      <c r="AI295" s="937">
        <f t="shared" si="155"/>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49"/>
        <v>0</v>
      </c>
      <c r="N296" s="298">
        <f t="shared" si="150"/>
        <v>0</v>
      </c>
      <c r="O296" s="344">
        <v>0</v>
      </c>
      <c r="P296" s="345">
        <v>0</v>
      </c>
      <c r="Q296" s="345">
        <v>0</v>
      </c>
      <c r="R296" s="345">
        <v>0</v>
      </c>
      <c r="S296" s="345">
        <v>0</v>
      </c>
      <c r="T296" s="345">
        <v>0</v>
      </c>
      <c r="U296" s="345">
        <v>0</v>
      </c>
      <c r="V296" s="345">
        <v>0</v>
      </c>
      <c r="W296" s="345">
        <v>0</v>
      </c>
      <c r="X296" s="345">
        <v>0</v>
      </c>
      <c r="Y296" s="380">
        <v>0</v>
      </c>
      <c r="Z296" s="296">
        <f t="shared" si="151"/>
        <v>0</v>
      </c>
      <c r="AA296" s="298">
        <f t="shared" si="152"/>
        <v>0</v>
      </c>
      <c r="AB296" s="948">
        <f t="array" ref="AB296">IF(AND($AD$281=TRUE,SUM(B296:L296)&gt;0),SUMPRODUCT((((TRANSPOSE(Cls2CentDailyRng)&lt;INDEX(CDRANGE_CLS2,$A296-$A$286+1,AD$282))*TRANSPOSE(Cls2CentDailyRng)+(TRANSPOSE(Cls2CentDailyRng)&gt;INDEX(CDRANGE_CLS2,$A296-$A$286+1,AD$282))*INDEX(CDRANGE_CLS2,$A296-$A$286+1,AD$282))/TRANSPOSE(Cls2CentDailyRng)),B296:L296,TRANSPOSE(Cls2CentVMTShr))/SUMPRODUCT(B296:L296,TRANSPOSE(Cls2CentVMTShr)),0)</f>
        <v>0</v>
      </c>
      <c r="AC296" s="949">
        <f t="array" ref="AC296">IF(AND($AD$281=TRUE,SUM(O296:Y296)&gt;0),SUMPRODUCT((((TRANSPOSE(Cls2NCentDailyRng)&lt;INDEX(CDRANGE_CLS2,$A296-$A$286+1,AD$282))*TRANSPOSE(Cls2NCentDailyRng)+(TRANSPOSE(Cls2NCentDailyRng)&gt;INDEX(CDRANGE_CLS2,$A296-$A$286+1,AD$282))*INDEX(CDRANGE_CLS2,$A296-$A$286+1,AD$282))/TRANSPOSE(Cls2NCentDailyRng)),O296:Y296,TRANSPOSE(Cls2NCentVMTShr))/SUMPRODUCT(O296:Y296,TRANSPOSE(Cls2NCentVMTShr)),0)</f>
        <v>0</v>
      </c>
      <c r="AD296" s="1226">
        <f t="shared" si="153"/>
        <v>0</v>
      </c>
      <c r="AE296" s="937">
        <f t="shared" si="146"/>
        <v>0</v>
      </c>
      <c r="AF296" s="937">
        <f t="shared" si="147"/>
        <v>0</v>
      </c>
      <c r="AG296" s="937">
        <f t="shared" si="148"/>
        <v>0</v>
      </c>
      <c r="AH296" s="1172">
        <f t="shared" si="154"/>
        <v>0</v>
      </c>
      <c r="AI296" s="937">
        <f t="shared" si="155"/>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49"/>
        <v>0</v>
      </c>
      <c r="N297" s="298">
        <f t="shared" si="150"/>
        <v>0</v>
      </c>
      <c r="O297" s="344">
        <v>0</v>
      </c>
      <c r="P297" s="345">
        <v>0</v>
      </c>
      <c r="Q297" s="345">
        <v>0</v>
      </c>
      <c r="R297" s="345">
        <v>0</v>
      </c>
      <c r="S297" s="345">
        <v>0</v>
      </c>
      <c r="T297" s="345">
        <v>0</v>
      </c>
      <c r="U297" s="345">
        <v>0</v>
      </c>
      <c r="V297" s="345">
        <v>0</v>
      </c>
      <c r="W297" s="345">
        <v>0</v>
      </c>
      <c r="X297" s="345">
        <v>0</v>
      </c>
      <c r="Y297" s="380">
        <v>0</v>
      </c>
      <c r="Z297" s="296">
        <f t="shared" si="151"/>
        <v>0</v>
      </c>
      <c r="AA297" s="298">
        <f t="shared" si="152"/>
        <v>0</v>
      </c>
      <c r="AB297" s="948">
        <f t="array" ref="AB297">IF(AND($AD$281=TRUE,SUM(B297:L297)&gt;0),SUMPRODUCT((((TRANSPOSE(Cls2CentDailyRng)&lt;INDEX(CDRANGE_CLS2,$A297-$A$286+1,AD$282))*TRANSPOSE(Cls2CentDailyRng)+(TRANSPOSE(Cls2CentDailyRng)&gt;INDEX(CDRANGE_CLS2,$A297-$A$286+1,AD$282))*INDEX(CDRANGE_CLS2,$A297-$A$286+1,AD$282))/TRANSPOSE(Cls2CentDailyRng)),B297:L297,TRANSPOSE(Cls2CentVMTShr))/SUMPRODUCT(B297:L297,TRANSPOSE(Cls2CentVMTShr)),0)</f>
        <v>0</v>
      </c>
      <c r="AC297" s="949">
        <f t="array" ref="AC297">IF(AND($AD$281=TRUE,SUM(O297:Y297)&gt;0),SUMPRODUCT((((TRANSPOSE(Cls2NCentDailyRng)&lt;INDEX(CDRANGE_CLS2,$A297-$A$286+1,AD$282))*TRANSPOSE(Cls2NCentDailyRng)+(TRANSPOSE(Cls2NCentDailyRng)&gt;INDEX(CDRANGE_CLS2,$A297-$A$286+1,AD$282))*INDEX(CDRANGE_CLS2,$A297-$A$286+1,AD$282))/TRANSPOSE(Cls2NCentDailyRng)),O297:Y297,TRANSPOSE(Cls2NCentVMTShr))/SUMPRODUCT(O297:Y297,TRANSPOSE(Cls2NCentVMTShr)),0)</f>
        <v>0</v>
      </c>
      <c r="AD297" s="1226">
        <f t="shared" si="153"/>
        <v>0</v>
      </c>
      <c r="AE297" s="937">
        <f t="shared" si="146"/>
        <v>0</v>
      </c>
      <c r="AF297" s="937">
        <f t="shared" si="147"/>
        <v>0</v>
      </c>
      <c r="AG297" s="937">
        <f t="shared" si="148"/>
        <v>0</v>
      </c>
      <c r="AH297" s="1172">
        <f t="shared" si="154"/>
        <v>0</v>
      </c>
      <c r="AI297" s="937">
        <f t="shared" si="155"/>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49"/>
        <v>0</v>
      </c>
      <c r="N298" s="298">
        <f t="shared" si="150"/>
        <v>0</v>
      </c>
      <c r="O298" s="344">
        <v>0</v>
      </c>
      <c r="P298" s="345">
        <v>0</v>
      </c>
      <c r="Q298" s="345">
        <v>0</v>
      </c>
      <c r="R298" s="345">
        <v>0</v>
      </c>
      <c r="S298" s="345">
        <v>0</v>
      </c>
      <c r="T298" s="345">
        <v>0</v>
      </c>
      <c r="U298" s="345">
        <v>0</v>
      </c>
      <c r="V298" s="345">
        <v>0</v>
      </c>
      <c r="W298" s="345">
        <v>0</v>
      </c>
      <c r="X298" s="345">
        <v>0</v>
      </c>
      <c r="Y298" s="380">
        <v>0</v>
      </c>
      <c r="Z298" s="296">
        <f t="shared" si="151"/>
        <v>0</v>
      </c>
      <c r="AA298" s="298">
        <f t="shared" si="152"/>
        <v>0</v>
      </c>
      <c r="AB298" s="948">
        <f t="array" ref="AB298">IF(AND($AD$281=TRUE,SUM(B298:L298)&gt;0),SUMPRODUCT((((TRANSPOSE(Cls2CentDailyRng)&lt;INDEX(CDRANGE_CLS2,$A298-$A$286+1,AD$282))*TRANSPOSE(Cls2CentDailyRng)+(TRANSPOSE(Cls2CentDailyRng)&gt;INDEX(CDRANGE_CLS2,$A298-$A$286+1,AD$282))*INDEX(CDRANGE_CLS2,$A298-$A$286+1,AD$282))/TRANSPOSE(Cls2CentDailyRng)),B298:L298,TRANSPOSE(Cls2CentVMTShr))/SUMPRODUCT(B298:L298,TRANSPOSE(Cls2CentVMTShr)),0)</f>
        <v>0</v>
      </c>
      <c r="AC298" s="949">
        <f t="array" ref="AC298">IF(AND($AD$281=TRUE,SUM(O298:Y298)&gt;0),SUMPRODUCT((((TRANSPOSE(Cls2NCentDailyRng)&lt;INDEX(CDRANGE_CLS2,$A298-$A$286+1,AD$282))*TRANSPOSE(Cls2NCentDailyRng)+(TRANSPOSE(Cls2NCentDailyRng)&gt;INDEX(CDRANGE_CLS2,$A298-$A$286+1,AD$282))*INDEX(CDRANGE_CLS2,$A298-$A$286+1,AD$282))/TRANSPOSE(Cls2NCentDailyRng)),O298:Y298,TRANSPOSE(Cls2NCentVMTShr))/SUMPRODUCT(O298:Y298,TRANSPOSE(Cls2NCentVMTShr)),0)</f>
        <v>0</v>
      </c>
      <c r="AD298" s="1226">
        <f t="shared" si="153"/>
        <v>0</v>
      </c>
      <c r="AE298" s="937">
        <f t="shared" si="146"/>
        <v>0</v>
      </c>
      <c r="AF298" s="937">
        <f t="shared" si="147"/>
        <v>0</v>
      </c>
      <c r="AG298" s="937">
        <f t="shared" si="148"/>
        <v>0</v>
      </c>
      <c r="AH298" s="1172">
        <f t="shared" si="154"/>
        <v>0</v>
      </c>
      <c r="AI298" s="937">
        <f t="shared" si="155"/>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49"/>
        <v>0</v>
      </c>
      <c r="N299" s="312">
        <f t="shared" si="150"/>
        <v>0</v>
      </c>
      <c r="O299" s="346">
        <v>0</v>
      </c>
      <c r="P299" s="347">
        <v>0</v>
      </c>
      <c r="Q299" s="347">
        <v>0</v>
      </c>
      <c r="R299" s="347">
        <v>0</v>
      </c>
      <c r="S299" s="347">
        <v>0</v>
      </c>
      <c r="T299" s="347">
        <v>0</v>
      </c>
      <c r="U299" s="347">
        <v>0</v>
      </c>
      <c r="V299" s="347">
        <v>0</v>
      </c>
      <c r="W299" s="347">
        <v>0</v>
      </c>
      <c r="X299" s="347">
        <v>0</v>
      </c>
      <c r="Y299" s="381">
        <v>0</v>
      </c>
      <c r="Z299" s="310">
        <f t="shared" si="151"/>
        <v>0</v>
      </c>
      <c r="AA299" s="312">
        <f t="shared" si="152"/>
        <v>0</v>
      </c>
      <c r="AB299" s="948">
        <f t="array" ref="AB299">IF(AND($AD$281=TRUE,SUM(B299:L299)&gt;0),SUMPRODUCT((((TRANSPOSE(Cls2CentDailyRng)&lt;INDEX(CDRANGE_CLS2,$A299-$A$286+1,AD$282))*TRANSPOSE(Cls2CentDailyRng)+(TRANSPOSE(Cls2CentDailyRng)&gt;INDEX(CDRANGE_CLS2,$A299-$A$286+1,AD$282))*INDEX(CDRANGE_CLS2,$A299-$A$286+1,AD$282))/TRANSPOSE(Cls2CentDailyRng)),B299:L299,TRANSPOSE(Cls2CentVMTShr))/SUMPRODUCT(B299:L299,TRANSPOSE(Cls2CentVMTShr)),0)</f>
        <v>0</v>
      </c>
      <c r="AC299" s="949">
        <f t="array" ref="AC299">IF(AND($AD$281=TRUE,SUM(O299:Y299)&gt;0),SUMPRODUCT((((TRANSPOSE(Cls2NCentDailyRng)&lt;INDEX(CDRANGE_CLS2,$A299-$A$286+1,AD$282))*TRANSPOSE(Cls2NCentDailyRng)+(TRANSPOSE(Cls2NCentDailyRng)&gt;INDEX(CDRANGE_CLS2,$A299-$A$286+1,AD$282))*INDEX(CDRANGE_CLS2,$A299-$A$286+1,AD$282))/TRANSPOSE(Cls2NCentDailyRng)),O299:Y299,TRANSPOSE(Cls2NCentVMTShr))/SUMPRODUCT(O299:Y299,TRANSPOSE(Cls2NCentVMTShr)),0)</f>
        <v>0</v>
      </c>
      <c r="AD299" s="1226">
        <f t="shared" si="153"/>
        <v>0</v>
      </c>
      <c r="AE299" s="937">
        <f t="shared" si="146"/>
        <v>0</v>
      </c>
      <c r="AF299" s="937">
        <f t="shared" si="147"/>
        <v>0</v>
      </c>
      <c r="AG299" s="937">
        <f t="shared" si="148"/>
        <v>0</v>
      </c>
      <c r="AH299" s="1172">
        <f t="shared" si="154"/>
        <v>0</v>
      </c>
      <c r="AI299" s="937">
        <f t="shared" si="155"/>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49"/>
        <v>0</v>
      </c>
      <c r="N300" s="284">
        <f t="shared" si="150"/>
        <v>0</v>
      </c>
      <c r="O300" s="342">
        <v>0</v>
      </c>
      <c r="P300" s="343">
        <v>0</v>
      </c>
      <c r="Q300" s="343">
        <v>0</v>
      </c>
      <c r="R300" s="343">
        <v>0</v>
      </c>
      <c r="S300" s="343">
        <v>0</v>
      </c>
      <c r="T300" s="343">
        <v>0</v>
      </c>
      <c r="U300" s="343">
        <v>0</v>
      </c>
      <c r="V300" s="343">
        <v>0</v>
      </c>
      <c r="W300" s="343">
        <v>0</v>
      </c>
      <c r="X300" s="343">
        <v>0</v>
      </c>
      <c r="Y300" s="379">
        <v>0</v>
      </c>
      <c r="Z300" s="282">
        <f t="shared" si="151"/>
        <v>0</v>
      </c>
      <c r="AA300" s="284">
        <f t="shared" si="152"/>
        <v>0</v>
      </c>
      <c r="AB300" s="948">
        <f t="array" ref="AB300">IF(AND($AD$281=TRUE,SUM(B300:L300)&gt;0),SUMPRODUCT((((TRANSPOSE(Cls2CentDailyRng)&lt;INDEX(CDRANGE_CLS2,$A300-$A$286+1,AD$282))*TRANSPOSE(Cls2CentDailyRng)+(TRANSPOSE(Cls2CentDailyRng)&gt;INDEX(CDRANGE_CLS2,$A300-$A$286+1,AD$282))*INDEX(CDRANGE_CLS2,$A300-$A$286+1,AD$282))/TRANSPOSE(Cls2CentDailyRng)),B300:L300,TRANSPOSE(Cls2CentVMTShr))/SUMPRODUCT(B300:L300,TRANSPOSE(Cls2CentVMTShr)),0)</f>
        <v>0</v>
      </c>
      <c r="AC300" s="949">
        <f t="array" ref="AC300">IF(AND($AD$281=TRUE,SUM(O300:Y300)&gt;0),SUMPRODUCT((((TRANSPOSE(Cls2NCentDailyRng)&lt;INDEX(CDRANGE_CLS2,$A300-$A$286+1,AD$282))*TRANSPOSE(Cls2NCentDailyRng)+(TRANSPOSE(Cls2NCentDailyRng)&gt;INDEX(CDRANGE_CLS2,$A300-$A$286+1,AD$282))*INDEX(CDRANGE_CLS2,$A300-$A$286+1,AD$282))/TRANSPOSE(Cls2NCentDailyRng)),O300:Y300,TRANSPOSE(Cls2NCentVMTShr))/SUMPRODUCT(O300:Y300,TRANSPOSE(Cls2NCentVMTShr)),0)</f>
        <v>0</v>
      </c>
      <c r="AD300" s="1226">
        <f t="shared" si="153"/>
        <v>0</v>
      </c>
      <c r="AE300" s="937">
        <f t="shared" si="146"/>
        <v>0</v>
      </c>
      <c r="AF300" s="937">
        <f t="shared" si="147"/>
        <v>0</v>
      </c>
      <c r="AG300" s="937">
        <f t="shared" si="148"/>
        <v>0</v>
      </c>
      <c r="AH300" s="1172">
        <f t="shared" si="154"/>
        <v>0</v>
      </c>
      <c r="AI300" s="937">
        <f t="shared" si="155"/>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49"/>
        <v>0</v>
      </c>
      <c r="N301" s="298">
        <f t="shared" si="150"/>
        <v>0</v>
      </c>
      <c r="O301" s="344">
        <v>0</v>
      </c>
      <c r="P301" s="345">
        <v>0</v>
      </c>
      <c r="Q301" s="345">
        <v>0</v>
      </c>
      <c r="R301" s="345">
        <v>0</v>
      </c>
      <c r="S301" s="345">
        <v>0</v>
      </c>
      <c r="T301" s="345">
        <v>0</v>
      </c>
      <c r="U301" s="345">
        <v>0</v>
      </c>
      <c r="V301" s="345">
        <v>0</v>
      </c>
      <c r="W301" s="345">
        <v>0</v>
      </c>
      <c r="X301" s="345">
        <v>0</v>
      </c>
      <c r="Y301" s="380">
        <v>0</v>
      </c>
      <c r="Z301" s="296">
        <f t="shared" si="151"/>
        <v>0</v>
      </c>
      <c r="AA301" s="298">
        <f t="shared" si="152"/>
        <v>0</v>
      </c>
      <c r="AB301" s="948">
        <f t="array" ref="AB301">IF(AND($AD$281=TRUE,SUM(B301:L301)&gt;0),SUMPRODUCT((((TRANSPOSE(Cls2CentDailyRng)&lt;INDEX(CDRANGE_CLS2,$A301-$A$286+1,AD$282))*TRANSPOSE(Cls2CentDailyRng)+(TRANSPOSE(Cls2CentDailyRng)&gt;INDEX(CDRANGE_CLS2,$A301-$A$286+1,AD$282))*INDEX(CDRANGE_CLS2,$A301-$A$286+1,AD$282))/TRANSPOSE(Cls2CentDailyRng)),B301:L301,TRANSPOSE(Cls2CentVMTShr))/SUMPRODUCT(B301:L301,TRANSPOSE(Cls2CentVMTShr)),0)</f>
        <v>0</v>
      </c>
      <c r="AC301" s="949">
        <f t="array" ref="AC301">IF(AND($AD$281=TRUE,SUM(O301:Y301)&gt;0),SUMPRODUCT((((TRANSPOSE(Cls2NCentDailyRng)&lt;INDEX(CDRANGE_CLS2,$A301-$A$286+1,AD$282))*TRANSPOSE(Cls2NCentDailyRng)+(TRANSPOSE(Cls2NCentDailyRng)&gt;INDEX(CDRANGE_CLS2,$A301-$A$286+1,AD$282))*INDEX(CDRANGE_CLS2,$A301-$A$286+1,AD$282))/TRANSPOSE(Cls2NCentDailyRng)),O301:Y301,TRANSPOSE(Cls2NCentVMTShr))/SUMPRODUCT(O301:Y301,TRANSPOSE(Cls2NCentVMTShr)),0)</f>
        <v>0</v>
      </c>
      <c r="AD301" s="1226">
        <f t="shared" si="153"/>
        <v>0</v>
      </c>
      <c r="AE301" s="937">
        <f>SUMPRODUCT($B$74:$L$74,B301:L301)</f>
        <v>0</v>
      </c>
      <c r="AF301" s="937">
        <f>SUMPRODUCT($O$74:$Y$74,O301:Y301)</f>
        <v>0</v>
      </c>
      <c r="AG301" s="937">
        <f>SUM(AE301:AF301)</f>
        <v>0</v>
      </c>
      <c r="AH301" s="1172">
        <f t="shared" si="154"/>
        <v>0</v>
      </c>
      <c r="AI301" s="937">
        <f t="shared" si="155"/>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49"/>
        <v>0</v>
      </c>
      <c r="N302" s="298">
        <f t="shared" si="150"/>
        <v>0</v>
      </c>
      <c r="O302" s="344">
        <v>0</v>
      </c>
      <c r="P302" s="345">
        <v>0</v>
      </c>
      <c r="Q302" s="345">
        <v>0</v>
      </c>
      <c r="R302" s="345">
        <v>0</v>
      </c>
      <c r="S302" s="345">
        <v>0</v>
      </c>
      <c r="T302" s="345">
        <v>0</v>
      </c>
      <c r="U302" s="345">
        <v>0</v>
      </c>
      <c r="V302" s="345">
        <v>0</v>
      </c>
      <c r="W302" s="345">
        <v>0</v>
      </c>
      <c r="X302" s="345">
        <v>0</v>
      </c>
      <c r="Y302" s="380">
        <v>0</v>
      </c>
      <c r="Z302" s="296">
        <f t="shared" si="151"/>
        <v>0</v>
      </c>
      <c r="AA302" s="298">
        <f t="shared" si="152"/>
        <v>0</v>
      </c>
      <c r="AB302" s="948">
        <f t="array" ref="AB302">IF(AND($AD$281=TRUE,SUM(B302:L302)&gt;0),SUMPRODUCT((((TRANSPOSE(Cls2CentDailyRng)&lt;INDEX(CDRANGE_CLS2,$A302-$A$286+1,AD$282))*TRANSPOSE(Cls2CentDailyRng)+(TRANSPOSE(Cls2CentDailyRng)&gt;INDEX(CDRANGE_CLS2,$A302-$A$286+1,AD$282))*INDEX(CDRANGE_CLS2,$A302-$A$286+1,AD$282))/TRANSPOSE(Cls2CentDailyRng)),B302:L302,TRANSPOSE(Cls2CentVMTShr))/SUMPRODUCT(B302:L302,TRANSPOSE(Cls2CentVMTShr)),0)</f>
        <v>0</v>
      </c>
      <c r="AC302" s="949">
        <f t="array" ref="AC302">IF(AND($AD$281=TRUE,SUM(O302:Y302)&gt;0),SUMPRODUCT((((TRANSPOSE(Cls2NCentDailyRng)&lt;INDEX(CDRANGE_CLS2,$A302-$A$286+1,AD$282))*TRANSPOSE(Cls2NCentDailyRng)+(TRANSPOSE(Cls2NCentDailyRng)&gt;INDEX(CDRANGE_CLS2,$A302-$A$286+1,AD$282))*INDEX(CDRANGE_CLS2,$A302-$A$286+1,AD$282))/TRANSPOSE(Cls2NCentDailyRng)),O302:Y302,TRANSPOSE(Cls2NCentVMTShr))/SUMPRODUCT(O302:Y302,TRANSPOSE(Cls2NCentVMTShr)),0)</f>
        <v>0</v>
      </c>
      <c r="AD302" s="1226">
        <f t="shared" si="153"/>
        <v>0</v>
      </c>
      <c r="AE302" s="937">
        <f t="shared" ref="AE302:AE328" si="156">SUMPRODUCT($B$74:$L$74,B302:L302)</f>
        <v>0</v>
      </c>
      <c r="AF302" s="937">
        <f t="shared" ref="AF302:AF328" si="157">SUMPRODUCT($O$74:$Y$74,O302:Y302)</f>
        <v>0</v>
      </c>
      <c r="AG302" s="937">
        <f t="shared" ref="AG302:AG328" si="158">SUM(AE302:AF302)</f>
        <v>0</v>
      </c>
      <c r="AH302" s="1172">
        <f t="shared" si="154"/>
        <v>0</v>
      </c>
      <c r="AI302" s="937">
        <f t="shared" si="155"/>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49"/>
        <v>0</v>
      </c>
      <c r="N303" s="298">
        <f t="shared" si="150"/>
        <v>0</v>
      </c>
      <c r="O303" s="344">
        <v>0</v>
      </c>
      <c r="P303" s="345">
        <v>0</v>
      </c>
      <c r="Q303" s="345">
        <v>0</v>
      </c>
      <c r="R303" s="345">
        <v>0</v>
      </c>
      <c r="S303" s="345">
        <v>0</v>
      </c>
      <c r="T303" s="345">
        <v>0</v>
      </c>
      <c r="U303" s="345">
        <v>0</v>
      </c>
      <c r="V303" s="345">
        <v>0</v>
      </c>
      <c r="W303" s="345">
        <v>0</v>
      </c>
      <c r="X303" s="345">
        <v>0</v>
      </c>
      <c r="Y303" s="380">
        <v>0</v>
      </c>
      <c r="Z303" s="296">
        <f t="shared" si="151"/>
        <v>0</v>
      </c>
      <c r="AA303" s="298">
        <f t="shared" si="152"/>
        <v>0</v>
      </c>
      <c r="AB303" s="948">
        <f t="array" ref="AB303">IF(AND($AD$281=TRUE,SUM(B303:L303)&gt;0),SUMPRODUCT((((TRANSPOSE(Cls2CentDailyRng)&lt;INDEX(CDRANGE_CLS2,$A303-$A$286+1,AD$282))*TRANSPOSE(Cls2CentDailyRng)+(TRANSPOSE(Cls2CentDailyRng)&gt;INDEX(CDRANGE_CLS2,$A303-$A$286+1,AD$282))*INDEX(CDRANGE_CLS2,$A303-$A$286+1,AD$282))/TRANSPOSE(Cls2CentDailyRng)),B303:L303,TRANSPOSE(Cls2CentVMTShr))/SUMPRODUCT(B303:L303,TRANSPOSE(Cls2CentVMTShr)),0)</f>
        <v>0</v>
      </c>
      <c r="AC303" s="949">
        <f t="array" ref="AC303">IF(AND($AD$281=TRUE,SUM(O303:Y303)&gt;0),SUMPRODUCT((((TRANSPOSE(Cls2NCentDailyRng)&lt;INDEX(CDRANGE_CLS2,$A303-$A$286+1,AD$282))*TRANSPOSE(Cls2NCentDailyRng)+(TRANSPOSE(Cls2NCentDailyRng)&gt;INDEX(CDRANGE_CLS2,$A303-$A$286+1,AD$282))*INDEX(CDRANGE_CLS2,$A303-$A$286+1,AD$282))/TRANSPOSE(Cls2NCentDailyRng)),O303:Y303,TRANSPOSE(Cls2NCentVMTShr))/SUMPRODUCT(O303:Y303,TRANSPOSE(Cls2NCentVMTShr)),0)</f>
        <v>0</v>
      </c>
      <c r="AD303" s="1226">
        <f t="shared" si="153"/>
        <v>0</v>
      </c>
      <c r="AE303" s="937">
        <f t="shared" si="156"/>
        <v>0</v>
      </c>
      <c r="AF303" s="937">
        <f t="shared" si="157"/>
        <v>0</v>
      </c>
      <c r="AG303" s="937">
        <f t="shared" si="158"/>
        <v>0</v>
      </c>
      <c r="AH303" s="1172">
        <f t="shared" si="154"/>
        <v>0</v>
      </c>
      <c r="AI303" s="937">
        <f t="shared" si="155"/>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49"/>
        <v>0</v>
      </c>
      <c r="N304" s="312">
        <f t="shared" si="150"/>
        <v>0</v>
      </c>
      <c r="O304" s="346">
        <v>0</v>
      </c>
      <c r="P304" s="347">
        <v>0</v>
      </c>
      <c r="Q304" s="347">
        <v>0</v>
      </c>
      <c r="R304" s="347">
        <v>0</v>
      </c>
      <c r="S304" s="347">
        <v>0</v>
      </c>
      <c r="T304" s="347">
        <v>0</v>
      </c>
      <c r="U304" s="347">
        <v>0</v>
      </c>
      <c r="V304" s="347">
        <v>0</v>
      </c>
      <c r="W304" s="347">
        <v>0</v>
      </c>
      <c r="X304" s="347">
        <v>0</v>
      </c>
      <c r="Y304" s="381">
        <v>0</v>
      </c>
      <c r="Z304" s="310">
        <f t="shared" si="151"/>
        <v>0</v>
      </c>
      <c r="AA304" s="312">
        <f t="shared" si="152"/>
        <v>0</v>
      </c>
      <c r="AB304" s="948">
        <f t="array" ref="AB304">IF(AND($AD$281=TRUE,SUM(B304:L304)&gt;0),SUMPRODUCT((((TRANSPOSE(Cls2CentDailyRng)&lt;INDEX(CDRANGE_CLS2,$A304-$A$286+1,AD$282))*TRANSPOSE(Cls2CentDailyRng)+(TRANSPOSE(Cls2CentDailyRng)&gt;INDEX(CDRANGE_CLS2,$A304-$A$286+1,AD$282))*INDEX(CDRANGE_CLS2,$A304-$A$286+1,AD$282))/TRANSPOSE(Cls2CentDailyRng)),B304:L304,TRANSPOSE(Cls2CentVMTShr))/SUMPRODUCT(B304:L304,TRANSPOSE(Cls2CentVMTShr)),0)</f>
        <v>0</v>
      </c>
      <c r="AC304" s="949">
        <f t="array" ref="AC304">IF(AND($AD$281=TRUE,SUM(O304:Y304)&gt;0),SUMPRODUCT((((TRANSPOSE(Cls2NCentDailyRng)&lt;INDEX(CDRANGE_CLS2,$A304-$A$286+1,AD$282))*TRANSPOSE(Cls2NCentDailyRng)+(TRANSPOSE(Cls2NCentDailyRng)&gt;INDEX(CDRANGE_CLS2,$A304-$A$286+1,AD$282))*INDEX(CDRANGE_CLS2,$A304-$A$286+1,AD$282))/TRANSPOSE(Cls2NCentDailyRng)),O304:Y304,TRANSPOSE(Cls2NCentVMTShr))/SUMPRODUCT(O304:Y304,TRANSPOSE(Cls2NCentVMTShr)),0)</f>
        <v>0</v>
      </c>
      <c r="AD304" s="1226">
        <f t="shared" si="153"/>
        <v>0</v>
      </c>
      <c r="AE304" s="937">
        <f t="shared" si="156"/>
        <v>0</v>
      </c>
      <c r="AF304" s="937">
        <f t="shared" si="157"/>
        <v>0</v>
      </c>
      <c r="AG304" s="937">
        <f t="shared" si="158"/>
        <v>0</v>
      </c>
      <c r="AH304" s="1172">
        <f t="shared" si="154"/>
        <v>0</v>
      </c>
      <c r="AI304" s="937">
        <f t="shared" si="155"/>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49"/>
        <v>0</v>
      </c>
      <c r="N305" s="284">
        <f t="shared" si="150"/>
        <v>0</v>
      </c>
      <c r="O305" s="342">
        <v>0</v>
      </c>
      <c r="P305" s="343">
        <v>0</v>
      </c>
      <c r="Q305" s="343">
        <v>0</v>
      </c>
      <c r="R305" s="343">
        <v>0</v>
      </c>
      <c r="S305" s="343">
        <v>0</v>
      </c>
      <c r="T305" s="343">
        <v>0</v>
      </c>
      <c r="U305" s="343">
        <v>0</v>
      </c>
      <c r="V305" s="343">
        <v>0</v>
      </c>
      <c r="W305" s="343">
        <v>0</v>
      </c>
      <c r="X305" s="343">
        <v>0</v>
      </c>
      <c r="Y305" s="379">
        <v>0</v>
      </c>
      <c r="Z305" s="282">
        <f t="shared" si="151"/>
        <v>0</v>
      </c>
      <c r="AA305" s="284">
        <f t="shared" si="152"/>
        <v>0</v>
      </c>
      <c r="AB305" s="948">
        <f t="array" ref="AB305">IF(AND($AD$281=TRUE,SUM(B305:L305)&gt;0),SUMPRODUCT((((TRANSPOSE(Cls2CentDailyRng)&lt;INDEX(CDRANGE_CLS2,$A305-$A$286+1,AD$282))*TRANSPOSE(Cls2CentDailyRng)+(TRANSPOSE(Cls2CentDailyRng)&gt;INDEX(CDRANGE_CLS2,$A305-$A$286+1,AD$282))*INDEX(CDRANGE_CLS2,$A305-$A$286+1,AD$282))/TRANSPOSE(Cls2CentDailyRng)),B305:L305,TRANSPOSE(Cls2CentVMTShr))/SUMPRODUCT(B305:L305,TRANSPOSE(Cls2CentVMTShr)),0)</f>
        <v>0</v>
      </c>
      <c r="AC305" s="949">
        <f t="array" ref="AC305">IF(AND($AD$281=TRUE,SUM(O305:Y305)&gt;0),SUMPRODUCT((((TRANSPOSE(Cls2NCentDailyRng)&lt;INDEX(CDRANGE_CLS2,$A305-$A$286+1,AD$282))*TRANSPOSE(Cls2NCentDailyRng)+(TRANSPOSE(Cls2NCentDailyRng)&gt;INDEX(CDRANGE_CLS2,$A305-$A$286+1,AD$282))*INDEX(CDRANGE_CLS2,$A305-$A$286+1,AD$282))/TRANSPOSE(Cls2NCentDailyRng)),O305:Y305,TRANSPOSE(Cls2NCentVMTShr))/SUMPRODUCT(O305:Y305,TRANSPOSE(Cls2NCentVMTShr)),0)</f>
        <v>0</v>
      </c>
      <c r="AD305" s="1226">
        <f t="shared" si="153"/>
        <v>0</v>
      </c>
      <c r="AE305" s="937">
        <f t="shared" si="156"/>
        <v>0</v>
      </c>
      <c r="AF305" s="937">
        <f t="shared" si="157"/>
        <v>0</v>
      </c>
      <c r="AG305" s="937">
        <f t="shared" si="158"/>
        <v>0</v>
      </c>
      <c r="AH305" s="1172">
        <f t="shared" si="154"/>
        <v>0</v>
      </c>
      <c r="AI305" s="937">
        <f t="shared" si="155"/>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49"/>
        <v>0</v>
      </c>
      <c r="N306" s="298">
        <f t="shared" si="150"/>
        <v>0</v>
      </c>
      <c r="O306" s="344">
        <v>0</v>
      </c>
      <c r="P306" s="345">
        <v>0</v>
      </c>
      <c r="Q306" s="345">
        <v>0</v>
      </c>
      <c r="R306" s="345">
        <v>0</v>
      </c>
      <c r="S306" s="345">
        <v>0</v>
      </c>
      <c r="T306" s="345">
        <v>0</v>
      </c>
      <c r="U306" s="345">
        <v>0</v>
      </c>
      <c r="V306" s="345">
        <v>0</v>
      </c>
      <c r="W306" s="345">
        <v>0</v>
      </c>
      <c r="X306" s="345">
        <v>0</v>
      </c>
      <c r="Y306" s="380">
        <v>0</v>
      </c>
      <c r="Z306" s="296">
        <f t="shared" si="151"/>
        <v>0</v>
      </c>
      <c r="AA306" s="298">
        <f t="shared" si="152"/>
        <v>0</v>
      </c>
      <c r="AB306" s="948">
        <f t="array" ref="AB306">IF(AND($AD$281=TRUE,SUM(B306:L306)&gt;0),SUMPRODUCT((((TRANSPOSE(Cls2CentDailyRng)&lt;INDEX(CDRANGE_CLS2,$A306-$A$286+1,AD$282))*TRANSPOSE(Cls2CentDailyRng)+(TRANSPOSE(Cls2CentDailyRng)&gt;INDEX(CDRANGE_CLS2,$A306-$A$286+1,AD$282))*INDEX(CDRANGE_CLS2,$A306-$A$286+1,AD$282))/TRANSPOSE(Cls2CentDailyRng)),B306:L306,TRANSPOSE(Cls2CentVMTShr))/SUMPRODUCT(B306:L306,TRANSPOSE(Cls2CentVMTShr)),0)</f>
        <v>0</v>
      </c>
      <c r="AC306" s="949">
        <f t="array" ref="AC306">IF(AND($AD$281=TRUE,SUM(O306:Y306)&gt;0),SUMPRODUCT((((TRANSPOSE(Cls2NCentDailyRng)&lt;INDEX(CDRANGE_CLS2,$A306-$A$286+1,AD$282))*TRANSPOSE(Cls2NCentDailyRng)+(TRANSPOSE(Cls2NCentDailyRng)&gt;INDEX(CDRANGE_CLS2,$A306-$A$286+1,AD$282))*INDEX(CDRANGE_CLS2,$A306-$A$286+1,AD$282))/TRANSPOSE(Cls2NCentDailyRng)),O306:Y306,TRANSPOSE(Cls2NCentVMTShr))/SUMPRODUCT(O306:Y306,TRANSPOSE(Cls2NCentVMTShr)),0)</f>
        <v>0</v>
      </c>
      <c r="AD306" s="1226">
        <f t="shared" si="153"/>
        <v>0</v>
      </c>
      <c r="AE306" s="937">
        <f t="shared" si="156"/>
        <v>0</v>
      </c>
      <c r="AF306" s="937">
        <f t="shared" si="157"/>
        <v>0</v>
      </c>
      <c r="AG306" s="937">
        <f t="shared" si="158"/>
        <v>0</v>
      </c>
      <c r="AH306" s="1172">
        <f t="shared" si="154"/>
        <v>0</v>
      </c>
      <c r="AI306" s="937">
        <f t="shared" si="155"/>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49"/>
        <v>0</v>
      </c>
      <c r="N307" s="298">
        <f t="shared" si="150"/>
        <v>0</v>
      </c>
      <c r="O307" s="344">
        <v>0</v>
      </c>
      <c r="P307" s="345">
        <v>0</v>
      </c>
      <c r="Q307" s="345">
        <v>0</v>
      </c>
      <c r="R307" s="345">
        <v>0</v>
      </c>
      <c r="S307" s="345">
        <v>0</v>
      </c>
      <c r="T307" s="345">
        <v>0</v>
      </c>
      <c r="U307" s="345">
        <v>0</v>
      </c>
      <c r="V307" s="345">
        <v>0</v>
      </c>
      <c r="W307" s="345">
        <v>0</v>
      </c>
      <c r="X307" s="345">
        <v>0</v>
      </c>
      <c r="Y307" s="380">
        <v>0</v>
      </c>
      <c r="Z307" s="296">
        <f t="shared" si="151"/>
        <v>0</v>
      </c>
      <c r="AA307" s="298">
        <f t="shared" si="152"/>
        <v>0</v>
      </c>
      <c r="AB307" s="948">
        <f t="array" ref="AB307">IF(AND($AD$281=TRUE,SUM(B307:L307)&gt;0),SUMPRODUCT((((TRANSPOSE(Cls2CentDailyRng)&lt;INDEX(CDRANGE_CLS2,$A307-$A$286+1,AD$282))*TRANSPOSE(Cls2CentDailyRng)+(TRANSPOSE(Cls2CentDailyRng)&gt;INDEX(CDRANGE_CLS2,$A307-$A$286+1,AD$282))*INDEX(CDRANGE_CLS2,$A307-$A$286+1,AD$282))/TRANSPOSE(Cls2CentDailyRng)),B307:L307,TRANSPOSE(Cls2CentVMTShr))/SUMPRODUCT(B307:L307,TRANSPOSE(Cls2CentVMTShr)),0)</f>
        <v>0</v>
      </c>
      <c r="AC307" s="949">
        <f t="array" ref="AC307">IF(AND($AD$281=TRUE,SUM(O307:Y307)&gt;0),SUMPRODUCT((((TRANSPOSE(Cls2NCentDailyRng)&lt;INDEX(CDRANGE_CLS2,$A307-$A$286+1,AD$282))*TRANSPOSE(Cls2NCentDailyRng)+(TRANSPOSE(Cls2NCentDailyRng)&gt;INDEX(CDRANGE_CLS2,$A307-$A$286+1,AD$282))*INDEX(CDRANGE_CLS2,$A307-$A$286+1,AD$282))/TRANSPOSE(Cls2NCentDailyRng)),O307:Y307,TRANSPOSE(Cls2NCentVMTShr))/SUMPRODUCT(O307:Y307,TRANSPOSE(Cls2NCentVMTShr)),0)</f>
        <v>0</v>
      </c>
      <c r="AD307" s="1226">
        <f t="shared" si="153"/>
        <v>0</v>
      </c>
      <c r="AE307" s="937">
        <f t="shared" si="156"/>
        <v>0</v>
      </c>
      <c r="AF307" s="937">
        <f t="shared" si="157"/>
        <v>0</v>
      </c>
      <c r="AG307" s="937">
        <f t="shared" si="158"/>
        <v>0</v>
      </c>
      <c r="AH307" s="1172">
        <f t="shared" si="154"/>
        <v>0</v>
      </c>
      <c r="AI307" s="937">
        <f t="shared" si="155"/>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49"/>
        <v>0</v>
      </c>
      <c r="N308" s="298">
        <f t="shared" si="150"/>
        <v>0</v>
      </c>
      <c r="O308" s="344">
        <v>0</v>
      </c>
      <c r="P308" s="345">
        <v>0</v>
      </c>
      <c r="Q308" s="345">
        <v>0</v>
      </c>
      <c r="R308" s="345">
        <v>0</v>
      </c>
      <c r="S308" s="345">
        <v>0</v>
      </c>
      <c r="T308" s="345">
        <v>0</v>
      </c>
      <c r="U308" s="345">
        <v>0</v>
      </c>
      <c r="V308" s="345">
        <v>0</v>
      </c>
      <c r="W308" s="345">
        <v>0</v>
      </c>
      <c r="X308" s="345">
        <v>0</v>
      </c>
      <c r="Y308" s="380">
        <v>0</v>
      </c>
      <c r="Z308" s="296">
        <f t="shared" si="151"/>
        <v>0</v>
      </c>
      <c r="AA308" s="298">
        <f t="shared" si="152"/>
        <v>0</v>
      </c>
      <c r="AB308" s="948">
        <f t="array" ref="AB308">IF(AND($AD$281=TRUE,SUM(B308:L308)&gt;0),SUMPRODUCT((((TRANSPOSE(Cls2CentDailyRng)&lt;INDEX(CDRANGE_CLS2,$A308-$A$286+1,AD$282))*TRANSPOSE(Cls2CentDailyRng)+(TRANSPOSE(Cls2CentDailyRng)&gt;INDEX(CDRANGE_CLS2,$A308-$A$286+1,AD$282))*INDEX(CDRANGE_CLS2,$A308-$A$286+1,AD$282))/TRANSPOSE(Cls2CentDailyRng)),B308:L308,TRANSPOSE(Cls2CentVMTShr))/SUMPRODUCT(B308:L308,TRANSPOSE(Cls2CentVMTShr)),0)</f>
        <v>0</v>
      </c>
      <c r="AC308" s="949">
        <f t="array" ref="AC308">IF(AND($AD$281=TRUE,SUM(O308:Y308)&gt;0),SUMPRODUCT((((TRANSPOSE(Cls2NCentDailyRng)&lt;INDEX(CDRANGE_CLS2,$A308-$A$286+1,AD$282))*TRANSPOSE(Cls2NCentDailyRng)+(TRANSPOSE(Cls2NCentDailyRng)&gt;INDEX(CDRANGE_CLS2,$A308-$A$286+1,AD$282))*INDEX(CDRANGE_CLS2,$A308-$A$286+1,AD$282))/TRANSPOSE(Cls2NCentDailyRng)),O308:Y308,TRANSPOSE(Cls2NCentVMTShr))/SUMPRODUCT(O308:Y308,TRANSPOSE(Cls2NCentVMTShr)),0)</f>
        <v>0</v>
      </c>
      <c r="AD308" s="1226">
        <f t="shared" si="153"/>
        <v>0</v>
      </c>
      <c r="AE308" s="937">
        <f t="shared" si="156"/>
        <v>0</v>
      </c>
      <c r="AF308" s="937">
        <f t="shared" si="157"/>
        <v>0</v>
      </c>
      <c r="AG308" s="937">
        <f t="shared" si="158"/>
        <v>0</v>
      </c>
      <c r="AH308" s="1172">
        <f t="shared" si="154"/>
        <v>0</v>
      </c>
      <c r="AI308" s="937">
        <f t="shared" si="155"/>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49"/>
        <v>0</v>
      </c>
      <c r="N309" s="312">
        <f t="shared" si="150"/>
        <v>0</v>
      </c>
      <c r="O309" s="346">
        <v>0</v>
      </c>
      <c r="P309" s="347">
        <v>0</v>
      </c>
      <c r="Q309" s="347">
        <v>0</v>
      </c>
      <c r="R309" s="347">
        <v>0</v>
      </c>
      <c r="S309" s="347">
        <v>0</v>
      </c>
      <c r="T309" s="347">
        <v>0</v>
      </c>
      <c r="U309" s="347">
        <v>0</v>
      </c>
      <c r="V309" s="347">
        <v>0</v>
      </c>
      <c r="W309" s="347">
        <v>0</v>
      </c>
      <c r="X309" s="347">
        <v>0</v>
      </c>
      <c r="Y309" s="381">
        <v>0</v>
      </c>
      <c r="Z309" s="310">
        <f t="shared" si="151"/>
        <v>0</v>
      </c>
      <c r="AA309" s="312">
        <f t="shared" si="152"/>
        <v>0</v>
      </c>
      <c r="AB309" s="948">
        <f t="array" ref="AB309">IF(AND($AD$281=TRUE,SUM(B309:L309)&gt;0),SUMPRODUCT((((TRANSPOSE(Cls2CentDailyRng)&lt;INDEX(CDRANGE_CLS2,$A309-$A$286+1,AD$282))*TRANSPOSE(Cls2CentDailyRng)+(TRANSPOSE(Cls2CentDailyRng)&gt;INDEX(CDRANGE_CLS2,$A309-$A$286+1,AD$282))*INDEX(CDRANGE_CLS2,$A309-$A$286+1,AD$282))/TRANSPOSE(Cls2CentDailyRng)),B309:L309,TRANSPOSE(Cls2CentVMTShr))/SUMPRODUCT(B309:L309,TRANSPOSE(Cls2CentVMTShr)),0)</f>
        <v>0</v>
      </c>
      <c r="AC309" s="949">
        <f t="array" ref="AC309">IF(AND($AD$281=TRUE,SUM(O309:Y309)&gt;0),SUMPRODUCT((((TRANSPOSE(Cls2NCentDailyRng)&lt;INDEX(CDRANGE_CLS2,$A309-$A$286+1,AD$282))*TRANSPOSE(Cls2NCentDailyRng)+(TRANSPOSE(Cls2NCentDailyRng)&gt;INDEX(CDRANGE_CLS2,$A309-$A$286+1,AD$282))*INDEX(CDRANGE_CLS2,$A309-$A$286+1,AD$282))/TRANSPOSE(Cls2NCentDailyRng)),O309:Y309,TRANSPOSE(Cls2NCentVMTShr))/SUMPRODUCT(O309:Y309,TRANSPOSE(Cls2NCentVMTShr)),0)</f>
        <v>0</v>
      </c>
      <c r="AD309" s="1226">
        <f t="shared" si="153"/>
        <v>0</v>
      </c>
      <c r="AE309" s="937">
        <f t="shared" si="156"/>
        <v>0</v>
      </c>
      <c r="AF309" s="937">
        <f t="shared" si="157"/>
        <v>0</v>
      </c>
      <c r="AG309" s="937">
        <f t="shared" si="158"/>
        <v>0</v>
      </c>
      <c r="AH309" s="1172">
        <f t="shared" si="154"/>
        <v>0</v>
      </c>
      <c r="AI309" s="937">
        <f t="shared" si="155"/>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49"/>
        <v>0</v>
      </c>
      <c r="N310" s="284">
        <f t="shared" si="150"/>
        <v>0</v>
      </c>
      <c r="O310" s="342">
        <v>0</v>
      </c>
      <c r="P310" s="343">
        <v>0</v>
      </c>
      <c r="Q310" s="343">
        <v>0</v>
      </c>
      <c r="R310" s="343">
        <v>0</v>
      </c>
      <c r="S310" s="343">
        <v>0</v>
      </c>
      <c r="T310" s="343">
        <v>0</v>
      </c>
      <c r="U310" s="343">
        <v>0</v>
      </c>
      <c r="V310" s="343">
        <v>0</v>
      </c>
      <c r="W310" s="343">
        <v>0</v>
      </c>
      <c r="X310" s="343">
        <v>0</v>
      </c>
      <c r="Y310" s="379">
        <v>0</v>
      </c>
      <c r="Z310" s="282">
        <f t="shared" si="151"/>
        <v>0</v>
      </c>
      <c r="AA310" s="284">
        <f t="shared" si="152"/>
        <v>0</v>
      </c>
      <c r="AB310" s="948">
        <f t="array" ref="AB310">IF(AND($AD$281=TRUE,SUM(B310:L310)&gt;0),SUMPRODUCT((((TRANSPOSE(Cls2CentDailyRng)&lt;INDEX(CDRANGE_CLS2,$A310-$A$286+1,AD$282))*TRANSPOSE(Cls2CentDailyRng)+(TRANSPOSE(Cls2CentDailyRng)&gt;INDEX(CDRANGE_CLS2,$A310-$A$286+1,AD$282))*INDEX(CDRANGE_CLS2,$A310-$A$286+1,AD$282))/TRANSPOSE(Cls2CentDailyRng)),B310:L310,TRANSPOSE(Cls2CentVMTShr))/SUMPRODUCT(B310:L310,TRANSPOSE(Cls2CentVMTShr)),0)</f>
        <v>0</v>
      </c>
      <c r="AC310" s="949">
        <f t="array" ref="AC310">IF(AND($AD$281=TRUE,SUM(O310:Y310)&gt;0),SUMPRODUCT((((TRANSPOSE(Cls2NCentDailyRng)&lt;INDEX(CDRANGE_CLS2,$A310-$A$286+1,AD$282))*TRANSPOSE(Cls2NCentDailyRng)+(TRANSPOSE(Cls2NCentDailyRng)&gt;INDEX(CDRANGE_CLS2,$A310-$A$286+1,AD$282))*INDEX(CDRANGE_CLS2,$A310-$A$286+1,AD$282))/TRANSPOSE(Cls2NCentDailyRng)),O310:Y310,TRANSPOSE(Cls2NCentVMTShr))/SUMPRODUCT(O310:Y310,TRANSPOSE(Cls2NCentVMTShr)),0)</f>
        <v>0</v>
      </c>
      <c r="AD310" s="1226">
        <f t="shared" si="153"/>
        <v>0</v>
      </c>
      <c r="AE310" s="937">
        <f t="shared" si="156"/>
        <v>0</v>
      </c>
      <c r="AF310" s="937">
        <f t="shared" si="157"/>
        <v>0</v>
      </c>
      <c r="AG310" s="937">
        <f t="shared" si="158"/>
        <v>0</v>
      </c>
      <c r="AH310" s="1172">
        <f t="shared" si="154"/>
        <v>0</v>
      </c>
      <c r="AI310" s="937">
        <f t="shared" si="155"/>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49"/>
        <v>0</v>
      </c>
      <c r="N311" s="298">
        <f t="shared" si="150"/>
        <v>0</v>
      </c>
      <c r="O311" s="344">
        <v>0</v>
      </c>
      <c r="P311" s="345">
        <v>0</v>
      </c>
      <c r="Q311" s="345">
        <v>0</v>
      </c>
      <c r="R311" s="345">
        <v>0</v>
      </c>
      <c r="S311" s="345">
        <v>0</v>
      </c>
      <c r="T311" s="345">
        <v>0</v>
      </c>
      <c r="U311" s="345">
        <v>0</v>
      </c>
      <c r="V311" s="345">
        <v>0</v>
      </c>
      <c r="W311" s="345">
        <v>0</v>
      </c>
      <c r="X311" s="345">
        <v>0</v>
      </c>
      <c r="Y311" s="380">
        <v>0</v>
      </c>
      <c r="Z311" s="296">
        <f t="shared" si="151"/>
        <v>0</v>
      </c>
      <c r="AA311" s="298">
        <f t="shared" si="152"/>
        <v>0</v>
      </c>
      <c r="AB311" s="948">
        <f t="array" ref="AB311">IF(AND($AD$281=TRUE,SUM(B311:L311)&gt;0),SUMPRODUCT((((TRANSPOSE(Cls2CentDailyRng)&lt;INDEX(CDRANGE_CLS2,$A311-$A$286+1,AD$282))*TRANSPOSE(Cls2CentDailyRng)+(TRANSPOSE(Cls2CentDailyRng)&gt;INDEX(CDRANGE_CLS2,$A311-$A$286+1,AD$282))*INDEX(CDRANGE_CLS2,$A311-$A$286+1,AD$282))/TRANSPOSE(Cls2CentDailyRng)),B311:L311,TRANSPOSE(Cls2CentVMTShr))/SUMPRODUCT(B311:L311,TRANSPOSE(Cls2CentVMTShr)),0)</f>
        <v>0</v>
      </c>
      <c r="AC311" s="949">
        <f t="array" ref="AC311">IF(AND($AD$281=TRUE,SUM(O311:Y311)&gt;0),SUMPRODUCT((((TRANSPOSE(Cls2NCentDailyRng)&lt;INDEX(CDRANGE_CLS2,$A311-$A$286+1,AD$282))*TRANSPOSE(Cls2NCentDailyRng)+(TRANSPOSE(Cls2NCentDailyRng)&gt;INDEX(CDRANGE_CLS2,$A311-$A$286+1,AD$282))*INDEX(CDRANGE_CLS2,$A311-$A$286+1,AD$282))/TRANSPOSE(Cls2NCentDailyRng)),O311:Y311,TRANSPOSE(Cls2NCentVMTShr))/SUMPRODUCT(O311:Y311,TRANSPOSE(Cls2NCentVMTShr)),0)</f>
        <v>0</v>
      </c>
      <c r="AD311" s="1226">
        <f t="shared" si="153"/>
        <v>0</v>
      </c>
      <c r="AE311" s="937">
        <f t="shared" si="156"/>
        <v>0</v>
      </c>
      <c r="AF311" s="937">
        <f t="shared" si="157"/>
        <v>0</v>
      </c>
      <c r="AG311" s="937">
        <f t="shared" si="158"/>
        <v>0</v>
      </c>
      <c r="AH311" s="1172">
        <f t="shared" si="154"/>
        <v>0</v>
      </c>
      <c r="AI311" s="937">
        <f t="shared" si="155"/>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49"/>
        <v>0</v>
      </c>
      <c r="N312" s="298">
        <f t="shared" si="150"/>
        <v>0</v>
      </c>
      <c r="O312" s="344">
        <v>0</v>
      </c>
      <c r="P312" s="345">
        <v>0</v>
      </c>
      <c r="Q312" s="345">
        <v>0</v>
      </c>
      <c r="R312" s="345">
        <v>0</v>
      </c>
      <c r="S312" s="345">
        <v>0</v>
      </c>
      <c r="T312" s="345">
        <v>0</v>
      </c>
      <c r="U312" s="345">
        <v>0</v>
      </c>
      <c r="V312" s="345">
        <v>0</v>
      </c>
      <c r="W312" s="345">
        <v>0</v>
      </c>
      <c r="X312" s="345">
        <v>0</v>
      </c>
      <c r="Y312" s="380">
        <v>0</v>
      </c>
      <c r="Z312" s="296">
        <f t="shared" si="151"/>
        <v>0</v>
      </c>
      <c r="AA312" s="298">
        <f t="shared" si="152"/>
        <v>0</v>
      </c>
      <c r="AB312" s="948">
        <f t="array" ref="AB312">IF(AND($AD$281=TRUE,SUM(B312:L312)&gt;0),SUMPRODUCT((((TRANSPOSE(Cls2CentDailyRng)&lt;INDEX(CDRANGE_CLS2,$A312-$A$286+1,AD$282))*TRANSPOSE(Cls2CentDailyRng)+(TRANSPOSE(Cls2CentDailyRng)&gt;INDEX(CDRANGE_CLS2,$A312-$A$286+1,AD$282))*INDEX(CDRANGE_CLS2,$A312-$A$286+1,AD$282))/TRANSPOSE(Cls2CentDailyRng)),B312:L312,TRANSPOSE(Cls2CentVMTShr))/SUMPRODUCT(B312:L312,TRANSPOSE(Cls2CentVMTShr)),0)</f>
        <v>0</v>
      </c>
      <c r="AC312" s="949">
        <f t="array" ref="AC312">IF(AND($AD$281=TRUE,SUM(O312:Y312)&gt;0),SUMPRODUCT((((TRANSPOSE(Cls2NCentDailyRng)&lt;INDEX(CDRANGE_CLS2,$A312-$A$286+1,AD$282))*TRANSPOSE(Cls2NCentDailyRng)+(TRANSPOSE(Cls2NCentDailyRng)&gt;INDEX(CDRANGE_CLS2,$A312-$A$286+1,AD$282))*INDEX(CDRANGE_CLS2,$A312-$A$286+1,AD$282))/TRANSPOSE(Cls2NCentDailyRng)),O312:Y312,TRANSPOSE(Cls2NCentVMTShr))/SUMPRODUCT(O312:Y312,TRANSPOSE(Cls2NCentVMTShr)),0)</f>
        <v>0</v>
      </c>
      <c r="AD312" s="1226">
        <f>AB312*AH312+AC312*AI312</f>
        <v>0</v>
      </c>
      <c r="AE312" s="937">
        <f t="shared" si="156"/>
        <v>0</v>
      </c>
      <c r="AF312" s="937">
        <f t="shared" si="157"/>
        <v>0</v>
      </c>
      <c r="AG312" s="937">
        <f t="shared" si="158"/>
        <v>0</v>
      </c>
      <c r="AH312" s="1172">
        <f t="shared" si="154"/>
        <v>0</v>
      </c>
      <c r="AI312" s="937">
        <f t="shared" si="155"/>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49"/>
        <v>0</v>
      </c>
      <c r="N313" s="298">
        <f t="shared" si="150"/>
        <v>0</v>
      </c>
      <c r="O313" s="344">
        <v>0</v>
      </c>
      <c r="P313" s="345">
        <v>0</v>
      </c>
      <c r="Q313" s="345">
        <v>0</v>
      </c>
      <c r="R313" s="345">
        <v>0</v>
      </c>
      <c r="S313" s="345">
        <v>0</v>
      </c>
      <c r="T313" s="345">
        <v>0</v>
      </c>
      <c r="U313" s="345">
        <v>0</v>
      </c>
      <c r="V313" s="345">
        <v>0</v>
      </c>
      <c r="W313" s="345">
        <v>0</v>
      </c>
      <c r="X313" s="345">
        <v>0</v>
      </c>
      <c r="Y313" s="380">
        <v>0</v>
      </c>
      <c r="Z313" s="296">
        <f t="shared" si="151"/>
        <v>0</v>
      </c>
      <c r="AA313" s="298">
        <f t="shared" si="152"/>
        <v>0</v>
      </c>
      <c r="AB313" s="948">
        <f t="array" ref="AB313">IF(AND($AD$281=TRUE,SUM(B313:L313)&gt;0),SUMPRODUCT((((TRANSPOSE(Cls2CentDailyRng)&lt;INDEX(CDRANGE_CLS2,$A313-$A$286+1,AD$282))*TRANSPOSE(Cls2CentDailyRng)+(TRANSPOSE(Cls2CentDailyRng)&gt;INDEX(CDRANGE_CLS2,$A313-$A$286+1,AD$282))*INDEX(CDRANGE_CLS2,$A313-$A$286+1,AD$282))/TRANSPOSE(Cls2CentDailyRng)),B313:L313,TRANSPOSE(Cls2CentVMTShr))/SUMPRODUCT(B313:L313,TRANSPOSE(Cls2CentVMTShr)),0)</f>
        <v>0</v>
      </c>
      <c r="AC313" s="949">
        <f t="array" ref="AC313">IF(AND($AD$281=TRUE,SUM(O313:Y313)&gt;0),SUMPRODUCT((((TRANSPOSE(Cls2NCentDailyRng)&lt;INDEX(CDRANGE_CLS2,$A313-$A$286+1,AD$282))*TRANSPOSE(Cls2NCentDailyRng)+(TRANSPOSE(Cls2NCentDailyRng)&gt;INDEX(CDRANGE_CLS2,$A313-$A$286+1,AD$282))*INDEX(CDRANGE_CLS2,$A313-$A$286+1,AD$282))/TRANSPOSE(Cls2NCentDailyRng)),O313:Y313,TRANSPOSE(Cls2NCentVMTShr))/SUMPRODUCT(O313:Y313,TRANSPOSE(Cls2NCentVMTShr)),0)</f>
        <v>0</v>
      </c>
      <c r="AD313" s="1226">
        <f t="shared" ref="AD313:AD329" si="159">AB313*AH313+AC313*AI313</f>
        <v>0</v>
      </c>
      <c r="AE313" s="937">
        <f t="shared" si="156"/>
        <v>0</v>
      </c>
      <c r="AF313" s="937">
        <f t="shared" si="157"/>
        <v>0</v>
      </c>
      <c r="AG313" s="937">
        <f t="shared" si="158"/>
        <v>0</v>
      </c>
      <c r="AH313" s="1172">
        <f t="shared" si="154"/>
        <v>0</v>
      </c>
      <c r="AI313" s="937">
        <f t="shared" si="155"/>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49"/>
        <v>0</v>
      </c>
      <c r="N314" s="312">
        <f t="shared" si="150"/>
        <v>0</v>
      </c>
      <c r="O314" s="346">
        <v>0</v>
      </c>
      <c r="P314" s="347">
        <v>0</v>
      </c>
      <c r="Q314" s="347">
        <v>0</v>
      </c>
      <c r="R314" s="347">
        <v>0</v>
      </c>
      <c r="S314" s="347">
        <v>0</v>
      </c>
      <c r="T314" s="347">
        <v>0</v>
      </c>
      <c r="U314" s="347">
        <v>0</v>
      </c>
      <c r="V314" s="347">
        <v>0</v>
      </c>
      <c r="W314" s="347">
        <v>0</v>
      </c>
      <c r="X314" s="347">
        <v>0</v>
      </c>
      <c r="Y314" s="381">
        <v>0</v>
      </c>
      <c r="Z314" s="310">
        <f t="shared" si="151"/>
        <v>0</v>
      </c>
      <c r="AA314" s="312">
        <f t="shared" si="152"/>
        <v>0</v>
      </c>
      <c r="AB314" s="948">
        <f t="array" ref="AB314">IF(AND($AD$281=TRUE,SUM(B314:L314)&gt;0),SUMPRODUCT((((TRANSPOSE(Cls2CentDailyRng)&lt;INDEX(CDRANGE_CLS2,$A314-$A$286+1,AD$282))*TRANSPOSE(Cls2CentDailyRng)+(TRANSPOSE(Cls2CentDailyRng)&gt;INDEX(CDRANGE_CLS2,$A314-$A$286+1,AD$282))*INDEX(CDRANGE_CLS2,$A314-$A$286+1,AD$282))/TRANSPOSE(Cls2CentDailyRng)),B314:L314,TRANSPOSE(Cls2CentVMTShr))/SUMPRODUCT(B314:L314,TRANSPOSE(Cls2CentVMTShr)),0)</f>
        <v>0</v>
      </c>
      <c r="AC314" s="949">
        <f t="array" ref="AC314">IF(AND($AD$281=TRUE,SUM(O314:Y314)&gt;0),SUMPRODUCT((((TRANSPOSE(Cls2NCentDailyRng)&lt;INDEX(CDRANGE_CLS2,$A314-$A$286+1,AD$282))*TRANSPOSE(Cls2NCentDailyRng)+(TRANSPOSE(Cls2NCentDailyRng)&gt;INDEX(CDRANGE_CLS2,$A314-$A$286+1,AD$282))*INDEX(CDRANGE_CLS2,$A314-$A$286+1,AD$282))/TRANSPOSE(Cls2NCentDailyRng)),O314:Y314,TRANSPOSE(Cls2NCentVMTShr))/SUMPRODUCT(O314:Y314,TRANSPOSE(Cls2NCentVMTShr)),0)</f>
        <v>0</v>
      </c>
      <c r="AD314" s="1226">
        <f t="shared" si="159"/>
        <v>0</v>
      </c>
      <c r="AE314" s="937">
        <f t="shared" si="156"/>
        <v>0</v>
      </c>
      <c r="AF314" s="937">
        <f t="shared" si="157"/>
        <v>0</v>
      </c>
      <c r="AG314" s="937">
        <f t="shared" si="158"/>
        <v>0</v>
      </c>
      <c r="AH314" s="1172">
        <f t="shared" si="154"/>
        <v>0</v>
      </c>
      <c r="AI314" s="937">
        <f t="shared" si="155"/>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49"/>
        <v>0</v>
      </c>
      <c r="N315" s="284">
        <f t="shared" si="150"/>
        <v>0</v>
      </c>
      <c r="O315" s="342">
        <v>0</v>
      </c>
      <c r="P315" s="343">
        <v>0</v>
      </c>
      <c r="Q315" s="343">
        <v>0</v>
      </c>
      <c r="R315" s="343">
        <v>0</v>
      </c>
      <c r="S315" s="343">
        <v>0</v>
      </c>
      <c r="T315" s="343">
        <v>0</v>
      </c>
      <c r="U315" s="343">
        <v>0</v>
      </c>
      <c r="V315" s="343">
        <v>0</v>
      </c>
      <c r="W315" s="343">
        <v>0</v>
      </c>
      <c r="X315" s="343">
        <v>0</v>
      </c>
      <c r="Y315" s="379">
        <v>0</v>
      </c>
      <c r="Z315" s="282">
        <f t="shared" si="151"/>
        <v>0</v>
      </c>
      <c r="AA315" s="284">
        <f t="shared" si="152"/>
        <v>0</v>
      </c>
      <c r="AB315" s="948">
        <f t="array" ref="AB315">IF(AND($AD$281=TRUE,SUM(B315:L315)&gt;0),SUMPRODUCT((((TRANSPOSE(Cls2CentDailyRng)&lt;INDEX(CDRANGE_CLS2,$A315-$A$286+1,AD$282))*TRANSPOSE(Cls2CentDailyRng)+(TRANSPOSE(Cls2CentDailyRng)&gt;INDEX(CDRANGE_CLS2,$A315-$A$286+1,AD$282))*INDEX(CDRANGE_CLS2,$A315-$A$286+1,AD$282))/TRANSPOSE(Cls2CentDailyRng)),B315:L315,TRANSPOSE(Cls2CentVMTShr))/SUMPRODUCT(B315:L315,TRANSPOSE(Cls2CentVMTShr)),0)</f>
        <v>0</v>
      </c>
      <c r="AC315" s="949">
        <f t="array" ref="AC315">IF(AND($AD$281=TRUE,SUM(O315:Y315)&gt;0),SUMPRODUCT((((TRANSPOSE(Cls2NCentDailyRng)&lt;INDEX(CDRANGE_CLS2,$A315-$A$286+1,AD$282))*TRANSPOSE(Cls2NCentDailyRng)+(TRANSPOSE(Cls2NCentDailyRng)&gt;INDEX(CDRANGE_CLS2,$A315-$A$286+1,AD$282))*INDEX(CDRANGE_CLS2,$A315-$A$286+1,AD$282))/TRANSPOSE(Cls2NCentDailyRng)),O315:Y315,TRANSPOSE(Cls2NCentVMTShr))/SUMPRODUCT(O315:Y315,TRANSPOSE(Cls2NCentVMTShr)),0)</f>
        <v>0</v>
      </c>
      <c r="AD315" s="1226">
        <f t="shared" si="159"/>
        <v>0</v>
      </c>
      <c r="AE315" s="937">
        <f t="shared" si="156"/>
        <v>0</v>
      </c>
      <c r="AF315" s="937">
        <f t="shared" si="157"/>
        <v>0</v>
      </c>
      <c r="AG315" s="937">
        <f t="shared" si="158"/>
        <v>0</v>
      </c>
      <c r="AH315" s="1172">
        <f t="shared" si="154"/>
        <v>0</v>
      </c>
      <c r="AI315" s="937">
        <f t="shared" si="155"/>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49"/>
        <v>0</v>
      </c>
      <c r="N316" s="298">
        <f t="shared" si="150"/>
        <v>0</v>
      </c>
      <c r="O316" s="344">
        <v>0</v>
      </c>
      <c r="P316" s="345">
        <v>0</v>
      </c>
      <c r="Q316" s="345">
        <v>0</v>
      </c>
      <c r="R316" s="345">
        <v>0</v>
      </c>
      <c r="S316" s="345">
        <v>0</v>
      </c>
      <c r="T316" s="345">
        <v>0</v>
      </c>
      <c r="U316" s="345">
        <v>0</v>
      </c>
      <c r="V316" s="345">
        <v>0</v>
      </c>
      <c r="W316" s="345">
        <v>0</v>
      </c>
      <c r="X316" s="345">
        <v>0</v>
      </c>
      <c r="Y316" s="380">
        <v>0</v>
      </c>
      <c r="Z316" s="296">
        <f t="shared" si="151"/>
        <v>0</v>
      </c>
      <c r="AA316" s="298">
        <f t="shared" si="152"/>
        <v>0</v>
      </c>
      <c r="AB316" s="948">
        <f t="array" ref="AB316">IF(AND($AD$281=TRUE,SUM(B316:L316)&gt;0),SUMPRODUCT((((TRANSPOSE(Cls2CentDailyRng)&lt;INDEX(CDRANGE_CLS2,$A316-$A$286+1,AD$282))*TRANSPOSE(Cls2CentDailyRng)+(TRANSPOSE(Cls2CentDailyRng)&gt;INDEX(CDRANGE_CLS2,$A316-$A$286+1,AD$282))*INDEX(CDRANGE_CLS2,$A316-$A$286+1,AD$282))/TRANSPOSE(Cls2CentDailyRng)),B316:L316,TRANSPOSE(Cls2CentVMTShr))/SUMPRODUCT(B316:L316,TRANSPOSE(Cls2CentVMTShr)),0)</f>
        <v>0</v>
      </c>
      <c r="AC316" s="949">
        <f t="array" ref="AC316">IF(AND($AD$281=TRUE,SUM(O316:Y316)&gt;0),SUMPRODUCT((((TRANSPOSE(Cls2NCentDailyRng)&lt;INDEX(CDRANGE_CLS2,$A316-$A$286+1,AD$282))*TRANSPOSE(Cls2NCentDailyRng)+(TRANSPOSE(Cls2NCentDailyRng)&gt;INDEX(CDRANGE_CLS2,$A316-$A$286+1,AD$282))*INDEX(CDRANGE_CLS2,$A316-$A$286+1,AD$282))/TRANSPOSE(Cls2NCentDailyRng)),O316:Y316,TRANSPOSE(Cls2NCentVMTShr))/SUMPRODUCT(O316:Y316,TRANSPOSE(Cls2NCentVMTShr)),0)</f>
        <v>0</v>
      </c>
      <c r="AD316" s="1226">
        <f t="shared" si="159"/>
        <v>0</v>
      </c>
      <c r="AE316" s="937">
        <f t="shared" si="156"/>
        <v>0</v>
      </c>
      <c r="AF316" s="937">
        <f t="shared" si="157"/>
        <v>0</v>
      </c>
      <c r="AG316" s="937">
        <f t="shared" si="158"/>
        <v>0</v>
      </c>
      <c r="AH316" s="1172">
        <f t="shared" si="154"/>
        <v>0</v>
      </c>
      <c r="AI316" s="937">
        <f t="shared" si="155"/>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49"/>
        <v>0</v>
      </c>
      <c r="N317" s="298">
        <f t="shared" si="150"/>
        <v>0</v>
      </c>
      <c r="O317" s="344">
        <v>0</v>
      </c>
      <c r="P317" s="345">
        <v>0</v>
      </c>
      <c r="Q317" s="345">
        <v>0</v>
      </c>
      <c r="R317" s="345">
        <v>0</v>
      </c>
      <c r="S317" s="345">
        <v>0</v>
      </c>
      <c r="T317" s="345">
        <v>0</v>
      </c>
      <c r="U317" s="345">
        <v>0</v>
      </c>
      <c r="V317" s="345">
        <v>0</v>
      </c>
      <c r="W317" s="345">
        <v>0</v>
      </c>
      <c r="X317" s="345">
        <v>0</v>
      </c>
      <c r="Y317" s="380">
        <v>0</v>
      </c>
      <c r="Z317" s="296">
        <f t="shared" si="151"/>
        <v>0</v>
      </c>
      <c r="AA317" s="298">
        <f t="shared" si="152"/>
        <v>0</v>
      </c>
      <c r="AB317" s="948">
        <f t="array" ref="AB317">IF(AND($AD$281=TRUE,SUM(B317:L317)&gt;0),SUMPRODUCT((((TRANSPOSE(Cls2CentDailyRng)&lt;INDEX(CDRANGE_CLS2,$A317-$A$286+1,AD$282))*TRANSPOSE(Cls2CentDailyRng)+(TRANSPOSE(Cls2CentDailyRng)&gt;INDEX(CDRANGE_CLS2,$A317-$A$286+1,AD$282))*INDEX(CDRANGE_CLS2,$A317-$A$286+1,AD$282))/TRANSPOSE(Cls2CentDailyRng)),B317:L317,TRANSPOSE(Cls2CentVMTShr))/SUMPRODUCT(B317:L317,TRANSPOSE(Cls2CentVMTShr)),0)</f>
        <v>0</v>
      </c>
      <c r="AC317" s="949">
        <f t="array" ref="AC317">IF(AND($AD$281=TRUE,SUM(O317:Y317)&gt;0),SUMPRODUCT((((TRANSPOSE(Cls2NCentDailyRng)&lt;INDEX(CDRANGE_CLS2,$A317-$A$286+1,AD$282))*TRANSPOSE(Cls2NCentDailyRng)+(TRANSPOSE(Cls2NCentDailyRng)&gt;INDEX(CDRANGE_CLS2,$A317-$A$286+1,AD$282))*INDEX(CDRANGE_CLS2,$A317-$A$286+1,AD$282))/TRANSPOSE(Cls2NCentDailyRng)),O317:Y317,TRANSPOSE(Cls2NCentVMTShr))/SUMPRODUCT(O317:Y317,TRANSPOSE(Cls2NCentVMTShr)),0)</f>
        <v>0</v>
      </c>
      <c r="AD317" s="1226">
        <f t="shared" si="159"/>
        <v>0</v>
      </c>
      <c r="AE317" s="937">
        <f t="shared" si="156"/>
        <v>0</v>
      </c>
      <c r="AF317" s="937">
        <f t="shared" si="157"/>
        <v>0</v>
      </c>
      <c r="AG317" s="937">
        <f t="shared" si="158"/>
        <v>0</v>
      </c>
      <c r="AH317" s="1172">
        <f t="shared" si="154"/>
        <v>0</v>
      </c>
      <c r="AI317" s="937">
        <f t="shared" si="155"/>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49"/>
        <v>0</v>
      </c>
      <c r="N318" s="298">
        <f t="shared" si="150"/>
        <v>0</v>
      </c>
      <c r="O318" s="344">
        <v>0</v>
      </c>
      <c r="P318" s="345">
        <v>0</v>
      </c>
      <c r="Q318" s="345">
        <v>0</v>
      </c>
      <c r="R318" s="345">
        <v>0</v>
      </c>
      <c r="S318" s="345">
        <v>2.1059433566943275E-6</v>
      </c>
      <c r="T318" s="345">
        <v>1.8533290617932585E-5</v>
      </c>
      <c r="U318" s="345">
        <v>3.9748519726656168E-5</v>
      </c>
      <c r="V318" s="345">
        <v>6.2809067142560515E-5</v>
      </c>
      <c r="W318" s="345">
        <v>1.0986593659389279E-4</v>
      </c>
      <c r="X318" s="345">
        <v>1.3490996366606806E-4</v>
      </c>
      <c r="Y318" s="380">
        <v>1.8201352908456863E-4</v>
      </c>
      <c r="Z318" s="296">
        <f t="shared" si="151"/>
        <v>9.1534008299635896E-6</v>
      </c>
      <c r="AA318" s="298">
        <f t="shared" si="152"/>
        <v>4.4841507935532547E-6</v>
      </c>
      <c r="AB318" s="948">
        <f t="array" ref="AB318">IF(AND($AD$281=TRUE,SUM(B318:L318)&gt;0),SUMPRODUCT((((TRANSPOSE(Cls2CentDailyRng)&lt;INDEX(CDRANGE_CLS2,$A318-$A$286+1,AD$282))*TRANSPOSE(Cls2CentDailyRng)+(TRANSPOSE(Cls2CentDailyRng)&gt;INDEX(CDRANGE_CLS2,$A318-$A$286+1,AD$282))*INDEX(CDRANGE_CLS2,$A318-$A$286+1,AD$282))/TRANSPOSE(Cls2CentDailyRng)),B318:L318,TRANSPOSE(Cls2CentVMTShr))/SUMPRODUCT(B318:L318,TRANSPOSE(Cls2CentVMTShr)),0)</f>
        <v>0</v>
      </c>
      <c r="AC318" s="949">
        <f t="array" ref="AC318">IF(AND($AD$281=TRUE,SUM(O318:Y318)&gt;0),SUMPRODUCT((((TRANSPOSE(Cls2NCentDailyRng)&lt;INDEX(CDRANGE_CLS2,$A318-$A$286+1,AD$282))*TRANSPOSE(Cls2NCentDailyRng)+(TRANSPOSE(Cls2NCentDailyRng)&gt;INDEX(CDRANGE_CLS2,$A318-$A$286+1,AD$282))*INDEX(CDRANGE_CLS2,$A318-$A$286+1,AD$282))/TRANSPOSE(Cls2NCentDailyRng)),O318:Y318,TRANSPOSE(Cls2NCentVMTShr))/SUMPRODUCT(O318:Y318,TRANSPOSE(Cls2NCentVMTShr)),0)</f>
        <v>0</v>
      </c>
      <c r="AD318" s="1226">
        <f t="shared" si="159"/>
        <v>0</v>
      </c>
      <c r="AE318" s="937">
        <f t="shared" si="156"/>
        <v>0</v>
      </c>
      <c r="AF318" s="937">
        <f t="shared" si="157"/>
        <v>9.1534008299635896E-6</v>
      </c>
      <c r="AG318" s="937">
        <f t="shared" si="158"/>
        <v>9.1534008299635896E-6</v>
      </c>
      <c r="AH318" s="1172">
        <f t="shared" si="154"/>
        <v>0</v>
      </c>
      <c r="AI318" s="937">
        <f t="shared" si="155"/>
        <v>1</v>
      </c>
    </row>
    <row r="319" spans="1:35" ht="15" thickBot="1" x14ac:dyDescent="0.25">
      <c r="A319" s="328">
        <v>2040</v>
      </c>
      <c r="B319" s="346">
        <v>0</v>
      </c>
      <c r="C319" s="347">
        <v>0</v>
      </c>
      <c r="D319" s="347">
        <v>0</v>
      </c>
      <c r="E319" s="347">
        <v>0</v>
      </c>
      <c r="F319" s="347">
        <v>0</v>
      </c>
      <c r="G319" s="347">
        <v>4.7198599961598283E-4</v>
      </c>
      <c r="H319" s="347">
        <v>4.8544504610793359E-3</v>
      </c>
      <c r="I319" s="347">
        <v>1.7424837814757753E-2</v>
      </c>
      <c r="J319" s="347">
        <v>3.6750721378586253E-2</v>
      </c>
      <c r="K319" s="347">
        <v>5.3499649359620226E-2</v>
      </c>
      <c r="L319" s="381">
        <v>9.2799636392334364E-2</v>
      </c>
      <c r="M319" s="310">
        <f t="shared" si="149"/>
        <v>6.6611812146026806E-3</v>
      </c>
      <c r="N319" s="312">
        <f t="shared" si="150"/>
        <v>2.7940857999132376E-3</v>
      </c>
      <c r="O319" s="346">
        <v>0</v>
      </c>
      <c r="P319" s="347">
        <v>0</v>
      </c>
      <c r="Q319" s="347">
        <v>1.963205672136736E-6</v>
      </c>
      <c r="R319" s="347">
        <v>5.3950245103022429E-5</v>
      </c>
      <c r="S319" s="347">
        <v>1.66255620104095E-4</v>
      </c>
      <c r="T319" s="347">
        <v>3.1954948948408003E-4</v>
      </c>
      <c r="U319" s="347">
        <v>3.755653641349228E-4</v>
      </c>
      <c r="V319" s="347">
        <v>4.5592382487862537E-4</v>
      </c>
      <c r="W319" s="347">
        <v>5.0564059191163658E-4</v>
      </c>
      <c r="X319" s="347">
        <v>5.387666728644923E-4</v>
      </c>
      <c r="Y319" s="381">
        <v>5.6365388054078699E-4</v>
      </c>
      <c r="Z319" s="310">
        <f t="shared" si="151"/>
        <v>7.9844936544193058E-5</v>
      </c>
      <c r="AA319" s="312">
        <f t="shared" si="152"/>
        <v>5.0647740150129287E-5</v>
      </c>
      <c r="AB319" s="948">
        <f t="array" ref="AB319">IF(AND($AD$281=TRUE,SUM(B319:L319)&gt;0),SUMPRODUCT((((TRANSPOSE(Cls2CentDailyRng)&lt;INDEX(CDRANGE_CLS2,$A319-$A$286+1,AD$282))*TRANSPOSE(Cls2CentDailyRng)+(TRANSPOSE(Cls2CentDailyRng)&gt;INDEX(CDRANGE_CLS2,$A319-$A$286+1,AD$282))*INDEX(CDRANGE_CLS2,$A319-$A$286+1,AD$282))/TRANSPOSE(Cls2CentDailyRng)),B319:L319,TRANSPOSE(Cls2CentVMTShr))/SUMPRODUCT(B319:L319,TRANSPOSE(Cls2CentVMTShr)),0)</f>
        <v>0</v>
      </c>
      <c r="AC319" s="949">
        <f t="array" ref="AC319">IF(AND($AD$281=TRUE,SUM(O319:Y319)&gt;0),SUMPRODUCT((((TRANSPOSE(Cls2NCentDailyRng)&lt;INDEX(CDRANGE_CLS2,$A319-$A$286+1,AD$282))*TRANSPOSE(Cls2NCentDailyRng)+(TRANSPOSE(Cls2NCentDailyRng)&gt;INDEX(CDRANGE_CLS2,$A319-$A$286+1,AD$282))*INDEX(CDRANGE_CLS2,$A319-$A$286+1,AD$282))/TRANSPOSE(Cls2NCentDailyRng)),O319:Y319,TRANSPOSE(Cls2NCentVMTShr))/SUMPRODUCT(O319:Y319,TRANSPOSE(Cls2NCentVMTShr)),0)</f>
        <v>0</v>
      </c>
      <c r="AD319" s="1226">
        <f t="shared" si="159"/>
        <v>0</v>
      </c>
      <c r="AE319" s="937">
        <f t="shared" si="156"/>
        <v>6.6611812146026806E-3</v>
      </c>
      <c r="AF319" s="937">
        <f t="shared" si="157"/>
        <v>7.9844936544193058E-5</v>
      </c>
      <c r="AG319" s="937">
        <f t="shared" si="158"/>
        <v>6.7410261511468735E-3</v>
      </c>
      <c r="AH319" s="1172">
        <f t="shared" si="154"/>
        <v>0.98815537356569838</v>
      </c>
      <c r="AI319" s="937">
        <f t="shared" si="155"/>
        <v>1.1844626434301663E-2</v>
      </c>
    </row>
    <row r="320" spans="1:35" x14ac:dyDescent="0.2">
      <c r="A320" s="329">
        <v>2041</v>
      </c>
      <c r="B320" s="342">
        <v>0</v>
      </c>
      <c r="C320" s="343">
        <v>0</v>
      </c>
      <c r="D320" s="343">
        <v>2.0730664736304849E-4</v>
      </c>
      <c r="E320" s="343">
        <v>1.4756784270245028E-2</v>
      </c>
      <c r="F320" s="343">
        <v>5.987711515473973E-2</v>
      </c>
      <c r="G320" s="343">
        <v>0.10981795946190771</v>
      </c>
      <c r="H320" s="343">
        <v>0.1524308873494846</v>
      </c>
      <c r="I320" s="343">
        <v>0.18061438274032088</v>
      </c>
      <c r="J320" s="343">
        <v>0.19233683478324767</v>
      </c>
      <c r="K320" s="343">
        <v>0.20485073334898854</v>
      </c>
      <c r="L320" s="379">
        <v>0.22717633032249757</v>
      </c>
      <c r="M320" s="282">
        <f t="shared" si="149"/>
        <v>5.8372893208671631E-2</v>
      </c>
      <c r="N320" s="284">
        <f t="shared" si="150"/>
        <v>3.3982255903077838E-2</v>
      </c>
      <c r="O320" s="342">
        <v>0</v>
      </c>
      <c r="P320" s="343">
        <v>1.1013161706855223E-6</v>
      </c>
      <c r="Q320" s="343">
        <v>1.8396826185814342E-4</v>
      </c>
      <c r="R320" s="343">
        <v>5.9424155860202175E-4</v>
      </c>
      <c r="S320" s="343">
        <v>8.9223999358289388E-4</v>
      </c>
      <c r="T320" s="343">
        <v>1.0572032055484939E-3</v>
      </c>
      <c r="U320" s="343">
        <v>1.1173528532384565E-3</v>
      </c>
      <c r="V320" s="343">
        <v>1.1485944797619779E-3</v>
      </c>
      <c r="W320" s="343">
        <v>1.2148410931448307E-3</v>
      </c>
      <c r="X320" s="343">
        <v>1.2202159170647199E-3</v>
      </c>
      <c r="Y320" s="379">
        <v>1.220565581037999E-3</v>
      </c>
      <c r="Z320" s="282">
        <f t="shared" si="151"/>
        <v>2.9846847805154619E-4</v>
      </c>
      <c r="AA320" s="284">
        <f t="shared" si="152"/>
        <v>2.199581280502354E-4</v>
      </c>
      <c r="AB320" s="948">
        <f t="array" ref="AB320">IF(AND($AD$281=TRUE,SUM(B320:L320)&gt;0),SUMPRODUCT((((TRANSPOSE(Cls2CentDailyRng)&lt;INDEX(CDRANGE_CLS2,$A320-$A$286+1,AD$282))*TRANSPOSE(Cls2CentDailyRng)+(TRANSPOSE(Cls2CentDailyRng)&gt;INDEX(CDRANGE_CLS2,$A320-$A$286+1,AD$282))*INDEX(CDRANGE_CLS2,$A320-$A$286+1,AD$282))/TRANSPOSE(Cls2CentDailyRng)),B320:L320,TRANSPOSE(Cls2CentVMTShr))/SUMPRODUCT(B320:L320,TRANSPOSE(Cls2CentVMTShr)),0)</f>
        <v>0</v>
      </c>
      <c r="AC320" s="949">
        <f t="array" ref="AC320">IF(AND($AD$281=TRUE,SUM(O320:Y320)&gt;0),SUMPRODUCT((((TRANSPOSE(Cls2NCentDailyRng)&lt;INDEX(CDRANGE_CLS2,$A320-$A$286+1,AD$282))*TRANSPOSE(Cls2NCentDailyRng)+(TRANSPOSE(Cls2NCentDailyRng)&gt;INDEX(CDRANGE_CLS2,$A320-$A$286+1,AD$282))*INDEX(CDRANGE_CLS2,$A320-$A$286+1,AD$282))/TRANSPOSE(Cls2NCentDailyRng)),O320:Y320,TRANSPOSE(Cls2NCentVMTShr))/SUMPRODUCT(O320:Y320,TRANSPOSE(Cls2NCentVMTShr)),0)</f>
        <v>0</v>
      </c>
      <c r="AD320" s="1226">
        <f t="shared" si="159"/>
        <v>0</v>
      </c>
      <c r="AE320" s="937">
        <f t="shared" si="156"/>
        <v>5.8372893208671631E-2</v>
      </c>
      <c r="AF320" s="937">
        <f t="shared" si="157"/>
        <v>2.9846847805154619E-4</v>
      </c>
      <c r="AG320" s="937">
        <f t="shared" si="158"/>
        <v>5.8671361686723177E-2</v>
      </c>
      <c r="AH320" s="1172">
        <f t="shared" si="154"/>
        <v>0.99491287624028191</v>
      </c>
      <c r="AI320" s="937">
        <f t="shared" si="155"/>
        <v>5.0871237597181424E-3</v>
      </c>
    </row>
    <row r="321" spans="1:35" x14ac:dyDescent="0.2">
      <c r="A321" s="330">
        <v>2042</v>
      </c>
      <c r="B321" s="344">
        <v>0</v>
      </c>
      <c r="C321" s="345">
        <v>9.6805775493119054E-5</v>
      </c>
      <c r="D321" s="345">
        <v>4.1226401438570107E-2</v>
      </c>
      <c r="E321" s="345">
        <v>0.13065211076330732</v>
      </c>
      <c r="F321" s="345">
        <v>0.18498394261652693</v>
      </c>
      <c r="G321" s="345">
        <v>0.21094365349315905</v>
      </c>
      <c r="H321" s="345">
        <v>0.2329527888260424</v>
      </c>
      <c r="I321" s="345">
        <v>0.24149875582149555</v>
      </c>
      <c r="J321" s="345">
        <v>0.24362650638055225</v>
      </c>
      <c r="K321" s="345">
        <v>0.24893139172666692</v>
      </c>
      <c r="L321" s="380">
        <v>0.24809791034463496</v>
      </c>
      <c r="M321" s="296">
        <f t="shared" si="149"/>
        <v>0.10746119991132026</v>
      </c>
      <c r="N321" s="298">
        <f t="shared" si="150"/>
        <v>7.4565972993950361E-2</v>
      </c>
      <c r="O321" s="344">
        <v>0</v>
      </c>
      <c r="P321" s="345">
        <v>1.3049604348973774E-4</v>
      </c>
      <c r="Q321" s="345">
        <v>1.1688417904400731E-3</v>
      </c>
      <c r="R321" s="345">
        <v>1.8982949742059651E-3</v>
      </c>
      <c r="S321" s="345">
        <v>2.1200444503573605E-3</v>
      </c>
      <c r="T321" s="345">
        <v>2.2713729593799459E-3</v>
      </c>
      <c r="U321" s="345">
        <v>2.2649253985741954E-3</v>
      </c>
      <c r="V321" s="345">
        <v>2.315803665091082E-3</v>
      </c>
      <c r="W321" s="345">
        <v>2.2844146018372712E-3</v>
      </c>
      <c r="X321" s="345">
        <v>2.292994439740007E-3</v>
      </c>
      <c r="Y321" s="380">
        <v>2.2734876648342998E-3</v>
      </c>
      <c r="Z321" s="296">
        <f t="shared" si="151"/>
        <v>7.1483748094646978E-4</v>
      </c>
      <c r="AA321" s="298">
        <f t="shared" si="152"/>
        <v>5.7825683774066804E-4</v>
      </c>
      <c r="AB321" s="948">
        <f t="array" ref="AB321">IF(AND($AD$281=TRUE,SUM(B321:L321)&gt;0),SUMPRODUCT((((TRANSPOSE(Cls2CentDailyRng)&lt;INDEX(CDRANGE_CLS2,$A321-$A$286+1,AD$282))*TRANSPOSE(Cls2CentDailyRng)+(TRANSPOSE(Cls2CentDailyRng)&gt;INDEX(CDRANGE_CLS2,$A321-$A$286+1,AD$282))*INDEX(CDRANGE_CLS2,$A321-$A$286+1,AD$282))/TRANSPOSE(Cls2CentDailyRng)),B321:L321,TRANSPOSE(Cls2CentVMTShr))/SUMPRODUCT(B321:L321,TRANSPOSE(Cls2CentVMTShr)),0)</f>
        <v>0</v>
      </c>
      <c r="AC321" s="949">
        <f t="array" ref="AC321">IF(AND($AD$281=TRUE,SUM(O321:Y321)&gt;0),SUMPRODUCT((((TRANSPOSE(Cls2NCentDailyRng)&lt;INDEX(CDRANGE_CLS2,$A321-$A$286+1,AD$282))*TRANSPOSE(Cls2NCentDailyRng)+(TRANSPOSE(Cls2NCentDailyRng)&gt;INDEX(CDRANGE_CLS2,$A321-$A$286+1,AD$282))*INDEX(CDRANGE_CLS2,$A321-$A$286+1,AD$282))/TRANSPOSE(Cls2NCentDailyRng)),O321:Y321,TRANSPOSE(Cls2NCentVMTShr))/SUMPRODUCT(O321:Y321,TRANSPOSE(Cls2NCentVMTShr)),0)</f>
        <v>0</v>
      </c>
      <c r="AD321" s="1226">
        <f t="shared" si="159"/>
        <v>0</v>
      </c>
      <c r="AE321" s="937">
        <f t="shared" si="156"/>
        <v>0.10746119991132026</v>
      </c>
      <c r="AF321" s="937">
        <f t="shared" si="157"/>
        <v>7.1483748094646978E-4</v>
      </c>
      <c r="AG321" s="937">
        <f t="shared" si="158"/>
        <v>0.10817603739226674</v>
      </c>
      <c r="AH321" s="1172">
        <f t="shared" si="154"/>
        <v>0.99339190547020739</v>
      </c>
      <c r="AI321" s="937">
        <f t="shared" si="155"/>
        <v>6.6080945297925277E-3</v>
      </c>
    </row>
    <row r="322" spans="1:35" x14ac:dyDescent="0.2">
      <c r="A322" s="330">
        <v>2043</v>
      </c>
      <c r="B322" s="344">
        <v>0</v>
      </c>
      <c r="C322" s="345">
        <v>7.1466421749199899E-3</v>
      </c>
      <c r="D322" s="345">
        <v>0.10617680361795204</v>
      </c>
      <c r="E322" s="345">
        <v>0.1857712879480253</v>
      </c>
      <c r="F322" s="345">
        <v>0.2214300036601238</v>
      </c>
      <c r="G322" s="345">
        <v>0.23749022421585689</v>
      </c>
      <c r="H322" s="345">
        <v>0.24883374469039124</v>
      </c>
      <c r="I322" s="345">
        <v>0.25007303147633303</v>
      </c>
      <c r="J322" s="345">
        <v>0.25584432903141002</v>
      </c>
      <c r="K322" s="345">
        <v>0.25239547791360495</v>
      </c>
      <c r="L322" s="380">
        <v>0.25380322260239108</v>
      </c>
      <c r="M322" s="296">
        <f t="shared" si="149"/>
        <v>0.12528056800256557</v>
      </c>
      <c r="N322" s="298">
        <f t="shared" si="150"/>
        <v>9.2915889003938101E-2</v>
      </c>
      <c r="O322" s="344">
        <v>0</v>
      </c>
      <c r="P322" s="345">
        <v>8.7531970296663558E-4</v>
      </c>
      <c r="Q322" s="345">
        <v>2.6946486655296622E-3</v>
      </c>
      <c r="R322" s="345">
        <v>3.5582315665741403E-3</v>
      </c>
      <c r="S322" s="345">
        <v>3.917682589781344E-3</v>
      </c>
      <c r="T322" s="345">
        <v>3.9540699231221813E-3</v>
      </c>
      <c r="U322" s="345">
        <v>4.0382350028394355E-3</v>
      </c>
      <c r="V322" s="345">
        <v>4.0127456037815246E-3</v>
      </c>
      <c r="W322" s="345">
        <v>3.9417557514647445E-3</v>
      </c>
      <c r="X322" s="345">
        <v>3.9273096457831738E-3</v>
      </c>
      <c r="Y322" s="380">
        <v>3.8996981374594141E-3</v>
      </c>
      <c r="Z322" s="296">
        <f t="shared" si="151"/>
        <v>1.32972117460381E-3</v>
      </c>
      <c r="AA322" s="298">
        <f t="shared" si="152"/>
        <v>1.12857342302367E-3</v>
      </c>
      <c r="AB322" s="948">
        <f t="array" ref="AB322">IF(AND($AD$281=TRUE,SUM(B322:L322)&gt;0),SUMPRODUCT((((TRANSPOSE(Cls2CentDailyRng)&lt;INDEX(CDRANGE_CLS2,$A322-$A$286+1,AD$282))*TRANSPOSE(Cls2CentDailyRng)+(TRANSPOSE(Cls2CentDailyRng)&gt;INDEX(CDRANGE_CLS2,$A322-$A$286+1,AD$282))*INDEX(CDRANGE_CLS2,$A322-$A$286+1,AD$282))/TRANSPOSE(Cls2CentDailyRng)),B322:L322,TRANSPOSE(Cls2CentVMTShr))/SUMPRODUCT(B322:L322,TRANSPOSE(Cls2CentVMTShr)),0)</f>
        <v>0</v>
      </c>
      <c r="AC322" s="949">
        <f t="array" ref="AC322">IF(AND($AD$281=TRUE,SUM(O322:Y322)&gt;0),SUMPRODUCT((((TRANSPOSE(Cls2NCentDailyRng)&lt;INDEX(CDRANGE_CLS2,$A322-$A$286+1,AD$282))*TRANSPOSE(Cls2NCentDailyRng)+(TRANSPOSE(Cls2NCentDailyRng)&gt;INDEX(CDRANGE_CLS2,$A322-$A$286+1,AD$282))*INDEX(CDRANGE_CLS2,$A322-$A$286+1,AD$282))/TRANSPOSE(Cls2NCentDailyRng)),O322:Y322,TRANSPOSE(Cls2NCentVMTShr))/SUMPRODUCT(O322:Y322,TRANSPOSE(Cls2NCentVMTShr)),0)</f>
        <v>0</v>
      </c>
      <c r="AD322" s="1226">
        <f t="shared" si="159"/>
        <v>0</v>
      </c>
      <c r="AE322" s="937">
        <f t="shared" si="156"/>
        <v>0.12528056800256557</v>
      </c>
      <c r="AF322" s="937">
        <f t="shared" si="157"/>
        <v>1.32972117460381E-3</v>
      </c>
      <c r="AG322" s="937">
        <f t="shared" si="158"/>
        <v>0.12661028917716938</v>
      </c>
      <c r="AH322" s="1172">
        <f t="shared" si="154"/>
        <v>0.98949752675516689</v>
      </c>
      <c r="AI322" s="937">
        <f t="shared" si="155"/>
        <v>1.0502473244833154E-2</v>
      </c>
    </row>
    <row r="323" spans="1:35" x14ac:dyDescent="0.2">
      <c r="A323" s="330">
        <v>2044</v>
      </c>
      <c r="B323" s="344">
        <v>0</v>
      </c>
      <c r="C323" s="345">
        <v>3.7028690567143696E-2</v>
      </c>
      <c r="D323" s="345">
        <v>0.1437623768390334</v>
      </c>
      <c r="E323" s="345">
        <v>0.22300305297472012</v>
      </c>
      <c r="F323" s="345">
        <v>0.23744456287960397</v>
      </c>
      <c r="G323" s="345">
        <v>0.2510053578811795</v>
      </c>
      <c r="H323" s="345">
        <v>0.25260384711971051</v>
      </c>
      <c r="I323" s="345">
        <v>0.2573693033096856</v>
      </c>
      <c r="J323" s="345">
        <v>0.25643408902348114</v>
      </c>
      <c r="K323" s="345">
        <v>0.25492018449894288</v>
      </c>
      <c r="L323" s="380">
        <v>0.25344451457787792</v>
      </c>
      <c r="M323" s="296">
        <f t="shared" si="149"/>
        <v>0.13552539636991168</v>
      </c>
      <c r="N323" s="298">
        <f t="shared" si="150"/>
        <v>0.10535787778690517</v>
      </c>
      <c r="O323" s="344">
        <v>2.3609901885289182E-5</v>
      </c>
      <c r="P323" s="345">
        <v>1.951746113283476E-3</v>
      </c>
      <c r="Q323" s="345">
        <v>3.7025991538411282E-3</v>
      </c>
      <c r="R323" s="345">
        <v>4.9375647461065196E-3</v>
      </c>
      <c r="S323" s="345">
        <v>5.101373645811349E-3</v>
      </c>
      <c r="T323" s="345">
        <v>5.1289678972414772E-3</v>
      </c>
      <c r="U323" s="345">
        <v>5.107114271272503E-3</v>
      </c>
      <c r="V323" s="345">
        <v>5.1183699866073056E-3</v>
      </c>
      <c r="W323" s="345">
        <v>5.0624582910324279E-3</v>
      </c>
      <c r="X323" s="345">
        <v>5.0319749548754789E-3</v>
      </c>
      <c r="Y323" s="380">
        <v>5.0014017750557183E-3</v>
      </c>
      <c r="Z323" s="296">
        <f t="shared" si="151"/>
        <v>1.7688534285220895E-3</v>
      </c>
      <c r="AA323" s="298">
        <f t="shared" si="152"/>
        <v>1.5509982514444139E-3</v>
      </c>
      <c r="AB323" s="948">
        <f t="array" ref="AB323">IF(AND($AD$281=TRUE,SUM(B323:L323)&gt;0),SUMPRODUCT((((TRANSPOSE(Cls2CentDailyRng)&lt;INDEX(CDRANGE_CLS2,$A323-$A$286+1,AD$282))*TRANSPOSE(Cls2CentDailyRng)+(TRANSPOSE(Cls2CentDailyRng)&gt;INDEX(CDRANGE_CLS2,$A323-$A$286+1,AD$282))*INDEX(CDRANGE_CLS2,$A323-$A$286+1,AD$282))/TRANSPOSE(Cls2CentDailyRng)),B323:L323,TRANSPOSE(Cls2CentVMTShr))/SUMPRODUCT(B323:L323,TRANSPOSE(Cls2CentVMTShr)),0)</f>
        <v>0</v>
      </c>
      <c r="AC323" s="949">
        <f t="array" ref="AC323">IF(AND($AD$281=TRUE,SUM(O323:Y323)&gt;0),SUMPRODUCT((((TRANSPOSE(Cls2NCentDailyRng)&lt;INDEX(CDRANGE_CLS2,$A323-$A$286+1,AD$282))*TRANSPOSE(Cls2NCentDailyRng)+(TRANSPOSE(Cls2NCentDailyRng)&gt;INDEX(CDRANGE_CLS2,$A323-$A$286+1,AD$282))*INDEX(CDRANGE_CLS2,$A323-$A$286+1,AD$282))/TRANSPOSE(Cls2NCentDailyRng)),O323:Y323,TRANSPOSE(Cls2NCentVMTShr))/SUMPRODUCT(O323:Y323,TRANSPOSE(Cls2NCentVMTShr)),0)</f>
        <v>0</v>
      </c>
      <c r="AD323" s="1226">
        <f t="shared" si="159"/>
        <v>0</v>
      </c>
      <c r="AE323" s="937">
        <f t="shared" si="156"/>
        <v>0.13552539636991168</v>
      </c>
      <c r="AF323" s="937">
        <f t="shared" si="157"/>
        <v>1.7688534285220895E-3</v>
      </c>
      <c r="AG323" s="937">
        <f t="shared" si="158"/>
        <v>0.13729424979843377</v>
      </c>
      <c r="AH323" s="1172">
        <f t="shared" si="154"/>
        <v>0.987116332758881</v>
      </c>
      <c r="AI323" s="937">
        <f t="shared" si="155"/>
        <v>1.2883667241118996E-2</v>
      </c>
    </row>
    <row r="324" spans="1:35" ht="15" thickBot="1" x14ac:dyDescent="0.25">
      <c r="A324" s="328">
        <v>2045</v>
      </c>
      <c r="B324" s="346">
        <v>0</v>
      </c>
      <c r="C324" s="347">
        <v>0.12936748257397174</v>
      </c>
      <c r="D324" s="347">
        <v>0.21476249879101952</v>
      </c>
      <c r="E324" s="347">
        <v>0.26436505696200119</v>
      </c>
      <c r="F324" s="347">
        <v>0.26154197621670439</v>
      </c>
      <c r="G324" s="347">
        <v>0.26229226584372439</v>
      </c>
      <c r="H324" s="347">
        <v>0.26256866391380118</v>
      </c>
      <c r="I324" s="347">
        <v>0.2588483717079168</v>
      </c>
      <c r="J324" s="347">
        <v>0.25624041232723066</v>
      </c>
      <c r="K324" s="347">
        <v>0.25489168612818397</v>
      </c>
      <c r="L324" s="381">
        <v>0.25265136591768439</v>
      </c>
      <c r="M324" s="310">
        <f t="shared" si="149"/>
        <v>0.15127703311425775</v>
      </c>
      <c r="N324" s="312">
        <f t="shared" si="150"/>
        <v>0.12772779261073441</v>
      </c>
      <c r="O324" s="346">
        <v>1.1468302427560554E-3</v>
      </c>
      <c r="P324" s="347">
        <v>4.206343713504682E-3</v>
      </c>
      <c r="Q324" s="347">
        <v>5.778534076570311E-3</v>
      </c>
      <c r="R324" s="347">
        <v>7.9979771237258229E-3</v>
      </c>
      <c r="S324" s="347">
        <v>8.1930220720691505E-3</v>
      </c>
      <c r="T324" s="347">
        <v>8.2534302930645873E-3</v>
      </c>
      <c r="U324" s="347">
        <v>8.2410885603556947E-3</v>
      </c>
      <c r="V324" s="347">
        <v>8.1996328091682794E-3</v>
      </c>
      <c r="W324" s="347">
        <v>8.0979903607219846E-3</v>
      </c>
      <c r="X324" s="347">
        <v>8.0572502500548364E-3</v>
      </c>
      <c r="Y324" s="381">
        <v>8.0168071892867693E-3</v>
      </c>
      <c r="Z324" s="310">
        <f t="shared" si="151"/>
        <v>2.8783795304963351E-3</v>
      </c>
      <c r="AA324" s="312">
        <f t="shared" si="152"/>
        <v>2.6093493974517598E-3</v>
      </c>
      <c r="AB324" s="948">
        <f t="array" ref="AB324">IF(AND($AD$281=TRUE,SUM(B324:L324)&gt;0),SUMPRODUCT((((TRANSPOSE(Cls2CentDailyRng)&lt;INDEX(CDRANGE_CLS2,$A324-$A$286+1,AD$282))*TRANSPOSE(Cls2CentDailyRng)+(TRANSPOSE(Cls2CentDailyRng)&gt;INDEX(CDRANGE_CLS2,$A324-$A$286+1,AD$282))*INDEX(CDRANGE_CLS2,$A324-$A$286+1,AD$282))/TRANSPOSE(Cls2CentDailyRng)),B324:L324,TRANSPOSE(Cls2CentVMTShr))/SUMPRODUCT(B324:L324,TRANSPOSE(Cls2CentVMTShr)),0)</f>
        <v>0</v>
      </c>
      <c r="AC324" s="949">
        <f t="array" ref="AC324">IF(AND($AD$281=TRUE,SUM(O324:Y324)&gt;0),SUMPRODUCT((((TRANSPOSE(Cls2NCentDailyRng)&lt;INDEX(CDRANGE_CLS2,$A324-$A$286+1,AD$282))*TRANSPOSE(Cls2NCentDailyRng)+(TRANSPOSE(Cls2NCentDailyRng)&gt;INDEX(CDRANGE_CLS2,$A324-$A$286+1,AD$282))*INDEX(CDRANGE_CLS2,$A324-$A$286+1,AD$282))/TRANSPOSE(Cls2NCentDailyRng)),O324:Y324,TRANSPOSE(Cls2NCentVMTShr))/SUMPRODUCT(O324:Y324,TRANSPOSE(Cls2NCentVMTShr)),0)</f>
        <v>0</v>
      </c>
      <c r="AD324" s="1226">
        <f t="shared" si="159"/>
        <v>0</v>
      </c>
      <c r="AE324" s="937">
        <f t="shared" si="156"/>
        <v>0.15127703311425775</v>
      </c>
      <c r="AF324" s="937">
        <f t="shared" si="157"/>
        <v>2.8783795304963351E-3</v>
      </c>
      <c r="AG324" s="937">
        <f t="shared" si="158"/>
        <v>0.15415541264475408</v>
      </c>
      <c r="AH324" s="1172">
        <f t="shared" si="154"/>
        <v>0.98132806703888198</v>
      </c>
      <c r="AI324" s="937">
        <f t="shared" si="155"/>
        <v>1.8671932961118031E-2</v>
      </c>
    </row>
    <row r="325" spans="1:35" x14ac:dyDescent="0.2">
      <c r="A325" s="329">
        <v>2046</v>
      </c>
      <c r="B325" s="342">
        <v>4.1719521272401568E-4</v>
      </c>
      <c r="C325" s="343">
        <v>0.18134679912774282</v>
      </c>
      <c r="D325" s="343">
        <v>0.22660250502943458</v>
      </c>
      <c r="E325" s="343">
        <v>0.27125097050639585</v>
      </c>
      <c r="F325" s="343">
        <v>0.27600577446972741</v>
      </c>
      <c r="G325" s="343">
        <v>0.26618636804419771</v>
      </c>
      <c r="H325" s="343">
        <v>0.26114158258038533</v>
      </c>
      <c r="I325" s="343">
        <v>0.25773529519297744</v>
      </c>
      <c r="J325" s="343">
        <v>0.25530844271445058</v>
      </c>
      <c r="K325" s="343">
        <v>0.25414427664090844</v>
      </c>
      <c r="L325" s="379">
        <v>0.25279993923924821</v>
      </c>
      <c r="M325" s="282">
        <f t="shared" si="149"/>
        <v>0.15625280848821377</v>
      </c>
      <c r="N325" s="284">
        <f t="shared" si="150"/>
        <v>0.13576646257415856</v>
      </c>
      <c r="O325" s="342">
        <v>3.7142705793379756E-3</v>
      </c>
      <c r="P325" s="343">
        <v>9.1336209256443722E-3</v>
      </c>
      <c r="Q325" s="343">
        <v>8.6156852834560101E-3</v>
      </c>
      <c r="R325" s="343">
        <v>1.2266157267769653E-2</v>
      </c>
      <c r="S325" s="343">
        <v>1.2675193247913958E-2</v>
      </c>
      <c r="T325" s="343">
        <v>1.2688405559420135E-2</v>
      </c>
      <c r="U325" s="343">
        <v>1.2639923021299916E-2</v>
      </c>
      <c r="V325" s="343">
        <v>1.2588183153829377E-2</v>
      </c>
      <c r="W325" s="343">
        <v>1.2456420430584779E-2</v>
      </c>
      <c r="X325" s="343">
        <v>1.2469623473502413E-2</v>
      </c>
      <c r="Y325" s="379">
        <v>1.2359417113203304E-2</v>
      </c>
      <c r="Z325" s="282">
        <f t="shared" si="151"/>
        <v>4.5078615157715142E-3</v>
      </c>
      <c r="AA325" s="284">
        <f t="shared" si="152"/>
        <v>4.2669684163656055E-3</v>
      </c>
      <c r="AB325" s="948">
        <f t="array" ref="AB325">IF(AND($AD$281=TRUE,SUM(B325:L325)&gt;0),SUMPRODUCT((((TRANSPOSE(Cls2CentDailyRng)&lt;INDEX(CDRANGE_CLS2,$A325-$A$286+1,AD$282))*TRANSPOSE(Cls2CentDailyRng)+(TRANSPOSE(Cls2CentDailyRng)&gt;INDEX(CDRANGE_CLS2,$A325-$A$286+1,AD$282))*INDEX(CDRANGE_CLS2,$A325-$A$286+1,AD$282))/TRANSPOSE(Cls2CentDailyRng)),B325:L325,TRANSPOSE(Cls2CentVMTShr))/SUMPRODUCT(B325:L325,TRANSPOSE(Cls2CentVMTShr)),0)</f>
        <v>0</v>
      </c>
      <c r="AC325" s="949">
        <f t="array" ref="AC325">IF(AND($AD$281=TRUE,SUM(O325:Y325)&gt;0),SUMPRODUCT((((TRANSPOSE(Cls2NCentDailyRng)&lt;INDEX(CDRANGE_CLS2,$A325-$A$286+1,AD$282))*TRANSPOSE(Cls2NCentDailyRng)+(TRANSPOSE(Cls2NCentDailyRng)&gt;INDEX(CDRANGE_CLS2,$A325-$A$286+1,AD$282))*INDEX(CDRANGE_CLS2,$A325-$A$286+1,AD$282))/TRANSPOSE(Cls2NCentDailyRng)),O325:Y325,TRANSPOSE(Cls2NCentVMTShr))/SUMPRODUCT(O325:Y325,TRANSPOSE(Cls2NCentVMTShr)),0)</f>
        <v>0</v>
      </c>
      <c r="AD325" s="1226">
        <f t="shared" si="159"/>
        <v>0</v>
      </c>
      <c r="AE325" s="937">
        <f t="shared" si="156"/>
        <v>0.15625280848821377</v>
      </c>
      <c r="AF325" s="937">
        <f t="shared" si="157"/>
        <v>4.5078615157715142E-3</v>
      </c>
      <c r="AG325" s="937">
        <f t="shared" si="158"/>
        <v>0.16076067000398528</v>
      </c>
      <c r="AH325" s="1172">
        <f t="shared" si="154"/>
        <v>0.97195917685799793</v>
      </c>
      <c r="AI325" s="937">
        <f t="shared" si="155"/>
        <v>2.8040823142002107E-2</v>
      </c>
    </row>
    <row r="326" spans="1:35" x14ac:dyDescent="0.2">
      <c r="A326" s="330">
        <v>2047</v>
      </c>
      <c r="B326" s="344">
        <v>4.6724986573000631E-3</v>
      </c>
      <c r="C326" s="345">
        <v>0.23699547812495622</v>
      </c>
      <c r="D326" s="345">
        <v>0.25306494717164513</v>
      </c>
      <c r="E326" s="345">
        <v>0.28631894424003723</v>
      </c>
      <c r="F326" s="345">
        <v>0.27567728616114689</v>
      </c>
      <c r="G326" s="345">
        <v>0.26829066153441267</v>
      </c>
      <c r="H326" s="345">
        <v>0.26130450712396863</v>
      </c>
      <c r="I326" s="345">
        <v>0.25812170136331841</v>
      </c>
      <c r="J326" s="345">
        <v>0.25569117651275897</v>
      </c>
      <c r="K326" s="345">
        <v>0.25452484081674465</v>
      </c>
      <c r="L326" s="380">
        <v>0.25240181651707438</v>
      </c>
      <c r="M326" s="296">
        <f t="shared" si="149"/>
        <v>0.1612317242706432</v>
      </c>
      <c r="N326" s="298">
        <f t="shared" si="150"/>
        <v>0.14484147610820597</v>
      </c>
      <c r="O326" s="344">
        <v>1.1878730839740859E-2</v>
      </c>
      <c r="P326" s="345">
        <v>1.5523753716775364E-2</v>
      </c>
      <c r="Q326" s="345">
        <v>1.2727244229777097E-2</v>
      </c>
      <c r="R326" s="345">
        <v>1.8525781109138283E-2</v>
      </c>
      <c r="S326" s="345">
        <v>1.8612375204771422E-2</v>
      </c>
      <c r="T326" s="345">
        <v>1.8737078851304993E-2</v>
      </c>
      <c r="U326" s="345">
        <v>1.868445498735978E-2</v>
      </c>
      <c r="V326" s="345">
        <v>1.8627252930850595E-2</v>
      </c>
      <c r="W326" s="345">
        <v>1.8564190612015228E-2</v>
      </c>
      <c r="X326" s="345">
        <v>1.8491743010073735E-2</v>
      </c>
      <c r="Y326" s="380">
        <v>1.8420814593937063E-2</v>
      </c>
      <c r="Z326" s="296">
        <f t="shared" si="151"/>
        <v>6.788917316221053E-3</v>
      </c>
      <c r="AA326" s="298">
        <f t="shared" si="152"/>
        <v>6.7555747202220889E-3</v>
      </c>
      <c r="AB326" s="948">
        <f t="array" ref="AB326">IF(AND($AD$281=TRUE,SUM(B326:L326)&gt;0),SUMPRODUCT((((TRANSPOSE(Cls2CentDailyRng)&lt;INDEX(CDRANGE_CLS2,$A326-$A$286+1,AD$282))*TRANSPOSE(Cls2CentDailyRng)+(TRANSPOSE(Cls2CentDailyRng)&gt;INDEX(CDRANGE_CLS2,$A326-$A$286+1,AD$282))*INDEX(CDRANGE_CLS2,$A326-$A$286+1,AD$282))/TRANSPOSE(Cls2CentDailyRng)),B326:L326,TRANSPOSE(Cls2CentVMTShr))/SUMPRODUCT(B326:L326,TRANSPOSE(Cls2CentVMTShr)),0)</f>
        <v>0</v>
      </c>
      <c r="AC326" s="949">
        <f t="array" ref="AC326">IF(AND($AD$281=TRUE,SUM(O326:Y326)&gt;0),SUMPRODUCT((((TRANSPOSE(Cls2NCentDailyRng)&lt;INDEX(CDRANGE_CLS2,$A326-$A$286+1,AD$282))*TRANSPOSE(Cls2NCentDailyRng)+(TRANSPOSE(Cls2NCentDailyRng)&gt;INDEX(CDRANGE_CLS2,$A326-$A$286+1,AD$282))*INDEX(CDRANGE_CLS2,$A326-$A$286+1,AD$282))/TRANSPOSE(Cls2NCentDailyRng)),O326:Y326,TRANSPOSE(Cls2NCentVMTShr))/SUMPRODUCT(O326:Y326,TRANSPOSE(Cls2NCentVMTShr)),0)</f>
        <v>0</v>
      </c>
      <c r="AD326" s="1226">
        <f t="shared" si="159"/>
        <v>0</v>
      </c>
      <c r="AE326" s="937">
        <f t="shared" si="156"/>
        <v>0.1612317242706432</v>
      </c>
      <c r="AF326" s="937">
        <f t="shared" si="157"/>
        <v>6.788917316221053E-3</v>
      </c>
      <c r="AG326" s="937">
        <f t="shared" si="158"/>
        <v>0.16802064158686425</v>
      </c>
      <c r="AH326" s="1172">
        <f t="shared" si="154"/>
        <v>0.95959474233580233</v>
      </c>
      <c r="AI326" s="937">
        <f t="shared" si="155"/>
        <v>4.0405257664197648E-2</v>
      </c>
    </row>
    <row r="327" spans="1:35" x14ac:dyDescent="0.2">
      <c r="A327" s="330">
        <v>2048</v>
      </c>
      <c r="B327" s="344">
        <v>2.3464137653381331E-2</v>
      </c>
      <c r="C327" s="345">
        <v>0.31106319987127401</v>
      </c>
      <c r="D327" s="345">
        <v>0.26756064543715896</v>
      </c>
      <c r="E327" s="345">
        <v>0.29181486641631738</v>
      </c>
      <c r="F327" s="345">
        <v>0.27762646727252832</v>
      </c>
      <c r="G327" s="345">
        <v>0.26823957844130569</v>
      </c>
      <c r="H327" s="345">
        <v>0.26009882919725791</v>
      </c>
      <c r="I327" s="345">
        <v>0.25710602813153249</v>
      </c>
      <c r="J327" s="345">
        <v>0.25487138792028663</v>
      </c>
      <c r="K327" s="345">
        <v>0.25390691380055613</v>
      </c>
      <c r="L327" s="380">
        <v>0.25274500542906014</v>
      </c>
      <c r="M327" s="296">
        <f t="shared" si="149"/>
        <v>0.16532115523201768</v>
      </c>
      <c r="N327" s="298">
        <f t="shared" si="150"/>
        <v>0.15416673757140878</v>
      </c>
      <c r="O327" s="344">
        <v>2.9614546561406371E-2</v>
      </c>
      <c r="P327" s="345">
        <v>2.1639007944373793E-2</v>
      </c>
      <c r="Q327" s="345">
        <v>1.6383970522102158E-2</v>
      </c>
      <c r="R327" s="345">
        <v>2.2195827879989204E-2</v>
      </c>
      <c r="S327" s="345">
        <v>2.2484729576648595E-2</v>
      </c>
      <c r="T327" s="345">
        <v>2.2569134887884756E-2</v>
      </c>
      <c r="U327" s="345">
        <v>2.2507432971885625E-2</v>
      </c>
      <c r="V327" s="345">
        <v>2.2439858270060564E-2</v>
      </c>
      <c r="W327" s="345">
        <v>2.225380096706054E-2</v>
      </c>
      <c r="X327" s="345">
        <v>2.2278155887505903E-2</v>
      </c>
      <c r="Y327" s="380">
        <v>2.2192988684667916E-2</v>
      </c>
      <c r="Z327" s="296">
        <f t="shared" si="151"/>
        <v>8.4239197309595344E-3</v>
      </c>
      <c r="AA327" s="298">
        <f t="shared" si="152"/>
        <v>9.1012412809865322E-3</v>
      </c>
      <c r="AB327" s="948">
        <f t="array" ref="AB327">IF(AND($AD$281=TRUE,SUM(B327:L327)&gt;0),SUMPRODUCT((((TRANSPOSE(Cls2CentDailyRng)&lt;INDEX(CDRANGE_CLS2,$A327-$A$286+1,AD$282))*TRANSPOSE(Cls2CentDailyRng)+(TRANSPOSE(Cls2CentDailyRng)&gt;INDEX(CDRANGE_CLS2,$A327-$A$286+1,AD$282))*INDEX(CDRANGE_CLS2,$A327-$A$286+1,AD$282))/TRANSPOSE(Cls2CentDailyRng)),B327:L327,TRANSPOSE(Cls2CentVMTShr))/SUMPRODUCT(B327:L327,TRANSPOSE(Cls2CentVMTShr)),0)</f>
        <v>0</v>
      </c>
      <c r="AC327" s="949">
        <f t="array" ref="AC327">IF(AND($AD$281=TRUE,SUM(O327:Y327)&gt;0),SUMPRODUCT((((TRANSPOSE(Cls2NCentDailyRng)&lt;INDEX(CDRANGE_CLS2,$A327-$A$286+1,AD$282))*TRANSPOSE(Cls2NCentDailyRng)+(TRANSPOSE(Cls2NCentDailyRng)&gt;INDEX(CDRANGE_CLS2,$A327-$A$286+1,AD$282))*INDEX(CDRANGE_CLS2,$A327-$A$286+1,AD$282))/TRANSPOSE(Cls2NCentDailyRng)),O327:Y327,TRANSPOSE(Cls2NCentVMTShr))/SUMPRODUCT(O327:Y327,TRANSPOSE(Cls2NCentVMTShr)),0)</f>
        <v>0</v>
      </c>
      <c r="AD327" s="1226">
        <f t="shared" si="159"/>
        <v>0</v>
      </c>
      <c r="AE327" s="937">
        <f t="shared" si="156"/>
        <v>0.16532115523201768</v>
      </c>
      <c r="AF327" s="937">
        <f t="shared" si="157"/>
        <v>8.4239197309595344E-3</v>
      </c>
      <c r="AG327" s="937">
        <f t="shared" si="158"/>
        <v>0.17374507496297723</v>
      </c>
      <c r="AH327" s="1172">
        <f t="shared" si="154"/>
        <v>0.95151563442730924</v>
      </c>
      <c r="AI327" s="937">
        <f t="shared" si="155"/>
        <v>4.8484365572690681E-2</v>
      </c>
    </row>
    <row r="328" spans="1:35" x14ac:dyDescent="0.2">
      <c r="A328" s="330">
        <v>2049</v>
      </c>
      <c r="B328" s="344">
        <v>7.2385177442702786E-2</v>
      </c>
      <c r="C328" s="345">
        <v>0.36754724825907598</v>
      </c>
      <c r="D328" s="345">
        <v>0.27575644876507249</v>
      </c>
      <c r="E328" s="345">
        <v>0.298317024885214</v>
      </c>
      <c r="F328" s="345">
        <v>0.27734252054651648</v>
      </c>
      <c r="G328" s="345">
        <v>0.26677627425471329</v>
      </c>
      <c r="H328" s="345">
        <v>0.26041759286176147</v>
      </c>
      <c r="I328" s="345">
        <v>0.25742121273399388</v>
      </c>
      <c r="J328" s="345">
        <v>0.25518378516888468</v>
      </c>
      <c r="K328" s="345">
        <v>0.25379500686588868</v>
      </c>
      <c r="L328" s="380">
        <v>0.2530542928224046</v>
      </c>
      <c r="M328" s="296">
        <f t="shared" si="149"/>
        <v>0.16858057962677167</v>
      </c>
      <c r="N328" s="298">
        <f t="shared" si="150"/>
        <v>0.16245530650180284</v>
      </c>
      <c r="O328" s="344">
        <v>6.6367682245331946E-2</v>
      </c>
      <c r="P328" s="345">
        <v>3.1838138874131963E-2</v>
      </c>
      <c r="Q328" s="345">
        <v>2.3204780517641743E-2</v>
      </c>
      <c r="R328" s="345">
        <v>3.1027375696424744E-2</v>
      </c>
      <c r="S328" s="345">
        <v>3.1424731714543352E-2</v>
      </c>
      <c r="T328" s="345">
        <v>3.1625468357962684E-2</v>
      </c>
      <c r="U328" s="345">
        <v>3.1574719687910126E-2</v>
      </c>
      <c r="V328" s="345">
        <v>3.1515946429322123E-2</v>
      </c>
      <c r="W328" s="345">
        <v>3.1447263443650675E-2</v>
      </c>
      <c r="X328" s="345">
        <v>3.1363067479185484E-2</v>
      </c>
      <c r="Y328" s="380">
        <v>3.1363067479185484E-2</v>
      </c>
      <c r="Z328" s="296">
        <f t="shared" si="151"/>
        <v>1.2057442212828671E-2</v>
      </c>
      <c r="AA328" s="298">
        <f t="shared" si="152"/>
        <v>1.4009028207018558E-2</v>
      </c>
      <c r="AB328" s="948">
        <f t="array" ref="AB328">IF(AND($AD$281=TRUE,SUM(B328:L328)&gt;0),SUMPRODUCT((((TRANSPOSE(Cls2CentDailyRng)&lt;INDEX(CDRANGE_CLS2,$A328-$A$286+1,AD$282))*TRANSPOSE(Cls2CentDailyRng)+(TRANSPOSE(Cls2CentDailyRng)&gt;INDEX(CDRANGE_CLS2,$A328-$A$286+1,AD$282))*INDEX(CDRANGE_CLS2,$A328-$A$286+1,AD$282))/TRANSPOSE(Cls2CentDailyRng)),B328:L328,TRANSPOSE(Cls2CentVMTShr))/SUMPRODUCT(B328:L328,TRANSPOSE(Cls2CentVMTShr)),0)</f>
        <v>0</v>
      </c>
      <c r="AC328" s="949">
        <f t="array" ref="AC328">IF(AND($AD$281=TRUE,SUM(O328:Y328)&gt;0),SUMPRODUCT((((TRANSPOSE(Cls2NCentDailyRng)&lt;INDEX(CDRANGE_CLS2,$A328-$A$286+1,AD$282))*TRANSPOSE(Cls2NCentDailyRng)+(TRANSPOSE(Cls2NCentDailyRng)&gt;INDEX(CDRANGE_CLS2,$A328-$A$286+1,AD$282))*INDEX(CDRANGE_CLS2,$A328-$A$286+1,AD$282))/TRANSPOSE(Cls2NCentDailyRng)),O328:Y328,TRANSPOSE(Cls2NCentVMTShr))/SUMPRODUCT(O328:Y328,TRANSPOSE(Cls2NCentVMTShr)),0)</f>
        <v>0</v>
      </c>
      <c r="AD328" s="1226">
        <f t="shared" si="159"/>
        <v>0</v>
      </c>
      <c r="AE328" s="937">
        <f t="shared" si="156"/>
        <v>0.16858057962677167</v>
      </c>
      <c r="AF328" s="937">
        <f t="shared" si="157"/>
        <v>1.2057442212828671E-2</v>
      </c>
      <c r="AG328" s="937">
        <f t="shared" si="158"/>
        <v>0.18063802183960034</v>
      </c>
      <c r="AH328" s="1172">
        <f t="shared" si="154"/>
        <v>0.93325080683437056</v>
      </c>
      <c r="AI328" s="937">
        <f t="shared" si="155"/>
        <v>6.6749193165629425E-2</v>
      </c>
    </row>
    <row r="329" spans="1:35" ht="15" thickBot="1" x14ac:dyDescent="0.25">
      <c r="A329" s="328">
        <v>2050</v>
      </c>
      <c r="B329" s="346">
        <v>0.16887158056055518</v>
      </c>
      <c r="C329" s="347">
        <v>0.42117211744637945</v>
      </c>
      <c r="D329" s="347">
        <v>0.28755699083476577</v>
      </c>
      <c r="E329" s="347">
        <v>0.29999718197621761</v>
      </c>
      <c r="F329" s="347">
        <v>0.27764267140157556</v>
      </c>
      <c r="G329" s="347">
        <v>0.26706595276622219</v>
      </c>
      <c r="H329" s="347">
        <v>0.26070147609967864</v>
      </c>
      <c r="I329" s="347">
        <v>0.25652008652376201</v>
      </c>
      <c r="J329" s="347">
        <v>0.25449442154407148</v>
      </c>
      <c r="K329" s="347">
        <v>0.25407137618000386</v>
      </c>
      <c r="L329" s="381">
        <v>0.2533295529601749</v>
      </c>
      <c r="M329" s="310">
        <f t="shared" si="149"/>
        <v>0.17193235059419881</v>
      </c>
      <c r="N329" s="312">
        <f t="shared" si="150"/>
        <v>0.17234583280725427</v>
      </c>
      <c r="O329" s="346">
        <v>0.12007777113079528</v>
      </c>
      <c r="P329" s="347">
        <v>3.7109144267757958E-2</v>
      </c>
      <c r="Q329" s="347">
        <v>2.8207200970111569E-2</v>
      </c>
      <c r="R329" s="347">
        <v>3.6382282396314379E-2</v>
      </c>
      <c r="S329" s="347">
        <v>3.686916050353431E-2</v>
      </c>
      <c r="T329" s="347">
        <v>3.7119044154945262E-2</v>
      </c>
      <c r="U329" s="347">
        <v>3.706330052641927E-2</v>
      </c>
      <c r="V329" s="347">
        <v>3.6997301213068878E-2</v>
      </c>
      <c r="W329" s="347">
        <v>3.6918809502011513E-2</v>
      </c>
      <c r="X329" s="347">
        <v>3.6821158184697465E-2</v>
      </c>
      <c r="Y329" s="381">
        <v>3.6728394851719783E-2</v>
      </c>
      <c r="Z329" s="310">
        <f t="shared" si="151"/>
        <v>1.4523766436330255E-2</v>
      </c>
      <c r="AA329" s="312">
        <f t="shared" si="152"/>
        <v>1.8424519052455842E-2</v>
      </c>
      <c r="AB329" s="950">
        <f t="array" ref="AB329">IF(AND($AD$281=TRUE,SUM(B329:L329)&gt;0),SUMPRODUCT((((TRANSPOSE(Cls2CentDailyRng)&lt;INDEX(CDRANGE_CLS2,$A329-$A$286+1,AD$282))*TRANSPOSE(Cls2CentDailyRng)+(TRANSPOSE(Cls2CentDailyRng)&gt;INDEX(CDRANGE_CLS2,$A329-$A$286+1,AD$282))*INDEX(CDRANGE_CLS2,$A329-$A$286+1,AD$282))/TRANSPOSE(Cls2CentDailyRng)),B329:L329,TRANSPOSE(Cls2CentVMTShr))/SUMPRODUCT(B329:L329,TRANSPOSE(Cls2CentVMTShr)),0)</f>
        <v>0</v>
      </c>
      <c r="AC329" s="951">
        <f t="array" ref="AC329">IF(AND($AD$281=TRUE,SUM(O329:Y329)&gt;0),SUMPRODUCT((((TRANSPOSE(Cls2NCentDailyRng)&lt;INDEX(CDRANGE_CLS2,$A329-$A$286+1,AD$282))*TRANSPOSE(Cls2NCentDailyRng)+(TRANSPOSE(Cls2NCentDailyRng)&gt;INDEX(CDRANGE_CLS2,$A329-$A$286+1,AD$282))*INDEX(CDRANGE_CLS2,$A329-$A$286+1,AD$282))/TRANSPOSE(Cls2NCentDailyRng)),O329:Y329,TRANSPOSE(Cls2NCentVMTShr))/SUMPRODUCT(O329:Y329,TRANSPOSE(Cls2NCentVMTShr)),0)</f>
        <v>0</v>
      </c>
      <c r="AD329" s="1227">
        <f t="shared" si="159"/>
        <v>0</v>
      </c>
      <c r="AE329" s="937">
        <f t="shared" ref="AE329" si="160">SUMPRODUCT($B$74:$L$74,B329:L329)</f>
        <v>0.17193235059419881</v>
      </c>
      <c r="AF329" s="937">
        <f t="shared" ref="AF329" si="161">SUMPRODUCT($O$74:$Y$74,O329:Y329)</f>
        <v>1.4523766436330255E-2</v>
      </c>
      <c r="AG329" s="937">
        <f t="shared" ref="AG329" si="162">SUM(AE329:AF329)</f>
        <v>0.18645611703052906</v>
      </c>
      <c r="AH329" s="1172">
        <f t="shared" ref="AH329" si="163">IF(AG329&gt;0,AE329/AG329,0)</f>
        <v>0.92210624854988144</v>
      </c>
      <c r="AI329" s="937">
        <f t="shared" ref="AI329" si="164">IF(AG329&gt;0,AF329/AG329,0)</f>
        <v>7.7893751450118592E-2</v>
      </c>
    </row>
    <row r="330" spans="1:35" x14ac:dyDescent="0.2">
      <c r="B330" s="227" t="str">
        <f>B$120</f>
        <v>Output generated: 7/21/2020 15:48</v>
      </c>
      <c r="O330" s="227" t="str">
        <f>O$120</f>
        <v>Output generated: 7/21/2020 15:48</v>
      </c>
    </row>
  </sheetData>
  <mergeCells count="47">
    <mergeCell ref="B71:L71"/>
    <mergeCell ref="O71:Y71"/>
    <mergeCell ref="B122:N122"/>
    <mergeCell ref="O122:AA122"/>
    <mergeCell ref="B5:C5"/>
    <mergeCell ref="B3:C3"/>
    <mergeCell ref="L3:O3"/>
    <mergeCell ref="B4:C4"/>
    <mergeCell ref="L4:O4"/>
    <mergeCell ref="L5:O5"/>
    <mergeCell ref="B280:N280"/>
    <mergeCell ref="O280:AA280"/>
    <mergeCell ref="N19:S19"/>
    <mergeCell ref="B19:G19"/>
    <mergeCell ref="B6:C6"/>
    <mergeCell ref="L9:M9"/>
    <mergeCell ref="N9:Q9"/>
    <mergeCell ref="H19:M19"/>
    <mergeCell ref="B175:L175"/>
    <mergeCell ref="O175:Y175"/>
    <mergeCell ref="B123:L123"/>
    <mergeCell ref="O123:Y123"/>
    <mergeCell ref="B174:N174"/>
    <mergeCell ref="O174:AA174"/>
    <mergeCell ref="B70:N70"/>
    <mergeCell ref="O70:AA70"/>
    <mergeCell ref="AX19:BB19"/>
    <mergeCell ref="AS19:AW19"/>
    <mergeCell ref="AN19:AR19"/>
    <mergeCell ref="BC19:BH19"/>
    <mergeCell ref="AI19:AM19"/>
    <mergeCell ref="AB231:AD231"/>
    <mergeCell ref="AB284:AD284"/>
    <mergeCell ref="J9:K9"/>
    <mergeCell ref="T21:X21"/>
    <mergeCell ref="AB178:AD178"/>
    <mergeCell ref="AB126:AD126"/>
    <mergeCell ref="AB74:AD74"/>
    <mergeCell ref="AD19:AH19"/>
    <mergeCell ref="Y19:AC19"/>
    <mergeCell ref="T19:X19"/>
    <mergeCell ref="B281:L281"/>
    <mergeCell ref="O281:Y281"/>
    <mergeCell ref="B227:N227"/>
    <mergeCell ref="O227:AA227"/>
    <mergeCell ref="B228:L228"/>
    <mergeCell ref="O228:Y228"/>
  </mergeCells>
  <phoneticPr fontId="59" type="noConversion"/>
  <conditionalFormatting sqref="Q20:Q67">
    <cfRule type="expression" dxfId="49" priority="19">
      <formula>$C$14="not used"</formula>
    </cfRule>
  </conditionalFormatting>
  <conditionalFormatting sqref="F68 R20:R67">
    <cfRule type="expression" dxfId="48" priority="18">
      <formula>$C$15 = "not used"</formula>
    </cfRule>
  </conditionalFormatting>
  <conditionalFormatting sqref="G20 S20:S67 X20 AC20:AC67 AH20:AH67 AM20:AM67 AR20:AR23 BB20:BB67 BH20:BH67 M20 AW20:AW67 M24:M67 G24:G67 X22:X67">
    <cfRule type="expression" dxfId="47" priority="17">
      <formula>$C$16="not used"</formula>
    </cfRule>
  </conditionalFormatting>
  <conditionalFormatting sqref="F20 AG20:AG67 AL20:AL67 AQ20:AQ23 BA20:BA67 BG20:BG67 L20 AV20:AV67 L24:L67 F24:F67">
    <cfRule type="expression" dxfId="46" priority="16">
      <formula>$C$15="not used"</formula>
    </cfRule>
  </conditionalFormatting>
  <conditionalFormatting sqref="Q20:Q67 V20 AA20:AA67 AF20:AF67 AK20:AK67 AP20:AP23 AZ20:AZ67 BF20:BF67 AU20:AU67 K20:K67 E20:E67 V22:V67">
    <cfRule type="expression" dxfId="45" priority="15">
      <formula>$C$14 = "not used"</formula>
    </cfRule>
  </conditionalFormatting>
  <conditionalFormatting sqref="L20">
    <cfRule type="expression" dxfId="44" priority="14">
      <formula>$C$17="not used"</formula>
    </cfRule>
  </conditionalFormatting>
  <conditionalFormatting sqref="M20">
    <cfRule type="expression" dxfId="43" priority="13">
      <formula>$C$18="not used"</formula>
    </cfRule>
  </conditionalFormatting>
  <conditionalFormatting sqref="L20">
    <cfRule type="expression" dxfId="42" priority="12">
      <formula>$C$17="not used"</formula>
    </cfRule>
  </conditionalFormatting>
  <conditionalFormatting sqref="M20">
    <cfRule type="expression" dxfId="41" priority="11">
      <formula>$C$18="not used"</formula>
    </cfRule>
  </conditionalFormatting>
  <conditionalFormatting sqref="AQ24:AQ67">
    <cfRule type="expression" dxfId="40" priority="3">
      <formula>$C$15="not used"</formula>
    </cfRule>
  </conditionalFormatting>
  <conditionalFormatting sqref="AR24:AR67">
    <cfRule type="expression" dxfId="39" priority="2">
      <formula>$C$16="not used"</formula>
    </cfRule>
  </conditionalFormatting>
  <conditionalFormatting sqref="AP24:AP67">
    <cfRule type="expression" dxfId="38" priority="1">
      <formula>$C$14="not used"</formula>
    </cfRule>
  </conditionalFormatting>
  <dataValidations disablePrompts="1" count="1">
    <dataValidation type="list" allowBlank="1" showInputMessage="1" showErrorMessage="1" sqref="E17" xr:uid="{00000000-0002-0000-0700-000000000000}">
      <formula1>Fuels</formula1>
    </dataValidation>
  </dataValidations>
  <pageMargins left="0.5" right="0.5" top="0.5" bottom="0.5" header="0.3" footer="0.3"/>
  <pageSetup scale="55" orientation="landscape" r:id="rId1"/>
  <headerFooter alignWithMargins="0"/>
  <rowBreaks count="3" manualBreakCount="3">
    <brk id="68" max="16383" man="1"/>
    <brk id="120" max="16383" man="1"/>
    <brk id="172" max="16383" man="1"/>
  </rowBreaks>
  <colBreaks count="1" manualBreakCount="1">
    <brk id="28" max="1048575" man="1"/>
  </colBreaks>
  <legacyDrawing r:id="rId2"/>
  <extLst>
    <ext xmlns:x14="http://schemas.microsoft.com/office/spreadsheetml/2009/9/main" uri="{78C0D931-6437-407d-A8EE-F0AAD7539E65}">
      <x14:conditionalFormattings>
        <x14:conditionalFormatting xmlns:xm="http://schemas.microsoft.com/office/excel/2006/main">
          <x14:cfRule type="expression" priority="8" id="{20A0BC39-8312-464C-8972-57F10DDBA2C0}">
            <xm:f>'7&amp;8 Sleep'!$C$15="not used"</xm:f>
            <x14:dxf>
              <font>
                <color theme="0" tint="-0.24994659260841701"/>
              </font>
            </x14:dxf>
          </x14:cfRule>
          <xm:sqref>F20</xm:sqref>
        </x14:conditionalFormatting>
        <x14:conditionalFormatting xmlns:xm="http://schemas.microsoft.com/office/excel/2006/main">
          <x14:cfRule type="expression" priority="7" id="{1E6260AE-85E2-42B4-B065-D1AE529D01D9}">
            <xm:f>'7&amp;8 Sleep'!$C$16="not used"</xm:f>
            <x14:dxf>
              <font>
                <color theme="0" tint="-0.24994659260841701"/>
              </font>
            </x14:dxf>
          </x14:cfRule>
          <xm:sqref>G20</xm:sqref>
        </x14:conditionalFormatting>
        <x14:conditionalFormatting xmlns:xm="http://schemas.microsoft.com/office/excel/2006/main">
          <x14:cfRule type="expression" priority="6" id="{1667CDB1-6183-4D77-BEC0-17450DE02006}">
            <xm:f>'7&amp;8 Sleep'!$C$15="not used"</xm:f>
            <x14:dxf>
              <font>
                <color theme="0" tint="-0.24994659260841701"/>
              </font>
            </x14:dxf>
          </x14:cfRule>
          <xm:sqref>F20</xm:sqref>
        </x14:conditionalFormatting>
        <x14:conditionalFormatting xmlns:xm="http://schemas.microsoft.com/office/excel/2006/main">
          <x14:cfRule type="expression" priority="5" id="{2ED3E8CA-FF3C-4AF5-8D5F-B6BB86ABFF6D}">
            <xm:f>'7&amp;8 Sleep'!$C$16="not used"</xm:f>
            <x14:dxf>
              <font>
                <color theme="0" tint="-0.24994659260841701"/>
              </font>
            </x14:dxf>
          </x14:cfRule>
          <xm:sqref>G20</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CalcCls3">
    <tabColor indexed="48"/>
  </sheetPr>
  <dimension ref="A1:BL330"/>
  <sheetViews>
    <sheetView showZeros="0" topLeftCell="A4" zoomScale="80" zoomScaleNormal="80" workbookViewId="0">
      <selection activeCell="S10" sqref="S10"/>
    </sheetView>
  </sheetViews>
  <sheetFormatPr baseColWidth="10" defaultColWidth="8.5" defaultRowHeight="14" x14ac:dyDescent="0.2"/>
  <cols>
    <col min="1" max="1" width="6" style="227" customWidth="1"/>
    <col min="2" max="2" width="11.1640625" style="227" customWidth="1"/>
    <col min="3" max="3" width="12" style="227" customWidth="1"/>
    <col min="4" max="4" width="13.5" style="227" bestFit="1" customWidth="1"/>
    <col min="5" max="5" width="11" style="227" customWidth="1"/>
    <col min="6" max="6" width="13.5" style="227" bestFit="1" customWidth="1"/>
    <col min="7" max="7" width="10.83203125" style="227" customWidth="1"/>
    <col min="8" max="8" width="12.1640625" style="227" customWidth="1"/>
    <col min="9" max="9" width="11.6640625" style="227" customWidth="1"/>
    <col min="10" max="10" width="9.1640625" style="227" customWidth="1"/>
    <col min="11" max="11" width="8.5" style="227"/>
    <col min="12" max="12" width="12.33203125" style="227" customWidth="1"/>
    <col min="13" max="13" width="10" style="227" customWidth="1"/>
    <col min="14" max="14" width="11.5" style="227" customWidth="1"/>
    <col min="15" max="16" width="11.33203125" style="227" customWidth="1"/>
    <col min="17" max="17" width="10.33203125" style="227" customWidth="1"/>
    <col min="18" max="18" width="10.5" style="227" customWidth="1"/>
    <col min="19" max="20" width="9.83203125" style="227" customWidth="1"/>
    <col min="21" max="21" width="10.5" style="227" customWidth="1"/>
    <col min="22" max="22" width="8.5" style="227"/>
    <col min="23" max="23" width="10" style="227" customWidth="1"/>
    <col min="24" max="24" width="10.6640625" style="227" customWidth="1"/>
    <col min="25" max="25" width="9.6640625" style="227" customWidth="1"/>
    <col min="26" max="26" width="9.83203125" style="227" customWidth="1"/>
    <col min="27" max="27" width="11.33203125" style="227" customWidth="1"/>
    <col min="28" max="28" width="8.5" style="227"/>
    <col min="29" max="29" width="12" style="227" customWidth="1"/>
    <col min="30" max="33" width="8.5" style="227"/>
    <col min="34" max="34" width="9.5" style="227" customWidth="1"/>
    <col min="35" max="39" width="8.5" style="323"/>
    <col min="40" max="40" width="9.5" style="227" customWidth="1"/>
    <col min="41" max="41" width="9" style="227" customWidth="1"/>
    <col min="42" max="42" width="9.33203125" style="227" customWidth="1"/>
    <col min="43" max="43" width="9.5" style="227" customWidth="1"/>
    <col min="44" max="44" width="8.5" style="227"/>
    <col min="45" max="46" width="9" style="227" customWidth="1"/>
    <col min="47" max="47" width="8.5" style="227"/>
    <col min="48" max="48" width="9" style="227" customWidth="1"/>
    <col min="49" max="54" width="8.5" style="227"/>
    <col min="55" max="55" width="9.1640625" style="227" bestFit="1" customWidth="1"/>
    <col min="56" max="57" width="8.5" style="227"/>
    <col min="58" max="58" width="9.1640625" style="227" bestFit="1" customWidth="1"/>
    <col min="59" max="60" width="9.5" style="227" bestFit="1" customWidth="1"/>
    <col min="61" max="16384" width="8.5" style="227"/>
  </cols>
  <sheetData>
    <row r="1" spans="2:64" ht="16" x14ac:dyDescent="0.2">
      <c r="B1" s="54" t="s">
        <v>244</v>
      </c>
      <c r="C1" s="232"/>
      <c r="D1" s="232"/>
      <c r="E1" s="232"/>
      <c r="F1" s="232"/>
      <c r="L1" s="227" t="s">
        <v>204</v>
      </c>
      <c r="AI1" s="227"/>
      <c r="AJ1" s="227"/>
      <c r="AK1" s="227"/>
      <c r="AL1" s="227"/>
      <c r="AM1" s="227"/>
    </row>
    <row r="2" spans="2:64" x14ac:dyDescent="0.2">
      <c r="Y2" s="235"/>
      <c r="AI2" s="227"/>
      <c r="AJ2" s="227"/>
      <c r="AK2" s="227"/>
      <c r="AL2" s="227"/>
      <c r="AM2" s="227"/>
    </row>
    <row r="3" spans="2:64" x14ac:dyDescent="0.2">
      <c r="B3" s="1566" t="s">
        <v>53</v>
      </c>
      <c r="C3" s="1567"/>
      <c r="D3" s="236">
        <v>7.4999999999999997E-2</v>
      </c>
      <c r="F3"/>
      <c r="G3"/>
      <c r="H3"/>
      <c r="L3" s="227" t="s">
        <v>374</v>
      </c>
      <c r="N3" s="227" t="s">
        <v>127</v>
      </c>
      <c r="P3" s="1549" t="s">
        <v>204</v>
      </c>
      <c r="Q3" s="1550"/>
      <c r="R3" s="1550"/>
      <c r="S3" s="1550"/>
      <c r="T3" s="1550"/>
      <c r="U3" s="1551"/>
      <c r="Y3" s="216"/>
      <c r="AI3" s="227"/>
      <c r="AJ3" s="227"/>
      <c r="AK3" s="227"/>
      <c r="AL3" s="227"/>
      <c r="AM3" s="227"/>
    </row>
    <row r="4" spans="2:64" x14ac:dyDescent="0.2">
      <c r="B4" s="1566" t="s">
        <v>104</v>
      </c>
      <c r="C4" s="1567"/>
      <c r="D4" s="225" t="s">
        <v>111</v>
      </c>
      <c r="F4"/>
      <c r="G4"/>
      <c r="H4"/>
      <c r="N4" s="227" t="s">
        <v>126</v>
      </c>
      <c r="P4" s="1563">
        <v>44033.659004629626</v>
      </c>
      <c r="Q4" s="1550"/>
      <c r="R4" s="1550"/>
      <c r="S4" s="1550"/>
      <c r="T4" s="1550"/>
      <c r="U4" s="1551"/>
      <c r="V4" s="227" t="s">
        <v>186</v>
      </c>
      <c r="AI4" s="227"/>
      <c r="AJ4" s="227"/>
      <c r="AK4" s="227"/>
      <c r="AL4" s="227"/>
      <c r="AM4" s="227"/>
    </row>
    <row r="5" spans="2:64" x14ac:dyDescent="0.2">
      <c r="B5" s="1566" t="s">
        <v>118</v>
      </c>
      <c r="C5" s="1567"/>
      <c r="D5" s="225" t="s">
        <v>15</v>
      </c>
      <c r="F5"/>
      <c r="G5"/>
      <c r="H5"/>
      <c r="P5" s="1563">
        <v>44033.659004629626</v>
      </c>
      <c r="Q5" s="1550"/>
      <c r="R5" s="1550"/>
      <c r="S5" s="1550"/>
      <c r="T5" s="1550"/>
      <c r="U5" s="1551"/>
      <c r="V5" s="227" t="s">
        <v>15</v>
      </c>
      <c r="AI5" s="227"/>
      <c r="AJ5" s="227"/>
      <c r="AK5" s="227"/>
      <c r="AL5" s="227"/>
      <c r="AM5" s="227"/>
    </row>
    <row r="6" spans="2:64" x14ac:dyDescent="0.2">
      <c r="B6" s="1566" t="s">
        <v>68</v>
      </c>
      <c r="C6" s="1567"/>
      <c r="D6" s="238">
        <v>225000</v>
      </c>
      <c r="F6"/>
      <c r="G6"/>
      <c r="H6"/>
      <c r="AI6" s="227"/>
      <c r="AJ6" s="227"/>
      <c r="AK6" s="227"/>
      <c r="AL6" s="227"/>
      <c r="AM6" s="227"/>
    </row>
    <row r="7" spans="2:64" ht="6.75" customHeight="1" x14ac:dyDescent="0.2">
      <c r="Y7" s="239"/>
      <c r="AI7" s="227"/>
      <c r="AJ7" s="227"/>
      <c r="AK7" s="227"/>
      <c r="AL7" s="227"/>
      <c r="AM7" s="227"/>
    </row>
    <row r="8" spans="2:64" s="240" customFormat="1" ht="16" thickBot="1" x14ac:dyDescent="0.25">
      <c r="B8" s="23" t="s">
        <v>74</v>
      </c>
      <c r="C8" s="227"/>
      <c r="D8" s="227"/>
      <c r="E8" s="227"/>
      <c r="F8" s="227"/>
      <c r="G8" s="227"/>
      <c r="H8" s="227"/>
      <c r="I8" s="227"/>
      <c r="J8" s="227"/>
      <c r="K8" s="227"/>
      <c r="L8" s="227"/>
      <c r="M8" s="227"/>
      <c r="N8" s="227"/>
      <c r="O8" s="227"/>
      <c r="P8" s="227"/>
      <c r="Q8" s="227"/>
      <c r="R8" s="239"/>
      <c r="S8" s="239"/>
      <c r="T8" s="241"/>
      <c r="U8" s="242"/>
      <c r="AJ8" s="541"/>
      <c r="AK8" s="244"/>
      <c r="AL8" s="244"/>
      <c r="AM8" s="244"/>
      <c r="BI8" s="245"/>
      <c r="BJ8" s="245"/>
      <c r="BK8" s="245"/>
      <c r="BL8" s="245"/>
    </row>
    <row r="9" spans="2:64" s="1067" customFormat="1" ht="28.5" customHeight="1" x14ac:dyDescent="0.15">
      <c r="B9" s="1059"/>
      <c r="C9" s="1060"/>
      <c r="D9" s="1061"/>
      <c r="E9" s="1061"/>
      <c r="F9" s="1059"/>
      <c r="G9" s="1062"/>
      <c r="H9" s="1063"/>
      <c r="I9" s="1063"/>
      <c r="J9" s="1537" t="s">
        <v>76</v>
      </c>
      <c r="K9" s="1538"/>
      <c r="L9" s="1583" t="s">
        <v>83</v>
      </c>
      <c r="M9" s="1584"/>
      <c r="N9" s="1583" t="s">
        <v>109</v>
      </c>
      <c r="O9" s="1585"/>
      <c r="P9" s="1585"/>
      <c r="Q9" s="1584"/>
      <c r="R9" s="1064"/>
      <c r="S9" s="1065"/>
      <c r="T9" s="1066"/>
      <c r="AD9" s="1068"/>
      <c r="AG9" s="1069"/>
      <c r="AH9" s="1069"/>
      <c r="AI9" s="1069"/>
      <c r="AJ9" s="1070"/>
      <c r="BF9" s="1071"/>
      <c r="BG9" s="1071"/>
      <c r="BH9" s="1071"/>
      <c r="BI9" s="1071"/>
      <c r="BJ9" s="1071"/>
      <c r="BK9" s="1071"/>
    </row>
    <row r="10" spans="2:64" s="240" customFormat="1" ht="39" customHeight="1" thickBot="1" x14ac:dyDescent="0.25">
      <c r="B10" s="273"/>
      <c r="C10" s="608" t="s">
        <v>75</v>
      </c>
      <c r="D10" s="591"/>
      <c r="E10" s="591"/>
      <c r="F10" s="730" t="s">
        <v>211</v>
      </c>
      <c r="G10" s="731" t="s">
        <v>210</v>
      </c>
      <c r="H10" s="835" t="s">
        <v>264</v>
      </c>
      <c r="I10" s="740" t="s">
        <v>81</v>
      </c>
      <c r="J10" s="1113" t="s">
        <v>283</v>
      </c>
      <c r="K10" s="1114" t="s">
        <v>284</v>
      </c>
      <c r="L10" s="572" t="s">
        <v>113</v>
      </c>
      <c r="M10" s="573" t="s">
        <v>84</v>
      </c>
      <c r="N10" s="574" t="s">
        <v>95</v>
      </c>
      <c r="O10" s="573" t="s">
        <v>112</v>
      </c>
      <c r="P10" s="573" t="s">
        <v>120</v>
      </c>
      <c r="Q10" s="575" t="s">
        <v>108</v>
      </c>
      <c r="R10" s="242"/>
      <c r="AD10" s="784"/>
      <c r="AE10" s="541"/>
      <c r="AF10" s="244"/>
      <c r="BD10" s="828"/>
      <c r="BE10" s="245"/>
      <c r="BF10" s="245"/>
      <c r="BG10" s="245"/>
      <c r="BH10" s="245"/>
      <c r="BI10" s="245"/>
    </row>
    <row r="11" spans="2:64" s="240" customFormat="1" x14ac:dyDescent="0.2">
      <c r="B11" s="588" t="s">
        <v>69</v>
      </c>
      <c r="C11" s="582" t="str">
        <f t="shared" ref="C11:C16" si="0">INDEX(TECH_OPT_PARAMS_Cls3,MATCH($B11,TECH_OPT_ROWS_Cls3,0),MATCH(C$10,TECH_OPT_COLS_Cls3,0))</f>
        <v>Conventional Diesel ICE</v>
      </c>
      <c r="D11" s="583"/>
      <c r="E11" s="583"/>
      <c r="F11" s="582" t="str">
        <f t="shared" ref="F11:O16" si="1">INDEX(TECH_OPT_PARAMS_Cls3,MATCH($B11,TECH_OPT_ROWS_Cls3,0),MATCH(F$10,TECH_OPT_COLS_Cls3,0))</f>
        <v>Diesel</v>
      </c>
      <c r="G11" s="728" t="str">
        <f t="shared" si="1"/>
        <v>N/A</v>
      </c>
      <c r="H11" s="885" t="b">
        <f t="shared" si="1"/>
        <v>0</v>
      </c>
      <c r="I11" s="741">
        <f t="shared" si="1"/>
        <v>0</v>
      </c>
      <c r="J11" s="737">
        <f t="shared" si="1"/>
        <v>0</v>
      </c>
      <c r="K11" s="576">
        <f t="shared" si="1"/>
        <v>0</v>
      </c>
      <c r="L11" s="576">
        <f t="shared" si="1"/>
        <v>0</v>
      </c>
      <c r="M11" s="576">
        <f t="shared" si="1"/>
        <v>0</v>
      </c>
      <c r="N11" s="577">
        <f t="shared" si="1"/>
        <v>0</v>
      </c>
      <c r="O11" s="577">
        <f t="shared" si="1"/>
        <v>350</v>
      </c>
      <c r="P11" s="578">
        <f>$D$6*('Inputs 7&amp;8 Day'!$N8/('Inputs 7&amp;8 Day'!$O8*1000))/12</f>
        <v>0</v>
      </c>
      <c r="Q11" s="579"/>
      <c r="R11" s="242"/>
      <c r="Y11"/>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row>
    <row r="12" spans="2:64" s="240" customFormat="1" x14ac:dyDescent="0.2">
      <c r="B12" s="589" t="s">
        <v>65</v>
      </c>
      <c r="C12" s="584" t="str">
        <f t="shared" si="0"/>
        <v>Adv Conv</v>
      </c>
      <c r="D12" s="585"/>
      <c r="E12" s="585"/>
      <c r="F12" s="724" t="str">
        <f t="shared" si="1"/>
        <v>Diesel</v>
      </c>
      <c r="G12" s="725" t="str">
        <f t="shared" si="1"/>
        <v>N/A</v>
      </c>
      <c r="H12" s="886" t="b">
        <f t="shared" si="1"/>
        <v>0</v>
      </c>
      <c r="I12" s="742">
        <f t="shared" si="1"/>
        <v>2021</v>
      </c>
      <c r="J12" s="738">
        <f t="shared" si="1"/>
        <v>0</v>
      </c>
      <c r="K12" s="237">
        <f t="shared" si="1"/>
        <v>0.5</v>
      </c>
      <c r="L12" s="237">
        <f t="shared" si="1"/>
        <v>5000</v>
      </c>
      <c r="M12" s="237">
        <f t="shared" si="1"/>
        <v>100</v>
      </c>
      <c r="N12" s="237">
        <f t="shared" si="1"/>
        <v>0</v>
      </c>
      <c r="O12" s="237">
        <f t="shared" si="1"/>
        <v>350</v>
      </c>
      <c r="P12" s="258">
        <f>$D$6*('Inputs 7&amp;8 Day'!$N9/('Inputs 7&amp;8 Day'!$O9*1000))/12</f>
        <v>0</v>
      </c>
      <c r="Q12" s="259">
        <f>P$11-P12</f>
        <v>0</v>
      </c>
      <c r="R12" s="260"/>
      <c r="Y12"/>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row>
    <row r="13" spans="2:64" s="240" customFormat="1" x14ac:dyDescent="0.2">
      <c r="B13" s="589" t="s">
        <v>66</v>
      </c>
      <c r="C13" s="584" t="str">
        <f t="shared" si="0"/>
        <v>ISG</v>
      </c>
      <c r="D13" s="585"/>
      <c r="E13" s="585"/>
      <c r="F13" s="724" t="str">
        <f t="shared" si="1"/>
        <v>Diesel</v>
      </c>
      <c r="G13" s="725" t="str">
        <f t="shared" si="1"/>
        <v>N/A</v>
      </c>
      <c r="H13" s="886" t="b">
        <f t="shared" si="1"/>
        <v>0</v>
      </c>
      <c r="I13" s="742">
        <f t="shared" si="1"/>
        <v>2021</v>
      </c>
      <c r="J13" s="738">
        <f t="shared" si="1"/>
        <v>0</v>
      </c>
      <c r="K13" s="237">
        <f t="shared" si="1"/>
        <v>0.5</v>
      </c>
      <c r="L13" s="237">
        <f t="shared" si="1"/>
        <v>5000</v>
      </c>
      <c r="M13" s="237">
        <f t="shared" si="1"/>
        <v>100</v>
      </c>
      <c r="N13" s="237">
        <f t="shared" si="1"/>
        <v>0</v>
      </c>
      <c r="O13" s="237">
        <f t="shared" si="1"/>
        <v>350</v>
      </c>
      <c r="P13" s="258">
        <f>$D$6*('Inputs 7&amp;8 Day'!$N10/('Inputs 7&amp;8 Day'!$O10*1000))/12</f>
        <v>0</v>
      </c>
      <c r="Q13" s="259">
        <f>P$11-P13</f>
        <v>0</v>
      </c>
      <c r="R13" s="260"/>
      <c r="Y13"/>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row>
    <row r="14" spans="2:64" s="240" customFormat="1" x14ac:dyDescent="0.2">
      <c r="B14" s="589" t="s">
        <v>67</v>
      </c>
      <c r="C14" s="584" t="str">
        <f t="shared" si="0"/>
        <v>HEV</v>
      </c>
      <c r="D14" s="585"/>
      <c r="E14" s="585"/>
      <c r="F14" s="724" t="str">
        <f t="shared" si="1"/>
        <v>Diesel</v>
      </c>
      <c r="G14" s="725" t="str">
        <f t="shared" si="1"/>
        <v>N/A</v>
      </c>
      <c r="H14" s="886" t="b">
        <f t="shared" si="1"/>
        <v>0</v>
      </c>
      <c r="I14" s="742">
        <f t="shared" si="1"/>
        <v>2021</v>
      </c>
      <c r="J14" s="738">
        <f t="shared" si="1"/>
        <v>0</v>
      </c>
      <c r="K14" s="237">
        <f t="shared" si="1"/>
        <v>0.5</v>
      </c>
      <c r="L14" s="237">
        <f t="shared" si="1"/>
        <v>5000</v>
      </c>
      <c r="M14" s="237">
        <f t="shared" si="1"/>
        <v>100</v>
      </c>
      <c r="N14" s="237">
        <f t="shared" si="1"/>
        <v>0</v>
      </c>
      <c r="O14" s="237">
        <f t="shared" si="1"/>
        <v>350</v>
      </c>
      <c r="P14" s="708">
        <f>$D$6*('Inputs 7&amp;8 Day'!$N11/('Inputs 7&amp;8 Day'!$O11*1000))/12</f>
        <v>0</v>
      </c>
      <c r="Q14" s="709">
        <f t="shared" ref="Q14:Q16" si="2">P$11-P14</f>
        <v>0</v>
      </c>
      <c r="R14" s="260"/>
      <c r="Y14"/>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row>
    <row r="15" spans="2:64" s="240" customFormat="1" x14ac:dyDescent="0.2">
      <c r="B15" s="589" t="s">
        <v>205</v>
      </c>
      <c r="C15" s="586" t="str">
        <f t="shared" si="0"/>
        <v>PHEV</v>
      </c>
      <c r="D15" s="587"/>
      <c r="E15" s="587"/>
      <c r="F15" s="726" t="str">
        <f t="shared" si="1"/>
        <v>Diesel</v>
      </c>
      <c r="G15" s="727" t="str">
        <f t="shared" si="1"/>
        <v>Electricity</v>
      </c>
      <c r="H15" s="886" t="b">
        <f t="shared" si="1"/>
        <v>0</v>
      </c>
      <c r="I15" s="742">
        <f t="shared" si="1"/>
        <v>2021</v>
      </c>
      <c r="J15" s="738">
        <f t="shared" si="1"/>
        <v>0</v>
      </c>
      <c r="K15" s="237">
        <f t="shared" si="1"/>
        <v>0.5</v>
      </c>
      <c r="L15" s="237">
        <f t="shared" si="1"/>
        <v>5000</v>
      </c>
      <c r="M15" s="237">
        <f t="shared" si="1"/>
        <v>100</v>
      </c>
      <c r="N15" s="237">
        <f t="shared" si="1"/>
        <v>0</v>
      </c>
      <c r="O15" s="237">
        <f t="shared" si="1"/>
        <v>350</v>
      </c>
      <c r="P15" s="708">
        <f>$D$6*('Inputs 7&amp;8 Day'!$N12/('Inputs 7&amp;8 Day'!$O12*1000))/12</f>
        <v>0</v>
      </c>
      <c r="Q15" s="709">
        <f t="shared" si="2"/>
        <v>0</v>
      </c>
      <c r="R15" s="260"/>
      <c r="Y15"/>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row>
    <row r="16" spans="2:64" s="240" customFormat="1" ht="15" thickBot="1" x14ac:dyDescent="0.25">
      <c r="B16" s="590" t="s">
        <v>206</v>
      </c>
      <c r="C16" s="580" t="str">
        <f t="shared" si="0"/>
        <v>BEV</v>
      </c>
      <c r="D16" s="581"/>
      <c r="E16" s="581"/>
      <c r="F16" s="263" t="str">
        <f t="shared" si="1"/>
        <v>Electricity</v>
      </c>
      <c r="G16" s="262" t="str">
        <f t="shared" si="1"/>
        <v>N/A</v>
      </c>
      <c r="H16" s="887" t="b">
        <f t="shared" si="1"/>
        <v>1</v>
      </c>
      <c r="I16" s="743">
        <f t="shared" si="1"/>
        <v>2021</v>
      </c>
      <c r="J16" s="739">
        <f t="shared" si="1"/>
        <v>0</v>
      </c>
      <c r="K16" s="264">
        <f t="shared" si="1"/>
        <v>0.5</v>
      </c>
      <c r="L16" s="264">
        <f t="shared" si="1"/>
        <v>5000</v>
      </c>
      <c r="M16" s="264">
        <f t="shared" si="1"/>
        <v>100</v>
      </c>
      <c r="N16" s="264">
        <f t="shared" si="1"/>
        <v>0</v>
      </c>
      <c r="O16" s="264">
        <f t="shared" si="1"/>
        <v>350</v>
      </c>
      <c r="P16" s="710">
        <f>$D$6*('Inputs 7&amp;8 Day'!$N13/('Inputs 7&amp;8 Day'!$O13*1000))/12</f>
        <v>0</v>
      </c>
      <c r="Q16" s="711">
        <f t="shared" si="2"/>
        <v>0</v>
      </c>
      <c r="R16" s="260"/>
      <c r="Y16"/>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row>
    <row r="17" spans="1:60" s="240" customFormat="1" x14ac:dyDescent="0.2">
      <c r="B17" s="267"/>
      <c r="C17" s="267"/>
      <c r="D17" s="267"/>
      <c r="E17" s="244"/>
      <c r="F17" s="244"/>
      <c r="G17" s="244"/>
      <c r="H17" s="244"/>
      <c r="I17" s="239"/>
      <c r="J17" s="239"/>
      <c r="K17" s="242"/>
      <c r="L17" s="242"/>
      <c r="M17" s="239"/>
      <c r="N17" s="239"/>
      <c r="O17" s="268"/>
      <c r="P17" s="241"/>
      <c r="Q17" s="239"/>
      <c r="R17" s="239"/>
      <c r="S17" s="239"/>
      <c r="T17" s="239"/>
      <c r="U17" s="268"/>
      <c r="V17" s="241"/>
      <c r="W17" s="241"/>
      <c r="Y17"/>
      <c r="Z17"/>
      <c r="AA17"/>
      <c r="AB17"/>
      <c r="AC17"/>
      <c r="AD17"/>
      <c r="AE17"/>
      <c r="AF17"/>
      <c r="AG17"/>
      <c r="AH17"/>
      <c r="AI17"/>
      <c r="AJ17"/>
      <c r="AK17"/>
      <c r="AL17"/>
      <c r="AM17"/>
      <c r="AN17" s="792" t="s">
        <v>78</v>
      </c>
      <c r="AO17" s="796">
        <v>2</v>
      </c>
      <c r="AP17" s="793" t="s">
        <v>101</v>
      </c>
      <c r="AQ17" s="796">
        <v>1</v>
      </c>
      <c r="AR17" s="788"/>
      <c r="AS17" s="786" t="s">
        <v>233</v>
      </c>
      <c r="AT17" s="799"/>
      <c r="AU17" s="799"/>
      <c r="AV17" s="798"/>
      <c r="AW17" s="788"/>
      <c r="AX17" s="786"/>
      <c r="AY17" s="787"/>
      <c r="AZ17" s="787"/>
      <c r="BA17" s="787"/>
      <c r="BB17"/>
      <c r="BC17"/>
      <c r="BD17"/>
      <c r="BE17"/>
      <c r="BF17"/>
      <c r="BG17"/>
      <c r="BH17"/>
    </row>
    <row r="18" spans="1:60" ht="15" thickBot="1" x14ac:dyDescent="0.25">
      <c r="B18" s="229"/>
      <c r="D18" s="269"/>
      <c r="T18" s="270"/>
      <c r="Y18"/>
      <c r="Z18"/>
      <c r="AA18"/>
      <c r="AB18"/>
      <c r="AC18"/>
      <c r="AD18"/>
      <c r="AE18"/>
      <c r="AF18"/>
      <c r="AG18"/>
      <c r="AH18"/>
      <c r="AI18"/>
      <c r="AJ18"/>
      <c r="AK18"/>
      <c r="AL18"/>
      <c r="AM18"/>
      <c r="AN18" s="794" t="s">
        <v>79</v>
      </c>
      <c r="AO18" s="797">
        <v>0.6</v>
      </c>
      <c r="AP18" s="795"/>
      <c r="AQ18" s="795"/>
      <c r="AR18" s="791"/>
      <c r="AS18" s="801" t="s">
        <v>105</v>
      </c>
      <c r="AT18" s="802"/>
      <c r="AU18" s="803">
        <v>4</v>
      </c>
      <c r="AV18" s="802" t="s">
        <v>111</v>
      </c>
      <c r="AW18" s="791"/>
      <c r="AX18" s="789"/>
      <c r="AY18" s="800"/>
      <c r="AZ18" s="790"/>
      <c r="BA18" s="790"/>
      <c r="BB18"/>
      <c r="BC18"/>
      <c r="BD18"/>
      <c r="BE18"/>
      <c r="BF18"/>
      <c r="BG18"/>
      <c r="BH18"/>
    </row>
    <row r="19" spans="1:60" s="29" customFormat="1" ht="16" thickBot="1" x14ac:dyDescent="0.25">
      <c r="A19" s="804"/>
      <c r="B19" s="1560" t="s">
        <v>234</v>
      </c>
      <c r="C19" s="1561"/>
      <c r="D19" s="1561"/>
      <c r="E19" s="1561"/>
      <c r="F19" s="1561"/>
      <c r="G19" s="1562"/>
      <c r="H19" s="1560" t="s">
        <v>220</v>
      </c>
      <c r="I19" s="1561"/>
      <c r="J19" s="1561"/>
      <c r="K19" s="1561"/>
      <c r="L19" s="1561"/>
      <c r="M19" s="1562"/>
      <c r="N19" s="1561" t="s">
        <v>71</v>
      </c>
      <c r="O19" s="1561"/>
      <c r="P19" s="1561"/>
      <c r="Q19" s="1561"/>
      <c r="R19" s="1561"/>
      <c r="S19" s="1562"/>
      <c r="T19" s="1560" t="s">
        <v>107</v>
      </c>
      <c r="U19" s="1561"/>
      <c r="V19" s="1561"/>
      <c r="W19" s="1561"/>
      <c r="X19" s="1562"/>
      <c r="Y19" s="1560" t="s">
        <v>72</v>
      </c>
      <c r="Z19" s="1561"/>
      <c r="AA19" s="1561"/>
      <c r="AB19" s="1561"/>
      <c r="AC19" s="1562"/>
      <c r="AD19" s="1560" t="s">
        <v>92</v>
      </c>
      <c r="AE19" s="1561"/>
      <c r="AF19" s="1561"/>
      <c r="AG19" s="1561"/>
      <c r="AH19" s="1562"/>
      <c r="AI19" s="1560" t="s">
        <v>76</v>
      </c>
      <c r="AJ19" s="1561"/>
      <c r="AK19" s="1561"/>
      <c r="AL19" s="1561"/>
      <c r="AM19" s="1562"/>
      <c r="AN19" s="1560" t="s">
        <v>100</v>
      </c>
      <c r="AO19" s="1561"/>
      <c r="AP19" s="1561"/>
      <c r="AQ19" s="1561"/>
      <c r="AR19" s="1562"/>
      <c r="AS19" s="1560" t="s">
        <v>73</v>
      </c>
      <c r="AT19" s="1561"/>
      <c r="AU19" s="1561"/>
      <c r="AV19" s="1561"/>
      <c r="AW19" s="1562"/>
      <c r="AX19" s="1560" t="s">
        <v>102</v>
      </c>
      <c r="AY19" s="1561"/>
      <c r="AZ19" s="1561"/>
      <c r="BA19" s="1561"/>
      <c r="BB19" s="1562"/>
      <c r="BC19" s="1560" t="s">
        <v>82</v>
      </c>
      <c r="BD19" s="1561"/>
      <c r="BE19" s="1561"/>
      <c r="BF19" s="1561"/>
      <c r="BG19" s="1561"/>
      <c r="BH19" s="1562"/>
    </row>
    <row r="20" spans="1:60" ht="15" customHeight="1" x14ac:dyDescent="0.2">
      <c r="A20" s="272"/>
      <c r="B20" s="1037" t="s">
        <v>69</v>
      </c>
      <c r="C20" s="1038" t="s">
        <v>65</v>
      </c>
      <c r="D20" s="1038" t="s">
        <v>66</v>
      </c>
      <c r="E20" s="1038" t="s">
        <v>67</v>
      </c>
      <c r="F20" s="1038" t="s">
        <v>205</v>
      </c>
      <c r="G20" s="1084" t="s">
        <v>206</v>
      </c>
      <c r="H20" s="1037" t="s">
        <v>69</v>
      </c>
      <c r="I20" s="1038" t="s">
        <v>65</v>
      </c>
      <c r="J20" s="1038" t="s">
        <v>66</v>
      </c>
      <c r="K20" s="1038" t="s">
        <v>67</v>
      </c>
      <c r="L20" s="1038" t="s">
        <v>205</v>
      </c>
      <c r="M20" s="1084" t="s">
        <v>206</v>
      </c>
      <c r="N20" s="1037" t="s">
        <v>69</v>
      </c>
      <c r="O20" s="1038" t="s">
        <v>65</v>
      </c>
      <c r="P20" s="1038" t="s">
        <v>66</v>
      </c>
      <c r="Q20" s="1038" t="s">
        <v>67</v>
      </c>
      <c r="R20" s="1038" t="s">
        <v>205</v>
      </c>
      <c r="S20" s="1084" t="s">
        <v>206</v>
      </c>
      <c r="T20" s="1043" t="s">
        <v>65</v>
      </c>
      <c r="U20" s="1044" t="s">
        <v>66</v>
      </c>
      <c r="V20" s="1044" t="s">
        <v>67</v>
      </c>
      <c r="W20" s="1038" t="s">
        <v>205</v>
      </c>
      <c r="X20" s="1084" t="s">
        <v>206</v>
      </c>
      <c r="Y20" s="1043" t="s">
        <v>65</v>
      </c>
      <c r="Z20" s="1044" t="s">
        <v>66</v>
      </c>
      <c r="AA20" s="1044" t="s">
        <v>67</v>
      </c>
      <c r="AB20" s="1038" t="s">
        <v>205</v>
      </c>
      <c r="AC20" s="1084" t="s">
        <v>206</v>
      </c>
      <c r="AD20" s="1043" t="s">
        <v>65</v>
      </c>
      <c r="AE20" s="1044" t="s">
        <v>66</v>
      </c>
      <c r="AF20" s="1044" t="s">
        <v>67</v>
      </c>
      <c r="AG20" s="1038" t="s">
        <v>205</v>
      </c>
      <c r="AH20" s="1084" t="s">
        <v>206</v>
      </c>
      <c r="AI20" s="1043" t="s">
        <v>65</v>
      </c>
      <c r="AJ20" s="1044" t="s">
        <v>66</v>
      </c>
      <c r="AK20" s="1044" t="s">
        <v>67</v>
      </c>
      <c r="AL20" s="1038" t="s">
        <v>205</v>
      </c>
      <c r="AM20" s="1084" t="s">
        <v>206</v>
      </c>
      <c r="AN20" s="1043" t="s">
        <v>65</v>
      </c>
      <c r="AO20" s="1044" t="s">
        <v>66</v>
      </c>
      <c r="AP20" s="1044" t="s">
        <v>67</v>
      </c>
      <c r="AQ20" s="1038" t="s">
        <v>205</v>
      </c>
      <c r="AR20" s="1084" t="s">
        <v>206</v>
      </c>
      <c r="AS20" s="1043" t="s">
        <v>65</v>
      </c>
      <c r="AT20" s="1044" t="s">
        <v>66</v>
      </c>
      <c r="AU20" s="1044" t="s">
        <v>67</v>
      </c>
      <c r="AV20" s="1038" t="s">
        <v>205</v>
      </c>
      <c r="AW20" s="1084" t="s">
        <v>206</v>
      </c>
      <c r="AX20" s="1043" t="s">
        <v>65</v>
      </c>
      <c r="AY20" s="1044" t="s">
        <v>66</v>
      </c>
      <c r="AZ20" s="1044" t="s">
        <v>67</v>
      </c>
      <c r="BA20" s="1038" t="s">
        <v>205</v>
      </c>
      <c r="BB20" s="1084" t="s">
        <v>206</v>
      </c>
      <c r="BC20" s="1043" t="s">
        <v>69</v>
      </c>
      <c r="BD20" s="1044" t="s">
        <v>65</v>
      </c>
      <c r="BE20" s="1044" t="s">
        <v>66</v>
      </c>
      <c r="BF20" s="1044" t="s">
        <v>67</v>
      </c>
      <c r="BG20" s="1038" t="s">
        <v>205</v>
      </c>
      <c r="BH20" s="1084" t="s">
        <v>206</v>
      </c>
    </row>
    <row r="21" spans="1:60" s="234" customFormat="1" ht="15" x14ac:dyDescent="0.2">
      <c r="A21" s="766"/>
      <c r="B21" s="1072"/>
      <c r="C21" s="1073"/>
      <c r="D21" s="1073"/>
      <c r="E21" s="1073"/>
      <c r="F21" s="1073"/>
      <c r="G21" s="1074"/>
      <c r="H21" s="993" t="str">
        <f>IF(INDEX($G$11:$G$16,MATCH(H20,$B$11:$B$16,0))="N/A","Single-fuel","Dual-Fuel")</f>
        <v>Single-fuel</v>
      </c>
      <c r="I21" s="994" t="str">
        <f t="shared" ref="I21:M21" si="3">IF(INDEX($G$11:$G$16,MATCH(I20,$B$11:$B$16,0))="N/A","Single-fuel","Dual-Fuel")</f>
        <v>Single-fuel</v>
      </c>
      <c r="J21" s="994" t="str">
        <f t="shared" si="3"/>
        <v>Single-fuel</v>
      </c>
      <c r="K21" s="994" t="str">
        <f t="shared" si="3"/>
        <v>Single-fuel</v>
      </c>
      <c r="L21" s="994" t="str">
        <f t="shared" si="3"/>
        <v>Dual-Fuel</v>
      </c>
      <c r="M21" s="995" t="str">
        <f t="shared" si="3"/>
        <v>Single-fuel</v>
      </c>
      <c r="N21" s="993" t="str">
        <f>INDEX($F$11:$F$16,MATCH(N20,$B$11:$B$16,0))</f>
        <v>Diesel</v>
      </c>
      <c r="O21" s="994" t="str">
        <f t="shared" ref="O21:S21" si="4">INDEX($F$11:$F$16,MATCH(O20,$B$11:$B$16,0))</f>
        <v>Diesel</v>
      </c>
      <c r="P21" s="994" t="str">
        <f t="shared" si="4"/>
        <v>Diesel</v>
      </c>
      <c r="Q21" s="994" t="str">
        <f t="shared" si="4"/>
        <v>Diesel</v>
      </c>
      <c r="R21" s="994" t="str">
        <f t="shared" si="4"/>
        <v>Diesel</v>
      </c>
      <c r="S21" s="995" t="str">
        <f t="shared" si="4"/>
        <v>Electricity</v>
      </c>
      <c r="T21" s="1571" t="s">
        <v>117</v>
      </c>
      <c r="U21" s="1572"/>
      <c r="V21" s="1572"/>
      <c r="W21" s="1572"/>
      <c r="X21" s="1573"/>
      <c r="Y21" s="993" t="str">
        <f t="shared" ref="Y21" si="5">INDEX($F$11:$F$16,MATCH(Y20,$B$11:$B$16,0))</f>
        <v>Diesel</v>
      </c>
      <c r="Z21" s="994" t="str">
        <f t="shared" ref="Z21" si="6">INDEX($F$11:$F$16,MATCH(Z20,$B$11:$B$16,0))</f>
        <v>Diesel</v>
      </c>
      <c r="AA21" s="994" t="str">
        <f t="shared" ref="AA21" si="7">INDEX($F$11:$F$16,MATCH(AA20,$B$11:$B$16,0))</f>
        <v>Diesel</v>
      </c>
      <c r="AB21" s="994" t="str">
        <f t="shared" ref="AB21" si="8">INDEX($F$11:$F$16,MATCH(AB20,$B$11:$B$16,0))</f>
        <v>Diesel</v>
      </c>
      <c r="AC21" s="995" t="str">
        <f t="shared" ref="AC21" si="9">INDEX($F$11:$F$16,MATCH(AC20,$B$11:$B$16,0))</f>
        <v>Electricity</v>
      </c>
      <c r="AD21" s="1016">
        <f>INDEX($L$11:$L$16,MATCH(AD20,$B$11:$B$16,0))</f>
        <v>5000</v>
      </c>
      <c r="AE21" s="1017">
        <f>INDEX($L$11:$L$16,MATCH(AE20,$B$11:$B$16,0))</f>
        <v>5000</v>
      </c>
      <c r="AF21" s="1017">
        <f>INDEX($L$11:$L$16,MATCH(AF20,$B$11:$B$16,0))</f>
        <v>5000</v>
      </c>
      <c r="AG21" s="1017">
        <f>INDEX($L$11:$L$16,MATCH(AG20,$B$11:$B$16,0))</f>
        <v>5000</v>
      </c>
      <c r="AH21" s="1018">
        <f>INDEX($L$11:$L$16,MATCH(AH20,$B$11:$B$16,0))</f>
        <v>5000</v>
      </c>
      <c r="AI21" s="1052">
        <f>INDEX($J$11:$J$16,MATCH(AI20,$B$11:$B$16,0))</f>
        <v>0</v>
      </c>
      <c r="AJ21" s="1053">
        <f t="shared" ref="AJ21:AM21" si="10">INDEX($J$11:$J$16,MATCH(AJ20,$B$11:$B$16,0))</f>
        <v>0</v>
      </c>
      <c r="AK21" s="1053">
        <f t="shared" si="10"/>
        <v>0</v>
      </c>
      <c r="AL21" s="1053">
        <f t="shared" si="10"/>
        <v>0</v>
      </c>
      <c r="AM21" s="1054">
        <f t="shared" si="10"/>
        <v>0</v>
      </c>
      <c r="AN21" s="993" t="str">
        <f t="shared" ref="AN21" si="11">INDEX($F$11:$F$16,MATCH(AN20,$B$11:$B$16,0))</f>
        <v>Diesel</v>
      </c>
      <c r="AO21" s="994" t="str">
        <f t="shared" ref="AO21" si="12">INDEX($F$11:$F$16,MATCH(AO20,$B$11:$B$16,0))</f>
        <v>Diesel</v>
      </c>
      <c r="AP21" s="994" t="str">
        <f t="shared" ref="AP21" si="13">INDEX($F$11:$F$16,MATCH(AP20,$B$11:$B$16,0))</f>
        <v>Diesel</v>
      </c>
      <c r="AQ21" s="994" t="str">
        <f t="shared" ref="AQ21" si="14">INDEX($F$11:$F$16,MATCH(AQ20,$B$11:$B$16,0))</f>
        <v>Diesel</v>
      </c>
      <c r="AR21" s="995" t="str">
        <f t="shared" ref="AR21" si="15">INDEX($F$11:$F$16,MATCH(AR20,$B$11:$B$16,0))</f>
        <v>Electricity</v>
      </c>
      <c r="AS21" s="993" t="str">
        <f t="shared" ref="AS21" si="16">INDEX($F$11:$F$16,MATCH(AS20,$B$11:$B$16,0))</f>
        <v>Diesel</v>
      </c>
      <c r="AT21" s="994" t="str">
        <f t="shared" ref="AT21" si="17">INDEX($F$11:$F$16,MATCH(AT20,$B$11:$B$16,0))</f>
        <v>Diesel</v>
      </c>
      <c r="AU21" s="994" t="str">
        <f t="shared" ref="AU21" si="18">INDEX($F$11:$F$16,MATCH(AU20,$B$11:$B$16,0))</f>
        <v>Diesel</v>
      </c>
      <c r="AV21" s="994" t="str">
        <f t="shared" ref="AV21" si="19">INDEX($F$11:$F$16,MATCH(AV20,$B$11:$B$16,0))</f>
        <v>Diesel</v>
      </c>
      <c r="AW21" s="995" t="str">
        <f t="shared" ref="AW21" si="20">INDEX($F$11:$F$16,MATCH(AW20,$B$11:$B$16,0))</f>
        <v>Electricity</v>
      </c>
      <c r="AX21" s="993" t="str">
        <f t="shared" ref="AX21" si="21">INDEX($F$11:$F$16,MATCH(AX20,$B$11:$B$16,0))</f>
        <v>Diesel</v>
      </c>
      <c r="AY21" s="994" t="str">
        <f t="shared" ref="AY21" si="22">INDEX($F$11:$F$16,MATCH(AY20,$B$11:$B$16,0))</f>
        <v>Diesel</v>
      </c>
      <c r="AZ21" s="994" t="str">
        <f t="shared" ref="AZ21" si="23">INDEX($F$11:$F$16,MATCH(AZ20,$B$11:$B$16,0))</f>
        <v>Diesel</v>
      </c>
      <c r="BA21" s="994" t="str">
        <f t="shared" ref="BA21" si="24">INDEX($F$11:$F$16,MATCH(BA20,$B$11:$B$16,0))</f>
        <v>Diesel</v>
      </c>
      <c r="BB21" s="995" t="str">
        <f t="shared" ref="BB21" si="25">INDEX($F$11:$F$16,MATCH(BB20,$B$11:$B$16,0))</f>
        <v>Electricity</v>
      </c>
      <c r="BC21" s="1026" t="str">
        <f>INDEX($F$11:$F$16,MATCH(BC20,$B$11:$B$16,0))</f>
        <v>Diesel</v>
      </c>
      <c r="BD21" s="994" t="str">
        <f t="shared" ref="BD21:BH21" si="26">INDEX($F$11:$F$16,MATCH(BD20,$B$11:$B$16,0))</f>
        <v>Diesel</v>
      </c>
      <c r="BE21" s="994" t="str">
        <f t="shared" si="26"/>
        <v>Diesel</v>
      </c>
      <c r="BF21" s="994" t="str">
        <f t="shared" si="26"/>
        <v>Diesel</v>
      </c>
      <c r="BG21" s="994" t="str">
        <f t="shared" si="26"/>
        <v>Diesel</v>
      </c>
      <c r="BH21" s="995" t="str">
        <f t="shared" si="26"/>
        <v>Electricity</v>
      </c>
    </row>
    <row r="22" spans="1:60" x14ac:dyDescent="0.2">
      <c r="A22" s="766"/>
      <c r="B22" s="1072"/>
      <c r="C22" s="1073"/>
      <c r="D22" s="1073"/>
      <c r="E22" s="1073"/>
      <c r="F22" s="1073"/>
      <c r="G22" s="1074"/>
      <c r="H22" s="1078"/>
      <c r="I22" s="1079"/>
      <c r="J22" s="1079"/>
      <c r="K22" s="1079"/>
      <c r="L22" s="1079"/>
      <c r="M22" s="1080"/>
      <c r="N22" s="996"/>
      <c r="O22" s="997"/>
      <c r="P22" s="997"/>
      <c r="Q22" s="997"/>
      <c r="R22" s="997"/>
      <c r="S22" s="998"/>
      <c r="T22" s="1002">
        <f>Q12</f>
        <v>0</v>
      </c>
      <c r="U22" s="1003">
        <f>Q13</f>
        <v>0</v>
      </c>
      <c r="V22" s="1003">
        <f>Q14</f>
        <v>0</v>
      </c>
      <c r="W22" s="1003">
        <f>Q15</f>
        <v>0</v>
      </c>
      <c r="X22" s="1004">
        <f>Q16</f>
        <v>0</v>
      </c>
      <c r="Y22" s="993" t="b">
        <f>INDEX($H$11:$H$16,MATCH(Y20,$B$11:$B$16,0))</f>
        <v>0</v>
      </c>
      <c r="Z22" s="1011" t="b">
        <f t="shared" ref="Z22:AC22" si="27">INDEX($H$11:$H$16,MATCH(Z20,$B$11:$B$16,0))</f>
        <v>0</v>
      </c>
      <c r="AA22" s="1011" t="b">
        <f t="shared" si="27"/>
        <v>0</v>
      </c>
      <c r="AB22" s="1011" t="b">
        <f t="shared" si="27"/>
        <v>0</v>
      </c>
      <c r="AC22" s="1012" t="b">
        <f t="shared" si="27"/>
        <v>1</v>
      </c>
      <c r="AD22" s="1016">
        <f>INDEX($M$11:$M$16,MATCH(AD20,$B$11:$B$16,0))</f>
        <v>100</v>
      </c>
      <c r="AE22" s="1019">
        <f>INDEX($M$11:$M$16,MATCH(AE20,$B$11:$B$16,0))</f>
        <v>100</v>
      </c>
      <c r="AF22" s="1019">
        <f>INDEX($M$11:$M$16,MATCH(AF20,$B$11:$B$16,0))</f>
        <v>100</v>
      </c>
      <c r="AG22" s="1019">
        <f>INDEX($M$11:$M$16,MATCH(AG20,$B$11:$B$16,0))</f>
        <v>100</v>
      </c>
      <c r="AH22" s="1020">
        <f>INDEX($M$11:$M$16,MATCH(AH20,$B$11:$B$16,0))</f>
        <v>100</v>
      </c>
      <c r="AI22" s="1052">
        <f>INDEX($K$11:$K$16,MATCH(AI20,$B$11:$B$16,0))</f>
        <v>0.5</v>
      </c>
      <c r="AJ22" s="1053">
        <f t="shared" ref="AJ22:AM22" si="28">INDEX($K$11:$K$16,MATCH(AJ20,$B$11:$B$16,0))</f>
        <v>0.5</v>
      </c>
      <c r="AK22" s="1053">
        <f t="shared" si="28"/>
        <v>0.5</v>
      </c>
      <c r="AL22" s="1053">
        <f t="shared" si="28"/>
        <v>0.5</v>
      </c>
      <c r="AM22" s="1054">
        <f t="shared" si="28"/>
        <v>0.5</v>
      </c>
      <c r="AN22" s="993"/>
      <c r="AO22" s="994"/>
      <c r="AP22" s="994"/>
      <c r="AQ22" s="994"/>
      <c r="AR22" s="995"/>
      <c r="AS22" s="1010"/>
      <c r="AT22" s="1011"/>
      <c r="AU22" s="1011"/>
      <c r="AV22" s="1011"/>
      <c r="AW22" s="1012"/>
      <c r="AX22" s="1010"/>
      <c r="AY22" s="1011"/>
      <c r="AZ22" s="1011"/>
      <c r="BA22" s="1011"/>
      <c r="BB22" s="1012"/>
      <c r="BC22" s="1010"/>
      <c r="BD22" s="1011"/>
      <c r="BE22" s="1011"/>
      <c r="BF22" s="1011"/>
      <c r="BG22" s="1011"/>
      <c r="BH22" s="1012"/>
    </row>
    <row r="23" spans="1:60" ht="15" thickBot="1" x14ac:dyDescent="0.25">
      <c r="A23" s="745"/>
      <c r="B23" s="1075"/>
      <c r="C23" s="1076"/>
      <c r="D23" s="1076"/>
      <c r="E23" s="1076"/>
      <c r="F23" s="1076"/>
      <c r="G23" s="1077"/>
      <c r="H23" s="1081"/>
      <c r="I23" s="1082"/>
      <c r="J23" s="1082"/>
      <c r="K23" s="1082"/>
      <c r="L23" s="1082"/>
      <c r="M23" s="1083"/>
      <c r="N23" s="999"/>
      <c r="O23" s="1000"/>
      <c r="P23" s="1000"/>
      <c r="Q23" s="1000"/>
      <c r="R23" s="1000"/>
      <c r="S23" s="1001"/>
      <c r="T23" s="1005"/>
      <c r="U23" s="1006"/>
      <c r="V23" s="1006"/>
      <c r="W23" s="1006"/>
      <c r="X23" s="1007"/>
      <c r="Y23" s="1021"/>
      <c r="Z23" s="1024"/>
      <c r="AA23" s="1024"/>
      <c r="AB23" s="1024"/>
      <c r="AC23" s="1025"/>
      <c r="AD23" s="1021"/>
      <c r="AE23" s="1022"/>
      <c r="AF23" s="1022"/>
      <c r="AG23" s="1022"/>
      <c r="AH23" s="1023"/>
      <c r="AI23" s="1021">
        <f>INDEX($I$11:$I$16,MATCH(AI20,$B$11:$B$16,0))</f>
        <v>2021</v>
      </c>
      <c r="AJ23" s="1024">
        <f t="shared" ref="AJ23:AM23" si="29">INDEX($I$11:$I$16,MATCH(AJ20,$B$11:$B$16,0))</f>
        <v>2021</v>
      </c>
      <c r="AK23" s="1024">
        <f t="shared" si="29"/>
        <v>2021</v>
      </c>
      <c r="AL23" s="1024">
        <f t="shared" si="29"/>
        <v>2021</v>
      </c>
      <c r="AM23" s="1025">
        <f t="shared" si="29"/>
        <v>2021</v>
      </c>
      <c r="AN23" s="1021"/>
      <c r="AO23" s="1024"/>
      <c r="AP23" s="1024"/>
      <c r="AQ23" s="1024"/>
      <c r="AR23" s="1025"/>
      <c r="AS23" s="1013"/>
      <c r="AT23" s="1014"/>
      <c r="AU23" s="1014"/>
      <c r="AV23" s="1014"/>
      <c r="AW23" s="1015"/>
      <c r="AX23" s="1013"/>
      <c r="AY23" s="1014"/>
      <c r="AZ23" s="1014"/>
      <c r="BA23" s="1014"/>
      <c r="BB23" s="1015"/>
      <c r="BC23" s="1013"/>
      <c r="BD23" s="1014"/>
      <c r="BE23" s="1014"/>
      <c r="BF23" s="1014"/>
      <c r="BG23" s="1014"/>
      <c r="BH23" s="1015"/>
    </row>
    <row r="24" spans="1:60" ht="15" thickTop="1" x14ac:dyDescent="0.2">
      <c r="A24" s="609">
        <v>2007</v>
      </c>
      <c r="B24" s="808">
        <f t="shared" ref="B24:G33" si="30">ROUND(INDEX(COST_Cls3,$A24-($A$24-1),MATCH(B$20,TECHOPTS_Cls3,0)),2)</f>
        <v>96771.81</v>
      </c>
      <c r="C24" s="808">
        <f t="shared" si="30"/>
        <v>1000000</v>
      </c>
      <c r="D24" s="808">
        <f t="shared" si="30"/>
        <v>1000000</v>
      </c>
      <c r="E24" s="808">
        <f t="shared" si="30"/>
        <v>1000000</v>
      </c>
      <c r="F24" s="808">
        <f t="shared" si="30"/>
        <v>1000000</v>
      </c>
      <c r="G24" s="809">
        <f t="shared" si="30"/>
        <v>1000000</v>
      </c>
      <c r="H24" s="780">
        <f t="shared" ref="H24:M33" si="31">IF(H$21="Single-fuel",1,1-MIN(INDEX(CDRANGE_CLS3,$A24-($A$24-1),MATCH(H$20,TECHOPTS_Cls3,0))*OPDAYS_Cls3/$D$6,1))</f>
        <v>1</v>
      </c>
      <c r="I24" s="781">
        <f t="shared" si="31"/>
        <v>1</v>
      </c>
      <c r="J24" s="781">
        <f t="shared" si="31"/>
        <v>1</v>
      </c>
      <c r="K24" s="781">
        <f t="shared" si="31"/>
        <v>1</v>
      </c>
      <c r="L24" s="781">
        <f t="shared" si="31"/>
        <v>1</v>
      </c>
      <c r="M24" s="782">
        <f t="shared" si="31"/>
        <v>1</v>
      </c>
      <c r="N24" s="732">
        <f t="shared" ref="N24:N67" si="32">VLOOKUP($A24,IF($D$5="Central",FuelPriceCent,FuelPriceNCent),MATCH(N$21,FuelPriceCols,0),0)*(H24*$D$6)/(12*INDEX(FUEL1MPG_Cls3,$A24-($A$24-1),MATCH(N$20,TECHOPTS_Cls3,0)))+IFERROR(VLOOKUP($A24,IF($D$5="Central",FuelPriceCent,FuelPriceNCent),MATCH(INDEX($G$11:$G$16,MATCH(N$20,$B$11:$B$16,0)),FuelPriceCols,0),0),0)*((1-H24)*$D$6)/(12*INDEX(FUEL2MPG_Cls3,$A24-($A$24-1),MATCH(N$20,TECHOPTS_Cls3,0)))</f>
        <v>7481.362058855304</v>
      </c>
      <c r="O24" s="276">
        <f t="shared" ref="O24:O67" si="33">VLOOKUP($A24,IF($D$5="Central",FuelPriceCent,FuelPriceNCent),MATCH(O$21,FuelPriceCols,0),0)*(I24*$D$6)/(12*INDEX(FUEL1MPG_Cls3,$A24-($A$24-1),MATCH(O$20,TECHOPTS_Cls3,0)))+IFERROR(VLOOKUP($A24,IF($D$5="Central",FuelPriceCent,FuelPriceNCent),MATCH(INDEX($G$11:$G$16,MATCH(O$20,$B$11:$B$16,0)),FuelPriceCols,0),0),0)*((1-I24)*$D$6)/(12*INDEX(FUEL2MPG_Cls3,$A24-($A$24-1),MATCH(O$20,TECHOPTS_Cls3,0)))</f>
        <v>43872.666565487925</v>
      </c>
      <c r="P24" s="276">
        <f t="shared" ref="P24:P67" si="34">VLOOKUP($A24,IF($D$5="Central",FuelPriceCent,FuelPriceNCent),MATCH(P$21,FuelPriceCols,0),0)*(J24*$D$6)/(12*INDEX(FUEL1MPG_Cls3,$A24-($A$24-1),MATCH(P$20,TECHOPTS_Cls3,0)))+IFERROR(VLOOKUP($A24,IF($D$5="Central",FuelPriceCent,FuelPriceNCent),MATCH(INDEX($G$11:$G$16,MATCH(P$20,$B$11:$B$16,0)),FuelPriceCols,0),0),0)*((1-J24)*$D$6)/(12*INDEX(FUEL2MPG_Cls3,$A24-($A$24-1),MATCH(P$20,TECHOPTS_Cls3,0)))</f>
        <v>43872.666565487925</v>
      </c>
      <c r="Q24" s="276">
        <f t="shared" ref="Q24:Q67" si="35">VLOOKUP($A24,IF($D$5="Central",FuelPriceCent,FuelPriceNCent),MATCH(Q$21,FuelPriceCols,0),0)*(K24*$D$6)/(12*INDEX(FUEL1MPG_Cls3,$A24-($A$24-1),MATCH(Q$20,TECHOPTS_Cls3,0)))+IFERROR(VLOOKUP($A24,IF($D$5="Central",FuelPriceCent,FuelPriceNCent),MATCH(INDEX($G$11:$G$16,MATCH(Q$20,$B$11:$B$16,0)),FuelPriceCols,0),0),0)*((1-K24)*$D$6)/(12*INDEX(FUEL2MPG_Cls3,$A24-($A$24-1),MATCH(Q$20,TECHOPTS_Cls3,0)))</f>
        <v>43872.666565487925</v>
      </c>
      <c r="R24" s="276">
        <f t="shared" ref="R24:R67" si="36">VLOOKUP($A24,IF($D$5="Central",FuelPriceCent,FuelPriceNCent),MATCH(R$21,FuelPriceCols,0),0)*(L24*$D$6)/(12*INDEX(FUEL1MPG_Cls3,$A24-($A$24-1),MATCH(R$20,TECHOPTS_Cls3,0)))+IFERROR(VLOOKUP($A24,IF($D$5="Central",FuelPriceCent,FuelPriceNCent),MATCH(INDEX($G$11:$G$16,MATCH(R$20,$B$11:$B$16,0)),FuelPriceCols,0),0),0)*((1-L24)*$D$6)/(12*INDEX(FUEL2MPG_Cls3,$A24-($A$24-1),MATCH(R$20,TECHOPTS_Cls3,0)))</f>
        <v>43872.666565487925</v>
      </c>
      <c r="S24" s="276">
        <f t="shared" ref="S24:S67" si="37">VLOOKUP($A24,IF($D$5="Central",FuelPriceCent,FuelPriceNCent),MATCH(S$21,FuelPriceCols,0),0)*(M24*$D$6)/(12*INDEX(FUEL1MPG_Cls3,$A24-($A$24-1),MATCH(S$20,TECHOPTS_Cls3,0)))+IFERROR(VLOOKUP($A24,IF($D$5="Central",FuelPriceCent,FuelPriceNCent),MATCH(INDEX($G$11:$G$16,MATCH(S$20,$B$11:$B$16,0)),FuelPriceCols,0),0),0)*((1-M24)*$D$6)/(12*INDEX(FUEL2MPG_Cls3,$A24-($A$24-1),MATCH(S$20,TECHOPTS_Cls3,0)))</f>
        <v>166461.84525000001</v>
      </c>
      <c r="T24" s="275">
        <f t="shared" ref="T24:T67" si="38">$N24-O24+T$22</f>
        <v>-36391.304506632623</v>
      </c>
      <c r="U24" s="276">
        <f t="shared" ref="U24:U67" si="39">$N24-P24+U$22</f>
        <v>-36391.304506632623</v>
      </c>
      <c r="V24" s="276">
        <f t="shared" ref="V24:V67" si="40">$N24-Q24+V$22</f>
        <v>-36391.304506632623</v>
      </c>
      <c r="W24" s="276">
        <f t="shared" ref="W24:W67" si="41">$N24-R24+W$22</f>
        <v>-36391.304506632623</v>
      </c>
      <c r="X24" s="278">
        <f t="shared" ref="X24:X67" si="42">$N24-S24+X$22</f>
        <v>-158980.48319114471</v>
      </c>
      <c r="Y24" s="279">
        <f ca="1">IF(AND(Y$22=TRUE,INDEX(CDRANGE_CLS3,MATCH($A24,$A$24:$A$67,0),MATCH(Y$20,$B$20:$G$20,0))&lt;$D$6/OPDAYS_Cls3),86,payback(C24,T24,disc_rate/12,85))</f>
        <v>86</v>
      </c>
      <c r="Z24" s="280">
        <f ca="1">IF(AND(Z$22=TRUE,INDEX(CDRANGE_CLS3,MATCH($A24,$A$24:$A$67,0),MATCH(Z$20,$B$20:$G$20,0))&lt;$D$6/OPDAYS_Cls3),86,payback(D24,U24,disc_rate/12,85))</f>
        <v>86</v>
      </c>
      <c r="AA24" s="280">
        <f ca="1">IF(AND(AA$22=TRUE,INDEX(CDRANGE_CLS3,MATCH($A24,$A$24:$A$67,0),MATCH(AA$20,$B$20:$G$20,0))&lt;$D$6/OPDAYS_Cls3),86,payback(E24,V24,disc_rate/12,85))</f>
        <v>86</v>
      </c>
      <c r="AB24" s="280">
        <f ca="1">IF(AND(AB$22=TRUE,INDEX(CDRANGE_CLS3,MATCH($A24,$A$24:$A$67,0),MATCH(AB$20,$B$20:$G$20,0))&lt;$D$6/OPDAYS_Cls3),86,payback(F24,W24,disc_rate/12,85))</f>
        <v>86</v>
      </c>
      <c r="AC24" s="281">
        <f>IF(AND(AC$22=TRUE,INDEX(CDRANGE_CLS3,MATCH($A24,$A$24:$A$67,0),MATCH(AC$20,$B$20:$G$20,0))&lt;$D$6/OPDAYS_Cls3),86,payback(G24,X24,disc_rate/12,85))</f>
        <v>86</v>
      </c>
      <c r="AD24" s="282">
        <f t="shared" ref="AD24:AD67" si="43">IF(AND(C24&lt;=AD$21,$N24-O24&gt;=-AD$22),AI24*VLOOKUP(C24/AD$21,FirstCostInd,2,TRUE)*VLOOKUP(($N24-O24)/AD$22,FuelCostInd,2,1),0)</f>
        <v>0</v>
      </c>
      <c r="AE24" s="283">
        <f t="shared" ref="AE24:AE67" si="44">IF(AND(D24&lt;=AE$21,$N24-P24&gt;=-AE$22),AJ24*VLOOKUP(D24/AE$21,FirstCostInd,2,TRUE)*VLOOKUP(($N24-P24)/AE$22,FuelCostInd,2,1),0)</f>
        <v>0</v>
      </c>
      <c r="AF24" s="283">
        <f t="shared" ref="AF24:AF67" si="45">IF(AND(E24&lt;=AF$21,$N24-Q24&gt;=-AF$22),AK24*VLOOKUP(E24/AF$21,FirstCostInd,2,TRUE)*VLOOKUP(($N24-Q24)/AF$22,FuelCostInd,2,1),0)</f>
        <v>0</v>
      </c>
      <c r="AG24" s="283">
        <f t="shared" ref="AG24:AG67" si="46">IF(AND(F24&lt;=AG$21,$N24-R24&gt;=-AG$22),AL24*VLOOKUP(F24/AG$21,FirstCostInd,2,TRUE)*VLOOKUP(($N24-R24)/AG$22,FuelCostInd,2,1),0)</f>
        <v>0</v>
      </c>
      <c r="AH24" s="644">
        <f t="shared" ref="AH24:AH67" si="47">IF(AND(G24&lt;=AH$21,$N24-S24&gt;=-AH$22),AM24*VLOOKUP(G24/AH$21,FirstCostInd,2,TRUE)*VLOOKUP(($N24-S24)/AH$22,FuelCostInd,2,1),0)</f>
        <v>0</v>
      </c>
      <c r="AI24" s="285">
        <f t="shared" ref="AI24:AI67" si="48">IF($A24&lt;AI$23,0,AI$21+VLOOKUP($A24-AI$23,SCdata,2,1)*(AI$22-AI$21))*IF($D$5="Non-Central",INDEX(fuel_avail,$A24-$A$24+1,MATCH(O$21,Fuels,0)),1)</f>
        <v>0</v>
      </c>
      <c r="AJ24" s="286">
        <f t="shared" ref="AJ24:AJ67" si="49">IF($A24&lt;AJ$23,0,AJ$21+VLOOKUP($A24-AJ$23,SCdata,2,1)*(AJ$22-AJ$21))*IF($D$5="Non-Central",INDEX(fuel_avail,$A24-$A$24+1,MATCH(P$21,Fuels,0)),1)</f>
        <v>0</v>
      </c>
      <c r="AK24" s="286">
        <f t="shared" ref="AK24:AK67" si="50">IF($A24&lt;AK$23,0,AK$21+VLOOKUP($A24-AK$23,SCdata,2,1)*(AK$22-AK$21))*IF($D$5="Non-Central",INDEX(fuel_avail,$A24-$A$24+1,MATCH(Q$21,Fuels,0)),1)</f>
        <v>0</v>
      </c>
      <c r="AL24" s="286">
        <f t="shared" ref="AL24:AL67" si="51">IF($A24&lt;AL$23,0,AL$21+VLOOKUP($A24-AL$23,SCdata,2,1)*(AL$22-AL$21))*IF($D$5="Non-Central",INDEX(fuel_avail,$A24-$A$24+1,MATCH(R$21,Fuels,0)),1)</f>
        <v>0</v>
      </c>
      <c r="AM24" s="287">
        <f t="shared" ref="AM24:AM67" si="52">IF($A24&lt;AM$23,0,AM$21+VLOOKUP($A24-AM$23,SCdata,2,1)*(AM$22-AM$21))*IF($D$5="Non-Central",INDEX(fuel_avail,$A24-$A$24+1,MATCH(S$21,Fuels,0)),1)</f>
        <v>0</v>
      </c>
      <c r="AN24" s="285">
        <f>IF(C24&lt;0,1,$AQ$17*(1-WEIBULL(C24/$B24,$AO$17,$AO$18,1)))</f>
        <v>0</v>
      </c>
      <c r="AO24" s="286">
        <f t="shared" ref="AO24:AR39" si="53">IF(D24&lt;0,1,$AQ$17*(1-WEIBULL(D24/$B24,$AO$17,$AO$18,1)))</f>
        <v>0</v>
      </c>
      <c r="AP24" s="286">
        <f t="shared" si="53"/>
        <v>0</v>
      </c>
      <c r="AQ24" s="286">
        <f t="shared" si="53"/>
        <v>0</v>
      </c>
      <c r="AR24" s="287">
        <f t="shared" si="53"/>
        <v>0</v>
      </c>
      <c r="AS24" s="282">
        <f t="shared" ref="AS24:AS67" ca="1" si="54">MIN(1,MAX(AD24,IF(Y24&gt;85,0,(AI24/0.5)*VLOOKUP(Y24,AdoptDec,$AU$18,0))))</f>
        <v>0</v>
      </c>
      <c r="AT24" s="283">
        <f t="shared" ref="AT24:AT67" ca="1" si="55">MIN(1,MAX(AE24,IF(Z24&gt;85,0,(AJ24/0.5)*VLOOKUP(Z24,AdoptDec,$AU$18,0))))</f>
        <v>0</v>
      </c>
      <c r="AU24" s="805">
        <f t="shared" ref="AU24:AU67" ca="1" si="56">MIN(1,MAX(AF24,IF(AA24&gt;85,0,(AK24/0.5)*VLOOKUP(AA24,AdoptDec,$AU$18,0))))</f>
        <v>0</v>
      </c>
      <c r="AV24" s="805">
        <f t="shared" ref="AV24:AV67" ca="1" si="57">MIN(1,MAX(AG24,IF(AB24&gt;85,0,(AL24/0.5)*VLOOKUP(AB24,AdoptDec,$AU$18,0))))</f>
        <v>0</v>
      </c>
      <c r="AW24" s="806">
        <f t="shared" ref="AW24:AW67" si="58">MIN(1,MAX(AH24,IF(AC24&gt;85,0,(AM24/0.5)*VLOOKUP(AC24,AdoptDec,$AU$18,0))))</f>
        <v>0</v>
      </c>
      <c r="AX24" s="755">
        <f t="shared" ref="AX24:BB67" ca="1" si="59">MIN(AS24*AN24,1)</f>
        <v>0</v>
      </c>
      <c r="AY24" s="283">
        <f t="shared" ca="1" si="59"/>
        <v>0</v>
      </c>
      <c r="AZ24" s="283">
        <f t="shared" ca="1" si="59"/>
        <v>0</v>
      </c>
      <c r="BA24" s="283">
        <f t="shared" ca="1" si="59"/>
        <v>0</v>
      </c>
      <c r="BB24" s="644">
        <f t="shared" si="59"/>
        <v>0</v>
      </c>
      <c r="BC24" s="282">
        <f ca="1">1-SUM(BD24:BH24)</f>
        <v>1</v>
      </c>
      <c r="BD24" s="283">
        <f t="shared" ref="BD24:BD67" ca="1" si="60">IF(SUM($AX24:$BB24)=0,0,MAX($AX24:$BB24)*(AI24*AX24/SUMPRODUCT($AI24:$AM24,$AX24:$BB24)))</f>
        <v>0</v>
      </c>
      <c r="BE24" s="283">
        <f t="shared" ref="BE24:BE67" ca="1" si="61">IF(SUM($AX24:$BB24)=0,0,MAX($AX24:$BB24)*(AJ24*AY24/SUMPRODUCT($AI24:$AM24,$AX24:$BB24)))</f>
        <v>0</v>
      </c>
      <c r="BF24" s="283">
        <f t="shared" ref="BF24:BF67" ca="1" si="62">IF(SUM($AX24:$BB24)=0,0,MAX($AX24:$BB24)*(AK24*AZ24/SUMPRODUCT($AI24:$AM24,$AX24:$BB24)))</f>
        <v>0</v>
      </c>
      <c r="BG24" s="283">
        <f t="shared" ref="BG24:BG67" ca="1" si="63">IF(SUM($AX24:$BB24)=0,0,MAX($AX24:$BB24)*(AL24*BA24/SUMPRODUCT($AI24:$AM24,$AX24:$BB24)))</f>
        <v>0</v>
      </c>
      <c r="BH24" s="284">
        <f t="shared" ref="BH24:BH67" ca="1" si="64">IF(SUM($AX24:$BB24)=0,0,MAX($AX24:$BB24)*(AM24*BB24/SUMPRODUCT($AI24:$AM24,$AX24:$BB24)))</f>
        <v>0</v>
      </c>
    </row>
    <row r="25" spans="1:60" x14ac:dyDescent="0.2">
      <c r="A25" s="288">
        <v>2008</v>
      </c>
      <c r="B25" s="810">
        <f t="shared" si="30"/>
        <v>96771.81</v>
      </c>
      <c r="C25" s="811">
        <f t="shared" si="30"/>
        <v>1000000</v>
      </c>
      <c r="D25" s="811">
        <f t="shared" si="30"/>
        <v>1000000</v>
      </c>
      <c r="E25" s="811">
        <f t="shared" si="30"/>
        <v>1000000</v>
      </c>
      <c r="F25" s="811">
        <f t="shared" si="30"/>
        <v>1000000</v>
      </c>
      <c r="G25" s="812">
        <f t="shared" si="30"/>
        <v>1000000</v>
      </c>
      <c r="H25" s="780">
        <f t="shared" si="31"/>
        <v>1</v>
      </c>
      <c r="I25" s="781">
        <f t="shared" si="31"/>
        <v>1</v>
      </c>
      <c r="J25" s="781">
        <f t="shared" si="31"/>
        <v>1</v>
      </c>
      <c r="K25" s="781">
        <f t="shared" si="31"/>
        <v>1</v>
      </c>
      <c r="L25" s="781">
        <f t="shared" si="31"/>
        <v>1</v>
      </c>
      <c r="M25" s="782">
        <f t="shared" si="31"/>
        <v>1</v>
      </c>
      <c r="N25" s="732">
        <f t="shared" si="32"/>
        <v>10240.223985280858</v>
      </c>
      <c r="O25" s="276">
        <f t="shared" si="33"/>
        <v>60051.355478828358</v>
      </c>
      <c r="P25" s="276">
        <f t="shared" si="34"/>
        <v>60051.355478828358</v>
      </c>
      <c r="Q25" s="276">
        <f t="shared" si="35"/>
        <v>60051.355478828358</v>
      </c>
      <c r="R25" s="276">
        <f t="shared" si="36"/>
        <v>60051.355478828358</v>
      </c>
      <c r="S25" s="278">
        <f t="shared" si="37"/>
        <v>216200.70203249998</v>
      </c>
      <c r="T25" s="289">
        <f t="shared" si="38"/>
        <v>-49811.131493547502</v>
      </c>
      <c r="U25" s="290">
        <f t="shared" si="39"/>
        <v>-49811.131493547502</v>
      </c>
      <c r="V25" s="290">
        <f t="shared" si="40"/>
        <v>-49811.131493547502</v>
      </c>
      <c r="W25" s="290">
        <f t="shared" si="41"/>
        <v>-49811.131493547502</v>
      </c>
      <c r="X25" s="292">
        <f t="shared" si="42"/>
        <v>-205960.47804721911</v>
      </c>
      <c r="Y25" s="279">
        <f ca="1">IF(AND(Y$22=TRUE,INDEX(CDRANGE_CLS3,MATCH($A25,$A$24:$A$67,0),MATCH(Y$20,$B$20:$G$20,0))&lt;$D$6/OPDAYS_Cls3),86,payback(C25,T25,disc_rate/12,85))</f>
        <v>86</v>
      </c>
      <c r="Z25" s="280">
        <f ca="1">IF(AND(Z$22=TRUE,INDEX(CDRANGE_CLS3,MATCH($A25,$A$24:$A$67,0),MATCH(Z$20,$B$20:$G$20,0))&lt;$D$6/OPDAYS_Cls3),86,payback(D25,U25,disc_rate/12,85))</f>
        <v>86</v>
      </c>
      <c r="AA25" s="280">
        <f ca="1">IF(AND(AA$22=TRUE,INDEX(CDRANGE_CLS3,MATCH($A25,$A$24:$A$67,0),MATCH(AA$20,$B$20:$G$20,0))&lt;$D$6/OPDAYS_Cls3),86,payback(E25,V25,disc_rate/12,85))</f>
        <v>86</v>
      </c>
      <c r="AB25" s="280">
        <f ca="1">IF(AND(AB$22=TRUE,INDEX(CDRANGE_CLS3,MATCH($A25,$A$24:$A$67,0),MATCH(AB$20,$B$20:$G$20,0))&lt;$D$6/OPDAYS_Cls3),86,payback(F25,W25,disc_rate/12,85))</f>
        <v>86</v>
      </c>
      <c r="AC25" s="281">
        <f>IF(AND(AC$22=TRUE,INDEX(CDRANGE_CLS3,MATCH($A25,$A$24:$A$67,0),MATCH(AC$20,$B$20:$G$20,0))&lt;$D$6/OPDAYS_Cls3),86,payback(G25,X25,disc_rate/12,85))</f>
        <v>86</v>
      </c>
      <c r="AD25" s="296">
        <f t="shared" si="43"/>
        <v>0</v>
      </c>
      <c r="AE25" s="297">
        <f t="shared" si="44"/>
        <v>0</v>
      </c>
      <c r="AF25" s="297">
        <f t="shared" si="45"/>
        <v>0</v>
      </c>
      <c r="AG25" s="297">
        <f t="shared" si="46"/>
        <v>0</v>
      </c>
      <c r="AH25" s="597">
        <f t="shared" si="47"/>
        <v>0</v>
      </c>
      <c r="AI25" s="299">
        <f t="shared" si="48"/>
        <v>0</v>
      </c>
      <c r="AJ25" s="300">
        <f t="shared" si="49"/>
        <v>0</v>
      </c>
      <c r="AK25" s="300">
        <f t="shared" si="50"/>
        <v>0</v>
      </c>
      <c r="AL25" s="300">
        <f t="shared" si="51"/>
        <v>0</v>
      </c>
      <c r="AM25" s="301">
        <f t="shared" si="52"/>
        <v>0</v>
      </c>
      <c r="AN25" s="299">
        <f t="shared" ref="AN25:AR67" si="65">IF(C25&lt;0,1,$AQ$17*(1-WEIBULL(C25/$B25,$AO$17,$AO$18,1)))</f>
        <v>0</v>
      </c>
      <c r="AO25" s="300">
        <f t="shared" si="53"/>
        <v>0</v>
      </c>
      <c r="AP25" s="300">
        <f t="shared" si="53"/>
        <v>0</v>
      </c>
      <c r="AQ25" s="300">
        <f t="shared" si="53"/>
        <v>0</v>
      </c>
      <c r="AR25" s="301">
        <f t="shared" si="53"/>
        <v>0</v>
      </c>
      <c r="AS25" s="296">
        <f t="shared" ca="1" si="54"/>
        <v>0</v>
      </c>
      <c r="AT25" s="297">
        <f t="shared" ca="1" si="55"/>
        <v>0</v>
      </c>
      <c r="AU25" s="297">
        <f t="shared" ca="1" si="56"/>
        <v>0</v>
      </c>
      <c r="AV25" s="297">
        <f t="shared" ca="1" si="57"/>
        <v>0</v>
      </c>
      <c r="AW25" s="298">
        <f t="shared" si="58"/>
        <v>0</v>
      </c>
      <c r="AX25" s="756">
        <f t="shared" ca="1" si="59"/>
        <v>0</v>
      </c>
      <c r="AY25" s="297">
        <f t="shared" ca="1" si="59"/>
        <v>0</v>
      </c>
      <c r="AZ25" s="297">
        <f t="shared" ca="1" si="59"/>
        <v>0</v>
      </c>
      <c r="BA25" s="297">
        <f t="shared" ca="1" si="59"/>
        <v>0</v>
      </c>
      <c r="BB25" s="597">
        <f t="shared" si="59"/>
        <v>0</v>
      </c>
      <c r="BC25" s="296">
        <f t="shared" ref="BC25:BC67" ca="1" si="66">1-SUM(BD25:BH25)</f>
        <v>1</v>
      </c>
      <c r="BD25" s="297">
        <f t="shared" ca="1" si="60"/>
        <v>0</v>
      </c>
      <c r="BE25" s="297">
        <f t="shared" ca="1" si="61"/>
        <v>0</v>
      </c>
      <c r="BF25" s="297">
        <f t="shared" ca="1" si="62"/>
        <v>0</v>
      </c>
      <c r="BG25" s="297">
        <f t="shared" ca="1" si="63"/>
        <v>0</v>
      </c>
      <c r="BH25" s="298">
        <f t="shared" ca="1" si="64"/>
        <v>0</v>
      </c>
    </row>
    <row r="26" spans="1:60" x14ac:dyDescent="0.2">
      <c r="A26" s="288">
        <v>2009</v>
      </c>
      <c r="B26" s="810">
        <f t="shared" si="30"/>
        <v>96771.81</v>
      </c>
      <c r="C26" s="811">
        <f t="shared" si="30"/>
        <v>1000000</v>
      </c>
      <c r="D26" s="811">
        <f t="shared" si="30"/>
        <v>1000000</v>
      </c>
      <c r="E26" s="811">
        <f t="shared" si="30"/>
        <v>1000000</v>
      </c>
      <c r="F26" s="811">
        <f t="shared" si="30"/>
        <v>1000000</v>
      </c>
      <c r="G26" s="812">
        <f t="shared" si="30"/>
        <v>1000000</v>
      </c>
      <c r="H26" s="780">
        <f t="shared" si="31"/>
        <v>1</v>
      </c>
      <c r="I26" s="781">
        <f t="shared" si="31"/>
        <v>1</v>
      </c>
      <c r="J26" s="781">
        <f t="shared" si="31"/>
        <v>1</v>
      </c>
      <c r="K26" s="781">
        <f t="shared" si="31"/>
        <v>1</v>
      </c>
      <c r="L26" s="781">
        <f t="shared" si="31"/>
        <v>1</v>
      </c>
      <c r="M26" s="782">
        <f t="shared" si="31"/>
        <v>1</v>
      </c>
      <c r="N26" s="732">
        <f t="shared" si="32"/>
        <v>6618.87448119499</v>
      </c>
      <c r="O26" s="276">
        <f t="shared" si="33"/>
        <v>38814.81351494915</v>
      </c>
      <c r="P26" s="276">
        <f t="shared" si="34"/>
        <v>38814.81351494915</v>
      </c>
      <c r="Q26" s="276">
        <f t="shared" si="35"/>
        <v>38814.81351494915</v>
      </c>
      <c r="R26" s="276">
        <f t="shared" si="36"/>
        <v>38814.81351494915</v>
      </c>
      <c r="S26" s="278">
        <f t="shared" si="37"/>
        <v>323988.06783000001</v>
      </c>
      <c r="T26" s="289">
        <f t="shared" si="38"/>
        <v>-32195.939033754159</v>
      </c>
      <c r="U26" s="290">
        <f t="shared" si="39"/>
        <v>-32195.939033754159</v>
      </c>
      <c r="V26" s="290">
        <f t="shared" si="40"/>
        <v>-32195.939033754159</v>
      </c>
      <c r="W26" s="290">
        <f t="shared" si="41"/>
        <v>-32195.939033754159</v>
      </c>
      <c r="X26" s="292">
        <f t="shared" si="42"/>
        <v>-317369.19334880501</v>
      </c>
      <c r="Y26" s="279">
        <f ca="1">IF(AND(Y$22=TRUE,INDEX(CDRANGE_CLS3,MATCH($A26,$A$24:$A$67,0),MATCH(Y$20,$B$20:$G$20,0))&lt;$D$6/OPDAYS_Cls3),86,payback(C26,T26,disc_rate/12,85))</f>
        <v>86</v>
      </c>
      <c r="Z26" s="280">
        <f ca="1">IF(AND(Z$22=TRUE,INDEX(CDRANGE_CLS3,MATCH($A26,$A$24:$A$67,0),MATCH(Z$20,$B$20:$G$20,0))&lt;$D$6/OPDAYS_Cls3),86,payback(D26,U26,disc_rate/12,85))</f>
        <v>86</v>
      </c>
      <c r="AA26" s="280">
        <f ca="1">IF(AND(AA$22=TRUE,INDEX(CDRANGE_CLS3,MATCH($A26,$A$24:$A$67,0),MATCH(AA$20,$B$20:$G$20,0))&lt;$D$6/OPDAYS_Cls3),86,payback(E26,V26,disc_rate/12,85))</f>
        <v>86</v>
      </c>
      <c r="AB26" s="280">
        <f ca="1">IF(AND(AB$22=TRUE,INDEX(CDRANGE_CLS3,MATCH($A26,$A$24:$A$67,0),MATCH(AB$20,$B$20:$G$20,0))&lt;$D$6/OPDAYS_Cls3),86,payback(F26,W26,disc_rate/12,85))</f>
        <v>86</v>
      </c>
      <c r="AC26" s="281">
        <f>IF(AND(AC$22=TRUE,INDEX(CDRANGE_CLS3,MATCH($A26,$A$24:$A$67,0),MATCH(AC$20,$B$20:$G$20,0))&lt;$D$6/OPDAYS_Cls3),86,payback(G26,X26,disc_rate/12,85))</f>
        <v>86</v>
      </c>
      <c r="AD26" s="296">
        <f t="shared" si="43"/>
        <v>0</v>
      </c>
      <c r="AE26" s="297">
        <f t="shared" si="44"/>
        <v>0</v>
      </c>
      <c r="AF26" s="297">
        <f t="shared" si="45"/>
        <v>0</v>
      </c>
      <c r="AG26" s="297">
        <f t="shared" si="46"/>
        <v>0</v>
      </c>
      <c r="AH26" s="597">
        <f t="shared" si="47"/>
        <v>0</v>
      </c>
      <c r="AI26" s="299">
        <f t="shared" si="48"/>
        <v>0</v>
      </c>
      <c r="AJ26" s="300">
        <f t="shared" si="49"/>
        <v>0</v>
      </c>
      <c r="AK26" s="300">
        <f t="shared" si="50"/>
        <v>0</v>
      </c>
      <c r="AL26" s="300">
        <f t="shared" si="51"/>
        <v>0</v>
      </c>
      <c r="AM26" s="301">
        <f t="shared" si="52"/>
        <v>0</v>
      </c>
      <c r="AN26" s="299">
        <f t="shared" si="65"/>
        <v>0</v>
      </c>
      <c r="AO26" s="300">
        <f t="shared" si="53"/>
        <v>0</v>
      </c>
      <c r="AP26" s="300">
        <f t="shared" si="53"/>
        <v>0</v>
      </c>
      <c r="AQ26" s="300">
        <f t="shared" si="53"/>
        <v>0</v>
      </c>
      <c r="AR26" s="301">
        <f t="shared" si="53"/>
        <v>0</v>
      </c>
      <c r="AS26" s="296">
        <f t="shared" ca="1" si="54"/>
        <v>0</v>
      </c>
      <c r="AT26" s="297">
        <f t="shared" ca="1" si="55"/>
        <v>0</v>
      </c>
      <c r="AU26" s="297">
        <f t="shared" ca="1" si="56"/>
        <v>0</v>
      </c>
      <c r="AV26" s="297">
        <f t="shared" ca="1" si="57"/>
        <v>0</v>
      </c>
      <c r="AW26" s="298">
        <f t="shared" si="58"/>
        <v>0</v>
      </c>
      <c r="AX26" s="756">
        <f t="shared" ca="1" si="59"/>
        <v>0</v>
      </c>
      <c r="AY26" s="297">
        <f t="shared" ca="1" si="59"/>
        <v>0</v>
      </c>
      <c r="AZ26" s="297">
        <f t="shared" ca="1" si="59"/>
        <v>0</v>
      </c>
      <c r="BA26" s="297">
        <f t="shared" ca="1" si="59"/>
        <v>0</v>
      </c>
      <c r="BB26" s="597">
        <f t="shared" si="59"/>
        <v>0</v>
      </c>
      <c r="BC26" s="296">
        <f t="shared" ca="1" si="66"/>
        <v>1</v>
      </c>
      <c r="BD26" s="297">
        <f t="shared" ca="1" si="60"/>
        <v>0</v>
      </c>
      <c r="BE26" s="297">
        <f t="shared" ca="1" si="61"/>
        <v>0</v>
      </c>
      <c r="BF26" s="297">
        <f t="shared" ca="1" si="62"/>
        <v>0</v>
      </c>
      <c r="BG26" s="297">
        <f t="shared" ca="1" si="63"/>
        <v>0</v>
      </c>
      <c r="BH26" s="298">
        <f t="shared" ca="1" si="64"/>
        <v>0</v>
      </c>
    </row>
    <row r="27" spans="1:60" ht="15" thickBot="1" x14ac:dyDescent="0.25">
      <c r="A27" s="618">
        <v>2010</v>
      </c>
      <c r="B27" s="813">
        <f t="shared" si="30"/>
        <v>96771.81</v>
      </c>
      <c r="C27" s="814">
        <f t="shared" si="30"/>
        <v>1000000</v>
      </c>
      <c r="D27" s="814">
        <f t="shared" si="30"/>
        <v>1000000</v>
      </c>
      <c r="E27" s="814">
        <f t="shared" si="30"/>
        <v>1000000</v>
      </c>
      <c r="F27" s="814">
        <f t="shared" si="30"/>
        <v>1000000</v>
      </c>
      <c r="G27" s="815">
        <f t="shared" si="30"/>
        <v>1000000</v>
      </c>
      <c r="H27" s="780">
        <f t="shared" si="31"/>
        <v>1</v>
      </c>
      <c r="I27" s="781">
        <f t="shared" si="31"/>
        <v>1</v>
      </c>
      <c r="J27" s="781">
        <f t="shared" si="31"/>
        <v>1</v>
      </c>
      <c r="K27" s="781">
        <f t="shared" si="31"/>
        <v>1</v>
      </c>
      <c r="L27" s="781">
        <f t="shared" si="31"/>
        <v>1</v>
      </c>
      <c r="M27" s="782">
        <f t="shared" si="31"/>
        <v>1</v>
      </c>
      <c r="N27" s="882">
        <f t="shared" si="32"/>
        <v>7905.3032615962993</v>
      </c>
      <c r="O27" s="775">
        <f t="shared" si="33"/>
        <v>47849.749582637734</v>
      </c>
      <c r="P27" s="775">
        <f t="shared" si="34"/>
        <v>47849.749582637734</v>
      </c>
      <c r="Q27" s="775">
        <f t="shared" si="35"/>
        <v>47849.749582637734</v>
      </c>
      <c r="R27" s="775">
        <f t="shared" si="36"/>
        <v>47849.749582637734</v>
      </c>
      <c r="S27" s="776">
        <f t="shared" si="37"/>
        <v>233000.79674625001</v>
      </c>
      <c r="T27" s="303">
        <f t="shared" si="38"/>
        <v>-39944.446321041432</v>
      </c>
      <c r="U27" s="304">
        <f t="shared" si="39"/>
        <v>-39944.446321041432</v>
      </c>
      <c r="V27" s="304">
        <f t="shared" si="40"/>
        <v>-39944.446321041432</v>
      </c>
      <c r="W27" s="304">
        <f t="shared" si="41"/>
        <v>-39944.446321041432</v>
      </c>
      <c r="X27" s="306">
        <f t="shared" si="42"/>
        <v>-225095.49348465371</v>
      </c>
      <c r="Y27" s="722">
        <f ca="1">IF(AND(Y$22=TRUE,INDEX(CDRANGE_CLS3,MATCH($A27,$A$24:$A$67,0),MATCH(Y$20,$B$20:$G$20,0))&lt;$D$6/OPDAYS_Cls3),86,payback(C27,T27,disc_rate/12,85))</f>
        <v>86</v>
      </c>
      <c r="Z27" s="723">
        <f ca="1">IF(AND(Z$22=TRUE,INDEX(CDRANGE_CLS3,MATCH($A27,$A$24:$A$67,0),MATCH(Z$20,$B$20:$G$20,0))&lt;$D$6/OPDAYS_Cls3),86,payback(D27,U27,disc_rate/12,85))</f>
        <v>86</v>
      </c>
      <c r="AA27" s="723">
        <f ca="1">IF(AND(AA$22=TRUE,INDEX(CDRANGE_CLS3,MATCH($A27,$A$24:$A$67,0),MATCH(AA$20,$B$20:$G$20,0))&lt;$D$6/OPDAYS_Cls3),86,payback(E27,V27,disc_rate/12,85))</f>
        <v>86</v>
      </c>
      <c r="AB27" s="723">
        <f ca="1">IF(AND(AB$22=TRUE,INDEX(CDRANGE_CLS3,MATCH($A27,$A$24:$A$67,0),MATCH(AB$20,$B$20:$G$20,0))&lt;$D$6/OPDAYS_Cls3),86,payback(F27,W27,disc_rate/12,85))</f>
        <v>86</v>
      </c>
      <c r="AC27" s="891">
        <f>IF(AND(AC$22=TRUE,INDEX(CDRANGE_CLS3,MATCH($A27,$A$24:$A$67,0),MATCH(AC$20,$B$20:$G$20,0))&lt;$D$6/OPDAYS_Cls3),86,payback(G27,X27,disc_rate/12,85))</f>
        <v>86</v>
      </c>
      <c r="AD27" s="310">
        <f t="shared" si="43"/>
        <v>0</v>
      </c>
      <c r="AE27" s="311">
        <f t="shared" si="44"/>
        <v>0</v>
      </c>
      <c r="AF27" s="311">
        <f t="shared" si="45"/>
        <v>0</v>
      </c>
      <c r="AG27" s="311">
        <f t="shared" si="46"/>
        <v>0</v>
      </c>
      <c r="AH27" s="758">
        <f t="shared" si="47"/>
        <v>0</v>
      </c>
      <c r="AI27" s="313">
        <f t="shared" si="48"/>
        <v>0</v>
      </c>
      <c r="AJ27" s="314">
        <f t="shared" si="49"/>
        <v>0</v>
      </c>
      <c r="AK27" s="314">
        <f t="shared" si="50"/>
        <v>0</v>
      </c>
      <c r="AL27" s="314">
        <f t="shared" si="51"/>
        <v>0</v>
      </c>
      <c r="AM27" s="315">
        <f t="shared" si="52"/>
        <v>0</v>
      </c>
      <c r="AN27" s="313">
        <f t="shared" si="65"/>
        <v>0</v>
      </c>
      <c r="AO27" s="314">
        <f t="shared" si="53"/>
        <v>0</v>
      </c>
      <c r="AP27" s="314">
        <f t="shared" si="53"/>
        <v>0</v>
      </c>
      <c r="AQ27" s="314">
        <f t="shared" si="53"/>
        <v>0</v>
      </c>
      <c r="AR27" s="315">
        <f t="shared" si="53"/>
        <v>0</v>
      </c>
      <c r="AS27" s="310">
        <f t="shared" ca="1" si="54"/>
        <v>0</v>
      </c>
      <c r="AT27" s="311">
        <f t="shared" ca="1" si="55"/>
        <v>0</v>
      </c>
      <c r="AU27" s="311">
        <f t="shared" ca="1" si="56"/>
        <v>0</v>
      </c>
      <c r="AV27" s="311">
        <f t="shared" ca="1" si="57"/>
        <v>0</v>
      </c>
      <c r="AW27" s="312">
        <f t="shared" si="58"/>
        <v>0</v>
      </c>
      <c r="AX27" s="757">
        <f t="shared" ca="1" si="59"/>
        <v>0</v>
      </c>
      <c r="AY27" s="625">
        <f t="shared" ca="1" si="59"/>
        <v>0</v>
      </c>
      <c r="AZ27" s="625">
        <f t="shared" ca="1" si="59"/>
        <v>0</v>
      </c>
      <c r="BA27" s="625">
        <f t="shared" ca="1" si="59"/>
        <v>0</v>
      </c>
      <c r="BB27" s="645">
        <f t="shared" si="59"/>
        <v>0</v>
      </c>
      <c r="BC27" s="310">
        <f t="shared" ca="1" si="66"/>
        <v>1</v>
      </c>
      <c r="BD27" s="311">
        <f t="shared" ca="1" si="60"/>
        <v>0</v>
      </c>
      <c r="BE27" s="311">
        <f t="shared" ca="1" si="61"/>
        <v>0</v>
      </c>
      <c r="BF27" s="311">
        <f t="shared" ca="1" si="62"/>
        <v>0</v>
      </c>
      <c r="BG27" s="311">
        <f t="shared" ca="1" si="63"/>
        <v>0</v>
      </c>
      <c r="BH27" s="312">
        <f t="shared" ca="1" si="64"/>
        <v>0</v>
      </c>
    </row>
    <row r="28" spans="1:60" x14ac:dyDescent="0.2">
      <c r="A28" s="318">
        <v>2011</v>
      </c>
      <c r="B28" s="816">
        <f t="shared" si="30"/>
        <v>96771.81</v>
      </c>
      <c r="C28" s="817">
        <f t="shared" si="30"/>
        <v>1000000</v>
      </c>
      <c r="D28" s="817">
        <f t="shared" si="30"/>
        <v>1000000</v>
      </c>
      <c r="E28" s="817">
        <f t="shared" si="30"/>
        <v>1000000</v>
      </c>
      <c r="F28" s="817">
        <f t="shared" si="30"/>
        <v>1000000</v>
      </c>
      <c r="G28" s="818">
        <f t="shared" si="30"/>
        <v>1000000</v>
      </c>
      <c r="H28" s="780">
        <f t="shared" si="31"/>
        <v>1</v>
      </c>
      <c r="I28" s="781">
        <f t="shared" si="31"/>
        <v>1</v>
      </c>
      <c r="J28" s="781">
        <f t="shared" si="31"/>
        <v>1</v>
      </c>
      <c r="K28" s="781">
        <f t="shared" si="31"/>
        <v>1</v>
      </c>
      <c r="L28" s="781">
        <f t="shared" si="31"/>
        <v>1</v>
      </c>
      <c r="M28" s="782">
        <f t="shared" si="31"/>
        <v>1</v>
      </c>
      <c r="N28" s="735">
        <f t="shared" si="32"/>
        <v>10333.072288486244</v>
      </c>
      <c r="O28" s="632">
        <f t="shared" si="33"/>
        <v>63345.575959933216</v>
      </c>
      <c r="P28" s="632">
        <f t="shared" si="34"/>
        <v>63345.575959933216</v>
      </c>
      <c r="Q28" s="632">
        <f t="shared" si="35"/>
        <v>63345.575959933216</v>
      </c>
      <c r="R28" s="632">
        <f t="shared" si="36"/>
        <v>63345.575959933216</v>
      </c>
      <c r="S28" s="744">
        <f t="shared" si="37"/>
        <v>184066.20405000003</v>
      </c>
      <c r="T28" s="735">
        <f t="shared" si="38"/>
        <v>-53012.503671446975</v>
      </c>
      <c r="U28" s="632">
        <f t="shared" si="39"/>
        <v>-53012.503671446975</v>
      </c>
      <c r="V28" s="632">
        <f t="shared" si="40"/>
        <v>-53012.503671446975</v>
      </c>
      <c r="W28" s="632">
        <f t="shared" si="41"/>
        <v>-53012.503671446975</v>
      </c>
      <c r="X28" s="633">
        <f t="shared" si="42"/>
        <v>-173733.1317615138</v>
      </c>
      <c r="Y28" s="634">
        <f ca="1">IF(AND(Y$22=TRUE,INDEX(CDRANGE_CLS3,MATCH($A28,$A$24:$A$67,0),MATCH(Y$20,$B$20:$G$20,0))&lt;$D$6/OPDAYS_Cls3),86,payback(C28,T28,disc_rate/12,85))</f>
        <v>86</v>
      </c>
      <c r="Z28" s="635">
        <f ca="1">IF(AND(Z$22=TRUE,INDEX(CDRANGE_CLS3,MATCH($A28,$A$24:$A$67,0),MATCH(Z$20,$B$20:$G$20,0))&lt;$D$6/OPDAYS_Cls3),86,payback(D28,U28,disc_rate/12,85))</f>
        <v>86</v>
      </c>
      <c r="AA28" s="635">
        <f ca="1">IF(AND(AA$22=TRUE,INDEX(CDRANGE_CLS3,MATCH($A28,$A$24:$A$67,0),MATCH(AA$20,$B$20:$G$20,0))&lt;$D$6/OPDAYS_Cls3),86,payback(E28,V28,disc_rate/12,85))</f>
        <v>86</v>
      </c>
      <c r="AB28" s="635">
        <f ca="1">IF(AND(AB$22=TRUE,INDEX(CDRANGE_CLS3,MATCH($A28,$A$24:$A$67,0),MATCH(AB$20,$B$20:$G$20,0))&lt;$D$6/OPDAYS_Cls3),86,payback(F28,W28,disc_rate/12,85))</f>
        <v>86</v>
      </c>
      <c r="AC28" s="892">
        <f>IF(AND(AC$22=TRUE,INDEX(CDRANGE_CLS3,MATCH($A28,$A$24:$A$67,0),MATCH(AC$20,$B$20:$G$20,0))&lt;$D$6/OPDAYS_Cls3),86,payback(G28,X28,disc_rate/12,85))</f>
        <v>86</v>
      </c>
      <c r="AD28" s="637">
        <f t="shared" si="43"/>
        <v>0</v>
      </c>
      <c r="AE28" s="638">
        <f t="shared" si="44"/>
        <v>0</v>
      </c>
      <c r="AF28" s="638">
        <f t="shared" si="45"/>
        <v>0</v>
      </c>
      <c r="AG28" s="638">
        <f t="shared" si="46"/>
        <v>0</v>
      </c>
      <c r="AH28" s="639">
        <f t="shared" si="47"/>
        <v>0</v>
      </c>
      <c r="AI28" s="640">
        <f t="shared" si="48"/>
        <v>0</v>
      </c>
      <c r="AJ28" s="641">
        <f t="shared" si="49"/>
        <v>0</v>
      </c>
      <c r="AK28" s="641">
        <f t="shared" si="50"/>
        <v>0</v>
      </c>
      <c r="AL28" s="641">
        <f t="shared" si="51"/>
        <v>0</v>
      </c>
      <c r="AM28" s="642">
        <f t="shared" si="52"/>
        <v>0</v>
      </c>
      <c r="AN28" s="643">
        <f t="shared" si="65"/>
        <v>0</v>
      </c>
      <c r="AO28" s="641">
        <f t="shared" si="53"/>
        <v>0</v>
      </c>
      <c r="AP28" s="641">
        <f t="shared" si="53"/>
        <v>0</v>
      </c>
      <c r="AQ28" s="641">
        <f t="shared" si="53"/>
        <v>0</v>
      </c>
      <c r="AR28" s="642">
        <f t="shared" si="53"/>
        <v>0</v>
      </c>
      <c r="AS28" s="637">
        <f t="shared" ca="1" si="54"/>
        <v>0</v>
      </c>
      <c r="AT28" s="638">
        <f t="shared" ca="1" si="55"/>
        <v>0</v>
      </c>
      <c r="AU28" s="638">
        <f t="shared" ca="1" si="56"/>
        <v>0</v>
      </c>
      <c r="AV28" s="638">
        <f t="shared" ca="1" si="57"/>
        <v>0</v>
      </c>
      <c r="AW28" s="639">
        <f t="shared" si="58"/>
        <v>0</v>
      </c>
      <c r="AX28" s="637">
        <f t="shared" ca="1" si="59"/>
        <v>0</v>
      </c>
      <c r="AY28" s="638">
        <f t="shared" ca="1" si="59"/>
        <v>0</v>
      </c>
      <c r="AZ28" s="638">
        <f t="shared" ca="1" si="59"/>
        <v>0</v>
      </c>
      <c r="BA28" s="638">
        <f t="shared" ca="1" si="59"/>
        <v>0</v>
      </c>
      <c r="BB28" s="639">
        <f t="shared" si="59"/>
        <v>0</v>
      </c>
      <c r="BC28" s="637">
        <f t="shared" ca="1" si="66"/>
        <v>1</v>
      </c>
      <c r="BD28" s="638">
        <f t="shared" ca="1" si="60"/>
        <v>0</v>
      </c>
      <c r="BE28" s="638">
        <f t="shared" ca="1" si="61"/>
        <v>0</v>
      </c>
      <c r="BF28" s="638">
        <f t="shared" ca="1" si="62"/>
        <v>0</v>
      </c>
      <c r="BG28" s="638">
        <f t="shared" ca="1" si="63"/>
        <v>0</v>
      </c>
      <c r="BH28" s="639">
        <f t="shared" ca="1" si="64"/>
        <v>0</v>
      </c>
    </row>
    <row r="29" spans="1:60" x14ac:dyDescent="0.2">
      <c r="A29" s="317">
        <v>2012</v>
      </c>
      <c r="B29" s="819">
        <f t="shared" si="30"/>
        <v>96771.81</v>
      </c>
      <c r="C29" s="820">
        <f t="shared" si="30"/>
        <v>1000000</v>
      </c>
      <c r="D29" s="820">
        <f t="shared" si="30"/>
        <v>1000000</v>
      </c>
      <c r="E29" s="820">
        <f t="shared" si="30"/>
        <v>1000000</v>
      </c>
      <c r="F29" s="820">
        <f t="shared" si="30"/>
        <v>1000000</v>
      </c>
      <c r="G29" s="821">
        <f t="shared" si="30"/>
        <v>1000000</v>
      </c>
      <c r="H29" s="780">
        <f t="shared" si="31"/>
        <v>1</v>
      </c>
      <c r="I29" s="781">
        <f t="shared" si="31"/>
        <v>1</v>
      </c>
      <c r="J29" s="781">
        <f t="shared" si="31"/>
        <v>1</v>
      </c>
      <c r="K29" s="781">
        <f t="shared" si="31"/>
        <v>1</v>
      </c>
      <c r="L29" s="781">
        <f t="shared" si="31"/>
        <v>1</v>
      </c>
      <c r="M29" s="782">
        <f t="shared" si="31"/>
        <v>1</v>
      </c>
      <c r="N29" s="732">
        <f t="shared" si="32"/>
        <v>10840.706072077373</v>
      </c>
      <c r="O29" s="276">
        <f t="shared" si="33"/>
        <v>66812.080740628313</v>
      </c>
      <c r="P29" s="276">
        <f t="shared" si="34"/>
        <v>66812.080740628313</v>
      </c>
      <c r="Q29" s="276">
        <f t="shared" si="35"/>
        <v>66812.080740628313</v>
      </c>
      <c r="R29" s="276">
        <f t="shared" si="36"/>
        <v>66812.080740628313</v>
      </c>
      <c r="S29" s="278">
        <f t="shared" si="37"/>
        <v>157332.03911249997</v>
      </c>
      <c r="T29" s="733">
        <f t="shared" si="38"/>
        <v>-55971.37466855094</v>
      </c>
      <c r="U29" s="290">
        <f t="shared" si="39"/>
        <v>-55971.37466855094</v>
      </c>
      <c r="V29" s="290">
        <f t="shared" si="40"/>
        <v>-55971.37466855094</v>
      </c>
      <c r="W29" s="290">
        <f t="shared" si="41"/>
        <v>-55971.37466855094</v>
      </c>
      <c r="X29" s="291">
        <f t="shared" si="42"/>
        <v>-146491.33304042259</v>
      </c>
      <c r="Y29" s="279">
        <f ca="1">IF(AND(Y$22=TRUE,INDEX(CDRANGE_CLS3,MATCH($A29,$A$24:$A$67,0),MATCH(Y$20,$B$20:$G$20,0))&lt;$D$6/OPDAYS_Cls3),86,payback(C29,T29,disc_rate/12,85))</f>
        <v>86</v>
      </c>
      <c r="Z29" s="280">
        <f ca="1">IF(AND(Z$22=TRUE,INDEX(CDRANGE_CLS3,MATCH($A29,$A$24:$A$67,0),MATCH(Z$20,$B$20:$G$20,0))&lt;$D$6/OPDAYS_Cls3),86,payback(D29,U29,disc_rate/12,85))</f>
        <v>86</v>
      </c>
      <c r="AA29" s="280">
        <f ca="1">IF(AND(AA$22=TRUE,INDEX(CDRANGE_CLS3,MATCH($A29,$A$24:$A$67,0),MATCH(AA$20,$B$20:$G$20,0))&lt;$D$6/OPDAYS_Cls3),86,payback(E29,V29,disc_rate/12,85))</f>
        <v>86</v>
      </c>
      <c r="AB29" s="280">
        <f ca="1">IF(AND(AB$22=TRUE,INDEX(CDRANGE_CLS3,MATCH($A29,$A$24:$A$67,0),MATCH(AB$20,$B$20:$G$20,0))&lt;$D$6/OPDAYS_Cls3),86,payback(F29,W29,disc_rate/12,85))</f>
        <v>86</v>
      </c>
      <c r="AC29" s="281">
        <f>IF(AND(AC$22=TRUE,INDEX(CDRANGE_CLS3,MATCH($A29,$A$24:$A$67,0),MATCH(AC$20,$B$20:$G$20,0))&lt;$D$6/OPDAYS_Cls3),86,payback(G29,X29,disc_rate/12,85))</f>
        <v>86</v>
      </c>
      <c r="AD29" s="296">
        <f t="shared" si="43"/>
        <v>0</v>
      </c>
      <c r="AE29" s="297">
        <f t="shared" si="44"/>
        <v>0</v>
      </c>
      <c r="AF29" s="297">
        <f t="shared" si="45"/>
        <v>0</v>
      </c>
      <c r="AG29" s="297">
        <f t="shared" si="46"/>
        <v>0</v>
      </c>
      <c r="AH29" s="298">
        <f t="shared" si="47"/>
        <v>0</v>
      </c>
      <c r="AI29" s="595">
        <f t="shared" si="48"/>
        <v>0</v>
      </c>
      <c r="AJ29" s="300">
        <f t="shared" si="49"/>
        <v>0</v>
      </c>
      <c r="AK29" s="300">
        <f t="shared" si="50"/>
        <v>0</v>
      </c>
      <c r="AL29" s="300">
        <f t="shared" si="51"/>
        <v>0</v>
      </c>
      <c r="AM29" s="598">
        <f t="shared" si="52"/>
        <v>0</v>
      </c>
      <c r="AN29" s="299">
        <f t="shared" si="65"/>
        <v>0</v>
      </c>
      <c r="AO29" s="300">
        <f t="shared" si="53"/>
        <v>0</v>
      </c>
      <c r="AP29" s="300">
        <f t="shared" si="53"/>
        <v>0</v>
      </c>
      <c r="AQ29" s="300">
        <f t="shared" si="53"/>
        <v>0</v>
      </c>
      <c r="AR29" s="598">
        <f t="shared" si="53"/>
        <v>0</v>
      </c>
      <c r="AS29" s="296">
        <f t="shared" ca="1" si="54"/>
        <v>0</v>
      </c>
      <c r="AT29" s="297">
        <f t="shared" ca="1" si="55"/>
        <v>0</v>
      </c>
      <c r="AU29" s="297">
        <f t="shared" ca="1" si="56"/>
        <v>0</v>
      </c>
      <c r="AV29" s="297">
        <f t="shared" ca="1" si="57"/>
        <v>0</v>
      </c>
      <c r="AW29" s="298">
        <f t="shared" si="58"/>
        <v>0</v>
      </c>
      <c r="AX29" s="296">
        <f t="shared" ca="1" si="59"/>
        <v>0</v>
      </c>
      <c r="AY29" s="297">
        <f t="shared" ca="1" si="59"/>
        <v>0</v>
      </c>
      <c r="AZ29" s="297">
        <f t="shared" ca="1" si="59"/>
        <v>0</v>
      </c>
      <c r="BA29" s="297">
        <f t="shared" ca="1" si="59"/>
        <v>0</v>
      </c>
      <c r="BB29" s="298">
        <f t="shared" si="59"/>
        <v>0</v>
      </c>
      <c r="BC29" s="296">
        <f t="shared" ca="1" si="66"/>
        <v>1</v>
      </c>
      <c r="BD29" s="297">
        <f t="shared" ca="1" si="60"/>
        <v>0</v>
      </c>
      <c r="BE29" s="297">
        <f t="shared" ca="1" si="61"/>
        <v>0</v>
      </c>
      <c r="BF29" s="297">
        <f t="shared" ca="1" si="62"/>
        <v>0</v>
      </c>
      <c r="BG29" s="297">
        <f t="shared" ca="1" si="63"/>
        <v>0</v>
      </c>
      <c r="BH29" s="298">
        <f t="shared" ca="1" si="64"/>
        <v>0</v>
      </c>
    </row>
    <row r="30" spans="1:60" x14ac:dyDescent="0.2">
      <c r="A30" s="317">
        <v>2013</v>
      </c>
      <c r="B30" s="819">
        <f t="shared" si="30"/>
        <v>96771.81</v>
      </c>
      <c r="C30" s="820">
        <f t="shared" si="30"/>
        <v>1000000</v>
      </c>
      <c r="D30" s="820">
        <f t="shared" si="30"/>
        <v>1000000</v>
      </c>
      <c r="E30" s="820">
        <f t="shared" si="30"/>
        <v>1000000</v>
      </c>
      <c r="F30" s="820">
        <f t="shared" si="30"/>
        <v>1000000</v>
      </c>
      <c r="G30" s="821">
        <f t="shared" si="30"/>
        <v>1000000</v>
      </c>
      <c r="H30" s="780">
        <f t="shared" si="31"/>
        <v>1</v>
      </c>
      <c r="I30" s="781">
        <f t="shared" si="31"/>
        <v>1</v>
      </c>
      <c r="J30" s="781">
        <f t="shared" si="31"/>
        <v>1</v>
      </c>
      <c r="K30" s="781">
        <f t="shared" si="31"/>
        <v>1</v>
      </c>
      <c r="L30" s="781">
        <f t="shared" si="31"/>
        <v>1</v>
      </c>
      <c r="M30" s="782">
        <f t="shared" si="31"/>
        <v>1</v>
      </c>
      <c r="N30" s="732">
        <f t="shared" si="32"/>
        <v>10770.039360993798</v>
      </c>
      <c r="O30" s="276">
        <f t="shared" si="33"/>
        <v>67008.521778722105</v>
      </c>
      <c r="P30" s="276">
        <f t="shared" si="34"/>
        <v>67008.521778722105</v>
      </c>
      <c r="Q30" s="276">
        <f t="shared" si="35"/>
        <v>67008.521778722105</v>
      </c>
      <c r="R30" s="276">
        <f t="shared" si="36"/>
        <v>67008.521778722105</v>
      </c>
      <c r="S30" s="278">
        <f t="shared" si="37"/>
        <v>161270.62325999999</v>
      </c>
      <c r="T30" s="733">
        <f t="shared" si="38"/>
        <v>-56238.482417728308</v>
      </c>
      <c r="U30" s="290">
        <f t="shared" si="39"/>
        <v>-56238.482417728308</v>
      </c>
      <c r="V30" s="290">
        <f t="shared" si="40"/>
        <v>-56238.482417728308</v>
      </c>
      <c r="W30" s="290">
        <f t="shared" si="41"/>
        <v>-56238.482417728308</v>
      </c>
      <c r="X30" s="291">
        <f t="shared" si="42"/>
        <v>-150500.58389900619</v>
      </c>
      <c r="Y30" s="279">
        <f ca="1">IF(AND(Y$22=TRUE,INDEX(CDRANGE_CLS3,MATCH($A30,$A$24:$A$67,0),MATCH(Y$20,$B$20:$G$20,0))&lt;$D$6/OPDAYS_Cls3),86,payback(C30,T30,disc_rate/12,85))</f>
        <v>86</v>
      </c>
      <c r="Z30" s="280">
        <f ca="1">IF(AND(Z$22=TRUE,INDEX(CDRANGE_CLS3,MATCH($A30,$A$24:$A$67,0),MATCH(Z$20,$B$20:$G$20,0))&lt;$D$6/OPDAYS_Cls3),86,payback(D30,U30,disc_rate/12,85))</f>
        <v>86</v>
      </c>
      <c r="AA30" s="280">
        <f ca="1">IF(AND(AA$22=TRUE,INDEX(CDRANGE_CLS3,MATCH($A30,$A$24:$A$67,0),MATCH(AA$20,$B$20:$G$20,0))&lt;$D$6/OPDAYS_Cls3),86,payback(E30,V30,disc_rate/12,85))</f>
        <v>86</v>
      </c>
      <c r="AB30" s="280">
        <f ca="1">IF(AND(AB$22=TRUE,INDEX(CDRANGE_CLS3,MATCH($A30,$A$24:$A$67,0),MATCH(AB$20,$B$20:$G$20,0))&lt;$D$6/OPDAYS_Cls3),86,payback(F30,W30,disc_rate/12,85))</f>
        <v>86</v>
      </c>
      <c r="AC30" s="281">
        <f>IF(AND(AC$22=TRUE,INDEX(CDRANGE_CLS3,MATCH($A30,$A$24:$A$67,0),MATCH(AC$20,$B$20:$G$20,0))&lt;$D$6/OPDAYS_Cls3),86,payback(G30,X30,disc_rate/12,85))</f>
        <v>86</v>
      </c>
      <c r="AD30" s="296">
        <f t="shared" si="43"/>
        <v>0</v>
      </c>
      <c r="AE30" s="297">
        <f t="shared" si="44"/>
        <v>0</v>
      </c>
      <c r="AF30" s="297">
        <f t="shared" si="45"/>
        <v>0</v>
      </c>
      <c r="AG30" s="297">
        <f t="shared" si="46"/>
        <v>0</v>
      </c>
      <c r="AH30" s="298">
        <f t="shared" si="47"/>
        <v>0</v>
      </c>
      <c r="AI30" s="595">
        <f t="shared" si="48"/>
        <v>0</v>
      </c>
      <c r="AJ30" s="300">
        <f t="shared" si="49"/>
        <v>0</v>
      </c>
      <c r="AK30" s="300">
        <f t="shared" si="50"/>
        <v>0</v>
      </c>
      <c r="AL30" s="300">
        <f t="shared" si="51"/>
        <v>0</v>
      </c>
      <c r="AM30" s="598">
        <f t="shared" si="52"/>
        <v>0</v>
      </c>
      <c r="AN30" s="299">
        <f t="shared" si="65"/>
        <v>0</v>
      </c>
      <c r="AO30" s="300">
        <f t="shared" si="53"/>
        <v>0</v>
      </c>
      <c r="AP30" s="300">
        <f t="shared" si="53"/>
        <v>0</v>
      </c>
      <c r="AQ30" s="300">
        <f t="shared" si="53"/>
        <v>0</v>
      </c>
      <c r="AR30" s="598">
        <f t="shared" si="53"/>
        <v>0</v>
      </c>
      <c r="AS30" s="296">
        <f t="shared" ca="1" si="54"/>
        <v>0</v>
      </c>
      <c r="AT30" s="297">
        <f t="shared" ca="1" si="55"/>
        <v>0</v>
      </c>
      <c r="AU30" s="297">
        <f t="shared" ca="1" si="56"/>
        <v>0</v>
      </c>
      <c r="AV30" s="297">
        <f t="shared" ca="1" si="57"/>
        <v>0</v>
      </c>
      <c r="AW30" s="298">
        <f t="shared" si="58"/>
        <v>0</v>
      </c>
      <c r="AX30" s="296">
        <f t="shared" ca="1" si="59"/>
        <v>0</v>
      </c>
      <c r="AY30" s="297">
        <f t="shared" ca="1" si="59"/>
        <v>0</v>
      </c>
      <c r="AZ30" s="297">
        <f t="shared" ca="1" si="59"/>
        <v>0</v>
      </c>
      <c r="BA30" s="297">
        <f t="shared" ca="1" si="59"/>
        <v>0</v>
      </c>
      <c r="BB30" s="298">
        <f t="shared" si="59"/>
        <v>0</v>
      </c>
      <c r="BC30" s="296">
        <f t="shared" ca="1" si="66"/>
        <v>1</v>
      </c>
      <c r="BD30" s="297">
        <f t="shared" ca="1" si="60"/>
        <v>0</v>
      </c>
      <c r="BE30" s="297">
        <f t="shared" ca="1" si="61"/>
        <v>0</v>
      </c>
      <c r="BF30" s="297">
        <f t="shared" ca="1" si="62"/>
        <v>0</v>
      </c>
      <c r="BG30" s="297">
        <f t="shared" ca="1" si="63"/>
        <v>0</v>
      </c>
      <c r="BH30" s="298">
        <f t="shared" ca="1" si="64"/>
        <v>0</v>
      </c>
    </row>
    <row r="31" spans="1:60" x14ac:dyDescent="0.2">
      <c r="A31" s="317">
        <v>2014</v>
      </c>
      <c r="B31" s="819">
        <f t="shared" si="30"/>
        <v>96771.81</v>
      </c>
      <c r="C31" s="820">
        <f t="shared" si="30"/>
        <v>1000000</v>
      </c>
      <c r="D31" s="820">
        <f t="shared" si="30"/>
        <v>1000000</v>
      </c>
      <c r="E31" s="820">
        <f t="shared" si="30"/>
        <v>1000000</v>
      </c>
      <c r="F31" s="820">
        <f t="shared" si="30"/>
        <v>1000000</v>
      </c>
      <c r="G31" s="821">
        <f t="shared" si="30"/>
        <v>1000000</v>
      </c>
      <c r="H31" s="780">
        <f t="shared" si="31"/>
        <v>1</v>
      </c>
      <c r="I31" s="781">
        <f t="shared" si="31"/>
        <v>1</v>
      </c>
      <c r="J31" s="781">
        <f t="shared" si="31"/>
        <v>1</v>
      </c>
      <c r="K31" s="781">
        <f t="shared" si="31"/>
        <v>1</v>
      </c>
      <c r="L31" s="781">
        <f t="shared" si="31"/>
        <v>1</v>
      </c>
      <c r="M31" s="782">
        <f t="shared" si="31"/>
        <v>1</v>
      </c>
      <c r="N31" s="732">
        <f t="shared" si="32"/>
        <v>10588.593032365839</v>
      </c>
      <c r="O31" s="276">
        <f t="shared" si="33"/>
        <v>66407.056268022468</v>
      </c>
      <c r="P31" s="276">
        <f t="shared" si="34"/>
        <v>66407.056268022468</v>
      </c>
      <c r="Q31" s="276">
        <f t="shared" si="35"/>
        <v>66407.056268022468</v>
      </c>
      <c r="R31" s="276">
        <f t="shared" si="36"/>
        <v>66407.056268022468</v>
      </c>
      <c r="S31" s="278">
        <f t="shared" si="37"/>
        <v>167382.11801625005</v>
      </c>
      <c r="T31" s="733">
        <f t="shared" si="38"/>
        <v>-55818.463235656629</v>
      </c>
      <c r="U31" s="290">
        <f t="shared" si="39"/>
        <v>-55818.463235656629</v>
      </c>
      <c r="V31" s="290">
        <f t="shared" si="40"/>
        <v>-55818.463235656629</v>
      </c>
      <c r="W31" s="290">
        <f t="shared" si="41"/>
        <v>-55818.463235656629</v>
      </c>
      <c r="X31" s="291">
        <f t="shared" si="42"/>
        <v>-156793.52498388421</v>
      </c>
      <c r="Y31" s="279">
        <f ca="1">IF(AND(Y$22=TRUE,INDEX(CDRANGE_CLS3,MATCH($A31,$A$24:$A$67,0),MATCH(Y$20,$B$20:$G$20,0))&lt;$D$6/OPDAYS_Cls3),86,payback(C31,T31,disc_rate/12,85))</f>
        <v>86</v>
      </c>
      <c r="Z31" s="280">
        <f ca="1">IF(AND(Z$22=TRUE,INDEX(CDRANGE_CLS3,MATCH($A31,$A$24:$A$67,0),MATCH(Z$20,$B$20:$G$20,0))&lt;$D$6/OPDAYS_Cls3),86,payback(D31,U31,disc_rate/12,85))</f>
        <v>86</v>
      </c>
      <c r="AA31" s="280">
        <f ca="1">IF(AND(AA$22=TRUE,INDEX(CDRANGE_CLS3,MATCH($A31,$A$24:$A$67,0),MATCH(AA$20,$B$20:$G$20,0))&lt;$D$6/OPDAYS_Cls3),86,payback(E31,V31,disc_rate/12,85))</f>
        <v>86</v>
      </c>
      <c r="AB31" s="280">
        <f ca="1">IF(AND(AB$22=TRUE,INDEX(CDRANGE_CLS3,MATCH($A31,$A$24:$A$67,0),MATCH(AB$20,$B$20:$G$20,0))&lt;$D$6/OPDAYS_Cls3),86,payback(F31,W31,disc_rate/12,85))</f>
        <v>86</v>
      </c>
      <c r="AC31" s="281">
        <f>IF(AND(AC$22=TRUE,INDEX(CDRANGE_CLS3,MATCH($A31,$A$24:$A$67,0),MATCH(AC$20,$B$20:$G$20,0))&lt;$D$6/OPDAYS_Cls3),86,payback(G31,X31,disc_rate/12,85))</f>
        <v>86</v>
      </c>
      <c r="AD31" s="296">
        <f t="shared" si="43"/>
        <v>0</v>
      </c>
      <c r="AE31" s="297">
        <f t="shared" si="44"/>
        <v>0</v>
      </c>
      <c r="AF31" s="297">
        <f t="shared" si="45"/>
        <v>0</v>
      </c>
      <c r="AG31" s="297">
        <f t="shared" si="46"/>
        <v>0</v>
      </c>
      <c r="AH31" s="298">
        <f t="shared" si="47"/>
        <v>0</v>
      </c>
      <c r="AI31" s="595">
        <f t="shared" si="48"/>
        <v>0</v>
      </c>
      <c r="AJ31" s="300">
        <f t="shared" si="49"/>
        <v>0</v>
      </c>
      <c r="AK31" s="300">
        <f t="shared" si="50"/>
        <v>0</v>
      </c>
      <c r="AL31" s="300">
        <f t="shared" si="51"/>
        <v>0</v>
      </c>
      <c r="AM31" s="598">
        <f t="shared" si="52"/>
        <v>0</v>
      </c>
      <c r="AN31" s="299">
        <f t="shared" si="65"/>
        <v>0</v>
      </c>
      <c r="AO31" s="300">
        <f t="shared" si="53"/>
        <v>0</v>
      </c>
      <c r="AP31" s="300">
        <f t="shared" si="53"/>
        <v>0</v>
      </c>
      <c r="AQ31" s="300">
        <f t="shared" si="53"/>
        <v>0</v>
      </c>
      <c r="AR31" s="598">
        <f t="shared" si="53"/>
        <v>0</v>
      </c>
      <c r="AS31" s="296">
        <f t="shared" ca="1" si="54"/>
        <v>0</v>
      </c>
      <c r="AT31" s="297">
        <f t="shared" ca="1" si="55"/>
        <v>0</v>
      </c>
      <c r="AU31" s="297">
        <f t="shared" ca="1" si="56"/>
        <v>0</v>
      </c>
      <c r="AV31" s="297">
        <f t="shared" ca="1" si="57"/>
        <v>0</v>
      </c>
      <c r="AW31" s="298">
        <f t="shared" si="58"/>
        <v>0</v>
      </c>
      <c r="AX31" s="296">
        <f t="shared" ca="1" si="59"/>
        <v>0</v>
      </c>
      <c r="AY31" s="297">
        <f t="shared" ca="1" si="59"/>
        <v>0</v>
      </c>
      <c r="AZ31" s="297">
        <f t="shared" ca="1" si="59"/>
        <v>0</v>
      </c>
      <c r="BA31" s="297">
        <f t="shared" ca="1" si="59"/>
        <v>0</v>
      </c>
      <c r="BB31" s="298">
        <f t="shared" si="59"/>
        <v>0</v>
      </c>
      <c r="BC31" s="296">
        <f t="shared" ca="1" si="66"/>
        <v>1</v>
      </c>
      <c r="BD31" s="297">
        <f t="shared" ca="1" si="60"/>
        <v>0</v>
      </c>
      <c r="BE31" s="297">
        <f t="shared" ca="1" si="61"/>
        <v>0</v>
      </c>
      <c r="BF31" s="297">
        <f t="shared" ca="1" si="62"/>
        <v>0</v>
      </c>
      <c r="BG31" s="297">
        <f t="shared" ca="1" si="63"/>
        <v>0</v>
      </c>
      <c r="BH31" s="298">
        <f t="shared" ca="1" si="64"/>
        <v>0</v>
      </c>
    </row>
    <row r="32" spans="1:60" ht="15" thickBot="1" x14ac:dyDescent="0.25">
      <c r="A32" s="302">
        <v>2015</v>
      </c>
      <c r="B32" s="822">
        <f t="shared" si="30"/>
        <v>96771.81</v>
      </c>
      <c r="C32" s="823">
        <f t="shared" si="30"/>
        <v>1000000</v>
      </c>
      <c r="D32" s="823">
        <f t="shared" si="30"/>
        <v>1000000</v>
      </c>
      <c r="E32" s="823">
        <f t="shared" si="30"/>
        <v>1000000</v>
      </c>
      <c r="F32" s="823">
        <f t="shared" si="30"/>
        <v>1000000</v>
      </c>
      <c r="G32" s="824">
        <f t="shared" si="30"/>
        <v>1000000</v>
      </c>
      <c r="H32" s="780">
        <f t="shared" si="31"/>
        <v>1</v>
      </c>
      <c r="I32" s="781">
        <f t="shared" si="31"/>
        <v>1</v>
      </c>
      <c r="J32" s="781">
        <f t="shared" si="31"/>
        <v>1</v>
      </c>
      <c r="K32" s="781">
        <f t="shared" si="31"/>
        <v>1</v>
      </c>
      <c r="L32" s="781">
        <f t="shared" si="31"/>
        <v>1</v>
      </c>
      <c r="M32" s="782">
        <f t="shared" si="31"/>
        <v>1</v>
      </c>
      <c r="N32" s="883">
        <f t="shared" si="32"/>
        <v>7416.6980175890603</v>
      </c>
      <c r="O32" s="778">
        <f t="shared" si="33"/>
        <v>47058.723820003019</v>
      </c>
      <c r="P32" s="778">
        <f t="shared" si="34"/>
        <v>47058.723820003019</v>
      </c>
      <c r="Q32" s="778">
        <f t="shared" si="35"/>
        <v>47058.723820003019</v>
      </c>
      <c r="R32" s="778">
        <f t="shared" si="36"/>
        <v>47058.723820003019</v>
      </c>
      <c r="S32" s="779">
        <f t="shared" si="37"/>
        <v>153361.38925874999</v>
      </c>
      <c r="T32" s="736">
        <f t="shared" si="38"/>
        <v>-39642.025802413962</v>
      </c>
      <c r="U32" s="304">
        <f t="shared" si="39"/>
        <v>-39642.025802413962</v>
      </c>
      <c r="V32" s="304">
        <f t="shared" si="40"/>
        <v>-39642.025802413962</v>
      </c>
      <c r="W32" s="304">
        <f t="shared" si="41"/>
        <v>-39642.025802413962</v>
      </c>
      <c r="X32" s="305">
        <f t="shared" si="42"/>
        <v>-145944.69124116094</v>
      </c>
      <c r="Y32" s="888">
        <f ca="1">IF(AND(Y$22=TRUE,INDEX(CDRANGE_CLS3,MATCH($A32,$A$24:$A$67,0),MATCH(Y$20,$B$20:$G$20,0))&lt;$D$6/OPDAYS_Cls3),86,payback(C32,T32,disc_rate/12,85))</f>
        <v>86</v>
      </c>
      <c r="Z32" s="889">
        <f ca="1">IF(AND(Z$22=TRUE,INDEX(CDRANGE_CLS3,MATCH($A32,$A$24:$A$67,0),MATCH(Z$20,$B$20:$G$20,0))&lt;$D$6/OPDAYS_Cls3),86,payback(D32,U32,disc_rate/12,85))</f>
        <v>86</v>
      </c>
      <c r="AA32" s="889">
        <f ca="1">IF(AND(AA$22=TRUE,INDEX(CDRANGE_CLS3,MATCH($A32,$A$24:$A$67,0),MATCH(AA$20,$B$20:$G$20,0))&lt;$D$6/OPDAYS_Cls3),86,payback(E32,V32,disc_rate/12,85))</f>
        <v>86</v>
      </c>
      <c r="AB32" s="889">
        <f ca="1">IF(AND(AB$22=TRUE,INDEX(CDRANGE_CLS3,MATCH($A32,$A$24:$A$67,0),MATCH(AB$20,$B$20:$G$20,0))&lt;$D$6/OPDAYS_Cls3),86,payback(F32,W32,disc_rate/12,85))</f>
        <v>86</v>
      </c>
      <c r="AC32" s="890">
        <f>IF(AND(AC$22=TRUE,INDEX(CDRANGE_CLS3,MATCH($A32,$A$24:$A$67,0),MATCH(AC$20,$B$20:$G$20,0))&lt;$D$6/OPDAYS_Cls3),86,payback(G32,X32,disc_rate/12,85))</f>
        <v>86</v>
      </c>
      <c r="AD32" s="310">
        <f t="shared" si="43"/>
        <v>0</v>
      </c>
      <c r="AE32" s="311">
        <f t="shared" si="44"/>
        <v>0</v>
      </c>
      <c r="AF32" s="311">
        <f t="shared" si="45"/>
        <v>0</v>
      </c>
      <c r="AG32" s="311">
        <f t="shared" si="46"/>
        <v>0</v>
      </c>
      <c r="AH32" s="312">
        <f t="shared" si="47"/>
        <v>0</v>
      </c>
      <c r="AI32" s="596">
        <f t="shared" si="48"/>
        <v>0</v>
      </c>
      <c r="AJ32" s="314">
        <f t="shared" si="49"/>
        <v>0</v>
      </c>
      <c r="AK32" s="314">
        <f t="shared" si="50"/>
        <v>0</v>
      </c>
      <c r="AL32" s="314">
        <f t="shared" si="51"/>
        <v>0</v>
      </c>
      <c r="AM32" s="599">
        <f t="shared" si="52"/>
        <v>0</v>
      </c>
      <c r="AN32" s="313">
        <f t="shared" si="65"/>
        <v>0</v>
      </c>
      <c r="AO32" s="314">
        <f t="shared" si="53"/>
        <v>0</v>
      </c>
      <c r="AP32" s="314">
        <f t="shared" si="53"/>
        <v>0</v>
      </c>
      <c r="AQ32" s="314">
        <f t="shared" si="53"/>
        <v>0</v>
      </c>
      <c r="AR32" s="599">
        <f t="shared" si="53"/>
        <v>0</v>
      </c>
      <c r="AS32" s="310">
        <f t="shared" ca="1" si="54"/>
        <v>0</v>
      </c>
      <c r="AT32" s="311">
        <f t="shared" ca="1" si="55"/>
        <v>0</v>
      </c>
      <c r="AU32" s="311">
        <f t="shared" ca="1" si="56"/>
        <v>0</v>
      </c>
      <c r="AV32" s="311">
        <f t="shared" ca="1" si="57"/>
        <v>0</v>
      </c>
      <c r="AW32" s="312">
        <f t="shared" si="58"/>
        <v>0</v>
      </c>
      <c r="AX32" s="310">
        <f t="shared" ca="1" si="59"/>
        <v>0</v>
      </c>
      <c r="AY32" s="311">
        <f t="shared" ca="1" si="59"/>
        <v>0</v>
      </c>
      <c r="AZ32" s="311">
        <f t="shared" ca="1" si="59"/>
        <v>0</v>
      </c>
      <c r="BA32" s="311">
        <f t="shared" ca="1" si="59"/>
        <v>0</v>
      </c>
      <c r="BB32" s="312">
        <f t="shared" si="59"/>
        <v>0</v>
      </c>
      <c r="BC32" s="310">
        <f t="shared" ca="1" si="66"/>
        <v>1</v>
      </c>
      <c r="BD32" s="311">
        <f t="shared" ca="1" si="60"/>
        <v>0</v>
      </c>
      <c r="BE32" s="311">
        <f t="shared" ca="1" si="61"/>
        <v>0</v>
      </c>
      <c r="BF32" s="311">
        <f t="shared" ca="1" si="62"/>
        <v>0</v>
      </c>
      <c r="BG32" s="311">
        <f t="shared" ca="1" si="63"/>
        <v>0</v>
      </c>
      <c r="BH32" s="312">
        <f t="shared" ca="1" si="64"/>
        <v>0</v>
      </c>
    </row>
    <row r="33" spans="1:62" x14ac:dyDescent="0.2">
      <c r="A33" s="316">
        <v>2016</v>
      </c>
      <c r="B33" s="825">
        <f t="shared" si="30"/>
        <v>96771.81</v>
      </c>
      <c r="C33" s="826">
        <f t="shared" si="30"/>
        <v>1000000</v>
      </c>
      <c r="D33" s="826">
        <f t="shared" si="30"/>
        <v>1000000</v>
      </c>
      <c r="E33" s="826">
        <f t="shared" si="30"/>
        <v>1000000</v>
      </c>
      <c r="F33" s="826">
        <f t="shared" si="30"/>
        <v>1000000</v>
      </c>
      <c r="G33" s="827">
        <f t="shared" si="30"/>
        <v>1000000</v>
      </c>
      <c r="H33" s="780">
        <f t="shared" si="31"/>
        <v>1</v>
      </c>
      <c r="I33" s="781">
        <f t="shared" si="31"/>
        <v>1</v>
      </c>
      <c r="J33" s="781">
        <f t="shared" si="31"/>
        <v>1</v>
      </c>
      <c r="K33" s="781">
        <f t="shared" si="31"/>
        <v>1</v>
      </c>
      <c r="L33" s="781">
        <f t="shared" si="31"/>
        <v>1</v>
      </c>
      <c r="M33" s="782">
        <f t="shared" si="31"/>
        <v>1</v>
      </c>
      <c r="N33" s="732">
        <f t="shared" si="32"/>
        <v>6333.0074291680739</v>
      </c>
      <c r="O33" s="276">
        <f t="shared" si="33"/>
        <v>40557.778115040222</v>
      </c>
      <c r="P33" s="276">
        <f t="shared" si="34"/>
        <v>40557.778115040222</v>
      </c>
      <c r="Q33" s="276">
        <f t="shared" si="35"/>
        <v>40557.778115040222</v>
      </c>
      <c r="R33" s="276">
        <f t="shared" si="36"/>
        <v>40557.778115040222</v>
      </c>
      <c r="S33" s="278">
        <f t="shared" si="37"/>
        <v>150240.24916499996</v>
      </c>
      <c r="T33" s="732">
        <f t="shared" si="38"/>
        <v>-34224.77068587215</v>
      </c>
      <c r="U33" s="276">
        <f t="shared" si="39"/>
        <v>-34224.77068587215</v>
      </c>
      <c r="V33" s="276">
        <f t="shared" si="40"/>
        <v>-34224.77068587215</v>
      </c>
      <c r="W33" s="276">
        <f t="shared" si="41"/>
        <v>-34224.77068587215</v>
      </c>
      <c r="X33" s="277">
        <f t="shared" si="42"/>
        <v>-143907.24173583189</v>
      </c>
      <c r="Y33" s="279">
        <f ca="1">IF(AND(Y$22=TRUE,INDEX(CDRANGE_CLS3,MATCH($A33,$A$24:$A$67,0),MATCH(Y$20,$B$20:$G$20,0))&lt;$D$6/OPDAYS_Cls3),86,payback(C33,T33,disc_rate/12,85))</f>
        <v>86</v>
      </c>
      <c r="Z33" s="280">
        <f ca="1">IF(AND(Z$22=TRUE,INDEX(CDRANGE_CLS3,MATCH($A33,$A$24:$A$67,0),MATCH(Z$20,$B$20:$G$20,0))&lt;$D$6/OPDAYS_Cls3),86,payback(D33,U33,disc_rate/12,85))</f>
        <v>86</v>
      </c>
      <c r="AA33" s="280">
        <f ca="1">IF(AND(AA$22=TRUE,INDEX(CDRANGE_CLS3,MATCH($A33,$A$24:$A$67,0),MATCH(AA$20,$B$20:$G$20,0))&lt;$D$6/OPDAYS_Cls3),86,payback(E33,V33,disc_rate/12,85))</f>
        <v>86</v>
      </c>
      <c r="AB33" s="280">
        <f ca="1">IF(AND(AB$22=TRUE,INDEX(CDRANGE_CLS3,MATCH($A33,$A$24:$A$67,0),MATCH(AB$20,$B$20:$G$20,0))&lt;$D$6/OPDAYS_Cls3),86,payback(F33,W33,disc_rate/12,85))</f>
        <v>86</v>
      </c>
      <c r="AC33" s="281">
        <f>IF(AND(AC$22=TRUE,INDEX(CDRANGE_CLS3,MATCH($A33,$A$24:$A$67,0),MATCH(AC$20,$B$20:$G$20,0))&lt;$D$6/OPDAYS_Cls3),86,payback(G33,X33,disc_rate/12,85))</f>
        <v>86</v>
      </c>
      <c r="AD33" s="282">
        <f t="shared" si="43"/>
        <v>0</v>
      </c>
      <c r="AE33" s="283">
        <f t="shared" si="44"/>
        <v>0</v>
      </c>
      <c r="AF33" s="283">
        <f t="shared" si="45"/>
        <v>0</v>
      </c>
      <c r="AG33" s="283">
        <f t="shared" si="46"/>
        <v>0</v>
      </c>
      <c r="AH33" s="284">
        <f t="shared" si="47"/>
        <v>0</v>
      </c>
      <c r="AI33" s="594">
        <f t="shared" si="48"/>
        <v>0</v>
      </c>
      <c r="AJ33" s="286">
        <f t="shared" si="49"/>
        <v>0</v>
      </c>
      <c r="AK33" s="286">
        <f t="shared" si="50"/>
        <v>0</v>
      </c>
      <c r="AL33" s="286">
        <f t="shared" si="51"/>
        <v>0</v>
      </c>
      <c r="AM33" s="611">
        <f t="shared" si="52"/>
        <v>0</v>
      </c>
      <c r="AN33" s="285">
        <f t="shared" si="65"/>
        <v>0</v>
      </c>
      <c r="AO33" s="286">
        <f t="shared" si="53"/>
        <v>0</v>
      </c>
      <c r="AP33" s="286">
        <f t="shared" si="53"/>
        <v>0</v>
      </c>
      <c r="AQ33" s="286">
        <f t="shared" si="53"/>
        <v>0</v>
      </c>
      <c r="AR33" s="611">
        <f t="shared" si="53"/>
        <v>0</v>
      </c>
      <c r="AS33" s="282">
        <f t="shared" ca="1" si="54"/>
        <v>0</v>
      </c>
      <c r="AT33" s="283">
        <f t="shared" ca="1" si="55"/>
        <v>0</v>
      </c>
      <c r="AU33" s="283">
        <f t="shared" ca="1" si="56"/>
        <v>0</v>
      </c>
      <c r="AV33" s="283">
        <f t="shared" ca="1" si="57"/>
        <v>0</v>
      </c>
      <c r="AW33" s="284">
        <f t="shared" si="58"/>
        <v>0</v>
      </c>
      <c r="AX33" s="282">
        <f t="shared" ca="1" si="59"/>
        <v>0</v>
      </c>
      <c r="AY33" s="283">
        <f t="shared" ca="1" si="59"/>
        <v>0</v>
      </c>
      <c r="AZ33" s="283">
        <f t="shared" ca="1" si="59"/>
        <v>0</v>
      </c>
      <c r="BA33" s="283">
        <f t="shared" ca="1" si="59"/>
        <v>0</v>
      </c>
      <c r="BB33" s="284">
        <f t="shared" si="59"/>
        <v>0</v>
      </c>
      <c r="BC33" s="282">
        <f t="shared" ca="1" si="66"/>
        <v>1</v>
      </c>
      <c r="BD33" s="283">
        <f t="shared" ca="1" si="60"/>
        <v>0</v>
      </c>
      <c r="BE33" s="283">
        <f t="shared" ca="1" si="61"/>
        <v>0</v>
      </c>
      <c r="BF33" s="283">
        <f t="shared" ca="1" si="62"/>
        <v>0</v>
      </c>
      <c r="BG33" s="283">
        <f t="shared" ca="1" si="63"/>
        <v>0</v>
      </c>
      <c r="BH33" s="284">
        <f t="shared" ca="1" si="64"/>
        <v>0</v>
      </c>
    </row>
    <row r="34" spans="1:62" x14ac:dyDescent="0.2">
      <c r="A34" s="317">
        <v>2017</v>
      </c>
      <c r="B34" s="819">
        <f t="shared" ref="B34:G43" si="67">ROUND(INDEX(COST_Cls3,$A34-($A$24-1),MATCH(B$20,TECHOPTS_Cls3,0)),2)</f>
        <v>96771.81</v>
      </c>
      <c r="C34" s="820">
        <f t="shared" si="67"/>
        <v>1000000</v>
      </c>
      <c r="D34" s="820">
        <f t="shared" si="67"/>
        <v>1000000</v>
      </c>
      <c r="E34" s="820">
        <f t="shared" si="67"/>
        <v>1000000</v>
      </c>
      <c r="F34" s="820">
        <f t="shared" si="67"/>
        <v>1000000</v>
      </c>
      <c r="G34" s="821">
        <f t="shared" si="67"/>
        <v>1000000</v>
      </c>
      <c r="H34" s="780">
        <f t="shared" ref="H34:M43" si="68">IF(H$21="Single-fuel",1,1-MIN(INDEX(CDRANGE_CLS3,$A34-($A$24-1),MATCH(H$20,TECHOPTS_Cls3,0))*OPDAYS_Cls3/$D$6,1))</f>
        <v>1</v>
      </c>
      <c r="I34" s="781">
        <f t="shared" si="68"/>
        <v>1</v>
      </c>
      <c r="J34" s="781">
        <f t="shared" si="68"/>
        <v>1</v>
      </c>
      <c r="K34" s="781">
        <f t="shared" si="68"/>
        <v>1</v>
      </c>
      <c r="L34" s="781">
        <f t="shared" si="68"/>
        <v>1</v>
      </c>
      <c r="M34" s="782">
        <f t="shared" si="68"/>
        <v>1</v>
      </c>
      <c r="N34" s="732">
        <f t="shared" si="32"/>
        <v>7332.0626666461731</v>
      </c>
      <c r="O34" s="276">
        <f t="shared" si="33"/>
        <v>47643.895128244047</v>
      </c>
      <c r="P34" s="276">
        <f t="shared" si="34"/>
        <v>47643.895128244047</v>
      </c>
      <c r="Q34" s="276">
        <f t="shared" si="35"/>
        <v>47643.895128244047</v>
      </c>
      <c r="R34" s="276">
        <f t="shared" si="36"/>
        <v>47643.895128244047</v>
      </c>
      <c r="S34" s="278">
        <f t="shared" si="37"/>
        <v>151363.92721499997</v>
      </c>
      <c r="T34" s="733">
        <f t="shared" si="38"/>
        <v>-40311.832461597871</v>
      </c>
      <c r="U34" s="290">
        <f t="shared" si="39"/>
        <v>-40311.832461597871</v>
      </c>
      <c r="V34" s="290">
        <f t="shared" si="40"/>
        <v>-40311.832461597871</v>
      </c>
      <c r="W34" s="290">
        <f t="shared" si="41"/>
        <v>-40311.832461597871</v>
      </c>
      <c r="X34" s="291">
        <f t="shared" si="42"/>
        <v>-144031.8645483538</v>
      </c>
      <c r="Y34" s="279">
        <f ca="1">IF(AND(Y$22=TRUE,INDEX(CDRANGE_CLS3,MATCH($A34,$A$24:$A$67,0),MATCH(Y$20,$B$20:$G$20,0))&lt;$D$6/OPDAYS_Cls3),86,payback(C34,T34,disc_rate/12,85))</f>
        <v>86</v>
      </c>
      <c r="Z34" s="280">
        <f ca="1">IF(AND(Z$22=TRUE,INDEX(CDRANGE_CLS3,MATCH($A34,$A$24:$A$67,0),MATCH(Z$20,$B$20:$G$20,0))&lt;$D$6/OPDAYS_Cls3),86,payback(D34,U34,disc_rate/12,85))</f>
        <v>86</v>
      </c>
      <c r="AA34" s="280">
        <f ca="1">IF(AND(AA$22=TRUE,INDEX(CDRANGE_CLS3,MATCH($A34,$A$24:$A$67,0),MATCH(AA$20,$B$20:$G$20,0))&lt;$D$6/OPDAYS_Cls3),86,payback(E34,V34,disc_rate/12,85))</f>
        <v>86</v>
      </c>
      <c r="AB34" s="280">
        <f ca="1">IF(AND(AB$22=TRUE,INDEX(CDRANGE_CLS3,MATCH($A34,$A$24:$A$67,0),MATCH(AB$20,$B$20:$G$20,0))&lt;$D$6/OPDAYS_Cls3),86,payback(F34,W34,disc_rate/12,85))</f>
        <v>86</v>
      </c>
      <c r="AC34" s="281">
        <f>IF(AND(AC$22=TRUE,INDEX(CDRANGE_CLS3,MATCH($A34,$A$24:$A$67,0),MATCH(AC$20,$B$20:$G$20,0))&lt;$D$6/OPDAYS_Cls3),86,payback(G34,X34,disc_rate/12,85))</f>
        <v>86</v>
      </c>
      <c r="AD34" s="296">
        <f t="shared" si="43"/>
        <v>0</v>
      </c>
      <c r="AE34" s="297">
        <f t="shared" si="44"/>
        <v>0</v>
      </c>
      <c r="AF34" s="297">
        <f t="shared" si="45"/>
        <v>0</v>
      </c>
      <c r="AG34" s="297">
        <f t="shared" si="46"/>
        <v>0</v>
      </c>
      <c r="AH34" s="298">
        <f t="shared" si="47"/>
        <v>0</v>
      </c>
      <c r="AI34" s="595">
        <f t="shared" si="48"/>
        <v>0</v>
      </c>
      <c r="AJ34" s="300">
        <f t="shared" si="49"/>
        <v>0</v>
      </c>
      <c r="AK34" s="300">
        <f t="shared" si="50"/>
        <v>0</v>
      </c>
      <c r="AL34" s="300">
        <f t="shared" si="51"/>
        <v>0</v>
      </c>
      <c r="AM34" s="598">
        <f t="shared" si="52"/>
        <v>0</v>
      </c>
      <c r="AN34" s="299">
        <f t="shared" si="65"/>
        <v>0</v>
      </c>
      <c r="AO34" s="300">
        <f t="shared" si="53"/>
        <v>0</v>
      </c>
      <c r="AP34" s="300">
        <f t="shared" si="53"/>
        <v>0</v>
      </c>
      <c r="AQ34" s="300">
        <f t="shared" si="53"/>
        <v>0</v>
      </c>
      <c r="AR34" s="598">
        <f t="shared" si="53"/>
        <v>0</v>
      </c>
      <c r="AS34" s="296">
        <f t="shared" ca="1" si="54"/>
        <v>0</v>
      </c>
      <c r="AT34" s="297">
        <f t="shared" ca="1" si="55"/>
        <v>0</v>
      </c>
      <c r="AU34" s="297">
        <f t="shared" ca="1" si="56"/>
        <v>0</v>
      </c>
      <c r="AV34" s="297">
        <f t="shared" ca="1" si="57"/>
        <v>0</v>
      </c>
      <c r="AW34" s="298">
        <f t="shared" si="58"/>
        <v>0</v>
      </c>
      <c r="AX34" s="296">
        <f t="shared" ca="1" si="59"/>
        <v>0</v>
      </c>
      <c r="AY34" s="297">
        <f t="shared" ca="1" si="59"/>
        <v>0</v>
      </c>
      <c r="AZ34" s="297">
        <f t="shared" ca="1" si="59"/>
        <v>0</v>
      </c>
      <c r="BA34" s="297">
        <f t="shared" ca="1" si="59"/>
        <v>0</v>
      </c>
      <c r="BB34" s="298">
        <f t="shared" si="59"/>
        <v>0</v>
      </c>
      <c r="BC34" s="296">
        <f t="shared" ca="1" si="66"/>
        <v>1</v>
      </c>
      <c r="BD34" s="297">
        <f t="shared" ca="1" si="60"/>
        <v>0</v>
      </c>
      <c r="BE34" s="297">
        <f t="shared" ca="1" si="61"/>
        <v>0</v>
      </c>
      <c r="BF34" s="297">
        <f t="shared" ca="1" si="62"/>
        <v>0</v>
      </c>
      <c r="BG34" s="297">
        <f t="shared" ca="1" si="63"/>
        <v>0</v>
      </c>
      <c r="BH34" s="298">
        <f t="shared" ca="1" si="64"/>
        <v>0</v>
      </c>
    </row>
    <row r="35" spans="1:62" x14ac:dyDescent="0.2">
      <c r="A35" s="317">
        <v>2018</v>
      </c>
      <c r="B35" s="819">
        <f t="shared" si="67"/>
        <v>96771.81</v>
      </c>
      <c r="C35" s="820">
        <f t="shared" si="67"/>
        <v>1000000</v>
      </c>
      <c r="D35" s="820">
        <f t="shared" si="67"/>
        <v>1000000</v>
      </c>
      <c r="E35" s="820">
        <f t="shared" si="67"/>
        <v>1000000</v>
      </c>
      <c r="F35" s="820">
        <f t="shared" si="67"/>
        <v>1000000</v>
      </c>
      <c r="G35" s="821">
        <f t="shared" si="67"/>
        <v>1000000</v>
      </c>
      <c r="H35" s="780">
        <f t="shared" si="68"/>
        <v>1</v>
      </c>
      <c r="I35" s="781">
        <f t="shared" si="68"/>
        <v>1</v>
      </c>
      <c r="J35" s="781">
        <f t="shared" si="68"/>
        <v>1</v>
      </c>
      <c r="K35" s="781">
        <f t="shared" si="68"/>
        <v>1</v>
      </c>
      <c r="L35" s="781">
        <f t="shared" si="68"/>
        <v>1</v>
      </c>
      <c r="M35" s="782">
        <f t="shared" si="68"/>
        <v>1</v>
      </c>
      <c r="N35" s="732">
        <f t="shared" si="32"/>
        <v>8622.1388557382434</v>
      </c>
      <c r="O35" s="276">
        <f t="shared" si="33"/>
        <v>58529.412657459405</v>
      </c>
      <c r="P35" s="276">
        <f t="shared" si="34"/>
        <v>58529.412657459405</v>
      </c>
      <c r="Q35" s="276">
        <f t="shared" si="35"/>
        <v>58529.412657459405</v>
      </c>
      <c r="R35" s="276">
        <f t="shared" si="36"/>
        <v>58529.412657459405</v>
      </c>
      <c r="S35" s="278">
        <f t="shared" si="37"/>
        <v>173136.46374000001</v>
      </c>
      <c r="T35" s="733">
        <f t="shared" si="38"/>
        <v>-49907.27380172116</v>
      </c>
      <c r="U35" s="290">
        <f t="shared" si="39"/>
        <v>-49907.27380172116</v>
      </c>
      <c r="V35" s="290">
        <f t="shared" si="40"/>
        <v>-49907.27380172116</v>
      </c>
      <c r="W35" s="290">
        <f t="shared" si="41"/>
        <v>-49907.27380172116</v>
      </c>
      <c r="X35" s="291">
        <f t="shared" si="42"/>
        <v>-164514.32488426176</v>
      </c>
      <c r="Y35" s="279">
        <f ca="1">IF(AND(Y$22=TRUE,INDEX(CDRANGE_CLS3,MATCH($A35,$A$24:$A$67,0),MATCH(Y$20,$B$20:$G$20,0))&lt;$D$6/OPDAYS_Cls3),86,payback(C35,T35,disc_rate/12,85))</f>
        <v>86</v>
      </c>
      <c r="Z35" s="280">
        <f ca="1">IF(AND(Z$22=TRUE,INDEX(CDRANGE_CLS3,MATCH($A35,$A$24:$A$67,0),MATCH(Z$20,$B$20:$G$20,0))&lt;$D$6/OPDAYS_Cls3),86,payback(D35,U35,disc_rate/12,85))</f>
        <v>86</v>
      </c>
      <c r="AA35" s="280">
        <f ca="1">IF(AND(AA$22=TRUE,INDEX(CDRANGE_CLS3,MATCH($A35,$A$24:$A$67,0),MATCH(AA$20,$B$20:$G$20,0))&lt;$D$6/OPDAYS_Cls3),86,payback(E35,V35,disc_rate/12,85))</f>
        <v>86</v>
      </c>
      <c r="AB35" s="280">
        <f ca="1">IF(AND(AB$22=TRUE,INDEX(CDRANGE_CLS3,MATCH($A35,$A$24:$A$67,0),MATCH(AB$20,$B$20:$G$20,0))&lt;$D$6/OPDAYS_Cls3),86,payback(F35,W35,disc_rate/12,85))</f>
        <v>86</v>
      </c>
      <c r="AC35" s="281">
        <f>IF(AND(AC$22=TRUE,INDEX(CDRANGE_CLS3,MATCH($A35,$A$24:$A$67,0),MATCH(AC$20,$B$20:$G$20,0))&lt;$D$6/OPDAYS_Cls3),86,payback(G35,X35,disc_rate/12,85))</f>
        <v>86</v>
      </c>
      <c r="AD35" s="296">
        <f t="shared" si="43"/>
        <v>0</v>
      </c>
      <c r="AE35" s="297">
        <f t="shared" si="44"/>
        <v>0</v>
      </c>
      <c r="AF35" s="297">
        <f t="shared" si="45"/>
        <v>0</v>
      </c>
      <c r="AG35" s="297">
        <f t="shared" si="46"/>
        <v>0</v>
      </c>
      <c r="AH35" s="298">
        <f t="shared" si="47"/>
        <v>0</v>
      </c>
      <c r="AI35" s="595">
        <f t="shared" si="48"/>
        <v>0</v>
      </c>
      <c r="AJ35" s="300">
        <f t="shared" si="49"/>
        <v>0</v>
      </c>
      <c r="AK35" s="300">
        <f t="shared" si="50"/>
        <v>0</v>
      </c>
      <c r="AL35" s="300">
        <f t="shared" si="51"/>
        <v>0</v>
      </c>
      <c r="AM35" s="598">
        <f t="shared" si="52"/>
        <v>0</v>
      </c>
      <c r="AN35" s="299">
        <f t="shared" si="65"/>
        <v>0</v>
      </c>
      <c r="AO35" s="300">
        <f t="shared" si="53"/>
        <v>0</v>
      </c>
      <c r="AP35" s="300">
        <f t="shared" si="53"/>
        <v>0</v>
      </c>
      <c r="AQ35" s="300">
        <f t="shared" si="53"/>
        <v>0</v>
      </c>
      <c r="AR35" s="598">
        <f t="shared" si="53"/>
        <v>0</v>
      </c>
      <c r="AS35" s="296">
        <f t="shared" ca="1" si="54"/>
        <v>0</v>
      </c>
      <c r="AT35" s="297">
        <f t="shared" ca="1" si="55"/>
        <v>0</v>
      </c>
      <c r="AU35" s="297">
        <f t="shared" ca="1" si="56"/>
        <v>0</v>
      </c>
      <c r="AV35" s="297">
        <f t="shared" ca="1" si="57"/>
        <v>0</v>
      </c>
      <c r="AW35" s="298">
        <f t="shared" si="58"/>
        <v>0</v>
      </c>
      <c r="AX35" s="296">
        <f t="shared" ca="1" si="59"/>
        <v>0</v>
      </c>
      <c r="AY35" s="297">
        <f t="shared" ca="1" si="59"/>
        <v>0</v>
      </c>
      <c r="AZ35" s="297">
        <f t="shared" ca="1" si="59"/>
        <v>0</v>
      </c>
      <c r="BA35" s="297">
        <f t="shared" ca="1" si="59"/>
        <v>0</v>
      </c>
      <c r="BB35" s="298">
        <f t="shared" si="59"/>
        <v>0</v>
      </c>
      <c r="BC35" s="296">
        <f t="shared" ca="1" si="66"/>
        <v>1</v>
      </c>
      <c r="BD35" s="297">
        <f t="shared" ca="1" si="60"/>
        <v>0</v>
      </c>
      <c r="BE35" s="297">
        <f t="shared" ca="1" si="61"/>
        <v>0</v>
      </c>
      <c r="BF35" s="297">
        <f t="shared" ca="1" si="62"/>
        <v>0</v>
      </c>
      <c r="BG35" s="297">
        <f t="shared" ca="1" si="63"/>
        <v>0</v>
      </c>
      <c r="BH35" s="298">
        <f t="shared" ca="1" si="64"/>
        <v>0</v>
      </c>
    </row>
    <row r="36" spans="1:62" x14ac:dyDescent="0.2">
      <c r="A36" s="317">
        <v>2019</v>
      </c>
      <c r="B36" s="819">
        <f t="shared" si="67"/>
        <v>96771.81</v>
      </c>
      <c r="C36" s="820">
        <f t="shared" si="67"/>
        <v>1000000</v>
      </c>
      <c r="D36" s="820">
        <f t="shared" si="67"/>
        <v>1000000</v>
      </c>
      <c r="E36" s="820">
        <f t="shared" si="67"/>
        <v>1000000</v>
      </c>
      <c r="F36" s="820">
        <f t="shared" si="67"/>
        <v>1000000</v>
      </c>
      <c r="G36" s="821">
        <f t="shared" si="67"/>
        <v>1000000</v>
      </c>
      <c r="H36" s="780">
        <f t="shared" si="68"/>
        <v>1</v>
      </c>
      <c r="I36" s="781">
        <f t="shared" si="68"/>
        <v>1</v>
      </c>
      <c r="J36" s="781">
        <f t="shared" si="68"/>
        <v>1</v>
      </c>
      <c r="K36" s="781">
        <f t="shared" si="68"/>
        <v>1</v>
      </c>
      <c r="L36" s="781">
        <f t="shared" si="68"/>
        <v>1</v>
      </c>
      <c r="M36" s="782">
        <f t="shared" si="68"/>
        <v>1</v>
      </c>
      <c r="N36" s="732">
        <f t="shared" si="32"/>
        <v>8431.5739596198</v>
      </c>
      <c r="O36" s="276">
        <f t="shared" si="33"/>
        <v>57501.868042499998</v>
      </c>
      <c r="P36" s="276">
        <f t="shared" si="34"/>
        <v>57501.868042499998</v>
      </c>
      <c r="Q36" s="276">
        <f t="shared" si="35"/>
        <v>57501.868042499998</v>
      </c>
      <c r="R36" s="276">
        <f t="shared" si="36"/>
        <v>57501.868042499998</v>
      </c>
      <c r="S36" s="278">
        <f t="shared" si="37"/>
        <v>172955.07534750001</v>
      </c>
      <c r="T36" s="733">
        <f t="shared" si="38"/>
        <v>-49070.294082880195</v>
      </c>
      <c r="U36" s="290">
        <f t="shared" si="39"/>
        <v>-49070.294082880195</v>
      </c>
      <c r="V36" s="290">
        <f t="shared" si="40"/>
        <v>-49070.294082880195</v>
      </c>
      <c r="W36" s="290">
        <f t="shared" si="41"/>
        <v>-49070.294082880195</v>
      </c>
      <c r="X36" s="291">
        <f t="shared" si="42"/>
        <v>-164523.50138788021</v>
      </c>
      <c r="Y36" s="279">
        <f ca="1">IF(AND(Y$22=TRUE,INDEX(CDRANGE_CLS3,MATCH($A36,$A$24:$A$67,0),MATCH(Y$20,$B$20:$G$20,0))&lt;$D$6/OPDAYS_Cls3),86,payback(C36,T36,disc_rate/12,85))</f>
        <v>86</v>
      </c>
      <c r="Z36" s="280">
        <f ca="1">IF(AND(Z$22=TRUE,INDEX(CDRANGE_CLS3,MATCH($A36,$A$24:$A$67,0),MATCH(Z$20,$B$20:$G$20,0))&lt;$D$6/OPDAYS_Cls3),86,payback(D36,U36,disc_rate/12,85))</f>
        <v>86</v>
      </c>
      <c r="AA36" s="280">
        <f ca="1">IF(AND(AA$22=TRUE,INDEX(CDRANGE_CLS3,MATCH($A36,$A$24:$A$67,0),MATCH(AA$20,$B$20:$G$20,0))&lt;$D$6/OPDAYS_Cls3),86,payback(E36,V36,disc_rate/12,85))</f>
        <v>86</v>
      </c>
      <c r="AB36" s="280">
        <f ca="1">IF(AND(AB$22=TRUE,INDEX(CDRANGE_CLS3,MATCH($A36,$A$24:$A$67,0),MATCH(AB$20,$B$20:$G$20,0))&lt;$D$6/OPDAYS_Cls3),86,payback(F36,W36,disc_rate/12,85))</f>
        <v>86</v>
      </c>
      <c r="AC36" s="281">
        <f>IF(AND(AC$22=TRUE,INDEX(CDRANGE_CLS3,MATCH($A36,$A$24:$A$67,0),MATCH(AC$20,$B$20:$G$20,0))&lt;$D$6/OPDAYS_Cls3),86,payback(G36,X36,disc_rate/12,85))</f>
        <v>86</v>
      </c>
      <c r="AD36" s="296">
        <f t="shared" si="43"/>
        <v>0</v>
      </c>
      <c r="AE36" s="297">
        <f t="shared" si="44"/>
        <v>0</v>
      </c>
      <c r="AF36" s="297">
        <f t="shared" si="45"/>
        <v>0</v>
      </c>
      <c r="AG36" s="297">
        <f t="shared" si="46"/>
        <v>0</v>
      </c>
      <c r="AH36" s="298">
        <f t="shared" si="47"/>
        <v>0</v>
      </c>
      <c r="AI36" s="595">
        <f t="shared" si="48"/>
        <v>0</v>
      </c>
      <c r="AJ36" s="300">
        <f t="shared" si="49"/>
        <v>0</v>
      </c>
      <c r="AK36" s="300">
        <f t="shared" si="50"/>
        <v>0</v>
      </c>
      <c r="AL36" s="300">
        <f t="shared" si="51"/>
        <v>0</v>
      </c>
      <c r="AM36" s="598">
        <f t="shared" si="52"/>
        <v>0</v>
      </c>
      <c r="AN36" s="299">
        <f t="shared" si="65"/>
        <v>0</v>
      </c>
      <c r="AO36" s="300">
        <f t="shared" si="53"/>
        <v>0</v>
      </c>
      <c r="AP36" s="300">
        <f t="shared" si="53"/>
        <v>0</v>
      </c>
      <c r="AQ36" s="300">
        <f t="shared" si="53"/>
        <v>0</v>
      </c>
      <c r="AR36" s="598">
        <f t="shared" si="53"/>
        <v>0</v>
      </c>
      <c r="AS36" s="296">
        <f t="shared" ca="1" si="54"/>
        <v>0</v>
      </c>
      <c r="AT36" s="297">
        <f t="shared" ca="1" si="55"/>
        <v>0</v>
      </c>
      <c r="AU36" s="297">
        <f t="shared" ca="1" si="56"/>
        <v>0</v>
      </c>
      <c r="AV36" s="297">
        <f t="shared" ca="1" si="57"/>
        <v>0</v>
      </c>
      <c r="AW36" s="298">
        <f t="shared" si="58"/>
        <v>0</v>
      </c>
      <c r="AX36" s="296">
        <f t="shared" ca="1" si="59"/>
        <v>0</v>
      </c>
      <c r="AY36" s="297">
        <f t="shared" ca="1" si="59"/>
        <v>0</v>
      </c>
      <c r="AZ36" s="297">
        <f t="shared" ca="1" si="59"/>
        <v>0</v>
      </c>
      <c r="BA36" s="297">
        <f t="shared" ca="1" si="59"/>
        <v>0</v>
      </c>
      <c r="BB36" s="298">
        <f t="shared" si="59"/>
        <v>0</v>
      </c>
      <c r="BC36" s="296">
        <f t="shared" ca="1" si="66"/>
        <v>1</v>
      </c>
      <c r="BD36" s="297">
        <f t="shared" ca="1" si="60"/>
        <v>0</v>
      </c>
      <c r="BE36" s="297">
        <f t="shared" ca="1" si="61"/>
        <v>0</v>
      </c>
      <c r="BF36" s="297">
        <f t="shared" ca="1" si="62"/>
        <v>0</v>
      </c>
      <c r="BG36" s="297">
        <f t="shared" ca="1" si="63"/>
        <v>0</v>
      </c>
      <c r="BH36" s="298">
        <f t="shared" ca="1" si="64"/>
        <v>0</v>
      </c>
    </row>
    <row r="37" spans="1:62" ht="15" thickBot="1" x14ac:dyDescent="0.25">
      <c r="A37" s="618">
        <v>2020</v>
      </c>
      <c r="B37" s="813">
        <f t="shared" si="67"/>
        <v>96771.81</v>
      </c>
      <c r="C37" s="814">
        <f t="shared" si="67"/>
        <v>1000000</v>
      </c>
      <c r="D37" s="814">
        <f t="shared" si="67"/>
        <v>1000000</v>
      </c>
      <c r="E37" s="814">
        <f t="shared" si="67"/>
        <v>1000000</v>
      </c>
      <c r="F37" s="814">
        <f t="shared" si="67"/>
        <v>1000000</v>
      </c>
      <c r="G37" s="815">
        <f t="shared" si="67"/>
        <v>1000000</v>
      </c>
      <c r="H37" s="780">
        <f t="shared" si="68"/>
        <v>1</v>
      </c>
      <c r="I37" s="781">
        <f t="shared" si="68"/>
        <v>1</v>
      </c>
      <c r="J37" s="781">
        <f t="shared" si="68"/>
        <v>1</v>
      </c>
      <c r="K37" s="781">
        <f t="shared" si="68"/>
        <v>1</v>
      </c>
      <c r="L37" s="781">
        <f t="shared" si="68"/>
        <v>1</v>
      </c>
      <c r="M37" s="782">
        <f t="shared" si="68"/>
        <v>1</v>
      </c>
      <c r="N37" s="882">
        <f t="shared" si="32"/>
        <v>8085.2367562684267</v>
      </c>
      <c r="O37" s="775">
        <f t="shared" si="33"/>
        <v>55507.544953124998</v>
      </c>
      <c r="P37" s="775">
        <f t="shared" si="34"/>
        <v>55507.544953124998</v>
      </c>
      <c r="Q37" s="775">
        <f t="shared" si="35"/>
        <v>55507.544953124998</v>
      </c>
      <c r="R37" s="775">
        <f t="shared" si="36"/>
        <v>55507.544953124998</v>
      </c>
      <c r="S37" s="776">
        <f t="shared" si="37"/>
        <v>176388.87298125002</v>
      </c>
      <c r="T37" s="734">
        <f t="shared" si="38"/>
        <v>-47422.308196856568</v>
      </c>
      <c r="U37" s="619">
        <f t="shared" si="39"/>
        <v>-47422.308196856568</v>
      </c>
      <c r="V37" s="619">
        <f t="shared" si="40"/>
        <v>-47422.308196856568</v>
      </c>
      <c r="W37" s="619">
        <f t="shared" si="41"/>
        <v>-47422.308196856568</v>
      </c>
      <c r="X37" s="620">
        <f t="shared" si="42"/>
        <v>-168303.6362249816</v>
      </c>
      <c r="Y37" s="722">
        <f ca="1">IF(AND(Y$22=TRUE,INDEX(CDRANGE_CLS3,MATCH($A37,$A$24:$A$67,0),MATCH(Y$20,$B$20:$G$20,0))&lt;$D$6/OPDAYS_Cls3),86,payback(C37,T37,disc_rate/12,85))</f>
        <v>86</v>
      </c>
      <c r="Z37" s="723">
        <f ca="1">IF(AND(Z$22=TRUE,INDEX(CDRANGE_CLS3,MATCH($A37,$A$24:$A$67,0),MATCH(Z$20,$B$20:$G$20,0))&lt;$D$6/OPDAYS_Cls3),86,payback(D37,U37,disc_rate/12,85))</f>
        <v>86</v>
      </c>
      <c r="AA37" s="723">
        <f ca="1">IF(AND(AA$22=TRUE,INDEX(CDRANGE_CLS3,MATCH($A37,$A$24:$A$67,0),MATCH(AA$20,$B$20:$G$20,0))&lt;$D$6/OPDAYS_Cls3),86,payback(E37,V37,disc_rate/12,85))</f>
        <v>86</v>
      </c>
      <c r="AB37" s="723">
        <f ca="1">IF(AND(AB$22=TRUE,INDEX(CDRANGE_CLS3,MATCH($A37,$A$24:$A$67,0),MATCH(AB$20,$B$20:$G$20,0))&lt;$D$6/OPDAYS_Cls3),86,payback(F37,W37,disc_rate/12,85))</f>
        <v>86</v>
      </c>
      <c r="AC37" s="891">
        <f>IF(AND(AC$22=TRUE,INDEX(CDRANGE_CLS3,MATCH($A37,$A$24:$A$67,0),MATCH(AC$20,$B$20:$G$20,0))&lt;$D$6/OPDAYS_Cls3),86,payback(G37,X37,disc_rate/12,85))</f>
        <v>86</v>
      </c>
      <c r="AD37" s="624">
        <f t="shared" si="43"/>
        <v>0</v>
      </c>
      <c r="AE37" s="625">
        <f t="shared" si="44"/>
        <v>0</v>
      </c>
      <c r="AF37" s="625">
        <f t="shared" si="45"/>
        <v>0</v>
      </c>
      <c r="AG37" s="625">
        <f t="shared" si="46"/>
        <v>0</v>
      </c>
      <c r="AH37" s="626">
        <f t="shared" si="47"/>
        <v>0</v>
      </c>
      <c r="AI37" s="627">
        <f t="shared" si="48"/>
        <v>0</v>
      </c>
      <c r="AJ37" s="628">
        <f t="shared" si="49"/>
        <v>0</v>
      </c>
      <c r="AK37" s="628">
        <f t="shared" si="50"/>
        <v>0</v>
      </c>
      <c r="AL37" s="628">
        <f t="shared" si="51"/>
        <v>0</v>
      </c>
      <c r="AM37" s="629">
        <f t="shared" si="52"/>
        <v>0</v>
      </c>
      <c r="AN37" s="630">
        <f t="shared" si="65"/>
        <v>0</v>
      </c>
      <c r="AO37" s="628">
        <f t="shared" si="53"/>
        <v>0</v>
      </c>
      <c r="AP37" s="628">
        <f t="shared" si="53"/>
        <v>0</v>
      </c>
      <c r="AQ37" s="628">
        <f t="shared" si="53"/>
        <v>0</v>
      </c>
      <c r="AR37" s="629">
        <f t="shared" si="53"/>
        <v>0</v>
      </c>
      <c r="AS37" s="624">
        <f t="shared" ca="1" si="54"/>
        <v>0</v>
      </c>
      <c r="AT37" s="625">
        <f t="shared" ca="1" si="55"/>
        <v>0</v>
      </c>
      <c r="AU37" s="625">
        <f t="shared" ca="1" si="56"/>
        <v>0</v>
      </c>
      <c r="AV37" s="625">
        <f t="shared" ca="1" si="57"/>
        <v>0</v>
      </c>
      <c r="AW37" s="626">
        <f t="shared" si="58"/>
        <v>0</v>
      </c>
      <c r="AX37" s="624">
        <f t="shared" ca="1" si="59"/>
        <v>0</v>
      </c>
      <c r="AY37" s="625">
        <f t="shared" ca="1" si="59"/>
        <v>0</v>
      </c>
      <c r="AZ37" s="625">
        <f t="shared" ca="1" si="59"/>
        <v>0</v>
      </c>
      <c r="BA37" s="625">
        <f t="shared" ca="1" si="59"/>
        <v>0</v>
      </c>
      <c r="BB37" s="626">
        <f t="shared" si="59"/>
        <v>0</v>
      </c>
      <c r="BC37" s="624">
        <f t="shared" ca="1" si="66"/>
        <v>1</v>
      </c>
      <c r="BD37" s="625">
        <f t="shared" ca="1" si="60"/>
        <v>0</v>
      </c>
      <c r="BE37" s="625">
        <f t="shared" ca="1" si="61"/>
        <v>0</v>
      </c>
      <c r="BF37" s="625">
        <f t="shared" ca="1" si="62"/>
        <v>0</v>
      </c>
      <c r="BG37" s="625">
        <f t="shared" ca="1" si="63"/>
        <v>0</v>
      </c>
      <c r="BH37" s="626">
        <f t="shared" ca="1" si="64"/>
        <v>0</v>
      </c>
    </row>
    <row r="38" spans="1:62" x14ac:dyDescent="0.2">
      <c r="A38" s="318">
        <v>2021</v>
      </c>
      <c r="B38" s="816">
        <f t="shared" si="67"/>
        <v>97040.03</v>
      </c>
      <c r="C38" s="817">
        <f t="shared" si="67"/>
        <v>840.47</v>
      </c>
      <c r="D38" s="817">
        <f t="shared" si="67"/>
        <v>1666.48</v>
      </c>
      <c r="E38" s="817">
        <f t="shared" si="67"/>
        <v>13109.73</v>
      </c>
      <c r="F38" s="817">
        <f t="shared" si="67"/>
        <v>144164.79999999999</v>
      </c>
      <c r="G38" s="818">
        <f t="shared" si="67"/>
        <v>254951.1</v>
      </c>
      <c r="H38" s="780">
        <f t="shared" si="68"/>
        <v>1</v>
      </c>
      <c r="I38" s="781">
        <f t="shared" si="68"/>
        <v>1</v>
      </c>
      <c r="J38" s="781">
        <f t="shared" si="68"/>
        <v>1</v>
      </c>
      <c r="K38" s="781">
        <f t="shared" si="68"/>
        <v>1</v>
      </c>
      <c r="L38" s="781">
        <f t="shared" si="68"/>
        <v>0.82977468107699859</v>
      </c>
      <c r="M38" s="782">
        <f t="shared" si="68"/>
        <v>1</v>
      </c>
      <c r="N38" s="735">
        <f t="shared" si="32"/>
        <v>7851.696355610462</v>
      </c>
      <c r="O38" s="632">
        <f t="shared" si="33"/>
        <v>7694.946121094159</v>
      </c>
      <c r="P38" s="632">
        <f t="shared" si="34"/>
        <v>7300.9775014533061</v>
      </c>
      <c r="Q38" s="632">
        <f t="shared" si="35"/>
        <v>6761.8646939084801</v>
      </c>
      <c r="R38" s="632">
        <f t="shared" si="36"/>
        <v>7786.1494312963787</v>
      </c>
      <c r="S38" s="744">
        <f t="shared" si="37"/>
        <v>9136.8800670183391</v>
      </c>
      <c r="T38" s="735">
        <f t="shared" si="38"/>
        <v>156.75023451630295</v>
      </c>
      <c r="U38" s="632">
        <f t="shared" si="39"/>
        <v>550.71885415715587</v>
      </c>
      <c r="V38" s="632">
        <f t="shared" si="40"/>
        <v>1089.8316617019818</v>
      </c>
      <c r="W38" s="632">
        <f t="shared" si="41"/>
        <v>65.546924314083299</v>
      </c>
      <c r="X38" s="633">
        <f t="shared" si="42"/>
        <v>-1285.1837114078771</v>
      </c>
      <c r="Y38" s="634">
        <f ca="1">IF(AND(Y$22=TRUE,INDEX(CDRANGE_CLS3,MATCH($A38,$A$24:$A$67,0),MATCH(Y$20,$B$20:$G$20,0))&lt;$D$6/OPDAYS_Cls3),86,payback(C38,T38,disc_rate/12,85))</f>
        <v>6</v>
      </c>
      <c r="Z38" s="635">
        <f ca="1">IF(AND(Z$22=TRUE,INDEX(CDRANGE_CLS3,MATCH($A38,$A$24:$A$67,0),MATCH(Z$20,$B$20:$G$20,0))&lt;$D$6/OPDAYS_Cls3),86,payback(D38,U38,disc_rate/12,85))</f>
        <v>4</v>
      </c>
      <c r="AA38" s="635">
        <f ca="1">IF(AND(AA$22=TRUE,INDEX(CDRANGE_CLS3,MATCH($A38,$A$24:$A$67,0),MATCH(AA$20,$B$20:$G$20,0))&lt;$D$6/OPDAYS_Cls3),86,payback(E38,V38,disc_rate/12,85))</f>
        <v>13</v>
      </c>
      <c r="AB38" s="635">
        <f ca="1">IF(AND(AB$22=TRUE,INDEX(CDRANGE_CLS3,MATCH($A38,$A$24:$A$67,0),MATCH(AB$20,$B$20:$G$20,0))&lt;$D$6/OPDAYS_Cls3),86,payback(F38,W38,disc_rate/12,85))</f>
        <v>86</v>
      </c>
      <c r="AC38" s="892">
        <f>IF(AND(AC$22=TRUE,INDEX(CDRANGE_CLS3,MATCH($A38,$A$24:$A$67,0),MATCH(AC$20,$B$20:$G$20,0))&lt;$D$6/OPDAYS_Cls3),86,payback(G38,X38,disc_rate/12,85))</f>
        <v>86</v>
      </c>
      <c r="AD38" s="637">
        <f t="shared" si="43"/>
        <v>0</v>
      </c>
      <c r="AE38" s="638">
        <f t="shared" si="44"/>
        <v>0</v>
      </c>
      <c r="AF38" s="638">
        <f t="shared" si="45"/>
        <v>0</v>
      </c>
      <c r="AG38" s="638">
        <f t="shared" si="46"/>
        <v>0</v>
      </c>
      <c r="AH38" s="639">
        <f t="shared" si="47"/>
        <v>0</v>
      </c>
      <c r="AI38" s="640">
        <f t="shared" si="48"/>
        <v>0</v>
      </c>
      <c r="AJ38" s="641">
        <f t="shared" si="49"/>
        <v>0</v>
      </c>
      <c r="AK38" s="641">
        <f t="shared" si="50"/>
        <v>0</v>
      </c>
      <c r="AL38" s="641">
        <f t="shared" si="51"/>
        <v>0</v>
      </c>
      <c r="AM38" s="642">
        <f t="shared" si="52"/>
        <v>0</v>
      </c>
      <c r="AN38" s="643">
        <f t="shared" si="65"/>
        <v>0.99979164935910014</v>
      </c>
      <c r="AO38" s="641">
        <f t="shared" si="53"/>
        <v>0.99918112428902428</v>
      </c>
      <c r="AP38" s="641">
        <f t="shared" si="53"/>
        <v>0.9505665499546565</v>
      </c>
      <c r="AQ38" s="641">
        <f t="shared" si="53"/>
        <v>2.1749333004703608E-3</v>
      </c>
      <c r="AR38" s="642">
        <f t="shared" si="53"/>
        <v>4.7086958776532128E-9</v>
      </c>
      <c r="AS38" s="637">
        <f t="shared" ca="1" si="54"/>
        <v>0</v>
      </c>
      <c r="AT38" s="638">
        <f t="shared" ca="1" si="55"/>
        <v>0</v>
      </c>
      <c r="AU38" s="638">
        <f t="shared" ca="1" si="56"/>
        <v>0</v>
      </c>
      <c r="AV38" s="638">
        <f t="shared" ca="1" si="57"/>
        <v>0</v>
      </c>
      <c r="AW38" s="639">
        <f t="shared" si="58"/>
        <v>0</v>
      </c>
      <c r="AX38" s="637">
        <f t="shared" ca="1" si="59"/>
        <v>0</v>
      </c>
      <c r="AY38" s="638">
        <f t="shared" ca="1" si="59"/>
        <v>0</v>
      </c>
      <c r="AZ38" s="638">
        <f t="shared" ca="1" si="59"/>
        <v>0</v>
      </c>
      <c r="BA38" s="638">
        <f t="shared" ca="1" si="59"/>
        <v>0</v>
      </c>
      <c r="BB38" s="639">
        <f t="shared" si="59"/>
        <v>0</v>
      </c>
      <c r="BC38" s="637">
        <f t="shared" ca="1" si="66"/>
        <v>1</v>
      </c>
      <c r="BD38" s="638">
        <f t="shared" ca="1" si="60"/>
        <v>0</v>
      </c>
      <c r="BE38" s="638">
        <f t="shared" ca="1" si="61"/>
        <v>0</v>
      </c>
      <c r="BF38" s="638">
        <f t="shared" ca="1" si="62"/>
        <v>0</v>
      </c>
      <c r="BG38" s="638">
        <f t="shared" ca="1" si="63"/>
        <v>0</v>
      </c>
      <c r="BH38" s="639">
        <f t="shared" ca="1" si="64"/>
        <v>0</v>
      </c>
    </row>
    <row r="39" spans="1:62" x14ac:dyDescent="0.2">
      <c r="A39" s="317">
        <v>2022</v>
      </c>
      <c r="B39" s="819">
        <f t="shared" si="67"/>
        <v>97308.25</v>
      </c>
      <c r="C39" s="820">
        <f t="shared" si="67"/>
        <v>1680.93</v>
      </c>
      <c r="D39" s="820">
        <f t="shared" si="67"/>
        <v>2360.5500000000002</v>
      </c>
      <c r="E39" s="820">
        <f t="shared" si="67"/>
        <v>12471.33</v>
      </c>
      <c r="F39" s="820">
        <f t="shared" si="67"/>
        <v>122356.24</v>
      </c>
      <c r="G39" s="821">
        <f t="shared" si="67"/>
        <v>215138.06</v>
      </c>
      <c r="H39" s="780">
        <f t="shared" si="68"/>
        <v>1</v>
      </c>
      <c r="I39" s="781">
        <f t="shared" si="68"/>
        <v>1</v>
      </c>
      <c r="J39" s="781">
        <f t="shared" si="68"/>
        <v>1</v>
      </c>
      <c r="K39" s="781">
        <f t="shared" si="68"/>
        <v>1</v>
      </c>
      <c r="L39" s="781">
        <f t="shared" si="68"/>
        <v>0.83028799973693701</v>
      </c>
      <c r="M39" s="782">
        <f t="shared" si="68"/>
        <v>1</v>
      </c>
      <c r="N39" s="732">
        <f t="shared" si="32"/>
        <v>7811.7622609299387</v>
      </c>
      <c r="O39" s="276">
        <f t="shared" si="33"/>
        <v>7509.4371551260911</v>
      </c>
      <c r="P39" s="276">
        <f t="shared" si="34"/>
        <v>7119.4128002976895</v>
      </c>
      <c r="Q39" s="276">
        <f t="shared" si="35"/>
        <v>6600.1972515398784</v>
      </c>
      <c r="R39" s="276">
        <f t="shared" si="36"/>
        <v>7506.4180863628853</v>
      </c>
      <c r="S39" s="278">
        <f t="shared" si="37"/>
        <v>8888.3502496957644</v>
      </c>
      <c r="T39" s="733">
        <f t="shared" si="38"/>
        <v>302.32510580384769</v>
      </c>
      <c r="U39" s="290">
        <f t="shared" si="39"/>
        <v>692.34946063224925</v>
      </c>
      <c r="V39" s="290">
        <f t="shared" si="40"/>
        <v>1211.5650093900604</v>
      </c>
      <c r="W39" s="290">
        <f t="shared" si="41"/>
        <v>305.34417456705341</v>
      </c>
      <c r="X39" s="291">
        <f t="shared" si="42"/>
        <v>-1076.5879887658257</v>
      </c>
      <c r="Y39" s="279">
        <f ca="1">IF(AND(Y$22=TRUE,INDEX(CDRANGE_CLS3,MATCH($A39,$A$24:$A$67,0),MATCH(Y$20,$B$20:$G$20,0))&lt;$D$6/OPDAYS_Cls3),86,payback(C39,T39,disc_rate/12,85))</f>
        <v>6</v>
      </c>
      <c r="Z39" s="280">
        <f ca="1">IF(AND(Z$22=TRUE,INDEX(CDRANGE_CLS3,MATCH($A39,$A$24:$A$67,0),MATCH(Z$20,$B$20:$G$20,0))&lt;$D$6/OPDAYS_Cls3),86,payback(D39,U39,disc_rate/12,85))</f>
        <v>4</v>
      </c>
      <c r="AA39" s="280">
        <f ca="1">IF(AND(AA$22=TRUE,INDEX(CDRANGE_CLS3,MATCH($A39,$A$24:$A$67,0),MATCH(AA$20,$B$20:$G$20,0))&lt;$D$6/OPDAYS_Cls3),86,payback(E39,V39,disc_rate/12,85))</f>
        <v>11</v>
      </c>
      <c r="AB39" s="280">
        <f ca="1">IF(AND(AB$22=TRUE,INDEX(CDRANGE_CLS3,MATCH($A39,$A$24:$A$67,0),MATCH(AB$20,$B$20:$G$20,0))&lt;$D$6/OPDAYS_Cls3),86,payback(F39,W39,disc_rate/12,85))</f>
        <v>86</v>
      </c>
      <c r="AC39" s="281">
        <f>IF(AND(AC$22=TRUE,INDEX(CDRANGE_CLS3,MATCH($A39,$A$24:$A$67,0),MATCH(AC$20,$B$20:$G$20,0))&lt;$D$6/OPDAYS_Cls3),86,payback(G39,X39,disc_rate/12,85))</f>
        <v>86</v>
      </c>
      <c r="AD39" s="296">
        <f t="shared" si="43"/>
        <v>2.366967101585294E-2</v>
      </c>
      <c r="AE39" s="297">
        <f t="shared" si="44"/>
        <v>2.3294162642873449E-2</v>
      </c>
      <c r="AF39" s="297">
        <f t="shared" si="45"/>
        <v>0</v>
      </c>
      <c r="AG39" s="297">
        <f t="shared" si="46"/>
        <v>0</v>
      </c>
      <c r="AH39" s="298">
        <f t="shared" si="47"/>
        <v>0</v>
      </c>
      <c r="AI39" s="595">
        <f t="shared" si="48"/>
        <v>2.3712936588783391E-2</v>
      </c>
      <c r="AJ39" s="300">
        <f t="shared" si="49"/>
        <v>2.3712936588783391E-2</v>
      </c>
      <c r="AK39" s="300">
        <f t="shared" si="50"/>
        <v>2.3712936588783391E-2</v>
      </c>
      <c r="AL39" s="300">
        <f t="shared" si="51"/>
        <v>2.3712936588783391E-2</v>
      </c>
      <c r="AM39" s="598">
        <f t="shared" si="52"/>
        <v>2.2210437480177938E-3</v>
      </c>
      <c r="AN39" s="299">
        <f t="shared" si="65"/>
        <v>0.99917145242177974</v>
      </c>
      <c r="AO39" s="300">
        <f t="shared" si="53"/>
        <v>0.99836668605026657</v>
      </c>
      <c r="AP39" s="300">
        <f t="shared" si="53"/>
        <v>0.95539807837673862</v>
      </c>
      <c r="AQ39" s="300">
        <f t="shared" si="53"/>
        <v>1.2377443408556288E-2</v>
      </c>
      <c r="AR39" s="598">
        <f t="shared" si="53"/>
        <v>1.2682126194762944E-6</v>
      </c>
      <c r="AS39" s="296">
        <f t="shared" ca="1" si="54"/>
        <v>4.7425873177566781E-2</v>
      </c>
      <c r="AT39" s="297">
        <f t="shared" ca="1" si="55"/>
        <v>4.7425873177566781E-2</v>
      </c>
      <c r="AU39" s="297">
        <f t="shared" ca="1" si="56"/>
        <v>4.4690938134007409E-2</v>
      </c>
      <c r="AV39" s="297">
        <f t="shared" ca="1" si="57"/>
        <v>0</v>
      </c>
      <c r="AW39" s="298">
        <f t="shared" si="58"/>
        <v>0</v>
      </c>
      <c r="AX39" s="296">
        <f t="shared" ca="1" si="59"/>
        <v>4.7386578585200526E-2</v>
      </c>
      <c r="AY39" s="297">
        <f t="shared" ca="1" si="59"/>
        <v>4.7348411837327575E-2</v>
      </c>
      <c r="AZ39" s="297">
        <f t="shared" ca="1" si="59"/>
        <v>4.2697636414084389E-2</v>
      </c>
      <c r="BA39" s="297">
        <f t="shared" ca="1" si="59"/>
        <v>0</v>
      </c>
      <c r="BB39" s="298">
        <f t="shared" si="59"/>
        <v>0</v>
      </c>
      <c r="BC39" s="296">
        <f t="shared" ca="1" si="66"/>
        <v>0.95261342141479943</v>
      </c>
      <c r="BD39" s="297">
        <f t="shared" ca="1" si="60"/>
        <v>1.6338826388590716E-2</v>
      </c>
      <c r="BE39" s="297">
        <f t="shared" ca="1" si="61"/>
        <v>1.6325666547008316E-2</v>
      </c>
      <c r="BF39" s="297">
        <f t="shared" ca="1" si="62"/>
        <v>1.4722085649601493E-2</v>
      </c>
      <c r="BG39" s="297">
        <f t="shared" ca="1" si="63"/>
        <v>0</v>
      </c>
      <c r="BH39" s="298">
        <f t="shared" ca="1" si="64"/>
        <v>0</v>
      </c>
    </row>
    <row r="40" spans="1:62" x14ac:dyDescent="0.2">
      <c r="A40" s="317">
        <v>2023</v>
      </c>
      <c r="B40" s="819">
        <f t="shared" si="67"/>
        <v>97576.48</v>
      </c>
      <c r="C40" s="820">
        <f t="shared" si="67"/>
        <v>2521.4</v>
      </c>
      <c r="D40" s="820">
        <f t="shared" si="67"/>
        <v>3054.62</v>
      </c>
      <c r="E40" s="820">
        <f t="shared" si="67"/>
        <v>11832.93</v>
      </c>
      <c r="F40" s="820">
        <f t="shared" si="67"/>
        <v>100547.69</v>
      </c>
      <c r="G40" s="821">
        <f t="shared" si="67"/>
        <v>175325.02</v>
      </c>
      <c r="H40" s="780">
        <f t="shared" si="68"/>
        <v>1</v>
      </c>
      <c r="I40" s="781">
        <f t="shared" si="68"/>
        <v>1</v>
      </c>
      <c r="J40" s="781">
        <f t="shared" si="68"/>
        <v>1</v>
      </c>
      <c r="K40" s="781">
        <f t="shared" si="68"/>
        <v>1</v>
      </c>
      <c r="L40" s="781">
        <f t="shared" si="68"/>
        <v>0.83080131839687532</v>
      </c>
      <c r="M40" s="782">
        <f t="shared" si="68"/>
        <v>1</v>
      </c>
      <c r="N40" s="732">
        <f t="shared" si="32"/>
        <v>7707.5915298747022</v>
      </c>
      <c r="O40" s="276">
        <f t="shared" si="33"/>
        <v>7273.4857047336718</v>
      </c>
      <c r="P40" s="276">
        <f t="shared" si="34"/>
        <v>6890.6654280404373</v>
      </c>
      <c r="Q40" s="276">
        <f t="shared" si="35"/>
        <v>6394.0420179186958</v>
      </c>
      <c r="R40" s="276">
        <f t="shared" si="36"/>
        <v>7207.9667186998167</v>
      </c>
      <c r="S40" s="278">
        <f t="shared" si="37"/>
        <v>8701.7432325253449</v>
      </c>
      <c r="T40" s="733">
        <f t="shared" si="38"/>
        <v>434.10582514103044</v>
      </c>
      <c r="U40" s="290">
        <f t="shared" si="39"/>
        <v>816.92610183426495</v>
      </c>
      <c r="V40" s="290">
        <f t="shared" si="40"/>
        <v>1313.5495119560064</v>
      </c>
      <c r="W40" s="290">
        <f t="shared" si="41"/>
        <v>499.62481117488551</v>
      </c>
      <c r="X40" s="291">
        <f t="shared" si="42"/>
        <v>-994.15170265064262</v>
      </c>
      <c r="Y40" s="279">
        <f ca="1">IF(AND(Y$22=TRUE,INDEX(CDRANGE_CLS3,MATCH($A40,$A$24:$A$67,0),MATCH(Y$20,$B$20:$G$20,0))&lt;$D$6/OPDAYS_Cls3),86,payback(C40,T40,disc_rate/12,85))</f>
        <v>6</v>
      </c>
      <c r="Z40" s="280">
        <f ca="1">IF(AND(Z$22=TRUE,INDEX(CDRANGE_CLS3,MATCH($A40,$A$24:$A$67,0),MATCH(Z$20,$B$20:$G$20,0))&lt;$D$6/OPDAYS_Cls3),86,payback(D40,U40,disc_rate/12,85))</f>
        <v>4</v>
      </c>
      <c r="AA40" s="280">
        <f ca="1">IF(AND(AA$22=TRUE,INDEX(CDRANGE_CLS3,MATCH($A40,$A$24:$A$67,0),MATCH(AA$20,$B$20:$G$20,0))&lt;$D$6/OPDAYS_Cls3),86,payback(E40,V40,disc_rate/12,85))</f>
        <v>10</v>
      </c>
      <c r="AB40" s="280">
        <f ca="1">IF(AND(AB$22=TRUE,INDEX(CDRANGE_CLS3,MATCH($A40,$A$24:$A$67,0),MATCH(AB$20,$B$20:$G$20,0))&lt;$D$6/OPDAYS_Cls3),86,payback(F40,W40,disc_rate/12,85))</f>
        <v>86</v>
      </c>
      <c r="AC40" s="281">
        <f>IF(AND(AC$22=TRUE,INDEX(CDRANGE_CLS3,MATCH($A40,$A$24:$A$67,0),MATCH(AC$20,$B$20:$G$20,0))&lt;$D$6/OPDAYS_Cls3),86,payback(G40,X40,disc_rate/12,85))</f>
        <v>86</v>
      </c>
      <c r="AD40" s="296">
        <f t="shared" si="43"/>
        <v>5.7421981581262285E-2</v>
      </c>
      <c r="AE40" s="297">
        <f t="shared" si="44"/>
        <v>5.2153755937242023E-2</v>
      </c>
      <c r="AF40" s="297">
        <f t="shared" si="45"/>
        <v>0</v>
      </c>
      <c r="AG40" s="297">
        <f t="shared" si="46"/>
        <v>0</v>
      </c>
      <c r="AH40" s="298">
        <f t="shared" si="47"/>
        <v>0</v>
      </c>
      <c r="AI40" s="595">
        <f t="shared" si="48"/>
        <v>5.9601461011058773E-2</v>
      </c>
      <c r="AJ40" s="300">
        <f t="shared" si="49"/>
        <v>5.9601461011058773E-2</v>
      </c>
      <c r="AK40" s="300">
        <f t="shared" si="50"/>
        <v>5.9601461011058773E-2</v>
      </c>
      <c r="AL40" s="300">
        <f t="shared" si="51"/>
        <v>5.9601461011058773E-2</v>
      </c>
      <c r="AM40" s="598">
        <f t="shared" si="52"/>
        <v>7.2447519254021419E-3</v>
      </c>
      <c r="AN40" s="299">
        <f t="shared" si="65"/>
        <v>0.99814694629877276</v>
      </c>
      <c r="AO40" s="300">
        <f t="shared" si="65"/>
        <v>0.99728149209316252</v>
      </c>
      <c r="AP40" s="300">
        <f t="shared" si="65"/>
        <v>0.95997313907164938</v>
      </c>
      <c r="AQ40" s="300">
        <f t="shared" si="65"/>
        <v>5.2364815675680743E-2</v>
      </c>
      <c r="AR40" s="598">
        <f t="shared" si="65"/>
        <v>1.2742436320301032E-4</v>
      </c>
      <c r="AS40" s="296">
        <f t="shared" ca="1" si="54"/>
        <v>0.11920292202211755</v>
      </c>
      <c r="AT40" s="297">
        <f t="shared" ca="1" si="55"/>
        <v>0.11920292202211755</v>
      </c>
      <c r="AU40" s="297">
        <f t="shared" ca="1" si="56"/>
        <v>0.11455764279015102</v>
      </c>
      <c r="AV40" s="297">
        <f t="shared" ca="1" si="57"/>
        <v>0</v>
      </c>
      <c r="AW40" s="298">
        <f t="shared" si="58"/>
        <v>0</v>
      </c>
      <c r="AX40" s="296">
        <f t="shared" ca="1" si="59"/>
        <v>0.11898203260626736</v>
      </c>
      <c r="AY40" s="297">
        <f t="shared" ca="1" si="59"/>
        <v>0.11887886793608229</v>
      </c>
      <c r="AZ40" s="297">
        <f t="shared" ca="1" si="59"/>
        <v>0.10997225995390997</v>
      </c>
      <c r="BA40" s="297">
        <f t="shared" ca="1" si="59"/>
        <v>0</v>
      </c>
      <c r="BB40" s="298">
        <f t="shared" si="59"/>
        <v>0</v>
      </c>
      <c r="BC40" s="296">
        <f t="shared" ca="1" si="66"/>
        <v>0.88101796739373262</v>
      </c>
      <c r="BD40" s="297">
        <f t="shared" ca="1" si="60"/>
        <v>4.0699754051399889E-2</v>
      </c>
      <c r="BE40" s="297">
        <f t="shared" ca="1" si="61"/>
        <v>4.0664464885369074E-2</v>
      </c>
      <c r="BF40" s="297">
        <f t="shared" ca="1" si="62"/>
        <v>3.7617813669498401E-2</v>
      </c>
      <c r="BG40" s="297">
        <f t="shared" ca="1" si="63"/>
        <v>0</v>
      </c>
      <c r="BH40" s="298">
        <f t="shared" ca="1" si="64"/>
        <v>0</v>
      </c>
    </row>
    <row r="41" spans="1:62" x14ac:dyDescent="0.2">
      <c r="A41" s="317">
        <v>2024</v>
      </c>
      <c r="B41" s="819">
        <f t="shared" si="67"/>
        <v>97844.7</v>
      </c>
      <c r="C41" s="820">
        <f t="shared" si="67"/>
        <v>3361.86</v>
      </c>
      <c r="D41" s="820">
        <f t="shared" si="67"/>
        <v>3748.7</v>
      </c>
      <c r="E41" s="820">
        <f t="shared" si="67"/>
        <v>11194.53</v>
      </c>
      <c r="F41" s="820">
        <f t="shared" si="67"/>
        <v>78739.13</v>
      </c>
      <c r="G41" s="821">
        <f t="shared" si="67"/>
        <v>135511.98000000001</v>
      </c>
      <c r="H41" s="780">
        <f t="shared" si="68"/>
        <v>1</v>
      </c>
      <c r="I41" s="781">
        <f t="shared" si="68"/>
        <v>1</v>
      </c>
      <c r="J41" s="781">
        <f t="shared" si="68"/>
        <v>1</v>
      </c>
      <c r="K41" s="781">
        <f t="shared" si="68"/>
        <v>1</v>
      </c>
      <c r="L41" s="781">
        <f t="shared" si="68"/>
        <v>0.83131463705681374</v>
      </c>
      <c r="M41" s="782">
        <f t="shared" si="68"/>
        <v>1</v>
      </c>
      <c r="N41" s="732">
        <f t="shared" si="32"/>
        <v>7691.3994991337959</v>
      </c>
      <c r="O41" s="276">
        <f t="shared" si="33"/>
        <v>7130.5228163545553</v>
      </c>
      <c r="P41" s="276">
        <f t="shared" si="34"/>
        <v>6750.5687517135329</v>
      </c>
      <c r="Q41" s="276">
        <f t="shared" si="35"/>
        <v>6269.4988634851343</v>
      </c>
      <c r="R41" s="276">
        <f t="shared" si="36"/>
        <v>6992.1878908638064</v>
      </c>
      <c r="S41" s="278">
        <f t="shared" si="37"/>
        <v>8504.3151505880433</v>
      </c>
      <c r="T41" s="733">
        <f t="shared" si="38"/>
        <v>560.87668277924058</v>
      </c>
      <c r="U41" s="290">
        <f t="shared" si="39"/>
        <v>940.83074742026292</v>
      </c>
      <c r="V41" s="290">
        <f t="shared" si="40"/>
        <v>1421.9006356486616</v>
      </c>
      <c r="W41" s="290">
        <f t="shared" si="41"/>
        <v>699.21160826998948</v>
      </c>
      <c r="X41" s="291">
        <f t="shared" si="42"/>
        <v>-812.91565145424738</v>
      </c>
      <c r="Y41" s="279">
        <f ca="1">IF(AND(Y$22=TRUE,INDEX(CDRANGE_CLS3,MATCH($A41,$A$24:$A$67,0),MATCH(Y$20,$B$20:$G$20,0))&lt;$D$6/OPDAYS_Cls3),86,payback(C41,T41,disc_rate/12,85))</f>
        <v>7</v>
      </c>
      <c r="Z41" s="280">
        <f ca="1">IF(AND(Z$22=TRUE,INDEX(CDRANGE_CLS3,MATCH($A41,$A$24:$A$67,0),MATCH(Z$20,$B$20:$G$20,0))&lt;$D$6/OPDAYS_Cls3),86,payback(D41,U41,disc_rate/12,85))</f>
        <v>5</v>
      </c>
      <c r="AA41" s="280">
        <f ca="1">IF(AND(AA$22=TRUE,INDEX(CDRANGE_CLS3,MATCH($A41,$A$24:$A$67,0),MATCH(AA$20,$B$20:$G$20,0))&lt;$D$6/OPDAYS_Cls3),86,payback(E41,V41,disc_rate/12,85))</f>
        <v>9</v>
      </c>
      <c r="AB41" s="280">
        <f ca="1">IF(AND(AB$22=TRUE,INDEX(CDRANGE_CLS3,MATCH($A41,$A$24:$A$67,0),MATCH(AB$20,$B$20:$G$20,0))&lt;$D$6/OPDAYS_Cls3),86,payback(F41,W41,disc_rate/12,85))</f>
        <v>86</v>
      </c>
      <c r="AC41" s="281">
        <f>IF(AND(AC$22=TRUE,INDEX(CDRANGE_CLS3,MATCH($A41,$A$24:$A$67,0),MATCH(AC$20,$B$20:$G$20,0))&lt;$D$6/OPDAYS_Cls3),86,payback(G41,X41,disc_rate/12,85))</f>
        <v>86</v>
      </c>
      <c r="AD41" s="296">
        <f t="shared" si="43"/>
        <v>0.10644090721024145</v>
      </c>
      <c r="AE41" s="297">
        <f t="shared" si="44"/>
        <v>8.139460029835871E-2</v>
      </c>
      <c r="AF41" s="297">
        <f t="shared" si="45"/>
        <v>0</v>
      </c>
      <c r="AG41" s="297">
        <f t="shared" si="46"/>
        <v>0</v>
      </c>
      <c r="AH41" s="298">
        <f t="shared" si="47"/>
        <v>0</v>
      </c>
      <c r="AI41" s="595">
        <f t="shared" si="48"/>
        <v>0.13447071068499755</v>
      </c>
      <c r="AJ41" s="300">
        <f t="shared" si="49"/>
        <v>0.13447071068499755</v>
      </c>
      <c r="AK41" s="300">
        <f t="shared" si="50"/>
        <v>0.13447071068499755</v>
      </c>
      <c r="AL41" s="300">
        <f t="shared" si="51"/>
        <v>0.13447071068499755</v>
      </c>
      <c r="AM41" s="598">
        <f t="shared" si="52"/>
        <v>2.0769477016536548E-2</v>
      </c>
      <c r="AN41" s="299">
        <f t="shared" si="65"/>
        <v>0.99672606361083194</v>
      </c>
      <c r="AO41" s="300">
        <f t="shared" si="65"/>
        <v>0.99593089250965161</v>
      </c>
      <c r="AP41" s="300">
        <f t="shared" si="65"/>
        <v>0.96429221825890521</v>
      </c>
      <c r="AQ41" s="300">
        <f t="shared" si="65"/>
        <v>0.16548281219972216</v>
      </c>
      <c r="AR41" s="598">
        <f t="shared" si="65"/>
        <v>4.8529310990125252E-3</v>
      </c>
      <c r="AS41" s="296">
        <f t="shared" ca="1" si="54"/>
        <v>0.26806125285562332</v>
      </c>
      <c r="AT41" s="297">
        <f t="shared" ca="1" si="55"/>
        <v>0.2689414213699951</v>
      </c>
      <c r="AU41" s="297">
        <f t="shared" ca="1" si="56"/>
        <v>0.2626468935812345</v>
      </c>
      <c r="AV41" s="297">
        <f t="shared" ca="1" si="57"/>
        <v>0</v>
      </c>
      <c r="AW41" s="298">
        <f t="shared" si="58"/>
        <v>0</v>
      </c>
      <c r="AX41" s="296">
        <f t="shared" ca="1" si="59"/>
        <v>0.26718363736537332</v>
      </c>
      <c r="AY41" s="297">
        <f t="shared" ca="1" si="59"/>
        <v>0.26784706981783352</v>
      </c>
      <c r="AZ41" s="297">
        <f t="shared" ca="1" si="59"/>
        <v>0.25326835563025923</v>
      </c>
      <c r="BA41" s="297">
        <f t="shared" ca="1" si="59"/>
        <v>0</v>
      </c>
      <c r="BB41" s="298">
        <f t="shared" si="59"/>
        <v>0</v>
      </c>
      <c r="BC41" s="296">
        <f t="shared" ca="1" si="66"/>
        <v>0.73215293018216654</v>
      </c>
      <c r="BD41" s="297">
        <f t="shared" ca="1" si="60"/>
        <v>9.0783254411302028E-2</v>
      </c>
      <c r="BE41" s="297">
        <f t="shared" ca="1" si="61"/>
        <v>9.1008674492076086E-2</v>
      </c>
      <c r="BF41" s="297">
        <f t="shared" ca="1" si="62"/>
        <v>8.6055140914455361E-2</v>
      </c>
      <c r="BG41" s="297">
        <f t="shared" ca="1" si="63"/>
        <v>0</v>
      </c>
      <c r="BH41" s="298">
        <f t="shared" ca="1" si="64"/>
        <v>0</v>
      </c>
    </row>
    <row r="42" spans="1:62" ht="15" thickBot="1" x14ac:dyDescent="0.25">
      <c r="A42" s="302">
        <v>2025</v>
      </c>
      <c r="B42" s="822">
        <f t="shared" si="67"/>
        <v>98112.92</v>
      </c>
      <c r="C42" s="823">
        <f t="shared" si="67"/>
        <v>4202.33</v>
      </c>
      <c r="D42" s="823">
        <f t="shared" si="67"/>
        <v>4442.7700000000004</v>
      </c>
      <c r="E42" s="823">
        <f t="shared" si="67"/>
        <v>10556.13</v>
      </c>
      <c r="F42" s="823">
        <f t="shared" si="67"/>
        <v>56930.58</v>
      </c>
      <c r="G42" s="824">
        <f t="shared" si="67"/>
        <v>95698.95</v>
      </c>
      <c r="H42" s="780">
        <f t="shared" si="68"/>
        <v>1</v>
      </c>
      <c r="I42" s="781">
        <f t="shared" si="68"/>
        <v>1</v>
      </c>
      <c r="J42" s="781">
        <f t="shared" si="68"/>
        <v>1</v>
      </c>
      <c r="K42" s="781">
        <f t="shared" si="68"/>
        <v>1</v>
      </c>
      <c r="L42" s="781">
        <f t="shared" si="68"/>
        <v>0.83182795571675217</v>
      </c>
      <c r="M42" s="782">
        <f t="shared" si="68"/>
        <v>1</v>
      </c>
      <c r="N42" s="883">
        <f t="shared" si="32"/>
        <v>7590.3021784814464</v>
      </c>
      <c r="O42" s="778">
        <f t="shared" si="33"/>
        <v>6917.8810992947729</v>
      </c>
      <c r="P42" s="778">
        <f t="shared" si="34"/>
        <v>6544.9983640019263</v>
      </c>
      <c r="Q42" s="778">
        <f t="shared" si="35"/>
        <v>6083.5726585258162</v>
      </c>
      <c r="R42" s="778">
        <f t="shared" si="36"/>
        <v>6742.4476949960763</v>
      </c>
      <c r="S42" s="779">
        <f t="shared" si="37"/>
        <v>8383.1327263112762</v>
      </c>
      <c r="T42" s="736">
        <f t="shared" si="38"/>
        <v>672.42107918667352</v>
      </c>
      <c r="U42" s="304">
        <f t="shared" si="39"/>
        <v>1045.30381447952</v>
      </c>
      <c r="V42" s="304">
        <f t="shared" si="40"/>
        <v>1506.7295199556302</v>
      </c>
      <c r="W42" s="304">
        <f t="shared" si="41"/>
        <v>847.85448348537011</v>
      </c>
      <c r="X42" s="305">
        <f t="shared" si="42"/>
        <v>-792.83054782982981</v>
      </c>
      <c r="Y42" s="888">
        <f ca="1">IF(AND(Y$22=TRUE,INDEX(CDRANGE_CLS3,MATCH($A42,$A$24:$A$67,0),MATCH(Y$20,$B$20:$G$20,0))&lt;$D$6/OPDAYS_Cls3),86,payback(C42,T42,disc_rate/12,85))</f>
        <v>7</v>
      </c>
      <c r="Z42" s="889">
        <f ca="1">IF(AND(Z$22=TRUE,INDEX(CDRANGE_CLS3,MATCH($A42,$A$24:$A$67,0),MATCH(Z$20,$B$20:$G$20,0))&lt;$D$6/OPDAYS_Cls3),86,payback(D42,U42,disc_rate/12,85))</f>
        <v>5</v>
      </c>
      <c r="AA42" s="889">
        <f ca="1">IF(AND(AA$22=TRUE,INDEX(CDRANGE_CLS3,MATCH($A42,$A$24:$A$67,0),MATCH(AA$20,$B$20:$G$20,0))&lt;$D$6/OPDAYS_Cls3),86,payback(E42,V42,disc_rate/12,85))</f>
        <v>8</v>
      </c>
      <c r="AB42" s="889">
        <f ca="1">IF(AND(AB$22=TRUE,INDEX(CDRANGE_CLS3,MATCH($A42,$A$24:$A$67,0),MATCH(AB$20,$B$20:$G$20,0))&lt;$D$6/OPDAYS_Cls3),86,payback(F42,W42,disc_rate/12,85))</f>
        <v>86</v>
      </c>
      <c r="AC42" s="890">
        <f>IF(AND(AC$22=TRUE,INDEX(CDRANGE_CLS3,MATCH($A42,$A$24:$A$67,0),MATCH(AC$20,$B$20:$G$20,0))&lt;$D$6/OPDAYS_Cls3),86,payback(G42,X42,disc_rate/12,85))</f>
        <v>86</v>
      </c>
      <c r="AD42" s="310">
        <f t="shared" si="43"/>
        <v>7.232001902347085E-2</v>
      </c>
      <c r="AE42" s="311">
        <f t="shared" si="44"/>
        <v>3.8433940250417631E-2</v>
      </c>
      <c r="AF42" s="311">
        <f t="shared" si="45"/>
        <v>0</v>
      </c>
      <c r="AG42" s="311">
        <f t="shared" si="46"/>
        <v>0</v>
      </c>
      <c r="AH42" s="312">
        <f t="shared" si="47"/>
        <v>0</v>
      </c>
      <c r="AI42" s="596">
        <f t="shared" si="48"/>
        <v>0.25</v>
      </c>
      <c r="AJ42" s="314">
        <f t="shared" si="49"/>
        <v>0.25</v>
      </c>
      <c r="AK42" s="314">
        <f t="shared" si="50"/>
        <v>0.25</v>
      </c>
      <c r="AL42" s="314">
        <f t="shared" si="51"/>
        <v>0.25</v>
      </c>
      <c r="AM42" s="599">
        <f t="shared" si="52"/>
        <v>5.3362699446636339E-2</v>
      </c>
      <c r="AN42" s="313">
        <f t="shared" si="65"/>
        <v>0.99491700945492711</v>
      </c>
      <c r="AO42" s="314">
        <f t="shared" si="65"/>
        <v>0.99432041604728905</v>
      </c>
      <c r="AP42" s="314">
        <f t="shared" si="65"/>
        <v>0.96835604193894842</v>
      </c>
      <c r="AQ42" s="314">
        <f t="shared" si="65"/>
        <v>0.39248046527095071</v>
      </c>
      <c r="AR42" s="599">
        <f t="shared" si="65"/>
        <v>7.1163840247083332E-2</v>
      </c>
      <c r="AS42" s="310">
        <f t="shared" ca="1" si="54"/>
        <v>0.49836364270351485</v>
      </c>
      <c r="AT42" s="311">
        <f t="shared" ca="1" si="55"/>
        <v>0.5</v>
      </c>
      <c r="AU42" s="311">
        <f t="shared" ca="1" si="56"/>
        <v>0.49432498000690822</v>
      </c>
      <c r="AV42" s="311">
        <f t="shared" ca="1" si="57"/>
        <v>0</v>
      </c>
      <c r="AW42" s="312">
        <f t="shared" si="58"/>
        <v>0</v>
      </c>
      <c r="AX42" s="310">
        <f t="shared" ca="1" si="59"/>
        <v>0.49583046501964478</v>
      </c>
      <c r="AY42" s="311">
        <f t="shared" ca="1" si="59"/>
        <v>0.49716020802364452</v>
      </c>
      <c r="AZ42" s="311">
        <f t="shared" ca="1" si="59"/>
        <v>0.47868258107103945</v>
      </c>
      <c r="BA42" s="311">
        <f t="shared" ca="1" si="59"/>
        <v>0</v>
      </c>
      <c r="BB42" s="312">
        <f t="shared" si="59"/>
        <v>0</v>
      </c>
      <c r="BC42" s="310">
        <f t="shared" ca="1" si="66"/>
        <v>0.50283979197635542</v>
      </c>
      <c r="BD42" s="311">
        <f t="shared" ca="1" si="60"/>
        <v>0.16750129585114876</v>
      </c>
      <c r="BE42" s="311">
        <f t="shared" ca="1" si="61"/>
        <v>0.16795050922554305</v>
      </c>
      <c r="BF42" s="311">
        <f t="shared" ca="1" si="62"/>
        <v>0.16170840294695274</v>
      </c>
      <c r="BG42" s="311">
        <f t="shared" ca="1" si="63"/>
        <v>0</v>
      </c>
      <c r="BH42" s="312">
        <f t="shared" ca="1" si="64"/>
        <v>0</v>
      </c>
      <c r="BJ42" s="540"/>
    </row>
    <row r="43" spans="1:62" x14ac:dyDescent="0.2">
      <c r="A43" s="316">
        <v>2026</v>
      </c>
      <c r="B43" s="825">
        <f t="shared" si="67"/>
        <v>98535.26</v>
      </c>
      <c r="C43" s="826">
        <f t="shared" si="67"/>
        <v>4373.82</v>
      </c>
      <c r="D43" s="826">
        <f t="shared" si="67"/>
        <v>4579.01</v>
      </c>
      <c r="E43" s="826">
        <f t="shared" si="67"/>
        <v>10405.35</v>
      </c>
      <c r="F43" s="826">
        <f t="shared" si="67"/>
        <v>52011.72</v>
      </c>
      <c r="G43" s="827">
        <f t="shared" si="67"/>
        <v>86083.47</v>
      </c>
      <c r="H43" s="780">
        <f t="shared" si="68"/>
        <v>1</v>
      </c>
      <c r="I43" s="781">
        <f t="shared" si="68"/>
        <v>1</v>
      </c>
      <c r="J43" s="781">
        <f t="shared" si="68"/>
        <v>1</v>
      </c>
      <c r="K43" s="781">
        <f t="shared" si="68"/>
        <v>1</v>
      </c>
      <c r="L43" s="781">
        <f t="shared" si="68"/>
        <v>0.83110156731525731</v>
      </c>
      <c r="M43" s="782">
        <f t="shared" si="68"/>
        <v>1</v>
      </c>
      <c r="N43" s="732">
        <f t="shared" si="32"/>
        <v>7543.9252303513858</v>
      </c>
      <c r="O43" s="276">
        <f t="shared" si="33"/>
        <v>6763.8889924947216</v>
      </c>
      <c r="P43" s="276">
        <f t="shared" si="34"/>
        <v>6395.3748677474186</v>
      </c>
      <c r="Q43" s="276">
        <f t="shared" si="35"/>
        <v>5949.1125325174144</v>
      </c>
      <c r="R43" s="276">
        <f t="shared" si="36"/>
        <v>6537.2216274534603</v>
      </c>
      <c r="S43" s="278">
        <f t="shared" si="37"/>
        <v>8193.421663410325</v>
      </c>
      <c r="T43" s="732">
        <f t="shared" si="38"/>
        <v>780.03623785666423</v>
      </c>
      <c r="U43" s="276">
        <f t="shared" si="39"/>
        <v>1148.5503626039672</v>
      </c>
      <c r="V43" s="276">
        <f t="shared" si="40"/>
        <v>1594.8126978339715</v>
      </c>
      <c r="W43" s="276">
        <f t="shared" si="41"/>
        <v>1006.7036028979255</v>
      </c>
      <c r="X43" s="277">
        <f t="shared" si="42"/>
        <v>-649.49643305893915</v>
      </c>
      <c r="Y43" s="279">
        <f ca="1">IF(AND(Y$22=TRUE,INDEX(CDRANGE_CLS3,MATCH($A43,$A$24:$A$67,0),MATCH(Y$20,$B$20:$G$20,0))&lt;$D$6/OPDAYS_Cls3),86,payback(C43,T43,disc_rate/12,85))</f>
        <v>6</v>
      </c>
      <c r="Z43" s="280">
        <f ca="1">IF(AND(Z$22=TRUE,INDEX(CDRANGE_CLS3,MATCH($A43,$A$24:$A$67,0),MATCH(Z$20,$B$20:$G$20,0))&lt;$D$6/OPDAYS_Cls3),86,payback(D43,U43,disc_rate/12,85))</f>
        <v>5</v>
      </c>
      <c r="AA43" s="280">
        <f ca="1">IF(AND(AA$22=TRUE,INDEX(CDRANGE_CLS3,MATCH($A43,$A$24:$A$67,0),MATCH(AA$20,$B$20:$G$20,0))&lt;$D$6/OPDAYS_Cls3),86,payback(E43,V43,disc_rate/12,85))</f>
        <v>7</v>
      </c>
      <c r="AB43" s="280">
        <f ca="1">IF(AND(AB$22=TRUE,INDEX(CDRANGE_CLS3,MATCH($A43,$A$24:$A$67,0),MATCH(AB$20,$B$20:$G$20,0))&lt;$D$6/OPDAYS_Cls3),86,payback(F43,W43,disc_rate/12,85))</f>
        <v>63</v>
      </c>
      <c r="AC43" s="281">
        <f>IF(AND(AC$22=TRUE,INDEX(CDRANGE_CLS3,MATCH($A43,$A$24:$A$67,0),MATCH(AC$20,$B$20:$G$20,0))&lt;$D$6/OPDAYS_Cls3),86,payback(G43,X43,disc_rate/12,85))</f>
        <v>86</v>
      </c>
      <c r="AD43" s="282">
        <f t="shared" si="43"/>
        <v>7.9258584867423848E-2</v>
      </c>
      <c r="AE43" s="283">
        <f t="shared" si="44"/>
        <v>3.7361810203463269E-2</v>
      </c>
      <c r="AF43" s="283">
        <f t="shared" si="45"/>
        <v>0</v>
      </c>
      <c r="AG43" s="283">
        <f t="shared" si="46"/>
        <v>0</v>
      </c>
      <c r="AH43" s="284">
        <f t="shared" si="47"/>
        <v>0</v>
      </c>
      <c r="AI43" s="594">
        <f t="shared" si="48"/>
        <v>0.36552928931500245</v>
      </c>
      <c r="AJ43" s="286">
        <f t="shared" si="49"/>
        <v>0.36552928931500245</v>
      </c>
      <c r="AK43" s="286">
        <f t="shared" si="50"/>
        <v>0.36552928931500245</v>
      </c>
      <c r="AL43" s="286">
        <f t="shared" si="51"/>
        <v>0.36552928931500245</v>
      </c>
      <c r="AM43" s="611">
        <f t="shared" si="52"/>
        <v>9.4702178206308593E-2</v>
      </c>
      <c r="AN43" s="285">
        <f t="shared" si="65"/>
        <v>0.99454181760712912</v>
      </c>
      <c r="AO43" s="286">
        <f t="shared" si="65"/>
        <v>0.99401925344454278</v>
      </c>
      <c r="AP43" s="286">
        <f t="shared" si="65"/>
        <v>0.9694986875495305</v>
      </c>
      <c r="AQ43" s="286">
        <f t="shared" si="65"/>
        <v>0.46118473907214175</v>
      </c>
      <c r="AR43" s="611">
        <f t="shared" si="65"/>
        <v>0.12002117896152487</v>
      </c>
      <c r="AS43" s="282">
        <f t="shared" ca="1" si="54"/>
        <v>0.7310585786300049</v>
      </c>
      <c r="AT43" s="283">
        <f t="shared" ca="1" si="55"/>
        <v>0.7310585786300049</v>
      </c>
      <c r="AU43" s="283">
        <f t="shared" ca="1" si="56"/>
        <v>0.72866603255140638</v>
      </c>
      <c r="AV43" s="283">
        <f t="shared" ca="1" si="57"/>
        <v>6.359497095175178E-3</v>
      </c>
      <c r="AW43" s="284">
        <f t="shared" si="58"/>
        <v>0</v>
      </c>
      <c r="AX43" s="282">
        <f t="shared" ca="1" si="59"/>
        <v>0.72706832756796935</v>
      </c>
      <c r="AY43" s="283">
        <f t="shared" ca="1" si="59"/>
        <v>0.726686302554026</v>
      </c>
      <c r="AZ43" s="283">
        <f t="shared" ca="1" si="59"/>
        <v>0.706440762220512</v>
      </c>
      <c r="BA43" s="283">
        <f t="shared" ca="1" si="59"/>
        <v>2.932903008468408E-3</v>
      </c>
      <c r="BB43" s="284">
        <f t="shared" si="59"/>
        <v>0</v>
      </c>
      <c r="BC43" s="282">
        <f t="shared" ca="1" si="66"/>
        <v>0.27293167243203054</v>
      </c>
      <c r="BD43" s="283">
        <f t="shared" ca="1" si="60"/>
        <v>0.2443814146801275</v>
      </c>
      <c r="BE43" s="283">
        <f t="shared" ca="1" si="61"/>
        <v>0.2442530088483634</v>
      </c>
      <c r="BF43" s="283">
        <f t="shared" ca="1" si="62"/>
        <v>0.23744809987341536</v>
      </c>
      <c r="BG43" s="283">
        <f t="shared" ca="1" si="63"/>
        <v>9.8580416606320535E-4</v>
      </c>
      <c r="BH43" s="284">
        <f t="shared" ca="1" si="64"/>
        <v>0</v>
      </c>
    </row>
    <row r="44" spans="1:62" x14ac:dyDescent="0.2">
      <c r="A44" s="317">
        <v>2027</v>
      </c>
      <c r="B44" s="819">
        <f t="shared" ref="B44:G53" si="69">ROUND(INDEX(COST_Cls3,$A44-($A$24-1),MATCH(B$20,TECHOPTS_Cls3,0)),2)</f>
        <v>98957.59</v>
      </c>
      <c r="C44" s="820">
        <f t="shared" si="69"/>
        <v>4545.3</v>
      </c>
      <c r="D44" s="820">
        <f t="shared" si="69"/>
        <v>4715.25</v>
      </c>
      <c r="E44" s="820">
        <f t="shared" si="69"/>
        <v>10254.58</v>
      </c>
      <c r="F44" s="820">
        <f t="shared" si="69"/>
        <v>47092.87</v>
      </c>
      <c r="G44" s="821">
        <f t="shared" si="69"/>
        <v>76467.990000000005</v>
      </c>
      <c r="H44" s="780">
        <f t="shared" ref="H44:M53" si="70">IF(H$21="Single-fuel",1,1-MIN(INDEX(CDRANGE_CLS3,$A44-($A$24-1),MATCH(H$20,TECHOPTS_Cls3,0))*OPDAYS_Cls3/$D$6,1))</f>
        <v>1</v>
      </c>
      <c r="I44" s="781">
        <f t="shared" si="70"/>
        <v>1</v>
      </c>
      <c r="J44" s="781">
        <f t="shared" si="70"/>
        <v>1</v>
      </c>
      <c r="K44" s="781">
        <f t="shared" si="70"/>
        <v>1</v>
      </c>
      <c r="L44" s="781">
        <f t="shared" si="70"/>
        <v>0.83037517891376256</v>
      </c>
      <c r="M44" s="782">
        <f t="shared" si="70"/>
        <v>1</v>
      </c>
      <c r="N44" s="732">
        <f t="shared" si="32"/>
        <v>7371.7944385798837</v>
      </c>
      <c r="O44" s="276">
        <f t="shared" si="33"/>
        <v>6506.1960470849426</v>
      </c>
      <c r="P44" s="276">
        <f t="shared" si="34"/>
        <v>6148.1454191181392</v>
      </c>
      <c r="Q44" s="276">
        <f t="shared" si="35"/>
        <v>5723.3359835867277</v>
      </c>
      <c r="R44" s="276">
        <f t="shared" si="36"/>
        <v>6246.8050170740935</v>
      </c>
      <c r="S44" s="278">
        <f t="shared" si="37"/>
        <v>7925.0915582419366</v>
      </c>
      <c r="T44" s="733">
        <f t="shared" si="38"/>
        <v>865.5983914949411</v>
      </c>
      <c r="U44" s="290">
        <f t="shared" si="39"/>
        <v>1223.6490194617445</v>
      </c>
      <c r="V44" s="290">
        <f t="shared" si="40"/>
        <v>1648.458454993156</v>
      </c>
      <c r="W44" s="290">
        <f t="shared" si="41"/>
        <v>1124.9894215057902</v>
      </c>
      <c r="X44" s="291">
        <f t="shared" si="42"/>
        <v>-553.29711966205286</v>
      </c>
      <c r="Y44" s="279">
        <f ca="1">IF(AND(Y$22=TRUE,INDEX(CDRANGE_CLS3,MATCH($A44,$A$24:$A$67,0),MATCH(Y$20,$B$20:$G$20,0))&lt;$D$6/OPDAYS_Cls3),86,payback(C44,T44,disc_rate/12,85))</f>
        <v>6</v>
      </c>
      <c r="Z44" s="280">
        <f ca="1">IF(AND(Z$22=TRUE,INDEX(CDRANGE_CLS3,MATCH($A44,$A$24:$A$67,0),MATCH(Z$20,$B$20:$G$20,0))&lt;$D$6/OPDAYS_Cls3),86,payback(D44,U44,disc_rate/12,85))</f>
        <v>4</v>
      </c>
      <c r="AA44" s="280">
        <f ca="1">IF(AND(AA$22=TRUE,INDEX(CDRANGE_CLS3,MATCH($A44,$A$24:$A$67,0),MATCH(AA$20,$B$20:$G$20,0))&lt;$D$6/OPDAYS_Cls3),86,payback(E44,V44,disc_rate/12,85))</f>
        <v>7</v>
      </c>
      <c r="AB44" s="280">
        <f ca="1">IF(AND(AB$22=TRUE,INDEX(CDRANGE_CLS3,MATCH($A44,$A$24:$A$67,0),MATCH(AB$20,$B$20:$G$20,0))&lt;$D$6/OPDAYS_Cls3),86,payback(F44,W44,disc_rate/12,85))</f>
        <v>49</v>
      </c>
      <c r="AC44" s="281">
        <f>IF(AND(AC$22=TRUE,INDEX(CDRANGE_CLS3,MATCH($A44,$A$24:$A$67,0),MATCH(AC$20,$B$20:$G$20,0))&lt;$D$6/OPDAYS_Cls3),86,payback(G44,X44,disc_rate/12,85))</f>
        <v>86</v>
      </c>
      <c r="AD44" s="296">
        <f t="shared" si="43"/>
        <v>4.5014413642261338E-2</v>
      </c>
      <c r="AE44" s="297">
        <f t="shared" si="44"/>
        <v>2.7793406890609954E-2</v>
      </c>
      <c r="AF44" s="297">
        <f t="shared" si="45"/>
        <v>0</v>
      </c>
      <c r="AG44" s="297">
        <f t="shared" si="46"/>
        <v>0</v>
      </c>
      <c r="AH44" s="298">
        <f t="shared" si="47"/>
        <v>0</v>
      </c>
      <c r="AI44" s="595">
        <f t="shared" si="48"/>
        <v>0.44039853898894116</v>
      </c>
      <c r="AJ44" s="300">
        <f t="shared" si="49"/>
        <v>0.44039853898894116</v>
      </c>
      <c r="AK44" s="300">
        <f t="shared" si="50"/>
        <v>0.44039853898894116</v>
      </c>
      <c r="AL44" s="300">
        <f t="shared" si="51"/>
        <v>0.44039853898894116</v>
      </c>
      <c r="AM44" s="598">
        <f t="shared" si="52"/>
        <v>0.14801100680427121</v>
      </c>
      <c r="AN44" s="299">
        <f t="shared" si="65"/>
        <v>0.99415677721147755</v>
      </c>
      <c r="AO44" s="300">
        <f t="shared" si="65"/>
        <v>0.99371305091370921</v>
      </c>
      <c r="AP44" s="300">
        <f t="shared" si="65"/>
        <v>0.97061173790662691</v>
      </c>
      <c r="AQ44" s="300">
        <f t="shared" si="65"/>
        <v>0.53307913967556086</v>
      </c>
      <c r="AR44" s="598">
        <f t="shared" si="65"/>
        <v>0.19039302293717919</v>
      </c>
      <c r="AS44" s="296">
        <f t="shared" ca="1" si="54"/>
        <v>0.88079707797788231</v>
      </c>
      <c r="AT44" s="297">
        <f t="shared" ca="1" si="55"/>
        <v>0.88079707797788231</v>
      </c>
      <c r="AU44" s="297">
        <f t="shared" ca="1" si="56"/>
        <v>0.87791448052733856</v>
      </c>
      <c r="AV44" s="297">
        <f t="shared" ca="1" si="57"/>
        <v>5.0609439998589648E-2</v>
      </c>
      <c r="AW44" s="298">
        <f t="shared" si="58"/>
        <v>0</v>
      </c>
      <c r="AX44" s="296">
        <f t="shared" ca="1" si="59"/>
        <v>0.87565038441977794</v>
      </c>
      <c r="AY44" s="297">
        <f t="shared" ca="1" si="59"/>
        <v>0.87525955159328162</v>
      </c>
      <c r="AZ44" s="297">
        <f t="shared" ca="1" si="59"/>
        <v>0.85211409967803364</v>
      </c>
      <c r="BA44" s="297">
        <f t="shared" ca="1" si="59"/>
        <v>2.6978836733910088E-2</v>
      </c>
      <c r="BB44" s="298">
        <f t="shared" si="59"/>
        <v>0</v>
      </c>
      <c r="BC44" s="296">
        <f t="shared" ca="1" si="66"/>
        <v>0.12434961558022217</v>
      </c>
      <c r="BD44" s="297">
        <f t="shared" ca="1" si="60"/>
        <v>0.29154477501673132</v>
      </c>
      <c r="BE44" s="297">
        <f t="shared" ca="1" si="61"/>
        <v>0.29141464857529148</v>
      </c>
      <c r="BF44" s="297">
        <f t="shared" ca="1" si="62"/>
        <v>0.28370845019822699</v>
      </c>
      <c r="BG44" s="297">
        <f t="shared" ca="1" si="63"/>
        <v>8.9825106295280104E-3</v>
      </c>
      <c r="BH44" s="298">
        <f t="shared" ca="1" si="64"/>
        <v>0</v>
      </c>
    </row>
    <row r="45" spans="1:62" x14ac:dyDescent="0.2">
      <c r="A45" s="317">
        <v>2028</v>
      </c>
      <c r="B45" s="819">
        <f t="shared" si="69"/>
        <v>99379.93</v>
      </c>
      <c r="C45" s="820">
        <f t="shared" si="69"/>
        <v>4716.79</v>
      </c>
      <c r="D45" s="820">
        <f t="shared" si="69"/>
        <v>4851.49</v>
      </c>
      <c r="E45" s="820">
        <f t="shared" si="69"/>
        <v>10103.799999999999</v>
      </c>
      <c r="F45" s="820">
        <f t="shared" si="69"/>
        <v>42174.02</v>
      </c>
      <c r="G45" s="821">
        <f t="shared" si="69"/>
        <v>66852.509999999995</v>
      </c>
      <c r="H45" s="780">
        <f t="shared" si="70"/>
        <v>1</v>
      </c>
      <c r="I45" s="781">
        <f t="shared" si="70"/>
        <v>1</v>
      </c>
      <c r="J45" s="781">
        <f t="shared" si="70"/>
        <v>1</v>
      </c>
      <c r="K45" s="781">
        <f t="shared" si="70"/>
        <v>1</v>
      </c>
      <c r="L45" s="781">
        <f t="shared" si="70"/>
        <v>0.8296487905122677</v>
      </c>
      <c r="M45" s="782">
        <f t="shared" si="70"/>
        <v>1</v>
      </c>
      <c r="N45" s="732">
        <f t="shared" si="32"/>
        <v>7416.859001233267</v>
      </c>
      <c r="O45" s="276">
        <f t="shared" si="33"/>
        <v>6447.3713948785098</v>
      </c>
      <c r="P45" s="276">
        <f t="shared" si="34"/>
        <v>6089.2017162339962</v>
      </c>
      <c r="Q45" s="276">
        <f t="shared" si="35"/>
        <v>5672.4115600158293</v>
      </c>
      <c r="R45" s="276">
        <f t="shared" si="36"/>
        <v>6125.7930827164109</v>
      </c>
      <c r="S45" s="278">
        <f t="shared" si="37"/>
        <v>7730.2083798263902</v>
      </c>
      <c r="T45" s="733">
        <f t="shared" si="38"/>
        <v>969.48760635475719</v>
      </c>
      <c r="U45" s="290">
        <f t="shared" si="39"/>
        <v>1327.6572849992708</v>
      </c>
      <c r="V45" s="290">
        <f t="shared" si="40"/>
        <v>1744.4474412174377</v>
      </c>
      <c r="W45" s="290">
        <f t="shared" si="41"/>
        <v>1291.0659185168561</v>
      </c>
      <c r="X45" s="291">
        <f t="shared" si="42"/>
        <v>-313.34937859312322</v>
      </c>
      <c r="Y45" s="279">
        <f ca="1">IF(AND(Y$22=TRUE,INDEX(CDRANGE_CLS3,MATCH($A45,$A$24:$A$67,0),MATCH(Y$20,$B$20:$G$20,0))&lt;$D$6/OPDAYS_Cls3),86,payback(C45,T45,disc_rate/12,85))</f>
        <v>5</v>
      </c>
      <c r="Z45" s="280">
        <f ca="1">IF(AND(Z$22=TRUE,INDEX(CDRANGE_CLS3,MATCH($A45,$A$24:$A$67,0),MATCH(Z$20,$B$20:$G$20,0))&lt;$D$6/OPDAYS_Cls3),86,payback(D45,U45,disc_rate/12,85))</f>
        <v>4</v>
      </c>
      <c r="AA45" s="280">
        <f ca="1">IF(AND(AA$22=TRUE,INDEX(CDRANGE_CLS3,MATCH($A45,$A$24:$A$67,0),MATCH(AA$20,$B$20:$G$20,0))&lt;$D$6/OPDAYS_Cls3),86,payback(E45,V45,disc_rate/12,85))</f>
        <v>6</v>
      </c>
      <c r="AB45" s="280">
        <f ca="1">IF(AND(AB$22=TRUE,INDEX(CDRANGE_CLS3,MATCH($A45,$A$24:$A$67,0),MATCH(AB$20,$B$20:$G$20,0))&lt;$D$6/OPDAYS_Cls3),86,payback(F45,W45,disc_rate/12,85))</f>
        <v>37</v>
      </c>
      <c r="AC45" s="281">
        <f>IF(AND(AC$22=TRUE,INDEX(CDRANGE_CLS3,MATCH($A45,$A$24:$A$67,0),MATCH(AC$20,$B$20:$G$20,0))&lt;$D$6/OPDAYS_Cls3),86,payback(G45,X45,disc_rate/12,85))</f>
        <v>86</v>
      </c>
      <c r="AD45" s="296">
        <f t="shared" si="43"/>
        <v>3.0058319858445533E-2</v>
      </c>
      <c r="AE45" s="297">
        <f t="shared" si="44"/>
        <v>1.7048957010990153E-2</v>
      </c>
      <c r="AF45" s="297">
        <f t="shared" si="45"/>
        <v>0</v>
      </c>
      <c r="AG45" s="297">
        <f t="shared" si="46"/>
        <v>0</v>
      </c>
      <c r="AH45" s="298">
        <f t="shared" si="47"/>
        <v>0</v>
      </c>
      <c r="AI45" s="595">
        <f t="shared" si="48"/>
        <v>0.47628706341121668</v>
      </c>
      <c r="AJ45" s="300">
        <f t="shared" si="49"/>
        <v>0.47628706341121668</v>
      </c>
      <c r="AK45" s="300">
        <f t="shared" si="50"/>
        <v>0.47628706341121668</v>
      </c>
      <c r="AL45" s="300">
        <f t="shared" si="51"/>
        <v>0.47628706341121668</v>
      </c>
      <c r="AM45" s="598">
        <f t="shared" si="52"/>
        <v>0.18678877439881256</v>
      </c>
      <c r="AN45" s="299">
        <f t="shared" si="65"/>
        <v>0.99376214691403275</v>
      </c>
      <c r="AO45" s="300">
        <f t="shared" si="65"/>
        <v>0.99340197873883906</v>
      </c>
      <c r="AP45" s="300">
        <f t="shared" si="65"/>
        <v>0.97169587679108105</v>
      </c>
      <c r="AQ45" s="300">
        <f t="shared" si="65"/>
        <v>0.60637693088031164</v>
      </c>
      <c r="AR45" s="598">
        <f t="shared" si="65"/>
        <v>0.28450603259612528</v>
      </c>
      <c r="AS45" s="296">
        <f t="shared" ca="1" si="54"/>
        <v>0.95257412682243336</v>
      </c>
      <c r="AT45" s="297">
        <f t="shared" ca="1" si="55"/>
        <v>0.95257412682243336</v>
      </c>
      <c r="AU45" s="297">
        <f t="shared" ca="1" si="56"/>
        <v>0.95257412682243336</v>
      </c>
      <c r="AV45" s="297">
        <f t="shared" ca="1" si="57"/>
        <v>0.19519836332896426</v>
      </c>
      <c r="AW45" s="298">
        <f t="shared" si="58"/>
        <v>0</v>
      </c>
      <c r="AX45" s="296">
        <f t="shared" ca="1" si="59"/>
        <v>0.94663210936582154</v>
      </c>
      <c r="AY45" s="297">
        <f t="shared" ca="1" si="59"/>
        <v>0.94628902248082714</v>
      </c>
      <c r="AZ45" s="297">
        <f t="shared" ca="1" si="59"/>
        <v>0.92561235137122277</v>
      </c>
      <c r="BA45" s="297">
        <f t="shared" ca="1" si="59"/>
        <v>0.11836378446827732</v>
      </c>
      <c r="BB45" s="298">
        <f t="shared" si="59"/>
        <v>0</v>
      </c>
      <c r="BC45" s="296">
        <f t="shared" ca="1" si="66"/>
        <v>5.3367890634178572E-2</v>
      </c>
      <c r="BD45" s="297">
        <f t="shared" ca="1" si="60"/>
        <v>0.3051221301957191</v>
      </c>
      <c r="BE45" s="297">
        <f t="shared" ca="1" si="61"/>
        <v>0.30501154510130274</v>
      </c>
      <c r="BF45" s="297">
        <f t="shared" ca="1" si="62"/>
        <v>0.29834696033611313</v>
      </c>
      <c r="BG45" s="297">
        <f t="shared" ca="1" si="63"/>
        <v>3.8151473732686493E-2</v>
      </c>
      <c r="BH45" s="298">
        <f t="shared" ca="1" si="64"/>
        <v>0</v>
      </c>
    </row>
    <row r="46" spans="1:62" x14ac:dyDescent="0.2">
      <c r="A46" s="317">
        <v>2029</v>
      </c>
      <c r="B46" s="819">
        <f t="shared" si="69"/>
        <v>99802.26</v>
      </c>
      <c r="C46" s="820">
        <f t="shared" si="69"/>
        <v>4888.28</v>
      </c>
      <c r="D46" s="820">
        <f t="shared" si="69"/>
        <v>4987.7299999999996</v>
      </c>
      <c r="E46" s="820">
        <f t="shared" si="69"/>
        <v>9953.0300000000007</v>
      </c>
      <c r="F46" s="820">
        <f t="shared" si="69"/>
        <v>37255.160000000003</v>
      </c>
      <c r="G46" s="821">
        <f t="shared" si="69"/>
        <v>57237.04</v>
      </c>
      <c r="H46" s="780">
        <f t="shared" si="70"/>
        <v>1</v>
      </c>
      <c r="I46" s="781">
        <f t="shared" si="70"/>
        <v>1</v>
      </c>
      <c r="J46" s="781">
        <f t="shared" si="70"/>
        <v>1</v>
      </c>
      <c r="K46" s="781">
        <f t="shared" si="70"/>
        <v>1</v>
      </c>
      <c r="L46" s="781">
        <f t="shared" si="70"/>
        <v>0.82892240211077295</v>
      </c>
      <c r="M46" s="782">
        <f t="shared" si="70"/>
        <v>1</v>
      </c>
      <c r="N46" s="732">
        <f t="shared" si="32"/>
        <v>7339.9442262037555</v>
      </c>
      <c r="O46" s="276">
        <f t="shared" si="33"/>
        <v>6287.8688702318186</v>
      </c>
      <c r="P46" s="276">
        <f t="shared" si="34"/>
        <v>5935.4555757668431</v>
      </c>
      <c r="Q46" s="276">
        <f t="shared" si="35"/>
        <v>5532.8423569260176</v>
      </c>
      <c r="R46" s="276">
        <f t="shared" si="36"/>
        <v>5919.1011379888569</v>
      </c>
      <c r="S46" s="278">
        <f t="shared" si="37"/>
        <v>7448.303614535077</v>
      </c>
      <c r="T46" s="733">
        <f t="shared" si="38"/>
        <v>1052.0753559719369</v>
      </c>
      <c r="U46" s="290">
        <f t="shared" si="39"/>
        <v>1404.4886504369124</v>
      </c>
      <c r="V46" s="290">
        <f t="shared" si="40"/>
        <v>1807.1018692777379</v>
      </c>
      <c r="W46" s="290">
        <f t="shared" si="41"/>
        <v>1420.8430882148987</v>
      </c>
      <c r="X46" s="291">
        <f t="shared" si="42"/>
        <v>-108.3593883313215</v>
      </c>
      <c r="Y46" s="279">
        <f ca="1">IF(AND(Y$22=TRUE,INDEX(CDRANGE_CLS3,MATCH($A46,$A$24:$A$67,0),MATCH(Y$20,$B$20:$G$20,0))&lt;$D$6/OPDAYS_Cls3),86,payback(C46,T46,disc_rate/12,85))</f>
        <v>5</v>
      </c>
      <c r="Z46" s="280">
        <f ca="1">IF(AND(Z$22=TRUE,INDEX(CDRANGE_CLS3,MATCH($A46,$A$24:$A$67,0),MATCH(Z$20,$B$20:$G$20,0))&lt;$D$6/OPDAYS_Cls3),86,payback(D46,U46,disc_rate/12,85))</f>
        <v>4</v>
      </c>
      <c r="AA46" s="280">
        <f ca="1">IF(AND(AA$22=TRUE,INDEX(CDRANGE_CLS3,MATCH($A46,$A$24:$A$67,0),MATCH(AA$20,$B$20:$G$20,0))&lt;$D$6/OPDAYS_Cls3),86,payback(E46,V46,disc_rate/12,85))</f>
        <v>6</v>
      </c>
      <c r="AB46" s="280">
        <f ca="1">IF(AND(AB$22=TRUE,INDEX(CDRANGE_CLS3,MATCH($A46,$A$24:$A$67,0),MATCH(AB$20,$B$20:$G$20,0))&lt;$D$6/OPDAYS_Cls3),86,payback(F46,W46,disc_rate/12,85))</f>
        <v>29</v>
      </c>
      <c r="AC46" s="281">
        <f>IF(AND(AC$22=TRUE,INDEX(CDRANGE_CLS3,MATCH($A46,$A$24:$A$67,0),MATCH(AC$20,$B$20:$G$20,0))&lt;$D$6/OPDAYS_Cls3),86,payback(G46,X46,disc_rate/12,85))</f>
        <v>86</v>
      </c>
      <c r="AD46" s="296">
        <f t="shared" si="43"/>
        <v>9.0476967152006878E-3</v>
      </c>
      <c r="AE46" s="297">
        <f t="shared" si="44"/>
        <v>9.0476967152006878E-3</v>
      </c>
      <c r="AF46" s="297">
        <f t="shared" si="45"/>
        <v>0</v>
      </c>
      <c r="AG46" s="297">
        <f t="shared" si="46"/>
        <v>0</v>
      </c>
      <c r="AH46" s="298">
        <f t="shared" si="47"/>
        <v>0</v>
      </c>
      <c r="AI46" s="595">
        <f t="shared" si="48"/>
        <v>0.49100689501895423</v>
      </c>
      <c r="AJ46" s="300">
        <f t="shared" si="49"/>
        <v>0.49100689501895423</v>
      </c>
      <c r="AK46" s="300">
        <f t="shared" si="50"/>
        <v>0.49100689501895423</v>
      </c>
      <c r="AL46" s="300">
        <f t="shared" si="51"/>
        <v>0.49100689501895423</v>
      </c>
      <c r="AM46" s="598">
        <f t="shared" si="52"/>
        <v>0.22145449369332124</v>
      </c>
      <c r="AN46" s="299">
        <f t="shared" si="65"/>
        <v>0.99335824806969308</v>
      </c>
      <c r="AO46" s="300">
        <f t="shared" si="65"/>
        <v>0.99308619759922279</v>
      </c>
      <c r="AP46" s="300">
        <f t="shared" si="65"/>
        <v>0.97275152850087787</v>
      </c>
      <c r="AQ46" s="300">
        <f t="shared" si="65"/>
        <v>0.67904349922789375</v>
      </c>
      <c r="AR46" s="598">
        <f t="shared" si="65"/>
        <v>0.40106509546643621</v>
      </c>
      <c r="AS46" s="296">
        <f t="shared" ca="1" si="54"/>
        <v>0.98201379003790845</v>
      </c>
      <c r="AT46" s="297">
        <f t="shared" ca="1" si="55"/>
        <v>0.98201379003790845</v>
      </c>
      <c r="AU46" s="297">
        <f t="shared" ca="1" si="56"/>
        <v>0.98201379003790845</v>
      </c>
      <c r="AV46" s="297">
        <f t="shared" ca="1" si="57"/>
        <v>0.38891150906835642</v>
      </c>
      <c r="AW46" s="298">
        <f t="shared" si="58"/>
        <v>0</v>
      </c>
      <c r="AX46" s="296">
        <f t="shared" ca="1" si="59"/>
        <v>0.97549149805233615</v>
      </c>
      <c r="AY46" s="297">
        <f t="shared" ca="1" si="59"/>
        <v>0.97522434073874797</v>
      </c>
      <c r="AZ46" s="297">
        <f t="shared" ca="1" si="59"/>
        <v>0.95525541526831559</v>
      </c>
      <c r="BA46" s="297">
        <f t="shared" ca="1" si="59"/>
        <v>0.26408783200777747</v>
      </c>
      <c r="BB46" s="298">
        <f t="shared" si="59"/>
        <v>0</v>
      </c>
      <c r="BC46" s="296">
        <f t="shared" ca="1" si="66"/>
        <v>2.4508501947663741E-2</v>
      </c>
      <c r="BD46" s="297">
        <f t="shared" ca="1" si="60"/>
        <v>0.30017852567945036</v>
      </c>
      <c r="BE46" s="297">
        <f t="shared" ca="1" si="61"/>
        <v>0.30009631595370956</v>
      </c>
      <c r="BF46" s="297">
        <f t="shared" ca="1" si="62"/>
        <v>0.29395147243730235</v>
      </c>
      <c r="BG46" s="297">
        <f t="shared" ca="1" si="63"/>
        <v>8.1265183981874017E-2</v>
      </c>
      <c r="BH46" s="298">
        <f t="shared" ca="1" si="64"/>
        <v>0</v>
      </c>
    </row>
    <row r="47" spans="1:62" ht="15" thickBot="1" x14ac:dyDescent="0.25">
      <c r="A47" s="618">
        <v>2030</v>
      </c>
      <c r="B47" s="813">
        <f t="shared" si="69"/>
        <v>100224.6</v>
      </c>
      <c r="C47" s="814">
        <f t="shared" si="69"/>
        <v>5059.7700000000004</v>
      </c>
      <c r="D47" s="814">
        <f t="shared" si="69"/>
        <v>5123.97</v>
      </c>
      <c r="E47" s="814">
        <f t="shared" si="69"/>
        <v>9802.25</v>
      </c>
      <c r="F47" s="814">
        <f t="shared" si="69"/>
        <v>32336.31</v>
      </c>
      <c r="G47" s="815">
        <f t="shared" si="69"/>
        <v>47621.56</v>
      </c>
      <c r="H47" s="780">
        <f t="shared" si="70"/>
        <v>1</v>
      </c>
      <c r="I47" s="781">
        <f t="shared" si="70"/>
        <v>1</v>
      </c>
      <c r="J47" s="781">
        <f t="shared" si="70"/>
        <v>1</v>
      </c>
      <c r="K47" s="781">
        <f t="shared" si="70"/>
        <v>1</v>
      </c>
      <c r="L47" s="781">
        <f t="shared" si="70"/>
        <v>0.8281960137092782</v>
      </c>
      <c r="M47" s="782">
        <f t="shared" si="70"/>
        <v>1</v>
      </c>
      <c r="N47" s="882">
        <f t="shared" si="32"/>
        <v>7369.6797230260263</v>
      </c>
      <c r="O47" s="775">
        <f t="shared" si="33"/>
        <v>6224.9125067925188</v>
      </c>
      <c r="P47" s="775">
        <f t="shared" si="34"/>
        <v>5873.108892410668</v>
      </c>
      <c r="Q47" s="775">
        <f t="shared" si="35"/>
        <v>5478.1624470323941</v>
      </c>
      <c r="R47" s="775">
        <f t="shared" si="36"/>
        <v>5793.7751592250142</v>
      </c>
      <c r="S47" s="776">
        <f t="shared" si="37"/>
        <v>7198.4841023038434</v>
      </c>
      <c r="T47" s="734">
        <f t="shared" si="38"/>
        <v>1144.7672162335075</v>
      </c>
      <c r="U47" s="619">
        <f t="shared" si="39"/>
        <v>1496.5708306153583</v>
      </c>
      <c r="V47" s="619">
        <f t="shared" si="40"/>
        <v>1891.5172759936322</v>
      </c>
      <c r="W47" s="619">
        <f t="shared" si="41"/>
        <v>1575.904563801012</v>
      </c>
      <c r="X47" s="620">
        <f t="shared" si="42"/>
        <v>171.19562072218287</v>
      </c>
      <c r="Y47" s="722">
        <f ca="1">IF(AND(Y$22=TRUE,INDEX(CDRANGE_CLS3,MATCH($A47,$A$24:$A$67,0),MATCH(Y$20,$B$20:$G$20,0))&lt;$D$6/OPDAYS_Cls3),86,payback(C47,T47,disc_rate/12,85))</f>
        <v>5</v>
      </c>
      <c r="Z47" s="723">
        <f ca="1">IF(AND(Z$22=TRUE,INDEX(CDRANGE_CLS3,MATCH($A47,$A$24:$A$67,0),MATCH(Z$20,$B$20:$G$20,0))&lt;$D$6/OPDAYS_Cls3),86,payback(D47,U47,disc_rate/12,85))</f>
        <v>4</v>
      </c>
      <c r="AA47" s="723">
        <f ca="1">IF(AND(AA$22=TRUE,INDEX(CDRANGE_CLS3,MATCH($A47,$A$24:$A$67,0),MATCH(AA$20,$B$20:$G$20,0))&lt;$D$6/OPDAYS_Cls3),86,payback(E47,V47,disc_rate/12,85))</f>
        <v>6</v>
      </c>
      <c r="AB47" s="723">
        <f ca="1">IF(AND(AB$22=TRUE,INDEX(CDRANGE_CLS3,MATCH($A47,$A$24:$A$67,0),MATCH(AB$20,$B$20:$G$20,0))&lt;$D$6/OPDAYS_Cls3),86,payback(F47,W47,disc_rate/12,85))</f>
        <v>23</v>
      </c>
      <c r="AC47" s="891">
        <f>IF(AND(AC$22=TRUE,INDEX(CDRANGE_CLS3,MATCH($A47,$A$24:$A$67,0),MATCH(AC$20,$B$20:$G$20,0))&lt;$D$6/OPDAYS_Cls3),86,payback(G47,X47,disc_rate/12,85))</f>
        <v>86</v>
      </c>
      <c r="AD47" s="624">
        <f t="shared" si="43"/>
        <v>0</v>
      </c>
      <c r="AE47" s="625">
        <f t="shared" si="44"/>
        <v>0</v>
      </c>
      <c r="AF47" s="625">
        <f t="shared" si="45"/>
        <v>0</v>
      </c>
      <c r="AG47" s="625">
        <f t="shared" si="46"/>
        <v>0</v>
      </c>
      <c r="AH47" s="626">
        <f t="shared" si="47"/>
        <v>0</v>
      </c>
      <c r="AI47" s="627">
        <f t="shared" si="48"/>
        <v>0.49665357453785763</v>
      </c>
      <c r="AJ47" s="628">
        <f t="shared" si="49"/>
        <v>0.49665357453785763</v>
      </c>
      <c r="AK47" s="628">
        <f t="shared" si="50"/>
        <v>0.49665357453785763</v>
      </c>
      <c r="AL47" s="628">
        <f t="shared" si="51"/>
        <v>0.49665357453785763</v>
      </c>
      <c r="AM47" s="629">
        <f t="shared" si="52"/>
        <v>0.26915504155730741</v>
      </c>
      <c r="AN47" s="630">
        <f t="shared" si="65"/>
        <v>0.99294537435345864</v>
      </c>
      <c r="AO47" s="628">
        <f t="shared" si="65"/>
        <v>0.99276586905801067</v>
      </c>
      <c r="AP47" s="628">
        <f t="shared" si="65"/>
        <v>0.97377935074316258</v>
      </c>
      <c r="AQ47" s="628">
        <f t="shared" si="65"/>
        <v>0.7488965917666377</v>
      </c>
      <c r="AR47" s="629">
        <f t="shared" si="65"/>
        <v>0.53412369548373873</v>
      </c>
      <c r="AS47" s="624">
        <f t="shared" ca="1" si="54"/>
        <v>0.99330714907571527</v>
      </c>
      <c r="AT47" s="625">
        <f t="shared" ca="1" si="55"/>
        <v>0.99330714907571527</v>
      </c>
      <c r="AU47" s="625">
        <f t="shared" ca="1" si="56"/>
        <v>0.99330714907571527</v>
      </c>
      <c r="AV47" s="625">
        <f t="shared" ca="1" si="57"/>
        <v>0.58026148813694423</v>
      </c>
      <c r="AW47" s="626">
        <f t="shared" si="58"/>
        <v>0</v>
      </c>
      <c r="AX47" s="624">
        <f t="shared" ca="1" si="59"/>
        <v>0.98629973898695289</v>
      </c>
      <c r="AY47" s="625">
        <f t="shared" ca="1" si="59"/>
        <v>0.98612143509368744</v>
      </c>
      <c r="AZ47" s="625">
        <f t="shared" ca="1" si="59"/>
        <v>0.96726199071549179</v>
      </c>
      <c r="BA47" s="625">
        <f t="shared" ca="1" si="59"/>
        <v>0.43455585079919479</v>
      </c>
      <c r="BB47" s="626">
        <f t="shared" si="59"/>
        <v>0</v>
      </c>
      <c r="BC47" s="624">
        <f t="shared" ca="1" si="66"/>
        <v>1.3700261013046999E-2</v>
      </c>
      <c r="BD47" s="625">
        <f t="shared" ca="1" si="60"/>
        <v>0.28829824165674872</v>
      </c>
      <c r="BE47" s="625">
        <f t="shared" ca="1" si="61"/>
        <v>0.28824612291750851</v>
      </c>
      <c r="BF47" s="625">
        <f t="shared" ca="1" si="62"/>
        <v>0.2827334532513463</v>
      </c>
      <c r="BG47" s="625">
        <f t="shared" ca="1" si="63"/>
        <v>0.1270219211613495</v>
      </c>
      <c r="BH47" s="626">
        <f t="shared" ca="1" si="64"/>
        <v>0</v>
      </c>
    </row>
    <row r="48" spans="1:62" x14ac:dyDescent="0.2">
      <c r="A48" s="318">
        <v>2031</v>
      </c>
      <c r="B48" s="816">
        <f t="shared" si="69"/>
        <v>100224.6</v>
      </c>
      <c r="C48" s="817">
        <f t="shared" si="69"/>
        <v>5059.7700000000004</v>
      </c>
      <c r="D48" s="817">
        <f t="shared" si="69"/>
        <v>5123.97</v>
      </c>
      <c r="E48" s="817">
        <f t="shared" si="69"/>
        <v>10076.4</v>
      </c>
      <c r="F48" s="817">
        <f t="shared" si="69"/>
        <v>30465.14</v>
      </c>
      <c r="G48" s="818">
        <f t="shared" si="69"/>
        <v>43697.81</v>
      </c>
      <c r="H48" s="780">
        <f t="shared" si="70"/>
        <v>1</v>
      </c>
      <c r="I48" s="781">
        <f t="shared" si="70"/>
        <v>1</v>
      </c>
      <c r="J48" s="781">
        <f t="shared" si="70"/>
        <v>1</v>
      </c>
      <c r="K48" s="781">
        <f t="shared" si="70"/>
        <v>1</v>
      </c>
      <c r="L48" s="781">
        <f t="shared" si="70"/>
        <v>0.82748053194647131</v>
      </c>
      <c r="M48" s="782">
        <f t="shared" si="70"/>
        <v>1</v>
      </c>
      <c r="N48" s="735">
        <f t="shared" si="32"/>
        <v>7437.4028455752914</v>
      </c>
      <c r="O48" s="632">
        <f t="shared" si="33"/>
        <v>6282.1158763282128</v>
      </c>
      <c r="P48" s="632">
        <f t="shared" si="34"/>
        <v>5927.0793888520784</v>
      </c>
      <c r="Q48" s="632">
        <f t="shared" si="35"/>
        <v>5473.515535458966</v>
      </c>
      <c r="R48" s="632">
        <f t="shared" si="36"/>
        <v>5747.0424083024827</v>
      </c>
      <c r="S48" s="744">
        <f t="shared" si="37"/>
        <v>7116.548640465583</v>
      </c>
      <c r="T48" s="735">
        <f t="shared" si="38"/>
        <v>1155.2869692470786</v>
      </c>
      <c r="U48" s="632">
        <f t="shared" si="39"/>
        <v>1510.323456723213</v>
      </c>
      <c r="V48" s="632">
        <f t="shared" si="40"/>
        <v>1963.8873101163254</v>
      </c>
      <c r="W48" s="632">
        <f t="shared" si="41"/>
        <v>1690.3604372728087</v>
      </c>
      <c r="X48" s="633">
        <f t="shared" si="42"/>
        <v>320.85420510970835</v>
      </c>
      <c r="Y48" s="634">
        <f ca="1">IF(AND(Y$22=TRUE,INDEX(CDRANGE_CLS3,MATCH($A48,$A$24:$A$67,0),MATCH(Y$20,$B$20:$G$20,0))&lt;$D$6/OPDAYS_Cls3),86,payback(C48,T48,disc_rate/12,85))</f>
        <v>5</v>
      </c>
      <c r="Z48" s="635">
        <f ca="1">IF(AND(Z$22=TRUE,INDEX(CDRANGE_CLS3,MATCH($A48,$A$24:$A$67,0),MATCH(Z$20,$B$20:$G$20,0))&lt;$D$6/OPDAYS_Cls3),86,payback(D48,U48,disc_rate/12,85))</f>
        <v>4</v>
      </c>
      <c r="AA48" s="635">
        <f ca="1">IF(AND(AA$22=TRUE,INDEX(CDRANGE_CLS3,MATCH($A48,$A$24:$A$67,0),MATCH(AA$20,$B$20:$G$20,0))&lt;$D$6/OPDAYS_Cls3),86,payback(E48,V48,disc_rate/12,85))</f>
        <v>6</v>
      </c>
      <c r="AB48" s="635">
        <f ca="1">IF(AND(AB$22=TRUE,INDEX(CDRANGE_CLS3,MATCH($A48,$A$24:$A$67,0),MATCH(AB$20,$B$20:$G$20,0))&lt;$D$6/OPDAYS_Cls3),86,payback(F48,W48,disc_rate/12,85))</f>
        <v>20</v>
      </c>
      <c r="AC48" s="892">
        <f>IF(AND(AC$22=TRUE,INDEX(CDRANGE_CLS3,MATCH($A48,$A$24:$A$67,0),MATCH(AC$20,$B$20:$G$20,0))&lt;$D$6/OPDAYS_Cls3),86,payback(G48,X48,disc_rate/12,85))</f>
        <v>86</v>
      </c>
      <c r="AD48" s="637">
        <f t="shared" si="43"/>
        <v>0</v>
      </c>
      <c r="AE48" s="638">
        <f t="shared" si="44"/>
        <v>0</v>
      </c>
      <c r="AF48" s="638">
        <f t="shared" si="45"/>
        <v>0</v>
      </c>
      <c r="AG48" s="638">
        <f t="shared" si="46"/>
        <v>0</v>
      </c>
      <c r="AH48" s="639">
        <f t="shared" si="47"/>
        <v>0</v>
      </c>
      <c r="AI48" s="640">
        <f t="shared" si="48"/>
        <v>0.49876368842168267</v>
      </c>
      <c r="AJ48" s="641">
        <f t="shared" si="49"/>
        <v>0.49876368842168267</v>
      </c>
      <c r="AK48" s="641">
        <f t="shared" si="50"/>
        <v>0.49876368842168267</v>
      </c>
      <c r="AL48" s="641">
        <f t="shared" si="51"/>
        <v>0.49876368842168267</v>
      </c>
      <c r="AM48" s="642">
        <f t="shared" si="52"/>
        <v>0.30046701631220585</v>
      </c>
      <c r="AN48" s="643">
        <f t="shared" si="65"/>
        <v>0.99294537435345864</v>
      </c>
      <c r="AO48" s="641">
        <f t="shared" si="65"/>
        <v>0.99276586905801067</v>
      </c>
      <c r="AP48" s="641">
        <f t="shared" si="65"/>
        <v>0.9723129342841017</v>
      </c>
      <c r="AQ48" s="641">
        <f t="shared" si="65"/>
        <v>0.77363257413237396</v>
      </c>
      <c r="AR48" s="642">
        <f t="shared" si="65"/>
        <v>0.58975879327355429</v>
      </c>
      <c r="AS48" s="637">
        <f t="shared" ca="1" si="54"/>
        <v>0.99752737684336534</v>
      </c>
      <c r="AT48" s="638">
        <f t="shared" ca="1" si="55"/>
        <v>0.99752737684336534</v>
      </c>
      <c r="AU48" s="638">
        <f t="shared" ca="1" si="56"/>
        <v>0.99752737684336534</v>
      </c>
      <c r="AV48" s="638">
        <f t="shared" ca="1" si="57"/>
        <v>0.68284642282441288</v>
      </c>
      <c r="AW48" s="639">
        <f t="shared" si="58"/>
        <v>0</v>
      </c>
      <c r="AX48" s="637">
        <f t="shared" ca="1" si="59"/>
        <v>0.99049019462755905</v>
      </c>
      <c r="AY48" s="638">
        <f t="shared" ca="1" si="59"/>
        <v>0.99031113318106134</v>
      </c>
      <c r="AZ48" s="638">
        <f t="shared" ca="1" si="59"/>
        <v>0.96990877080729543</v>
      </c>
      <c r="BA48" s="638">
        <f t="shared" ca="1" si="59"/>
        <v>0.52827223582673399</v>
      </c>
      <c r="BB48" s="639">
        <f t="shared" si="59"/>
        <v>0</v>
      </c>
      <c r="BC48" s="637">
        <f t="shared" ca="1" si="66"/>
        <v>9.5098053724408382E-3</v>
      </c>
      <c r="BD48" s="638">
        <f t="shared" ca="1" si="60"/>
        <v>0.28199936974112644</v>
      </c>
      <c r="BE48" s="638">
        <f t="shared" ca="1" si="61"/>
        <v>0.28194838971595182</v>
      </c>
      <c r="BF48" s="638">
        <f t="shared" ca="1" si="62"/>
        <v>0.27613969684666456</v>
      </c>
      <c r="BG48" s="638">
        <f t="shared" ca="1" si="63"/>
        <v>0.15040273832381634</v>
      </c>
      <c r="BH48" s="639">
        <f t="shared" ca="1" si="64"/>
        <v>0</v>
      </c>
    </row>
    <row r="49" spans="1:60" x14ac:dyDescent="0.2">
      <c r="A49" s="317">
        <v>2032</v>
      </c>
      <c r="B49" s="819">
        <f t="shared" si="69"/>
        <v>100224.6</v>
      </c>
      <c r="C49" s="820">
        <f t="shared" si="69"/>
        <v>5059.7700000000004</v>
      </c>
      <c r="D49" s="820">
        <f t="shared" si="69"/>
        <v>5123.97</v>
      </c>
      <c r="E49" s="820">
        <f t="shared" si="69"/>
        <v>10350.549999999999</v>
      </c>
      <c r="F49" s="820">
        <f t="shared" si="69"/>
        <v>28593.97</v>
      </c>
      <c r="G49" s="821">
        <f t="shared" si="69"/>
        <v>39774.06</v>
      </c>
      <c r="H49" s="780">
        <f t="shared" si="70"/>
        <v>1</v>
      </c>
      <c r="I49" s="781">
        <f t="shared" si="70"/>
        <v>1</v>
      </c>
      <c r="J49" s="781">
        <f t="shared" si="70"/>
        <v>1</v>
      </c>
      <c r="K49" s="781">
        <f t="shared" si="70"/>
        <v>1</v>
      </c>
      <c r="L49" s="781">
        <f t="shared" si="70"/>
        <v>0.82676505018366431</v>
      </c>
      <c r="M49" s="782">
        <f t="shared" si="70"/>
        <v>1</v>
      </c>
      <c r="N49" s="732">
        <f t="shared" si="32"/>
        <v>7476.4142985446233</v>
      </c>
      <c r="O49" s="276">
        <f t="shared" si="33"/>
        <v>6315.0674957504525</v>
      </c>
      <c r="P49" s="276">
        <f t="shared" si="34"/>
        <v>5958.1687332945767</v>
      </c>
      <c r="Q49" s="276">
        <f t="shared" si="35"/>
        <v>5448.0380550913478</v>
      </c>
      <c r="R49" s="276">
        <f t="shared" si="36"/>
        <v>5685.407680660026</v>
      </c>
      <c r="S49" s="278">
        <f t="shared" si="37"/>
        <v>7042.912489289276</v>
      </c>
      <c r="T49" s="733">
        <f t="shared" si="38"/>
        <v>1161.3468027941708</v>
      </c>
      <c r="U49" s="290">
        <f t="shared" si="39"/>
        <v>1518.2455652500466</v>
      </c>
      <c r="V49" s="290">
        <f t="shared" si="40"/>
        <v>2028.3762434532755</v>
      </c>
      <c r="W49" s="290">
        <f t="shared" si="41"/>
        <v>1791.0066178845973</v>
      </c>
      <c r="X49" s="291">
        <f t="shared" si="42"/>
        <v>433.50180925534733</v>
      </c>
      <c r="Y49" s="279">
        <f ca="1">IF(AND(Y$22=TRUE,INDEX(CDRANGE_CLS3,MATCH($A49,$A$24:$A$67,0),MATCH(Y$20,$B$20:$G$20,0))&lt;$D$6/OPDAYS_Cls3),86,payback(C49,T49,disc_rate/12,85))</f>
        <v>5</v>
      </c>
      <c r="Z49" s="280">
        <f ca="1">IF(AND(Z$22=TRUE,INDEX(CDRANGE_CLS3,MATCH($A49,$A$24:$A$67,0),MATCH(Z$20,$B$20:$G$20,0))&lt;$D$6/OPDAYS_Cls3),86,payback(D49,U49,disc_rate/12,85))</f>
        <v>4</v>
      </c>
      <c r="AA49" s="280">
        <f ca="1">IF(AND(AA$22=TRUE,INDEX(CDRANGE_CLS3,MATCH($A49,$A$24:$A$67,0),MATCH(AA$20,$B$20:$G$20,0))&lt;$D$6/OPDAYS_Cls3),86,payback(E49,V49,disc_rate/12,85))</f>
        <v>6</v>
      </c>
      <c r="AB49" s="280">
        <f ca="1">IF(AND(AB$22=TRUE,INDEX(CDRANGE_CLS3,MATCH($A49,$A$24:$A$67,0),MATCH(AB$20,$B$20:$G$20,0))&lt;$D$6/OPDAYS_Cls3),86,payback(F49,W49,disc_rate/12,85))</f>
        <v>17</v>
      </c>
      <c r="AC49" s="281">
        <f>IF(AND(AC$22=TRUE,INDEX(CDRANGE_CLS3,MATCH($A49,$A$24:$A$67,0),MATCH(AC$20,$B$20:$G$20,0))&lt;$D$6/OPDAYS_Cls3),86,payback(G49,X49,disc_rate/12,85))</f>
        <v>86</v>
      </c>
      <c r="AD49" s="296">
        <f t="shared" si="43"/>
        <v>0</v>
      </c>
      <c r="AE49" s="297">
        <f t="shared" si="44"/>
        <v>0</v>
      </c>
      <c r="AF49" s="297">
        <f t="shared" si="45"/>
        <v>0</v>
      </c>
      <c r="AG49" s="297">
        <f t="shared" si="46"/>
        <v>0</v>
      </c>
      <c r="AH49" s="298">
        <f t="shared" si="47"/>
        <v>0</v>
      </c>
      <c r="AI49" s="595">
        <f t="shared" si="48"/>
        <v>0.4995444744027997</v>
      </c>
      <c r="AJ49" s="300">
        <f t="shared" si="49"/>
        <v>0.4995444744027997</v>
      </c>
      <c r="AK49" s="300">
        <f t="shared" si="50"/>
        <v>0.4995444744027997</v>
      </c>
      <c r="AL49" s="300">
        <f t="shared" si="51"/>
        <v>0.4995444744027997</v>
      </c>
      <c r="AM49" s="598">
        <f t="shared" si="52"/>
        <v>0.34448045315213899</v>
      </c>
      <c r="AN49" s="299">
        <f t="shared" si="65"/>
        <v>0.99294537435345864</v>
      </c>
      <c r="AO49" s="300">
        <f t="shared" si="65"/>
        <v>0.99276586905801067</v>
      </c>
      <c r="AP49" s="300">
        <f t="shared" si="65"/>
        <v>0.97080837105655371</v>
      </c>
      <c r="AQ49" s="300">
        <f t="shared" si="65"/>
        <v>0.79763950156354513</v>
      </c>
      <c r="AR49" s="598">
        <f t="shared" si="65"/>
        <v>0.64566763023380003</v>
      </c>
      <c r="AS49" s="296">
        <f t="shared" ca="1" si="54"/>
        <v>0.9990889488055994</v>
      </c>
      <c r="AT49" s="297">
        <f t="shared" ca="1" si="55"/>
        <v>0.9990889488055994</v>
      </c>
      <c r="AU49" s="297">
        <f t="shared" ca="1" si="56"/>
        <v>0.9990889488055994</v>
      </c>
      <c r="AV49" s="297">
        <f t="shared" ca="1" si="57"/>
        <v>0.78156737221532613</v>
      </c>
      <c r="AW49" s="298">
        <f t="shared" si="58"/>
        <v>0</v>
      </c>
      <c r="AX49" s="296">
        <f t="shared" ca="1" si="59"/>
        <v>0.99204075028417937</v>
      </c>
      <c r="AY49" s="297">
        <f t="shared" ca="1" si="59"/>
        <v>0.99186140852724525</v>
      </c>
      <c r="AZ49" s="297">
        <f t="shared" ca="1" si="59"/>
        <v>0.96992391493056851</v>
      </c>
      <c r="BA49" s="297">
        <f t="shared" ca="1" si="59"/>
        <v>0.62340900921216247</v>
      </c>
      <c r="BB49" s="298">
        <f t="shared" si="59"/>
        <v>0</v>
      </c>
      <c r="BC49" s="296">
        <f t="shared" ca="1" si="66"/>
        <v>7.9592497158206266E-3</v>
      </c>
      <c r="BD49" s="297">
        <f t="shared" ca="1" si="60"/>
        <v>0.27511327251427664</v>
      </c>
      <c r="BE49" s="297">
        <f t="shared" ca="1" si="61"/>
        <v>0.27506353736213246</v>
      </c>
      <c r="BF49" s="297">
        <f t="shared" ca="1" si="62"/>
        <v>0.26897981988135972</v>
      </c>
      <c r="BG49" s="297">
        <f t="shared" ca="1" si="63"/>
        <v>0.17288412052641058</v>
      </c>
      <c r="BH49" s="298">
        <f t="shared" ca="1" si="64"/>
        <v>0</v>
      </c>
    </row>
    <row r="50" spans="1:60" x14ac:dyDescent="0.2">
      <c r="A50" s="317">
        <v>2033</v>
      </c>
      <c r="B50" s="819">
        <f t="shared" si="69"/>
        <v>100224.6</v>
      </c>
      <c r="C50" s="820">
        <f t="shared" si="69"/>
        <v>5059.7700000000004</v>
      </c>
      <c r="D50" s="820">
        <f t="shared" si="69"/>
        <v>5123.97</v>
      </c>
      <c r="E50" s="820">
        <f t="shared" si="69"/>
        <v>10624.71</v>
      </c>
      <c r="F50" s="820">
        <f t="shared" si="69"/>
        <v>26722.81</v>
      </c>
      <c r="G50" s="821">
        <f t="shared" si="69"/>
        <v>35850.31</v>
      </c>
      <c r="H50" s="780">
        <f t="shared" si="70"/>
        <v>1</v>
      </c>
      <c r="I50" s="781">
        <f t="shared" si="70"/>
        <v>1</v>
      </c>
      <c r="J50" s="781">
        <f t="shared" si="70"/>
        <v>1</v>
      </c>
      <c r="K50" s="781">
        <f t="shared" si="70"/>
        <v>1</v>
      </c>
      <c r="L50" s="781">
        <f t="shared" si="70"/>
        <v>0.82604956842085742</v>
      </c>
      <c r="M50" s="782">
        <f t="shared" si="70"/>
        <v>1</v>
      </c>
      <c r="N50" s="732">
        <f t="shared" si="32"/>
        <v>7581.585955446496</v>
      </c>
      <c r="O50" s="276">
        <f t="shared" si="33"/>
        <v>6403.9023416343289</v>
      </c>
      <c r="P50" s="276">
        <f t="shared" si="34"/>
        <v>6041.983039559479</v>
      </c>
      <c r="Q50" s="276">
        <f t="shared" si="35"/>
        <v>5470.7980563431747</v>
      </c>
      <c r="R50" s="276">
        <f t="shared" si="36"/>
        <v>5671.7884932898178</v>
      </c>
      <c r="S50" s="278">
        <f t="shared" si="37"/>
        <v>7012.1627930431778</v>
      </c>
      <c r="T50" s="733">
        <f t="shared" si="38"/>
        <v>1177.6836138121671</v>
      </c>
      <c r="U50" s="290">
        <f t="shared" si="39"/>
        <v>1539.6029158870169</v>
      </c>
      <c r="V50" s="290">
        <f t="shared" si="40"/>
        <v>2110.7878991033213</v>
      </c>
      <c r="W50" s="290">
        <f t="shared" si="41"/>
        <v>1909.7974621566782</v>
      </c>
      <c r="X50" s="291">
        <f t="shared" si="42"/>
        <v>569.4231624033182</v>
      </c>
      <c r="Y50" s="279">
        <f ca="1">IF(AND(Y$22=TRUE,INDEX(CDRANGE_CLS3,MATCH($A50,$A$24:$A$67,0),MATCH(Y$20,$B$20:$G$20,0))&lt;$D$6/OPDAYS_Cls3),86,payback(C50,T50,disc_rate/12,85))</f>
        <v>5</v>
      </c>
      <c r="Z50" s="280">
        <f ca="1">IF(AND(Z$22=TRUE,INDEX(CDRANGE_CLS3,MATCH($A50,$A$24:$A$67,0),MATCH(Z$20,$B$20:$G$20,0))&lt;$D$6/OPDAYS_Cls3),86,payback(D50,U50,disc_rate/12,85))</f>
        <v>4</v>
      </c>
      <c r="AA50" s="280">
        <f ca="1">IF(AND(AA$22=TRUE,INDEX(CDRANGE_CLS3,MATCH($A50,$A$24:$A$67,0),MATCH(AA$20,$B$20:$G$20,0))&lt;$D$6/OPDAYS_Cls3),86,payback(E50,V50,disc_rate/12,85))</f>
        <v>6</v>
      </c>
      <c r="AB50" s="280">
        <f ca="1">IF(AND(AB$22=TRUE,INDEX(CDRANGE_CLS3,MATCH($A50,$A$24:$A$67,0),MATCH(AB$20,$B$20:$G$20,0))&lt;$D$6/OPDAYS_Cls3),86,payback(F50,W50,disc_rate/12,85))</f>
        <v>15</v>
      </c>
      <c r="AC50" s="281">
        <f>IF(AND(AC$22=TRUE,INDEX(CDRANGE_CLS3,MATCH($A50,$A$24:$A$67,0),MATCH(AC$20,$B$20:$G$20,0))&lt;$D$6/OPDAYS_Cls3),86,payback(G50,X50,disc_rate/12,85))</f>
        <v>86</v>
      </c>
      <c r="AD50" s="296">
        <f t="shared" si="43"/>
        <v>0</v>
      </c>
      <c r="AE50" s="297">
        <f t="shared" si="44"/>
        <v>0</v>
      </c>
      <c r="AF50" s="297">
        <f t="shared" si="45"/>
        <v>0</v>
      </c>
      <c r="AG50" s="297">
        <f t="shared" si="46"/>
        <v>0</v>
      </c>
      <c r="AH50" s="298">
        <f t="shared" si="47"/>
        <v>0</v>
      </c>
      <c r="AI50" s="595">
        <f t="shared" si="48"/>
        <v>0.49983232493476681</v>
      </c>
      <c r="AJ50" s="300">
        <f t="shared" si="49"/>
        <v>0.49983232493476681</v>
      </c>
      <c r="AK50" s="300">
        <f t="shared" si="50"/>
        <v>0.49983232493476681</v>
      </c>
      <c r="AL50" s="300">
        <f t="shared" si="51"/>
        <v>0.49983232493476681</v>
      </c>
      <c r="AM50" s="598">
        <f t="shared" si="52"/>
        <v>0.37160768412147255</v>
      </c>
      <c r="AN50" s="299">
        <f t="shared" si="65"/>
        <v>0.99294537435345864</v>
      </c>
      <c r="AO50" s="300">
        <f t="shared" si="65"/>
        <v>0.99276586905801067</v>
      </c>
      <c r="AP50" s="300">
        <f t="shared" si="65"/>
        <v>0.96926578811608588</v>
      </c>
      <c r="AQ50" s="300">
        <f t="shared" si="65"/>
        <v>0.82080030167421136</v>
      </c>
      <c r="AR50" s="598">
        <f t="shared" si="65"/>
        <v>0.70088313960597415</v>
      </c>
      <c r="AS50" s="296">
        <f t="shared" ca="1" si="54"/>
        <v>0.99966464986953363</v>
      </c>
      <c r="AT50" s="297">
        <f t="shared" ca="1" si="55"/>
        <v>0.99966464986953363</v>
      </c>
      <c r="AU50" s="297">
        <f t="shared" ca="1" si="56"/>
        <v>0.99966464986953363</v>
      </c>
      <c r="AV50" s="297">
        <f t="shared" ca="1" si="57"/>
        <v>0.84245260163062885</v>
      </c>
      <c r="AW50" s="298">
        <f t="shared" si="58"/>
        <v>0</v>
      </c>
      <c r="AX50" s="296">
        <f t="shared" ca="1" si="59"/>
        <v>0.99261238999262325</v>
      </c>
      <c r="AY50" s="297">
        <f t="shared" ca="1" si="59"/>
        <v>0.99243294489429956</v>
      </c>
      <c r="AZ50" s="297">
        <f t="shared" ca="1" si="59"/>
        <v>0.96894074470758451</v>
      </c>
      <c r="BA50" s="297">
        <f t="shared" ca="1" si="59"/>
        <v>0.69148534956464436</v>
      </c>
      <c r="BB50" s="298">
        <f t="shared" si="59"/>
        <v>0</v>
      </c>
      <c r="BC50" s="296">
        <f t="shared" ca="1" si="66"/>
        <v>7.3876100073767548E-3</v>
      </c>
      <c r="BD50" s="297">
        <f t="shared" ca="1" si="60"/>
        <v>0.27027488101700137</v>
      </c>
      <c r="BE50" s="297">
        <f t="shared" ca="1" si="61"/>
        <v>0.27022602055234518</v>
      </c>
      <c r="BF50" s="297">
        <f t="shared" ca="1" si="62"/>
        <v>0.26382941330231968</v>
      </c>
      <c r="BG50" s="297">
        <f t="shared" ca="1" si="63"/>
        <v>0.1882820751209571</v>
      </c>
      <c r="BH50" s="298">
        <f t="shared" ca="1" si="64"/>
        <v>0</v>
      </c>
    </row>
    <row r="51" spans="1:60" x14ac:dyDescent="0.2">
      <c r="A51" s="317">
        <v>2034</v>
      </c>
      <c r="B51" s="819">
        <f t="shared" si="69"/>
        <v>100224.6</v>
      </c>
      <c r="C51" s="820">
        <f t="shared" si="69"/>
        <v>5059.7700000000004</v>
      </c>
      <c r="D51" s="820">
        <f t="shared" si="69"/>
        <v>5123.97</v>
      </c>
      <c r="E51" s="820">
        <f t="shared" si="69"/>
        <v>10898.86</v>
      </c>
      <c r="F51" s="820">
        <f t="shared" si="69"/>
        <v>24851.64</v>
      </c>
      <c r="G51" s="821">
        <f t="shared" si="69"/>
        <v>31926.560000000001</v>
      </c>
      <c r="H51" s="780">
        <f t="shared" si="70"/>
        <v>1</v>
      </c>
      <c r="I51" s="781">
        <f t="shared" si="70"/>
        <v>1</v>
      </c>
      <c r="J51" s="781">
        <f t="shared" si="70"/>
        <v>1</v>
      </c>
      <c r="K51" s="781">
        <f t="shared" si="70"/>
        <v>1</v>
      </c>
      <c r="L51" s="781">
        <f t="shared" si="70"/>
        <v>0.82533408665805053</v>
      </c>
      <c r="M51" s="782">
        <f t="shared" si="70"/>
        <v>1</v>
      </c>
      <c r="N51" s="732">
        <f t="shared" si="32"/>
        <v>7627.5871146565005</v>
      </c>
      <c r="O51" s="276">
        <f t="shared" si="33"/>
        <v>6442.7579231596201</v>
      </c>
      <c r="P51" s="276">
        <f t="shared" si="34"/>
        <v>6078.6426811411011</v>
      </c>
      <c r="Q51" s="276">
        <f t="shared" si="35"/>
        <v>5450.8339405944353</v>
      </c>
      <c r="R51" s="276">
        <f t="shared" si="36"/>
        <v>5620.2067353136044</v>
      </c>
      <c r="S51" s="278">
        <f t="shared" si="37"/>
        <v>6959.4298782496708</v>
      </c>
      <c r="T51" s="733">
        <f t="shared" si="38"/>
        <v>1184.8291914968804</v>
      </c>
      <c r="U51" s="290">
        <f t="shared" si="39"/>
        <v>1548.9444335153994</v>
      </c>
      <c r="V51" s="290">
        <f t="shared" si="40"/>
        <v>2176.7531740620652</v>
      </c>
      <c r="W51" s="290">
        <f t="shared" si="41"/>
        <v>2007.380379342896</v>
      </c>
      <c r="X51" s="291">
        <f t="shared" si="42"/>
        <v>668.15723640682972</v>
      </c>
      <c r="Y51" s="279">
        <f ca="1">IF(AND(Y$22=TRUE,INDEX(CDRANGE_CLS3,MATCH($A51,$A$24:$A$67,0),MATCH(Y$20,$B$20:$G$20,0))&lt;$D$6/OPDAYS_Cls3),86,payback(C51,T51,disc_rate/12,85))</f>
        <v>5</v>
      </c>
      <c r="Z51" s="280">
        <f ca="1">IF(AND(Z$22=TRUE,INDEX(CDRANGE_CLS3,MATCH($A51,$A$24:$A$67,0),MATCH(Z$20,$B$20:$G$20,0))&lt;$D$6/OPDAYS_Cls3),86,payback(D51,U51,disc_rate/12,85))</f>
        <v>4</v>
      </c>
      <c r="AA51" s="280">
        <f ca="1">IF(AND(AA$22=TRUE,INDEX(CDRANGE_CLS3,MATCH($A51,$A$24:$A$67,0),MATCH(AA$20,$B$20:$G$20,0))&lt;$D$6/OPDAYS_Cls3),86,payback(E51,V51,disc_rate/12,85))</f>
        <v>6</v>
      </c>
      <c r="AB51" s="280">
        <f ca="1">IF(AND(AB$22=TRUE,INDEX(CDRANGE_CLS3,MATCH($A51,$A$24:$A$67,0),MATCH(AB$20,$B$20:$G$20,0))&lt;$D$6/OPDAYS_Cls3),86,payback(F51,W51,disc_rate/12,85))</f>
        <v>13</v>
      </c>
      <c r="AC51" s="281">
        <f>IF(AND(AC$22=TRUE,INDEX(CDRANGE_CLS3,MATCH($A51,$A$24:$A$67,0),MATCH(AC$20,$B$20:$G$20,0))&lt;$D$6/OPDAYS_Cls3),86,payback(G51,X51,disc_rate/12,85))</f>
        <v>86</v>
      </c>
      <c r="AD51" s="296">
        <f t="shared" si="43"/>
        <v>0</v>
      </c>
      <c r="AE51" s="297">
        <f t="shared" si="44"/>
        <v>0</v>
      </c>
      <c r="AF51" s="297">
        <f t="shared" si="45"/>
        <v>0</v>
      </c>
      <c r="AG51" s="297">
        <f t="shared" si="46"/>
        <v>0</v>
      </c>
      <c r="AH51" s="298">
        <f t="shared" si="47"/>
        <v>0</v>
      </c>
      <c r="AI51" s="595">
        <f t="shared" si="48"/>
        <v>0.49993830271200684</v>
      </c>
      <c r="AJ51" s="300">
        <f t="shared" si="49"/>
        <v>0.49993830271200684</v>
      </c>
      <c r="AK51" s="300">
        <f t="shared" si="50"/>
        <v>0.49993830271200684</v>
      </c>
      <c r="AL51" s="300">
        <f t="shared" si="51"/>
        <v>0.49993830271200684</v>
      </c>
      <c r="AM51" s="598">
        <f t="shared" si="52"/>
        <v>0.3962939517576638</v>
      </c>
      <c r="AN51" s="299">
        <f t="shared" si="65"/>
        <v>0.99294537435345864</v>
      </c>
      <c r="AO51" s="300">
        <f t="shared" si="65"/>
        <v>0.99276586905801067</v>
      </c>
      <c r="AP51" s="300">
        <f t="shared" si="65"/>
        <v>0.96768548645322627</v>
      </c>
      <c r="AQ51" s="300">
        <f t="shared" si="65"/>
        <v>0.84299974321916971</v>
      </c>
      <c r="AR51" s="598">
        <f t="shared" si="65"/>
        <v>0.75436967323130277</v>
      </c>
      <c r="AS51" s="296">
        <f t="shared" ca="1" si="54"/>
        <v>0.99987660542401369</v>
      </c>
      <c r="AT51" s="297">
        <f t="shared" ca="1" si="55"/>
        <v>0.99987660542401369</v>
      </c>
      <c r="AU51" s="297">
        <f t="shared" ca="1" si="56"/>
        <v>0.99987660542401369</v>
      </c>
      <c r="AV51" s="297">
        <f t="shared" ca="1" si="57"/>
        <v>0.8967615050879062</v>
      </c>
      <c r="AW51" s="298">
        <f t="shared" si="58"/>
        <v>0</v>
      </c>
      <c r="AX51" s="296">
        <f t="shared" ca="1" si="59"/>
        <v>0.99282285028001271</v>
      </c>
      <c r="AY51" s="297">
        <f t="shared" ca="1" si="59"/>
        <v>0.9926433671345446</v>
      </c>
      <c r="AZ51" s="297">
        <f t="shared" ca="1" si="59"/>
        <v>0.96756607931293725</v>
      </c>
      <c r="BA51" s="297">
        <f t="shared" ca="1" si="59"/>
        <v>0.75596971851794104</v>
      </c>
      <c r="BB51" s="298">
        <f t="shared" si="59"/>
        <v>0</v>
      </c>
      <c r="BC51" s="296">
        <f t="shared" ca="1" si="66"/>
        <v>7.1771497199872858E-3</v>
      </c>
      <c r="BD51" s="297">
        <f t="shared" ca="1" si="60"/>
        <v>0.26575806860889561</v>
      </c>
      <c r="BE51" s="297">
        <f t="shared" ca="1" si="61"/>
        <v>0.26571002469645538</v>
      </c>
      <c r="BF51" s="297">
        <f t="shared" ca="1" si="62"/>
        <v>0.2589973552856536</v>
      </c>
      <c r="BG51" s="297">
        <f t="shared" ca="1" si="63"/>
        <v>0.20235740168900809</v>
      </c>
      <c r="BH51" s="298">
        <f t="shared" ca="1" si="64"/>
        <v>0</v>
      </c>
    </row>
    <row r="52" spans="1:60" ht="15" thickBot="1" x14ac:dyDescent="0.25">
      <c r="A52" s="302">
        <v>2035</v>
      </c>
      <c r="B52" s="822">
        <f t="shared" si="69"/>
        <v>100224.6</v>
      </c>
      <c r="C52" s="823">
        <f t="shared" si="69"/>
        <v>5059.7700000000004</v>
      </c>
      <c r="D52" s="823">
        <f t="shared" si="69"/>
        <v>5123.97</v>
      </c>
      <c r="E52" s="823">
        <f t="shared" si="69"/>
        <v>11173.01</v>
      </c>
      <c r="F52" s="823">
        <f t="shared" si="69"/>
        <v>22980.47</v>
      </c>
      <c r="G52" s="824">
        <f t="shared" si="69"/>
        <v>28002.81</v>
      </c>
      <c r="H52" s="780">
        <f t="shared" si="70"/>
        <v>1</v>
      </c>
      <c r="I52" s="781">
        <f t="shared" si="70"/>
        <v>1</v>
      </c>
      <c r="J52" s="781">
        <f t="shared" si="70"/>
        <v>1</v>
      </c>
      <c r="K52" s="781">
        <f t="shared" si="70"/>
        <v>1</v>
      </c>
      <c r="L52" s="781">
        <f t="shared" si="70"/>
        <v>0.82461860489524352</v>
      </c>
      <c r="M52" s="782">
        <f t="shared" si="70"/>
        <v>1</v>
      </c>
      <c r="N52" s="883">
        <f t="shared" si="32"/>
        <v>7680.6773019149832</v>
      </c>
      <c r="O52" s="778">
        <f t="shared" si="33"/>
        <v>6487.6013604694826</v>
      </c>
      <c r="P52" s="778">
        <f t="shared" si="34"/>
        <v>6120.9517722557839</v>
      </c>
      <c r="Q52" s="778">
        <f t="shared" si="35"/>
        <v>5436.2692755564758</v>
      </c>
      <c r="R52" s="778">
        <f t="shared" si="36"/>
        <v>5560.9157404403895</v>
      </c>
      <c r="S52" s="779">
        <f t="shared" si="37"/>
        <v>6828.8107662064476</v>
      </c>
      <c r="T52" s="736">
        <f t="shared" si="38"/>
        <v>1193.0759414455006</v>
      </c>
      <c r="U52" s="304">
        <f t="shared" si="39"/>
        <v>1559.7255296591993</v>
      </c>
      <c r="V52" s="304">
        <f t="shared" si="40"/>
        <v>2244.4080263585074</v>
      </c>
      <c r="W52" s="304">
        <f t="shared" si="41"/>
        <v>2119.7615614745937</v>
      </c>
      <c r="X52" s="305">
        <f t="shared" si="42"/>
        <v>851.86653570853559</v>
      </c>
      <c r="Y52" s="888">
        <f ca="1">IF(AND(Y$22=TRUE,INDEX(CDRANGE_CLS3,MATCH($A52,$A$24:$A$67,0),MATCH(Y$20,$B$20:$G$20,0))&lt;$D$6/OPDAYS_Cls3),86,payback(C52,T52,disc_rate/12,85))</f>
        <v>5</v>
      </c>
      <c r="Z52" s="889">
        <f ca="1">IF(AND(Z$22=TRUE,INDEX(CDRANGE_CLS3,MATCH($A52,$A$24:$A$67,0),MATCH(Z$20,$B$20:$G$20,0))&lt;$D$6/OPDAYS_Cls3),86,payback(D52,U52,disc_rate/12,85))</f>
        <v>4</v>
      </c>
      <c r="AA52" s="889">
        <f ca="1">IF(AND(AA$22=TRUE,INDEX(CDRANGE_CLS3,MATCH($A52,$A$24:$A$67,0),MATCH(AA$20,$B$20:$G$20,0))&lt;$D$6/OPDAYS_Cls3),86,payback(E52,V52,disc_rate/12,85))</f>
        <v>6</v>
      </c>
      <c r="AB52" s="889">
        <f ca="1">IF(AND(AB$22=TRUE,INDEX(CDRANGE_CLS3,MATCH($A52,$A$24:$A$67,0),MATCH(AB$20,$B$20:$G$20,0))&lt;$D$6/OPDAYS_Cls3),86,payback(F52,W52,disc_rate/12,85))</f>
        <v>12</v>
      </c>
      <c r="AC52" s="890">
        <f>IF(AND(AC$22=TRUE,INDEX(CDRANGE_CLS3,MATCH($A52,$A$24:$A$67,0),MATCH(AC$20,$B$20:$G$20,0))&lt;$D$6/OPDAYS_Cls3),86,payback(G52,X52,disc_rate/12,85))</f>
        <v>86</v>
      </c>
      <c r="AD52" s="310">
        <f t="shared" si="43"/>
        <v>0</v>
      </c>
      <c r="AE52" s="311">
        <f t="shared" si="44"/>
        <v>0</v>
      </c>
      <c r="AF52" s="311">
        <f t="shared" si="45"/>
        <v>0</v>
      </c>
      <c r="AG52" s="311">
        <f t="shared" si="46"/>
        <v>0</v>
      </c>
      <c r="AH52" s="312">
        <f t="shared" si="47"/>
        <v>0</v>
      </c>
      <c r="AI52" s="596">
        <f t="shared" si="48"/>
        <v>0.4999773010656488</v>
      </c>
      <c r="AJ52" s="314">
        <f t="shared" si="49"/>
        <v>0.4999773010656488</v>
      </c>
      <c r="AK52" s="314">
        <f t="shared" si="50"/>
        <v>0.4999773010656488</v>
      </c>
      <c r="AL52" s="314">
        <f t="shared" si="51"/>
        <v>0.4999773010656488</v>
      </c>
      <c r="AM52" s="599">
        <f t="shared" si="52"/>
        <v>0.42804071804417687</v>
      </c>
      <c r="AN52" s="313">
        <f t="shared" si="65"/>
        <v>0.99294537435345864</v>
      </c>
      <c r="AO52" s="314">
        <f t="shared" si="65"/>
        <v>0.99276586905801067</v>
      </c>
      <c r="AP52" s="314">
        <f t="shared" si="65"/>
        <v>0.96606760335003594</v>
      </c>
      <c r="AQ52" s="314">
        <f t="shared" si="65"/>
        <v>0.86412464128238686</v>
      </c>
      <c r="AR52" s="599">
        <f t="shared" si="65"/>
        <v>0.80505367762082769</v>
      </c>
      <c r="AS52" s="310">
        <f t="shared" ca="1" si="54"/>
        <v>0.99995460213129761</v>
      </c>
      <c r="AT52" s="311">
        <f t="shared" ca="1" si="55"/>
        <v>0.99995460213129761</v>
      </c>
      <c r="AU52" s="311">
        <f t="shared" ca="1" si="56"/>
        <v>0.99995460213129761</v>
      </c>
      <c r="AV52" s="311">
        <f t="shared" ca="1" si="57"/>
        <v>0.92079795421666033</v>
      </c>
      <c r="AW52" s="312">
        <f t="shared" si="58"/>
        <v>0</v>
      </c>
      <c r="AX52" s="310">
        <f t="shared" ca="1" si="59"/>
        <v>0.99290029674972513</v>
      </c>
      <c r="AY52" s="311">
        <f t="shared" ca="1" si="59"/>
        <v>0.99272079960343496</v>
      </c>
      <c r="AZ52" s="311">
        <f t="shared" ca="1" si="59"/>
        <v>0.96602374593982143</v>
      </c>
      <c r="BA52" s="311">
        <f t="shared" ca="1" si="59"/>
        <v>0.79568420188102729</v>
      </c>
      <c r="BB52" s="312">
        <f t="shared" si="59"/>
        <v>0</v>
      </c>
      <c r="BC52" s="310">
        <f t="shared" ca="1" si="66"/>
        <v>7.0997032502748691E-3</v>
      </c>
      <c r="BD52" s="311">
        <f t="shared" ca="1" si="60"/>
        <v>0.26308098052355444</v>
      </c>
      <c r="BE52" s="311">
        <f t="shared" ca="1" si="61"/>
        <v>0.26303342057679868</v>
      </c>
      <c r="BF52" s="311">
        <f t="shared" ca="1" si="62"/>
        <v>0.2559597122921855</v>
      </c>
      <c r="BG52" s="311">
        <f t="shared" ca="1" si="63"/>
        <v>0.21082618335718656</v>
      </c>
      <c r="BH52" s="312">
        <f t="shared" ca="1" si="64"/>
        <v>0</v>
      </c>
    </row>
    <row r="53" spans="1:60" x14ac:dyDescent="0.2">
      <c r="A53" s="316">
        <v>2036</v>
      </c>
      <c r="B53" s="825">
        <f t="shared" si="69"/>
        <v>100224.6</v>
      </c>
      <c r="C53" s="826">
        <f t="shared" si="69"/>
        <v>5059.7700000000004</v>
      </c>
      <c r="D53" s="826">
        <f t="shared" si="69"/>
        <v>5123.97</v>
      </c>
      <c r="E53" s="826">
        <f t="shared" si="69"/>
        <v>11472.42</v>
      </c>
      <c r="F53" s="826">
        <f t="shared" si="69"/>
        <v>22995.14</v>
      </c>
      <c r="G53" s="827">
        <f t="shared" si="69"/>
        <v>27642.7</v>
      </c>
      <c r="H53" s="780">
        <f t="shared" si="70"/>
        <v>1</v>
      </c>
      <c r="I53" s="781">
        <f t="shared" si="70"/>
        <v>1</v>
      </c>
      <c r="J53" s="781">
        <f t="shared" si="70"/>
        <v>1</v>
      </c>
      <c r="K53" s="781">
        <f t="shared" si="70"/>
        <v>1</v>
      </c>
      <c r="L53" s="781">
        <f t="shared" si="70"/>
        <v>0.82428969850961065</v>
      </c>
      <c r="M53" s="782">
        <f t="shared" si="70"/>
        <v>1</v>
      </c>
      <c r="N53" s="732">
        <f t="shared" si="32"/>
        <v>7758.5052629834254</v>
      </c>
      <c r="O53" s="276">
        <f t="shared" si="33"/>
        <v>6553.3399361526863</v>
      </c>
      <c r="P53" s="276">
        <f t="shared" si="34"/>
        <v>6182.9751039890634</v>
      </c>
      <c r="Q53" s="276">
        <f t="shared" si="35"/>
        <v>5491.3547500406194</v>
      </c>
      <c r="R53" s="276">
        <f t="shared" si="36"/>
        <v>5567.830878074873</v>
      </c>
      <c r="S53" s="278">
        <f t="shared" si="37"/>
        <v>6754.1152191192932</v>
      </c>
      <c r="T53" s="732">
        <f t="shared" si="38"/>
        <v>1205.1653268307391</v>
      </c>
      <c r="U53" s="276">
        <f t="shared" si="39"/>
        <v>1575.530158994362</v>
      </c>
      <c r="V53" s="276">
        <f t="shared" si="40"/>
        <v>2267.150512942806</v>
      </c>
      <c r="W53" s="276">
        <f t="shared" si="41"/>
        <v>2190.6743849085524</v>
      </c>
      <c r="X53" s="277">
        <f t="shared" si="42"/>
        <v>1004.3900438641322</v>
      </c>
      <c r="Y53" s="279">
        <f ca="1">IF(AND(Y$22=TRUE,INDEX(CDRANGE_CLS3,MATCH($A53,$A$24:$A$67,0),MATCH(Y$20,$B$20:$G$20,0))&lt;$D$6/OPDAYS_Cls3),86,payback(C53,T53,disc_rate/12,85))</f>
        <v>5</v>
      </c>
      <c r="Z53" s="280">
        <f ca="1">IF(AND(Z$22=TRUE,INDEX(CDRANGE_CLS3,MATCH($A53,$A$24:$A$67,0),MATCH(Z$20,$B$20:$G$20,0))&lt;$D$6/OPDAYS_Cls3),86,payback(D53,U53,disc_rate/12,85))</f>
        <v>4</v>
      </c>
      <c r="AA53" s="280">
        <f ca="1">IF(AND(AA$22=TRUE,INDEX(CDRANGE_CLS3,MATCH($A53,$A$24:$A$67,0),MATCH(AA$20,$B$20:$G$20,0))&lt;$D$6/OPDAYS_Cls3),86,payback(E53,V53,disc_rate/12,85))</f>
        <v>6</v>
      </c>
      <c r="AB53" s="280">
        <f ca="1">IF(AND(AB$22=TRUE,INDEX(CDRANGE_CLS3,MATCH($A53,$A$24:$A$67,0),MATCH(AB$20,$B$20:$G$20,0))&lt;$D$6/OPDAYS_Cls3),86,payback(F53,W53,disc_rate/12,85))</f>
        <v>11</v>
      </c>
      <c r="AC53" s="281">
        <f>IF(AND(AC$22=TRUE,INDEX(CDRANGE_CLS3,MATCH($A53,$A$24:$A$67,0),MATCH(AC$20,$B$20:$G$20,0))&lt;$D$6/OPDAYS_Cls3),86,payback(G53,X53,disc_rate/12,85))</f>
        <v>86</v>
      </c>
      <c r="AD53" s="282">
        <f t="shared" si="43"/>
        <v>0</v>
      </c>
      <c r="AE53" s="283">
        <f t="shared" si="44"/>
        <v>0</v>
      </c>
      <c r="AF53" s="283">
        <f t="shared" si="45"/>
        <v>0</v>
      </c>
      <c r="AG53" s="283">
        <f t="shared" si="46"/>
        <v>0</v>
      </c>
      <c r="AH53" s="284">
        <f t="shared" si="47"/>
        <v>0</v>
      </c>
      <c r="AI53" s="594">
        <f t="shared" si="48"/>
        <v>0.49999164928907602</v>
      </c>
      <c r="AJ53" s="286">
        <f t="shared" si="49"/>
        <v>0.49999164928907602</v>
      </c>
      <c r="AK53" s="286">
        <f t="shared" si="50"/>
        <v>0.49999164928907602</v>
      </c>
      <c r="AL53" s="286">
        <f t="shared" si="51"/>
        <v>0.49999164928907602</v>
      </c>
      <c r="AM53" s="611">
        <f t="shared" si="52"/>
        <v>0.44543405951518961</v>
      </c>
      <c r="AN53" s="285">
        <f t="shared" si="65"/>
        <v>0.99294537435345864</v>
      </c>
      <c r="AO53" s="286">
        <f t="shared" si="65"/>
        <v>0.99276586905801067</v>
      </c>
      <c r="AP53" s="286">
        <f t="shared" si="65"/>
        <v>0.96425794685830035</v>
      </c>
      <c r="AQ53" s="286">
        <f t="shared" si="65"/>
        <v>0.86396348681853929</v>
      </c>
      <c r="AR53" s="611">
        <f t="shared" si="65"/>
        <v>0.80952713005094257</v>
      </c>
      <c r="AS53" s="282">
        <f t="shared" ca="1" si="54"/>
        <v>0.99998329857815205</v>
      </c>
      <c r="AT53" s="283">
        <f t="shared" ca="1" si="55"/>
        <v>0.99998329857815205</v>
      </c>
      <c r="AU53" s="283">
        <f t="shared" ca="1" si="56"/>
        <v>0.99998329857815205</v>
      </c>
      <c r="AV53" s="283">
        <f t="shared" ca="1" si="57"/>
        <v>0.94231668786513867</v>
      </c>
      <c r="AW53" s="284">
        <f t="shared" si="58"/>
        <v>0</v>
      </c>
      <c r="AX53" s="282">
        <f t="shared" ca="1" si="59"/>
        <v>0.99292879075388962</v>
      </c>
      <c r="AY53" s="283">
        <f t="shared" ca="1" si="59"/>
        <v>0.99274928845643529</v>
      </c>
      <c r="AZ53" s="283">
        <f t="shared" ca="1" si="59"/>
        <v>0.96424184237955968</v>
      </c>
      <c r="BA53" s="283">
        <f t="shared" ca="1" si="59"/>
        <v>0.81412721133526234</v>
      </c>
      <c r="BB53" s="284">
        <f t="shared" si="59"/>
        <v>0</v>
      </c>
      <c r="BC53" s="282">
        <f t="shared" ca="1" si="66"/>
        <v>7.0712092461104881E-3</v>
      </c>
      <c r="BD53" s="283">
        <f t="shared" ca="1" si="60"/>
        <v>0.26192753403218011</v>
      </c>
      <c r="BE53" s="283">
        <f t="shared" ca="1" si="61"/>
        <v>0.26188018260621365</v>
      </c>
      <c r="BF53" s="283">
        <f t="shared" ca="1" si="62"/>
        <v>0.25436012162902916</v>
      </c>
      <c r="BG53" s="283">
        <f t="shared" ca="1" si="63"/>
        <v>0.21476095248646659</v>
      </c>
      <c r="BH53" s="284">
        <f t="shared" ca="1" si="64"/>
        <v>0</v>
      </c>
    </row>
    <row r="54" spans="1:60" x14ac:dyDescent="0.2">
      <c r="A54" s="317">
        <v>2037</v>
      </c>
      <c r="B54" s="819">
        <f t="shared" ref="B54:G67" si="71">ROUND(INDEX(COST_Cls3,$A54-($A$24-1),MATCH(B$20,TECHOPTS_Cls3,0)),2)</f>
        <v>100224.6</v>
      </c>
      <c r="C54" s="820">
        <f t="shared" si="71"/>
        <v>5059.7700000000004</v>
      </c>
      <c r="D54" s="820">
        <f t="shared" si="71"/>
        <v>5123.97</v>
      </c>
      <c r="E54" s="820">
        <f t="shared" si="71"/>
        <v>11472.42</v>
      </c>
      <c r="F54" s="820">
        <f t="shared" si="71"/>
        <v>23009.81</v>
      </c>
      <c r="G54" s="821">
        <f t="shared" si="71"/>
        <v>27282.6</v>
      </c>
      <c r="H54" s="780">
        <f t="shared" ref="H54:M67" si="72">IF(H$21="Single-fuel",1,1-MIN(INDEX(CDRANGE_CLS3,$A54-($A$24-1),MATCH(H$20,TECHOPTS_Cls3,0))*OPDAYS_Cls3/$D$6,1))</f>
        <v>1</v>
      </c>
      <c r="I54" s="781">
        <f t="shared" si="72"/>
        <v>1</v>
      </c>
      <c r="J54" s="781">
        <f t="shared" si="72"/>
        <v>1</v>
      </c>
      <c r="K54" s="781">
        <f t="shared" si="72"/>
        <v>1</v>
      </c>
      <c r="L54" s="781">
        <f t="shared" si="72"/>
        <v>0.82396079212397788</v>
      </c>
      <c r="M54" s="782">
        <f t="shared" si="72"/>
        <v>1</v>
      </c>
      <c r="N54" s="732">
        <f t="shared" si="32"/>
        <v>7810.6840486788215</v>
      </c>
      <c r="O54" s="276">
        <f t="shared" si="33"/>
        <v>6597.4135442159613</v>
      </c>
      <c r="P54" s="276">
        <f t="shared" si="34"/>
        <v>6224.5578730889647</v>
      </c>
      <c r="Q54" s="276">
        <f t="shared" si="35"/>
        <v>5528.2861192886157</v>
      </c>
      <c r="R54" s="276">
        <f t="shared" si="36"/>
        <v>5562.1982635242075</v>
      </c>
      <c r="S54" s="278">
        <f t="shared" si="37"/>
        <v>6692.9038668370158</v>
      </c>
      <c r="T54" s="733">
        <f t="shared" si="38"/>
        <v>1213.2705044628601</v>
      </c>
      <c r="U54" s="290">
        <f t="shared" si="39"/>
        <v>1586.1261755898568</v>
      </c>
      <c r="V54" s="290">
        <f t="shared" si="40"/>
        <v>2282.3979293902057</v>
      </c>
      <c r="W54" s="290">
        <f t="shared" si="41"/>
        <v>2248.4857851546139</v>
      </c>
      <c r="X54" s="291">
        <f t="shared" si="42"/>
        <v>1117.7801818418056</v>
      </c>
      <c r="Y54" s="279">
        <f ca="1">IF(AND(Y$22=TRUE,INDEX(CDRANGE_CLS3,MATCH($A54,$A$24:$A$67,0),MATCH(Y$20,$B$20:$G$20,0))&lt;$D$6/OPDAYS_Cls3),86,payback(C54,T54,disc_rate/12,85))</f>
        <v>5</v>
      </c>
      <c r="Z54" s="280">
        <f ca="1">IF(AND(Z$22=TRUE,INDEX(CDRANGE_CLS3,MATCH($A54,$A$24:$A$67,0),MATCH(Z$20,$B$20:$G$20,0))&lt;$D$6/OPDAYS_Cls3),86,payback(D54,U54,disc_rate/12,85))</f>
        <v>4</v>
      </c>
      <c r="AA54" s="280">
        <f ca="1">IF(AND(AA$22=TRUE,INDEX(CDRANGE_CLS3,MATCH($A54,$A$24:$A$67,0),MATCH(AA$20,$B$20:$G$20,0))&lt;$D$6/OPDAYS_Cls3),86,payback(E54,V54,disc_rate/12,85))</f>
        <v>6</v>
      </c>
      <c r="AB54" s="280">
        <f ca="1">IF(AND(AB$22=TRUE,INDEX(CDRANGE_CLS3,MATCH($A54,$A$24:$A$67,0),MATCH(AB$20,$B$20:$G$20,0))&lt;$D$6/OPDAYS_Cls3),86,payback(F54,W54,disc_rate/12,85))</f>
        <v>11</v>
      </c>
      <c r="AC54" s="281">
        <f>IF(AND(AC$22=TRUE,INDEX(CDRANGE_CLS3,MATCH($A54,$A$24:$A$67,0),MATCH(AC$20,$B$20:$G$20,0))&lt;$D$6/OPDAYS_Cls3),86,payback(G54,X54,disc_rate/12,85))</f>
        <v>86</v>
      </c>
      <c r="AD54" s="296">
        <f t="shared" si="43"/>
        <v>0</v>
      </c>
      <c r="AE54" s="297">
        <f t="shared" si="44"/>
        <v>0</v>
      </c>
      <c r="AF54" s="297">
        <f t="shared" si="45"/>
        <v>0</v>
      </c>
      <c r="AG54" s="297">
        <f t="shared" si="46"/>
        <v>0</v>
      </c>
      <c r="AH54" s="298">
        <f t="shared" si="47"/>
        <v>0</v>
      </c>
      <c r="AI54" s="595">
        <f t="shared" si="48"/>
        <v>0.4999969279126989</v>
      </c>
      <c r="AJ54" s="300">
        <f t="shared" si="49"/>
        <v>0.4999969279126989</v>
      </c>
      <c r="AK54" s="300">
        <f t="shared" si="50"/>
        <v>0.4999969279126989</v>
      </c>
      <c r="AL54" s="300">
        <f t="shared" si="51"/>
        <v>0.4999969279126989</v>
      </c>
      <c r="AM54" s="598">
        <f t="shared" si="52"/>
        <v>0.46586451718094984</v>
      </c>
      <c r="AN54" s="299">
        <f t="shared" si="65"/>
        <v>0.99294537435345864</v>
      </c>
      <c r="AO54" s="300">
        <f t="shared" si="65"/>
        <v>0.99276586905801067</v>
      </c>
      <c r="AP54" s="300">
        <f t="shared" si="65"/>
        <v>0.96425794685830035</v>
      </c>
      <c r="AQ54" s="300">
        <f t="shared" si="65"/>
        <v>0.86380225959483148</v>
      </c>
      <c r="AR54" s="598">
        <f t="shared" si="65"/>
        <v>0.81396693634352313</v>
      </c>
      <c r="AS54" s="296">
        <f t="shared" ca="1" si="54"/>
        <v>0.99999385582539779</v>
      </c>
      <c r="AT54" s="297">
        <f t="shared" ca="1" si="55"/>
        <v>0.99999385582539779</v>
      </c>
      <c r="AU54" s="297">
        <f t="shared" ca="1" si="56"/>
        <v>0.99999385582539779</v>
      </c>
      <c r="AV54" s="297">
        <f t="shared" ca="1" si="57"/>
        <v>0.94232663630154934</v>
      </c>
      <c r="AW54" s="298">
        <f t="shared" si="58"/>
        <v>0</v>
      </c>
      <c r="AX54" s="296">
        <f t="shared" ca="1" si="59"/>
        <v>0.99293927352370814</v>
      </c>
      <c r="AY54" s="297">
        <f t="shared" ca="1" si="59"/>
        <v>0.99275976933117205</v>
      </c>
      <c r="AZ54" s="297">
        <f t="shared" ca="1" si="59"/>
        <v>0.96425202228911333</v>
      </c>
      <c r="BA54" s="297">
        <f t="shared" ca="1" si="59"/>
        <v>0.81398387771367531</v>
      </c>
      <c r="BB54" s="298">
        <f t="shared" si="59"/>
        <v>0</v>
      </c>
      <c r="BC54" s="296">
        <f t="shared" ca="1" si="66"/>
        <v>7.0607264762918565E-3</v>
      </c>
      <c r="BD54" s="297">
        <f t="shared" ca="1" si="60"/>
        <v>0.26194087195281041</v>
      </c>
      <c r="BE54" s="297">
        <f t="shared" ca="1" si="61"/>
        <v>0.26189351811560618</v>
      </c>
      <c r="BF54" s="297">
        <f t="shared" ca="1" si="62"/>
        <v>0.25437307420053457</v>
      </c>
      <c r="BG54" s="297">
        <f t="shared" ca="1" si="63"/>
        <v>0.21473180925475699</v>
      </c>
      <c r="BH54" s="298">
        <f t="shared" ca="1" si="64"/>
        <v>0</v>
      </c>
    </row>
    <row r="55" spans="1:60" x14ac:dyDescent="0.2">
      <c r="A55" s="317">
        <v>2038</v>
      </c>
      <c r="B55" s="819">
        <f t="shared" si="71"/>
        <v>100224.6</v>
      </c>
      <c r="C55" s="820">
        <f t="shared" si="71"/>
        <v>5059.7700000000004</v>
      </c>
      <c r="D55" s="820">
        <f t="shared" si="71"/>
        <v>5123.97</v>
      </c>
      <c r="E55" s="820">
        <f t="shared" si="71"/>
        <v>11472.42</v>
      </c>
      <c r="F55" s="820">
        <f t="shared" si="71"/>
        <v>23024.48</v>
      </c>
      <c r="G55" s="821">
        <f t="shared" si="71"/>
        <v>26922.49</v>
      </c>
      <c r="H55" s="780">
        <f t="shared" si="72"/>
        <v>1</v>
      </c>
      <c r="I55" s="781">
        <f t="shared" si="72"/>
        <v>1</v>
      </c>
      <c r="J55" s="781">
        <f t="shared" si="72"/>
        <v>1</v>
      </c>
      <c r="K55" s="781">
        <f t="shared" si="72"/>
        <v>1</v>
      </c>
      <c r="L55" s="781">
        <f t="shared" si="72"/>
        <v>0.82363188573834512</v>
      </c>
      <c r="M55" s="782">
        <f t="shared" si="72"/>
        <v>1</v>
      </c>
      <c r="N55" s="732">
        <f t="shared" si="32"/>
        <v>7875.9650556812685</v>
      </c>
      <c r="O55" s="276">
        <f t="shared" si="33"/>
        <v>6652.5541435660089</v>
      </c>
      <c r="P55" s="276">
        <f t="shared" si="34"/>
        <v>6276.5821776911962</v>
      </c>
      <c r="Q55" s="276">
        <f t="shared" si="35"/>
        <v>5574.4910461062418</v>
      </c>
      <c r="R55" s="276">
        <f t="shared" si="36"/>
        <v>5561.1453502627492</v>
      </c>
      <c r="S55" s="278">
        <f t="shared" si="37"/>
        <v>6615.6598810145997</v>
      </c>
      <c r="T55" s="733">
        <f t="shared" si="38"/>
        <v>1223.4109121152596</v>
      </c>
      <c r="U55" s="290">
        <f t="shared" si="39"/>
        <v>1599.3828779900723</v>
      </c>
      <c r="V55" s="290">
        <f t="shared" si="40"/>
        <v>2301.4740095750267</v>
      </c>
      <c r="W55" s="290">
        <f t="shared" si="41"/>
        <v>2314.8197054185193</v>
      </c>
      <c r="X55" s="291">
        <f t="shared" si="42"/>
        <v>1260.3051746666688</v>
      </c>
      <c r="Y55" s="279">
        <f ca="1">IF(AND(Y$22=TRUE,INDEX(CDRANGE_CLS3,MATCH($A55,$A$24:$A$67,0),MATCH(Y$20,$B$20:$G$20,0))&lt;$D$6/OPDAYS_Cls3),86,payback(C55,T55,disc_rate/12,85))</f>
        <v>5</v>
      </c>
      <c r="Z55" s="280">
        <f ca="1">IF(AND(Z$22=TRUE,INDEX(CDRANGE_CLS3,MATCH($A55,$A$24:$A$67,0),MATCH(Z$20,$B$20:$G$20,0))&lt;$D$6/OPDAYS_Cls3),86,payback(D55,U55,disc_rate/12,85))</f>
        <v>4</v>
      </c>
      <c r="AA55" s="280">
        <f ca="1">IF(AND(AA$22=TRUE,INDEX(CDRANGE_CLS3,MATCH($A55,$A$24:$A$67,0),MATCH(AA$20,$B$20:$G$20,0))&lt;$D$6/OPDAYS_Cls3),86,payback(E55,V55,disc_rate/12,85))</f>
        <v>6</v>
      </c>
      <c r="AB55" s="280">
        <f ca="1">IF(AND(AB$22=TRUE,INDEX(CDRANGE_CLS3,MATCH($A55,$A$24:$A$67,0),MATCH(AB$20,$B$20:$G$20,0))&lt;$D$6/OPDAYS_Cls3),86,payback(F55,W55,disc_rate/12,85))</f>
        <v>11</v>
      </c>
      <c r="AC55" s="281">
        <f>IF(AND(AC$22=TRUE,INDEX(CDRANGE_CLS3,MATCH($A55,$A$24:$A$67,0),MATCH(AC$20,$B$20:$G$20,0))&lt;$D$6/OPDAYS_Cls3),86,payback(G55,X55,disc_rate/12,85))</f>
        <v>86</v>
      </c>
      <c r="AD55" s="296">
        <f t="shared" si="43"/>
        <v>0</v>
      </c>
      <c r="AE55" s="297">
        <f t="shared" si="44"/>
        <v>0</v>
      </c>
      <c r="AF55" s="297">
        <f t="shared" si="45"/>
        <v>0</v>
      </c>
      <c r="AG55" s="297">
        <f t="shared" si="46"/>
        <v>0</v>
      </c>
      <c r="AH55" s="298">
        <f t="shared" si="47"/>
        <v>0</v>
      </c>
      <c r="AI55" s="595">
        <f t="shared" si="48"/>
        <v>0.49999886983785102</v>
      </c>
      <c r="AJ55" s="300">
        <f t="shared" si="49"/>
        <v>0.49999886983785102</v>
      </c>
      <c r="AK55" s="300">
        <f t="shared" si="50"/>
        <v>0.49999886983785102</v>
      </c>
      <c r="AL55" s="300">
        <f t="shared" si="51"/>
        <v>0.49999886983785102</v>
      </c>
      <c r="AM55" s="598">
        <f t="shared" si="52"/>
        <v>0.47598460365350959</v>
      </c>
      <c r="AN55" s="299">
        <f t="shared" si="65"/>
        <v>0.99294537435345864</v>
      </c>
      <c r="AO55" s="300">
        <f t="shared" si="65"/>
        <v>0.99276586905801067</v>
      </c>
      <c r="AP55" s="300">
        <f t="shared" si="65"/>
        <v>0.96425794685830035</v>
      </c>
      <c r="AQ55" s="300">
        <f t="shared" si="65"/>
        <v>0.8636409596632183</v>
      </c>
      <c r="AR55" s="598">
        <f t="shared" si="65"/>
        <v>0.8183725206430188</v>
      </c>
      <c r="AS55" s="296">
        <f t="shared" ca="1" si="54"/>
        <v>0.99999773967570205</v>
      </c>
      <c r="AT55" s="297">
        <f t="shared" ca="1" si="55"/>
        <v>0.99999773967570205</v>
      </c>
      <c r="AU55" s="297">
        <f t="shared" ca="1" si="56"/>
        <v>0.99999773967570205</v>
      </c>
      <c r="AV55" s="297">
        <f t="shared" ca="1" si="57"/>
        <v>0.94233029617962938</v>
      </c>
      <c r="AW55" s="298">
        <f t="shared" si="58"/>
        <v>0</v>
      </c>
      <c r="AX55" s="296">
        <f t="shared" ca="1" si="59"/>
        <v>0.99294312997490242</v>
      </c>
      <c r="AY55" s="297">
        <f t="shared" ca="1" si="59"/>
        <v>0.99276362508519467</v>
      </c>
      <c r="AZ55" s="297">
        <f t="shared" ca="1" si="59"/>
        <v>0.96425576732263363</v>
      </c>
      <c r="BA55" s="297">
        <f t="shared" ca="1" si="59"/>
        <v>0.81383504131229989</v>
      </c>
      <c r="BB55" s="298">
        <f t="shared" si="59"/>
        <v>0</v>
      </c>
      <c r="BC55" s="296">
        <f t="shared" ca="1" si="66"/>
        <v>7.0568700250975835E-3</v>
      </c>
      <c r="BD55" s="297">
        <f t="shared" ca="1" si="60"/>
        <v>0.26195246760201252</v>
      </c>
      <c r="BE55" s="297">
        <f t="shared" ca="1" si="61"/>
        <v>0.26190511166853947</v>
      </c>
      <c r="BF55" s="297">
        <f t="shared" ca="1" si="62"/>
        <v>0.25438433483700146</v>
      </c>
      <c r="BG55" s="297">
        <f t="shared" ca="1" si="63"/>
        <v>0.21470121586734903</v>
      </c>
      <c r="BH55" s="298">
        <f t="shared" ca="1" si="64"/>
        <v>0</v>
      </c>
    </row>
    <row r="56" spans="1:60" x14ac:dyDescent="0.2">
      <c r="A56" s="317">
        <v>2039</v>
      </c>
      <c r="B56" s="819">
        <f t="shared" si="71"/>
        <v>100224.6</v>
      </c>
      <c r="C56" s="820">
        <f t="shared" si="71"/>
        <v>5059.7700000000004</v>
      </c>
      <c r="D56" s="820">
        <f t="shared" si="71"/>
        <v>5123.97</v>
      </c>
      <c r="E56" s="820">
        <f t="shared" si="71"/>
        <v>11472.42</v>
      </c>
      <c r="F56" s="820">
        <f t="shared" si="71"/>
        <v>23039.14</v>
      </c>
      <c r="G56" s="821">
        <f t="shared" si="71"/>
        <v>26562.39</v>
      </c>
      <c r="H56" s="780">
        <f t="shared" si="72"/>
        <v>1</v>
      </c>
      <c r="I56" s="781">
        <f t="shared" si="72"/>
        <v>1</v>
      </c>
      <c r="J56" s="781">
        <f t="shared" si="72"/>
        <v>1</v>
      </c>
      <c r="K56" s="781">
        <f t="shared" si="72"/>
        <v>1</v>
      </c>
      <c r="L56" s="781">
        <f t="shared" si="72"/>
        <v>0.82330297935271224</v>
      </c>
      <c r="M56" s="782">
        <f t="shared" si="72"/>
        <v>1</v>
      </c>
      <c r="N56" s="732">
        <f t="shared" si="32"/>
        <v>7942.6516693564454</v>
      </c>
      <c r="O56" s="276">
        <f t="shared" si="33"/>
        <v>6708.8820100545954</v>
      </c>
      <c r="P56" s="276">
        <f t="shared" si="34"/>
        <v>6329.7266505177058</v>
      </c>
      <c r="Q56" s="276">
        <f t="shared" si="35"/>
        <v>5621.6908404424639</v>
      </c>
      <c r="R56" s="276">
        <f t="shared" si="36"/>
        <v>5549.1800065585248</v>
      </c>
      <c r="S56" s="278">
        <f t="shared" si="37"/>
        <v>6470.5934029623177</v>
      </c>
      <c r="T56" s="733">
        <f t="shared" si="38"/>
        <v>1233.76965930185</v>
      </c>
      <c r="U56" s="290">
        <f t="shared" si="39"/>
        <v>1612.9250188387396</v>
      </c>
      <c r="V56" s="290">
        <f t="shared" si="40"/>
        <v>2320.9608289139815</v>
      </c>
      <c r="W56" s="290">
        <f t="shared" si="41"/>
        <v>2393.4716627979205</v>
      </c>
      <c r="X56" s="291">
        <f t="shared" si="42"/>
        <v>1472.0582663941277</v>
      </c>
      <c r="Y56" s="279">
        <f ca="1">IF(AND(Y$22=TRUE,INDEX(CDRANGE_CLS3,MATCH($A56,$A$24:$A$67,0),MATCH(Y$20,$B$20:$G$20,0))&lt;$D$6/OPDAYS_Cls3),86,payback(C56,T56,disc_rate/12,85))</f>
        <v>5</v>
      </c>
      <c r="Z56" s="280">
        <f ca="1">IF(AND(Z$22=TRUE,INDEX(CDRANGE_CLS3,MATCH($A56,$A$24:$A$67,0),MATCH(Z$20,$B$20:$G$20,0))&lt;$D$6/OPDAYS_Cls3),86,payback(D56,U56,disc_rate/12,85))</f>
        <v>4</v>
      </c>
      <c r="AA56" s="280">
        <f ca="1">IF(AND(AA$22=TRUE,INDEX(CDRANGE_CLS3,MATCH($A56,$A$24:$A$67,0),MATCH(AA$20,$B$20:$G$20,0))&lt;$D$6/OPDAYS_Cls3),86,payback(E56,V56,disc_rate/12,85))</f>
        <v>6</v>
      </c>
      <c r="AB56" s="280">
        <f ca="1">IF(AND(AB$22=TRUE,INDEX(CDRANGE_CLS3,MATCH($A56,$A$24:$A$67,0),MATCH(AB$20,$B$20:$G$20,0))&lt;$D$6/OPDAYS_Cls3),86,payback(F56,W56,disc_rate/12,85))</f>
        <v>10</v>
      </c>
      <c r="AC56" s="281">
        <f>IF(AND(AC$22=TRUE,INDEX(CDRANGE_CLS3,MATCH($A56,$A$24:$A$67,0),MATCH(AC$20,$B$20:$G$20,0))&lt;$D$6/OPDAYS_Cls3),86,payback(G56,X56,disc_rate/12,85))</f>
        <v>86</v>
      </c>
      <c r="AD56" s="296">
        <f t="shared" si="43"/>
        <v>0</v>
      </c>
      <c r="AE56" s="297">
        <f t="shared" si="44"/>
        <v>0</v>
      </c>
      <c r="AF56" s="297">
        <f t="shared" si="45"/>
        <v>0</v>
      </c>
      <c r="AG56" s="297">
        <f t="shared" si="46"/>
        <v>0</v>
      </c>
      <c r="AH56" s="298">
        <f t="shared" si="47"/>
        <v>0</v>
      </c>
      <c r="AI56" s="595">
        <f t="shared" si="48"/>
        <v>0.49999958423598612</v>
      </c>
      <c r="AJ56" s="300">
        <f t="shared" si="49"/>
        <v>0.49999958423598612</v>
      </c>
      <c r="AK56" s="300">
        <f t="shared" si="50"/>
        <v>0.49999958423598612</v>
      </c>
      <c r="AL56" s="300">
        <f t="shared" si="51"/>
        <v>0.49999958423598612</v>
      </c>
      <c r="AM56" s="598">
        <f t="shared" si="52"/>
        <v>0.48366005780379517</v>
      </c>
      <c r="AN56" s="299">
        <f t="shared" si="65"/>
        <v>0.99294537435345864</v>
      </c>
      <c r="AO56" s="300">
        <f t="shared" si="65"/>
        <v>0.99276586905801067</v>
      </c>
      <c r="AP56" s="300">
        <f t="shared" si="65"/>
        <v>0.96425794685830035</v>
      </c>
      <c r="AQ56" s="300">
        <f t="shared" si="65"/>
        <v>0.8634796971021691</v>
      </c>
      <c r="AR56" s="598">
        <f t="shared" si="65"/>
        <v>0.82274281878543787</v>
      </c>
      <c r="AS56" s="296">
        <f t="shared" ca="1" si="54"/>
        <v>0.99999916847197223</v>
      </c>
      <c r="AT56" s="297">
        <f t="shared" ca="1" si="55"/>
        <v>0.99999916847197223</v>
      </c>
      <c r="AU56" s="297">
        <f t="shared" ca="1" si="56"/>
        <v>0.99999916847197223</v>
      </c>
      <c r="AV56" s="297">
        <f t="shared" ca="1" si="57"/>
        <v>0.96102969280404571</v>
      </c>
      <c r="AW56" s="298">
        <f t="shared" si="58"/>
        <v>0</v>
      </c>
      <c r="AX56" s="296">
        <f t="shared" ca="1" si="59"/>
        <v>0.9929445486915498</v>
      </c>
      <c r="AY56" s="297">
        <f t="shared" ca="1" si="59"/>
        <v>0.99276504354536554</v>
      </c>
      <c r="AZ56" s="297">
        <f t="shared" ca="1" si="59"/>
        <v>0.96425714505079152</v>
      </c>
      <c r="BA56" s="297">
        <f t="shared" ca="1" si="59"/>
        <v>0.82982962804862803</v>
      </c>
      <c r="BB56" s="298">
        <f t="shared" si="59"/>
        <v>0</v>
      </c>
      <c r="BC56" s="296">
        <f t="shared" ca="1" si="66"/>
        <v>7.0554513084502002E-3</v>
      </c>
      <c r="BD56" s="297">
        <f t="shared" ca="1" si="60"/>
        <v>0.26084444279011693</v>
      </c>
      <c r="BE56" s="297">
        <f t="shared" ca="1" si="61"/>
        <v>0.26079728716607314</v>
      </c>
      <c r="BF56" s="297">
        <f t="shared" ca="1" si="62"/>
        <v>0.25330832224075756</v>
      </c>
      <c r="BG56" s="297">
        <f t="shared" ca="1" si="63"/>
        <v>0.21799449649460217</v>
      </c>
      <c r="BH56" s="298">
        <f t="shared" ca="1" si="64"/>
        <v>0</v>
      </c>
    </row>
    <row r="57" spans="1:60" ht="15" thickBot="1" x14ac:dyDescent="0.25">
      <c r="A57" s="618">
        <v>2040</v>
      </c>
      <c r="B57" s="813">
        <f t="shared" si="71"/>
        <v>100224.6</v>
      </c>
      <c r="C57" s="814">
        <f t="shared" si="71"/>
        <v>5059.7700000000004</v>
      </c>
      <c r="D57" s="814">
        <f t="shared" si="71"/>
        <v>5123.97</v>
      </c>
      <c r="E57" s="814">
        <f t="shared" si="71"/>
        <v>11472.42</v>
      </c>
      <c r="F57" s="814">
        <f t="shared" si="71"/>
        <v>23053.81</v>
      </c>
      <c r="G57" s="815">
        <f t="shared" si="71"/>
        <v>26202.28</v>
      </c>
      <c r="H57" s="780">
        <f t="shared" si="72"/>
        <v>1</v>
      </c>
      <c r="I57" s="781">
        <f t="shared" si="72"/>
        <v>1</v>
      </c>
      <c r="J57" s="781">
        <f t="shared" si="72"/>
        <v>1</v>
      </c>
      <c r="K57" s="781">
        <f t="shared" si="72"/>
        <v>1</v>
      </c>
      <c r="L57" s="781">
        <f t="shared" si="72"/>
        <v>0.82297407296707947</v>
      </c>
      <c r="M57" s="782">
        <f t="shared" si="72"/>
        <v>1</v>
      </c>
      <c r="N57" s="882">
        <f t="shared" si="32"/>
        <v>7941.5810771638562</v>
      </c>
      <c r="O57" s="775">
        <f t="shared" si="33"/>
        <v>6707.9777180120927</v>
      </c>
      <c r="P57" s="775">
        <f t="shared" si="34"/>
        <v>6328.8734649298976</v>
      </c>
      <c r="Q57" s="775">
        <f t="shared" si="35"/>
        <v>5620.9330911953002</v>
      </c>
      <c r="R57" s="775">
        <f t="shared" si="36"/>
        <v>5484.0672109370844</v>
      </c>
      <c r="S57" s="776">
        <f t="shared" si="37"/>
        <v>6236.3266373794122</v>
      </c>
      <c r="T57" s="734">
        <f t="shared" si="38"/>
        <v>1233.6033591517635</v>
      </c>
      <c r="U57" s="619">
        <f t="shared" si="39"/>
        <v>1612.7076122339586</v>
      </c>
      <c r="V57" s="619">
        <f t="shared" si="40"/>
        <v>2320.647985968556</v>
      </c>
      <c r="W57" s="619">
        <f t="shared" si="41"/>
        <v>2457.5138662267718</v>
      </c>
      <c r="X57" s="620">
        <f t="shared" si="42"/>
        <v>1705.254439784444</v>
      </c>
      <c r="Y57" s="722">
        <f ca="1">IF(AND(Y$22=TRUE,INDEX(CDRANGE_CLS3,MATCH($A57,$A$24:$A$67,0),MATCH(Y$20,$B$20:$G$20,0))&lt;$D$6/OPDAYS_Cls3),86,payback(C57,T57,disc_rate/12,85))</f>
        <v>5</v>
      </c>
      <c r="Z57" s="723">
        <f ca="1">IF(AND(Z$22=TRUE,INDEX(CDRANGE_CLS3,MATCH($A57,$A$24:$A$67,0),MATCH(Z$20,$B$20:$G$20,0))&lt;$D$6/OPDAYS_Cls3),86,payback(D57,U57,disc_rate/12,85))</f>
        <v>4</v>
      </c>
      <c r="AA57" s="723">
        <f ca="1">IF(AND(AA$22=TRUE,INDEX(CDRANGE_CLS3,MATCH($A57,$A$24:$A$67,0),MATCH(AA$20,$B$20:$G$20,0))&lt;$D$6/OPDAYS_Cls3),86,payback(E57,V57,disc_rate/12,85))</f>
        <v>6</v>
      </c>
      <c r="AB57" s="723">
        <f ca="1">IF(AND(AB$22=TRUE,INDEX(CDRANGE_CLS3,MATCH($A57,$A$24:$A$67,0),MATCH(AB$20,$B$20:$G$20,0))&lt;$D$6/OPDAYS_Cls3),86,payback(F57,W57,disc_rate/12,85))</f>
        <v>10</v>
      </c>
      <c r="AC57" s="891">
        <f>IF(AND(AC$22=TRUE,INDEX(CDRANGE_CLS3,MATCH($A57,$A$24:$A$67,0),MATCH(AC$20,$B$20:$G$20,0))&lt;$D$6/OPDAYS_Cls3),86,payback(G57,X57,disc_rate/12,85))</f>
        <v>86</v>
      </c>
      <c r="AD57" s="624">
        <f t="shared" si="43"/>
        <v>0</v>
      </c>
      <c r="AE57" s="625">
        <f t="shared" si="44"/>
        <v>0</v>
      </c>
      <c r="AF57" s="625">
        <f t="shared" si="45"/>
        <v>0</v>
      </c>
      <c r="AG57" s="625">
        <f t="shared" si="46"/>
        <v>0</v>
      </c>
      <c r="AH57" s="626">
        <f t="shared" si="47"/>
        <v>0</v>
      </c>
      <c r="AI57" s="627">
        <f t="shared" si="48"/>
        <v>0.4999998470488865</v>
      </c>
      <c r="AJ57" s="628">
        <f t="shared" si="49"/>
        <v>0.4999998470488865</v>
      </c>
      <c r="AK57" s="628">
        <f t="shared" si="50"/>
        <v>0.4999998470488865</v>
      </c>
      <c r="AL57" s="628">
        <f t="shared" si="51"/>
        <v>0.4999998470488865</v>
      </c>
      <c r="AM57" s="629">
        <f t="shared" si="52"/>
        <v>0.49142580877151454</v>
      </c>
      <c r="AN57" s="630">
        <f t="shared" si="65"/>
        <v>0.99294537435345864</v>
      </c>
      <c r="AO57" s="628">
        <f t="shared" si="65"/>
        <v>0.99276586905801067</v>
      </c>
      <c r="AP57" s="628">
        <f t="shared" si="65"/>
        <v>0.96425794685830035</v>
      </c>
      <c r="AQ57" s="628">
        <f t="shared" si="65"/>
        <v>0.86331825196014744</v>
      </c>
      <c r="AR57" s="629">
        <f t="shared" si="65"/>
        <v>0.82707725716340019</v>
      </c>
      <c r="AS57" s="624">
        <f t="shared" ca="1" si="54"/>
        <v>0.99999969409777301</v>
      </c>
      <c r="AT57" s="625">
        <f t="shared" ca="1" si="55"/>
        <v>0.99999969409777301</v>
      </c>
      <c r="AU57" s="625">
        <f t="shared" ca="1" si="56"/>
        <v>0.99999969409777301</v>
      </c>
      <c r="AV57" s="625">
        <f t="shared" ca="1" si="57"/>
        <v>0.9610301979464676</v>
      </c>
      <c r="AW57" s="626">
        <f t="shared" si="58"/>
        <v>0</v>
      </c>
      <c r="AX57" s="624">
        <f t="shared" ca="1" si="59"/>
        <v>0.9929450706092573</v>
      </c>
      <c r="AY57" s="625">
        <f t="shared" ca="1" si="59"/>
        <v>0.9927655653687204</v>
      </c>
      <c r="AZ57" s="625">
        <f t="shared" ca="1" si="59"/>
        <v>0.96425765188964696</v>
      </c>
      <c r="BA57" s="625">
        <f t="shared" ca="1" si="59"/>
        <v>0.82967491057205889</v>
      </c>
      <c r="BB57" s="626">
        <f t="shared" si="59"/>
        <v>0</v>
      </c>
      <c r="BC57" s="624">
        <f t="shared" ca="1" si="66"/>
        <v>7.0549293907428146E-3</v>
      </c>
      <c r="BD57" s="625">
        <f t="shared" ca="1" si="60"/>
        <v>0.2608552875187371</v>
      </c>
      <c r="BE57" s="625">
        <f t="shared" ca="1" si="61"/>
        <v>0.26080812993417646</v>
      </c>
      <c r="BF57" s="625">
        <f t="shared" ca="1" si="62"/>
        <v>0.25331885365167267</v>
      </c>
      <c r="BG57" s="625">
        <f t="shared" ca="1" si="63"/>
        <v>0.21796279950467101</v>
      </c>
      <c r="BH57" s="626">
        <f t="shared" ca="1" si="64"/>
        <v>0</v>
      </c>
    </row>
    <row r="58" spans="1:60" x14ac:dyDescent="0.2">
      <c r="A58" s="318">
        <v>2041</v>
      </c>
      <c r="B58" s="816">
        <f t="shared" si="71"/>
        <v>100224.6</v>
      </c>
      <c r="C58" s="817">
        <f t="shared" si="71"/>
        <v>5059.7700000000004</v>
      </c>
      <c r="D58" s="817">
        <f t="shared" si="71"/>
        <v>5123.97</v>
      </c>
      <c r="E58" s="817">
        <f t="shared" si="71"/>
        <v>11472.42</v>
      </c>
      <c r="F58" s="817">
        <f t="shared" si="71"/>
        <v>23068.48</v>
      </c>
      <c r="G58" s="818">
        <f t="shared" si="71"/>
        <v>25842.17</v>
      </c>
      <c r="H58" s="780">
        <f t="shared" si="72"/>
        <v>1</v>
      </c>
      <c r="I58" s="781">
        <f t="shared" si="72"/>
        <v>1</v>
      </c>
      <c r="J58" s="781">
        <f t="shared" si="72"/>
        <v>1</v>
      </c>
      <c r="K58" s="781">
        <f t="shared" si="72"/>
        <v>1</v>
      </c>
      <c r="L58" s="781">
        <f t="shared" si="72"/>
        <v>0.8226451665814466</v>
      </c>
      <c r="M58" s="782">
        <f t="shared" si="72"/>
        <v>1</v>
      </c>
      <c r="N58" s="735">
        <f t="shared" si="32"/>
        <v>7990.765526041313</v>
      </c>
      <c r="O58" s="632">
        <f t="shared" si="33"/>
        <v>6749.5221137611215</v>
      </c>
      <c r="P58" s="632">
        <f t="shared" si="34"/>
        <v>6368.0699612400385</v>
      </c>
      <c r="Q58" s="632">
        <f t="shared" si="35"/>
        <v>5655.7451133331178</v>
      </c>
      <c r="R58" s="632">
        <f t="shared" si="36"/>
        <v>5428.6272049106428</v>
      </c>
      <c r="S58" s="744">
        <f t="shared" si="37"/>
        <v>5894.5491354789219</v>
      </c>
      <c r="T58" s="735">
        <f t="shared" si="38"/>
        <v>1241.2434122801915</v>
      </c>
      <c r="U58" s="632">
        <f t="shared" si="39"/>
        <v>1622.6955648012745</v>
      </c>
      <c r="V58" s="632">
        <f t="shared" si="40"/>
        <v>2335.0204127081952</v>
      </c>
      <c r="W58" s="632">
        <f t="shared" si="41"/>
        <v>2562.1383211306702</v>
      </c>
      <c r="X58" s="633">
        <f t="shared" si="42"/>
        <v>2096.2163905623911</v>
      </c>
      <c r="Y58" s="634">
        <f ca="1">IF(AND(Y$22=TRUE,INDEX(CDRANGE_CLS3,MATCH($A58,$A$24:$A$67,0),MATCH(Y$20,$B$20:$G$20,0))&lt;$D$6/OPDAYS_Cls3),86,payback(C58,T58,disc_rate/12,85))</f>
        <v>5</v>
      </c>
      <c r="Z58" s="635">
        <f ca="1">IF(AND(Z$22=TRUE,INDEX(CDRANGE_CLS3,MATCH($A58,$A$24:$A$67,0),MATCH(Z$20,$B$20:$G$20,0))&lt;$D$6/OPDAYS_Cls3),86,payback(D58,U58,disc_rate/12,85))</f>
        <v>4</v>
      </c>
      <c r="AA58" s="635">
        <f ca="1">IF(AND(AA$22=TRUE,INDEX(CDRANGE_CLS3,MATCH($A58,$A$24:$A$67,0),MATCH(AA$20,$B$20:$G$20,0))&lt;$D$6/OPDAYS_Cls3),86,payback(E58,V58,disc_rate/12,85))</f>
        <v>6</v>
      </c>
      <c r="AB58" s="635">
        <f ca="1">IF(AND(AB$22=TRUE,INDEX(CDRANGE_CLS3,MATCH($A58,$A$24:$A$67,0),MATCH(AB$20,$B$20:$G$20,0))&lt;$D$6/OPDAYS_Cls3),86,payback(F58,W58,disc_rate/12,85))</f>
        <v>10</v>
      </c>
      <c r="AC58" s="892">
        <f>IF(AND(AC$22=TRUE,INDEX(CDRANGE_CLS3,MATCH($A58,$A$24:$A$67,0),MATCH(AC$20,$B$20:$G$20,0))&lt;$D$6/OPDAYS_Cls3),86,payback(G58,X58,disc_rate/12,85))</f>
        <v>86</v>
      </c>
      <c r="AD58" s="637">
        <f t="shared" si="43"/>
        <v>0</v>
      </c>
      <c r="AE58" s="638">
        <f t="shared" si="44"/>
        <v>0</v>
      </c>
      <c r="AF58" s="638">
        <f t="shared" si="45"/>
        <v>0</v>
      </c>
      <c r="AG58" s="638">
        <f t="shared" si="46"/>
        <v>0</v>
      </c>
      <c r="AH58" s="639">
        <f t="shared" si="47"/>
        <v>0</v>
      </c>
      <c r="AI58" s="640">
        <f t="shared" si="48"/>
        <v>0.49999994373241896</v>
      </c>
      <c r="AJ58" s="641">
        <f t="shared" si="49"/>
        <v>0.49999994373241896</v>
      </c>
      <c r="AK58" s="641">
        <f t="shared" si="50"/>
        <v>0.49999994373241896</v>
      </c>
      <c r="AL58" s="641">
        <f t="shared" si="51"/>
        <v>0.49999994373241896</v>
      </c>
      <c r="AM58" s="642">
        <f t="shared" si="52"/>
        <v>0.4946830490538891</v>
      </c>
      <c r="AN58" s="643">
        <f t="shared" si="65"/>
        <v>0.99294537435345864</v>
      </c>
      <c r="AO58" s="641">
        <f t="shared" si="65"/>
        <v>0.99276586905801067</v>
      </c>
      <c r="AP58" s="641">
        <f t="shared" si="65"/>
        <v>0.96425794685830035</v>
      </c>
      <c r="AQ58" s="641">
        <f t="shared" si="65"/>
        <v>0.86315673426614614</v>
      </c>
      <c r="AR58" s="642">
        <f t="shared" si="65"/>
        <v>0.83137490100019595</v>
      </c>
      <c r="AS58" s="637">
        <f t="shared" ca="1" si="54"/>
        <v>0.99999988746483792</v>
      </c>
      <c r="AT58" s="638">
        <f t="shared" ca="1" si="55"/>
        <v>0.99999988746483792</v>
      </c>
      <c r="AU58" s="638">
        <f t="shared" ca="1" si="56"/>
        <v>0.99999988746483792</v>
      </c>
      <c r="AV58" s="638">
        <f t="shared" ca="1" si="57"/>
        <v>0.96103038377811312</v>
      </c>
      <c r="AW58" s="639">
        <f t="shared" si="58"/>
        <v>0</v>
      </c>
      <c r="AX58" s="637">
        <f t="shared" ca="1" si="59"/>
        <v>0.99294526261218996</v>
      </c>
      <c r="AY58" s="638">
        <f t="shared" ca="1" si="59"/>
        <v>0.99276575733694272</v>
      </c>
      <c r="AZ58" s="638">
        <f t="shared" ca="1" si="59"/>
        <v>0.96425783834537604</v>
      </c>
      <c r="BA58" s="638">
        <f t="shared" ca="1" si="59"/>
        <v>0.82951984759245723</v>
      </c>
      <c r="BB58" s="639">
        <f t="shared" si="59"/>
        <v>0</v>
      </c>
      <c r="BC58" s="637">
        <f t="shared" ca="1" si="66"/>
        <v>7.0547373878100395E-3</v>
      </c>
      <c r="BD58" s="638">
        <f t="shared" ca="1" si="60"/>
        <v>0.26086605127521123</v>
      </c>
      <c r="BE58" s="638">
        <f t="shared" ca="1" si="61"/>
        <v>0.2608188917447718</v>
      </c>
      <c r="BF58" s="638">
        <f t="shared" ca="1" si="62"/>
        <v>0.25332930642982765</v>
      </c>
      <c r="BG58" s="638">
        <f t="shared" ca="1" si="63"/>
        <v>0.21793101316237928</v>
      </c>
      <c r="BH58" s="639">
        <f t="shared" ca="1" si="64"/>
        <v>0</v>
      </c>
    </row>
    <row r="59" spans="1:60" x14ac:dyDescent="0.2">
      <c r="A59" s="317">
        <v>2042</v>
      </c>
      <c r="B59" s="819">
        <f t="shared" si="71"/>
        <v>100224.6</v>
      </c>
      <c r="C59" s="820">
        <f t="shared" si="71"/>
        <v>5059.7700000000004</v>
      </c>
      <c r="D59" s="820">
        <f t="shared" si="71"/>
        <v>5123.97</v>
      </c>
      <c r="E59" s="820">
        <f t="shared" si="71"/>
        <v>11472.42</v>
      </c>
      <c r="F59" s="820">
        <f t="shared" si="71"/>
        <v>23083.15</v>
      </c>
      <c r="G59" s="821">
        <f t="shared" si="71"/>
        <v>25482.07</v>
      </c>
      <c r="H59" s="780">
        <f t="shared" si="72"/>
        <v>1</v>
      </c>
      <c r="I59" s="781">
        <f t="shared" si="72"/>
        <v>1</v>
      </c>
      <c r="J59" s="781">
        <f t="shared" si="72"/>
        <v>1</v>
      </c>
      <c r="K59" s="781">
        <f t="shared" si="72"/>
        <v>1</v>
      </c>
      <c r="L59" s="781">
        <f t="shared" si="72"/>
        <v>0.82231626019581383</v>
      </c>
      <c r="M59" s="782">
        <f t="shared" si="72"/>
        <v>1</v>
      </c>
      <c r="N59" s="732">
        <f t="shared" si="32"/>
        <v>8105.9154559249791</v>
      </c>
      <c r="O59" s="276">
        <f t="shared" si="33"/>
        <v>6846.7852602788089</v>
      </c>
      <c r="P59" s="276">
        <f t="shared" si="34"/>
        <v>6459.836239094313</v>
      </c>
      <c r="Q59" s="276">
        <f t="shared" si="35"/>
        <v>5737.2465228185793</v>
      </c>
      <c r="R59" s="276">
        <f t="shared" si="36"/>
        <v>5389.4727105203428</v>
      </c>
      <c r="S59" s="278">
        <f t="shared" si="37"/>
        <v>5436.8517235453919</v>
      </c>
      <c r="T59" s="733">
        <f t="shared" si="38"/>
        <v>1259.1301956461703</v>
      </c>
      <c r="U59" s="290">
        <f t="shared" si="39"/>
        <v>1646.0792168306662</v>
      </c>
      <c r="V59" s="290">
        <f t="shared" si="40"/>
        <v>2368.6689331063999</v>
      </c>
      <c r="W59" s="290">
        <f t="shared" si="41"/>
        <v>2716.4427454046363</v>
      </c>
      <c r="X59" s="291">
        <f t="shared" si="42"/>
        <v>2669.0637323795872</v>
      </c>
      <c r="Y59" s="279">
        <f ca="1">IF(AND(Y$22=TRUE,INDEX(CDRANGE_CLS3,MATCH($A59,$A$24:$A$67,0),MATCH(Y$20,$B$20:$G$20,0))&lt;$D$6/OPDAYS_Cls3),86,payback(C59,T59,disc_rate/12,85))</f>
        <v>5</v>
      </c>
      <c r="Z59" s="280">
        <f ca="1">IF(AND(Z$22=TRUE,INDEX(CDRANGE_CLS3,MATCH($A59,$A$24:$A$67,0),MATCH(Z$20,$B$20:$G$20,0))&lt;$D$6/OPDAYS_Cls3),86,payback(D59,U59,disc_rate/12,85))</f>
        <v>4</v>
      </c>
      <c r="AA59" s="280">
        <f ca="1">IF(AND(AA$22=TRUE,INDEX(CDRANGE_CLS3,MATCH($A59,$A$24:$A$67,0),MATCH(AA$20,$B$20:$G$20,0))&lt;$D$6/OPDAYS_Cls3),86,payback(E59,V59,disc_rate/12,85))</f>
        <v>5</v>
      </c>
      <c r="AB59" s="280">
        <f ca="1">IF(AND(AB$22=TRUE,INDEX(CDRANGE_CLS3,MATCH($A59,$A$24:$A$67,0),MATCH(AB$20,$B$20:$G$20,0))&lt;$D$6/OPDAYS_Cls3),86,payback(F59,W59,disc_rate/12,85))</f>
        <v>9</v>
      </c>
      <c r="AC59" s="281">
        <f>IF(AND(AC$22=TRUE,INDEX(CDRANGE_CLS3,MATCH($A59,$A$24:$A$67,0),MATCH(AC$20,$B$20:$G$20,0))&lt;$D$6/OPDAYS_Cls3),86,payback(G59,X59,disc_rate/12,85))</f>
        <v>86</v>
      </c>
      <c r="AD59" s="296">
        <f t="shared" si="43"/>
        <v>0</v>
      </c>
      <c r="AE59" s="297">
        <f t="shared" si="44"/>
        <v>0</v>
      </c>
      <c r="AF59" s="297">
        <f t="shared" si="45"/>
        <v>0</v>
      </c>
      <c r="AG59" s="297">
        <f t="shared" si="46"/>
        <v>0</v>
      </c>
      <c r="AH59" s="298">
        <f t="shared" si="47"/>
        <v>0</v>
      </c>
      <c r="AI59" s="595">
        <f t="shared" si="48"/>
        <v>0.4999999793003122</v>
      </c>
      <c r="AJ59" s="300">
        <f t="shared" si="49"/>
        <v>0.4999999793003122</v>
      </c>
      <c r="AK59" s="300">
        <f t="shared" si="50"/>
        <v>0.4999999793003122</v>
      </c>
      <c r="AL59" s="300">
        <f t="shared" si="51"/>
        <v>0.4999999793003122</v>
      </c>
      <c r="AM59" s="598">
        <f t="shared" si="52"/>
        <v>0.49759711881379698</v>
      </c>
      <c r="AN59" s="299">
        <f t="shared" si="65"/>
        <v>0.99294537435345864</v>
      </c>
      <c r="AO59" s="300">
        <f t="shared" si="65"/>
        <v>0.99276586905801067</v>
      </c>
      <c r="AP59" s="300">
        <f t="shared" si="65"/>
        <v>0.96425794685830035</v>
      </c>
      <c r="AQ59" s="300">
        <f t="shared" si="65"/>
        <v>0.86299514407218458</v>
      </c>
      <c r="AR59" s="598">
        <f t="shared" si="65"/>
        <v>0.83563482328980565</v>
      </c>
      <c r="AS59" s="296">
        <f t="shared" ca="1" si="54"/>
        <v>0.99999995860062441</v>
      </c>
      <c r="AT59" s="297">
        <f t="shared" ca="1" si="55"/>
        <v>0.99999995860062441</v>
      </c>
      <c r="AU59" s="297">
        <f t="shared" ca="1" si="56"/>
        <v>0.99999995860062441</v>
      </c>
      <c r="AV59" s="297">
        <f t="shared" ca="1" si="57"/>
        <v>0.97659513127389064</v>
      </c>
      <c r="AW59" s="298">
        <f t="shared" si="58"/>
        <v>0</v>
      </c>
      <c r="AX59" s="296">
        <f t="shared" ca="1" si="59"/>
        <v>0.99294533324614009</v>
      </c>
      <c r="AY59" s="297">
        <f t="shared" ca="1" si="59"/>
        <v>0.99276582795812363</v>
      </c>
      <c r="AZ59" s="297">
        <f t="shared" ca="1" si="59"/>
        <v>0.96425790693862345</v>
      </c>
      <c r="BA59" s="297">
        <f t="shared" ca="1" si="59"/>
        <v>0.8427968560139053</v>
      </c>
      <c r="BB59" s="298">
        <f t="shared" si="59"/>
        <v>0</v>
      </c>
      <c r="BC59" s="296">
        <f t="shared" ca="1" si="66"/>
        <v>7.0546667538599062E-3</v>
      </c>
      <c r="BD59" s="297">
        <f t="shared" ca="1" si="60"/>
        <v>0.25995288254823756</v>
      </c>
      <c r="BE59" s="297">
        <f t="shared" ca="1" si="61"/>
        <v>0.25990588810102055</v>
      </c>
      <c r="BF59" s="297">
        <f t="shared" ca="1" si="62"/>
        <v>0.2524425202837316</v>
      </c>
      <c r="BG59" s="297">
        <f t="shared" ca="1" si="63"/>
        <v>0.22064404231315041</v>
      </c>
      <c r="BH59" s="298">
        <f t="shared" ca="1" si="64"/>
        <v>0</v>
      </c>
    </row>
    <row r="60" spans="1:60" x14ac:dyDescent="0.2">
      <c r="A60" s="317">
        <v>2043</v>
      </c>
      <c r="B60" s="819">
        <f t="shared" si="71"/>
        <v>100224.6</v>
      </c>
      <c r="C60" s="820">
        <f t="shared" si="71"/>
        <v>5059.7700000000004</v>
      </c>
      <c r="D60" s="820">
        <f t="shared" si="71"/>
        <v>5123.97</v>
      </c>
      <c r="E60" s="820">
        <f t="shared" si="71"/>
        <v>11472.42</v>
      </c>
      <c r="F60" s="820">
        <f t="shared" si="71"/>
        <v>23097.81</v>
      </c>
      <c r="G60" s="821">
        <f t="shared" si="71"/>
        <v>25121.96</v>
      </c>
      <c r="H60" s="780">
        <f t="shared" si="72"/>
        <v>1</v>
      </c>
      <c r="I60" s="781">
        <f t="shared" si="72"/>
        <v>1</v>
      </c>
      <c r="J60" s="781">
        <f t="shared" si="72"/>
        <v>1</v>
      </c>
      <c r="K60" s="781">
        <f t="shared" si="72"/>
        <v>1</v>
      </c>
      <c r="L60" s="781">
        <f t="shared" si="72"/>
        <v>0.82198735381018095</v>
      </c>
      <c r="M60" s="782">
        <f t="shared" si="72"/>
        <v>1</v>
      </c>
      <c r="N60" s="732">
        <f t="shared" si="32"/>
        <v>8153.0224627055622</v>
      </c>
      <c r="O60" s="276">
        <f t="shared" si="33"/>
        <v>6886.5749128399402</v>
      </c>
      <c r="P60" s="276">
        <f t="shared" si="34"/>
        <v>6497.3771622844324</v>
      </c>
      <c r="Q60" s="276">
        <f t="shared" si="35"/>
        <v>5770.5881623066571</v>
      </c>
      <c r="R60" s="276">
        <f t="shared" si="36"/>
        <v>5294.3315888766138</v>
      </c>
      <c r="S60" s="278">
        <f t="shared" si="37"/>
        <v>4873.7821190452514</v>
      </c>
      <c r="T60" s="733">
        <f t="shared" si="38"/>
        <v>1266.447549865622</v>
      </c>
      <c r="U60" s="290">
        <f t="shared" si="39"/>
        <v>1655.6453004211298</v>
      </c>
      <c r="V60" s="290">
        <f t="shared" si="40"/>
        <v>2382.4343003989052</v>
      </c>
      <c r="W60" s="290">
        <f t="shared" si="41"/>
        <v>2858.6908738289485</v>
      </c>
      <c r="X60" s="291">
        <f t="shared" si="42"/>
        <v>3279.2403436603108</v>
      </c>
      <c r="Y60" s="279">
        <f ca="1">IF(AND(Y$22=TRUE,INDEX(CDRANGE_CLS3,MATCH($A60,$A$24:$A$67,0),MATCH(Y$20,$B$20:$G$20,0))&lt;$D$6/OPDAYS_Cls3),86,payback(C60,T60,disc_rate/12,85))</f>
        <v>5</v>
      </c>
      <c r="Z60" s="280">
        <f ca="1">IF(AND(Z$22=TRUE,INDEX(CDRANGE_CLS3,MATCH($A60,$A$24:$A$67,0),MATCH(Z$20,$B$20:$G$20,0))&lt;$D$6/OPDAYS_Cls3),86,payback(D60,U60,disc_rate/12,85))</f>
        <v>4</v>
      </c>
      <c r="AA60" s="280">
        <f ca="1">IF(AND(AA$22=TRUE,INDEX(CDRANGE_CLS3,MATCH($A60,$A$24:$A$67,0),MATCH(AA$20,$B$20:$G$20,0))&lt;$D$6/OPDAYS_Cls3),86,payback(E60,V60,disc_rate/12,85))</f>
        <v>5</v>
      </c>
      <c r="AB60" s="280">
        <f ca="1">IF(AND(AB$22=TRUE,INDEX(CDRANGE_CLS3,MATCH($A60,$A$24:$A$67,0),MATCH(AB$20,$B$20:$G$20,0))&lt;$D$6/OPDAYS_Cls3),86,payback(F60,W60,disc_rate/12,85))</f>
        <v>9</v>
      </c>
      <c r="AC60" s="281">
        <f>IF(AND(AC$22=TRUE,INDEX(CDRANGE_CLS3,MATCH($A60,$A$24:$A$67,0),MATCH(AC$20,$B$20:$G$20,0))&lt;$D$6/OPDAYS_Cls3),86,payback(G60,X60,disc_rate/12,85))</f>
        <v>86</v>
      </c>
      <c r="AD60" s="296">
        <f t="shared" si="43"/>
        <v>0</v>
      </c>
      <c r="AE60" s="297">
        <f t="shared" si="44"/>
        <v>0</v>
      </c>
      <c r="AF60" s="297">
        <f t="shared" si="45"/>
        <v>0</v>
      </c>
      <c r="AG60" s="297">
        <f t="shared" si="46"/>
        <v>0</v>
      </c>
      <c r="AH60" s="298">
        <f t="shared" si="47"/>
        <v>0</v>
      </c>
      <c r="AI60" s="595">
        <f t="shared" si="48"/>
        <v>0.49999999238501025</v>
      </c>
      <c r="AJ60" s="300">
        <f t="shared" si="49"/>
        <v>0.49999999238501025</v>
      </c>
      <c r="AK60" s="300">
        <f t="shared" si="50"/>
        <v>0.49999999238501025</v>
      </c>
      <c r="AL60" s="300">
        <f t="shared" si="51"/>
        <v>0.49999999238501025</v>
      </c>
      <c r="AM60" s="598">
        <f t="shared" si="52"/>
        <v>0.49866062269435391</v>
      </c>
      <c r="AN60" s="299">
        <f t="shared" si="65"/>
        <v>0.99294537435345864</v>
      </c>
      <c r="AO60" s="300">
        <f t="shared" si="65"/>
        <v>0.99276586905801067</v>
      </c>
      <c r="AP60" s="300">
        <f t="shared" si="65"/>
        <v>0.96425794685830035</v>
      </c>
      <c r="AQ60" s="300">
        <f t="shared" si="65"/>
        <v>0.86283359165444573</v>
      </c>
      <c r="AR60" s="598">
        <f t="shared" si="65"/>
        <v>0.83985645534596465</v>
      </c>
      <c r="AS60" s="296">
        <f t="shared" ca="1" si="54"/>
        <v>0.9999999847700205</v>
      </c>
      <c r="AT60" s="297">
        <f t="shared" ca="1" si="55"/>
        <v>0.9999999847700205</v>
      </c>
      <c r="AU60" s="297">
        <f t="shared" ca="1" si="56"/>
        <v>0.9999999847700205</v>
      </c>
      <c r="AV60" s="297">
        <f t="shared" ca="1" si="57"/>
        <v>0.97659515683079656</v>
      </c>
      <c r="AW60" s="298">
        <f t="shared" si="58"/>
        <v>0</v>
      </c>
      <c r="AX60" s="296">
        <f t="shared" ca="1" si="59"/>
        <v>0.99294535923092098</v>
      </c>
      <c r="AY60" s="297">
        <f t="shared" ca="1" si="59"/>
        <v>0.99276585393820682</v>
      </c>
      <c r="AZ60" s="297">
        <f t="shared" ca="1" si="59"/>
        <v>0.96425793217267164</v>
      </c>
      <c r="BA60" s="297">
        <f t="shared" ca="1" si="59"/>
        <v>0.8426391067606529</v>
      </c>
      <c r="BB60" s="298">
        <f t="shared" si="59"/>
        <v>0</v>
      </c>
      <c r="BC60" s="296">
        <f t="shared" ca="1" si="66"/>
        <v>7.0546407690790236E-3</v>
      </c>
      <c r="BD60" s="297">
        <f t="shared" ca="1" si="60"/>
        <v>0.25996370330936802</v>
      </c>
      <c r="BE60" s="297">
        <f t="shared" ca="1" si="61"/>
        <v>0.25991670690596697</v>
      </c>
      <c r="BF60" s="297">
        <f t="shared" ca="1" si="62"/>
        <v>0.25245302841960754</v>
      </c>
      <c r="BG60" s="297">
        <f t="shared" ca="1" si="63"/>
        <v>0.22061192059597845</v>
      </c>
      <c r="BH60" s="298">
        <f t="shared" ca="1" si="64"/>
        <v>0</v>
      </c>
    </row>
    <row r="61" spans="1:60" x14ac:dyDescent="0.2">
      <c r="A61" s="317">
        <v>2044</v>
      </c>
      <c r="B61" s="819">
        <f t="shared" si="71"/>
        <v>100224.6</v>
      </c>
      <c r="C61" s="820">
        <f t="shared" si="71"/>
        <v>5059.7700000000004</v>
      </c>
      <c r="D61" s="820">
        <f t="shared" si="71"/>
        <v>5123.97</v>
      </c>
      <c r="E61" s="820">
        <f t="shared" si="71"/>
        <v>11472.42</v>
      </c>
      <c r="F61" s="820">
        <f t="shared" si="71"/>
        <v>23112.48</v>
      </c>
      <c r="G61" s="821">
        <f t="shared" si="71"/>
        <v>24761.86</v>
      </c>
      <c r="H61" s="780">
        <f t="shared" si="72"/>
        <v>1</v>
      </c>
      <c r="I61" s="781">
        <f t="shared" si="72"/>
        <v>1</v>
      </c>
      <c r="J61" s="781">
        <f t="shared" si="72"/>
        <v>1</v>
      </c>
      <c r="K61" s="781">
        <f t="shared" si="72"/>
        <v>1</v>
      </c>
      <c r="L61" s="781">
        <f t="shared" si="72"/>
        <v>0.82165844742454819</v>
      </c>
      <c r="M61" s="782">
        <f t="shared" si="72"/>
        <v>1</v>
      </c>
      <c r="N61" s="732">
        <f t="shared" si="32"/>
        <v>8214.6094707803495</v>
      </c>
      <c r="O61" s="276">
        <f t="shared" si="33"/>
        <v>6938.595319591519</v>
      </c>
      <c r="P61" s="276">
        <f t="shared" si="34"/>
        <v>6546.4576133182636</v>
      </c>
      <c r="Q61" s="276">
        <f t="shared" si="35"/>
        <v>5814.1785315683555</v>
      </c>
      <c r="R61" s="276">
        <f t="shared" si="36"/>
        <v>5205.6441229898119</v>
      </c>
      <c r="S61" s="278">
        <f t="shared" si="37"/>
        <v>4304.5141076350046</v>
      </c>
      <c r="T61" s="733">
        <f t="shared" si="38"/>
        <v>1276.0141511888305</v>
      </c>
      <c r="U61" s="290">
        <f t="shared" si="39"/>
        <v>1668.1518574620859</v>
      </c>
      <c r="V61" s="290">
        <f t="shared" si="40"/>
        <v>2400.430939211994</v>
      </c>
      <c r="W61" s="290">
        <f t="shared" si="41"/>
        <v>3008.9653477905376</v>
      </c>
      <c r="X61" s="291">
        <f t="shared" si="42"/>
        <v>3910.0953631453449</v>
      </c>
      <c r="Y61" s="279">
        <f ca="1">IF(AND(Y$22=TRUE,INDEX(CDRANGE_CLS3,MATCH($A61,$A$24:$A$67,0),MATCH(Y$20,$B$20:$G$20,0))&lt;$D$6/OPDAYS_Cls3),86,payback(C61,T61,disc_rate/12,85))</f>
        <v>5</v>
      </c>
      <c r="Z61" s="280">
        <f ca="1">IF(AND(Z$22=TRUE,INDEX(CDRANGE_CLS3,MATCH($A61,$A$24:$A$67,0),MATCH(Z$20,$B$20:$G$20,0))&lt;$D$6/OPDAYS_Cls3),86,payback(D61,U61,disc_rate/12,85))</f>
        <v>4</v>
      </c>
      <c r="AA61" s="280">
        <f ca="1">IF(AND(AA$22=TRUE,INDEX(CDRANGE_CLS3,MATCH($A61,$A$24:$A$67,0),MATCH(AA$20,$B$20:$G$20,0))&lt;$D$6/OPDAYS_Cls3),86,payback(E61,V61,disc_rate/12,85))</f>
        <v>5</v>
      </c>
      <c r="AB61" s="280">
        <f ca="1">IF(AND(AB$22=TRUE,INDEX(CDRANGE_CLS3,MATCH($A61,$A$24:$A$67,0),MATCH(AB$20,$B$20:$G$20,0))&lt;$D$6/OPDAYS_Cls3),86,payback(F61,W61,disc_rate/12,85))</f>
        <v>8</v>
      </c>
      <c r="AC61" s="281">
        <f>IF(AND(AC$22=TRUE,INDEX(CDRANGE_CLS3,MATCH($A61,$A$24:$A$67,0),MATCH(AC$20,$B$20:$G$20,0))&lt;$D$6/OPDAYS_Cls3),86,payback(G61,X61,disc_rate/12,85))</f>
        <v>86</v>
      </c>
      <c r="AD61" s="296">
        <f t="shared" si="43"/>
        <v>0</v>
      </c>
      <c r="AE61" s="297">
        <f t="shared" si="44"/>
        <v>0</v>
      </c>
      <c r="AF61" s="297">
        <f t="shared" si="45"/>
        <v>0</v>
      </c>
      <c r="AG61" s="297">
        <f t="shared" si="46"/>
        <v>0</v>
      </c>
      <c r="AH61" s="298">
        <f t="shared" si="47"/>
        <v>0</v>
      </c>
      <c r="AI61" s="595">
        <f t="shared" si="48"/>
        <v>0.49999999719860178</v>
      </c>
      <c r="AJ61" s="300">
        <f t="shared" si="49"/>
        <v>0.49999999719860178</v>
      </c>
      <c r="AK61" s="300">
        <f t="shared" si="50"/>
        <v>0.49999999719860178</v>
      </c>
      <c r="AL61" s="300">
        <f t="shared" si="51"/>
        <v>0.49999999719860178</v>
      </c>
      <c r="AM61" s="598">
        <f t="shared" si="52"/>
        <v>0.4992875089834975</v>
      </c>
      <c r="AN61" s="299">
        <f t="shared" si="65"/>
        <v>0.99294537435345864</v>
      </c>
      <c r="AO61" s="300">
        <f t="shared" si="65"/>
        <v>0.99276586905801067</v>
      </c>
      <c r="AP61" s="300">
        <f t="shared" si="65"/>
        <v>0.96425794685830035</v>
      </c>
      <c r="AQ61" s="300">
        <f t="shared" si="65"/>
        <v>0.86267185666601875</v>
      </c>
      <c r="AR61" s="598">
        <f t="shared" si="65"/>
        <v>0.84403876163939762</v>
      </c>
      <c r="AS61" s="296">
        <f t="shared" ca="1" si="54"/>
        <v>0.99999999439720355</v>
      </c>
      <c r="AT61" s="297">
        <f t="shared" ca="1" si="55"/>
        <v>0.99999999439720355</v>
      </c>
      <c r="AU61" s="297">
        <f t="shared" ca="1" si="56"/>
        <v>0.99999999439720355</v>
      </c>
      <c r="AV61" s="297">
        <f t="shared" ca="1" si="57"/>
        <v>0.9886499544746119</v>
      </c>
      <c r="AW61" s="298">
        <f t="shared" si="58"/>
        <v>0</v>
      </c>
      <c r="AX61" s="296">
        <f t="shared" ca="1" si="59"/>
        <v>0.9929453687901878</v>
      </c>
      <c r="AY61" s="297">
        <f t="shared" ca="1" si="59"/>
        <v>0.99276586349574558</v>
      </c>
      <c r="AZ61" s="297">
        <f t="shared" ca="1" si="59"/>
        <v>0.96425794145575938</v>
      </c>
      <c r="BA61" s="297">
        <f t="shared" ca="1" si="59"/>
        <v>0.85288049181938841</v>
      </c>
      <c r="BB61" s="298">
        <f t="shared" si="59"/>
        <v>0</v>
      </c>
      <c r="BC61" s="296">
        <f t="shared" ca="1" si="66"/>
        <v>7.05463120981209E-3</v>
      </c>
      <c r="BD61" s="297">
        <f t="shared" ca="1" si="60"/>
        <v>0.25926360285305</v>
      </c>
      <c r="BE61" s="297">
        <f t="shared" ca="1" si="61"/>
        <v>0.25921673301425413</v>
      </c>
      <c r="BF61" s="297">
        <f t="shared" ca="1" si="62"/>
        <v>0.25177315473668382</v>
      </c>
      <c r="BG61" s="297">
        <f t="shared" ca="1" si="63"/>
        <v>0.22269187818619993</v>
      </c>
      <c r="BH61" s="298">
        <f t="shared" ca="1" si="64"/>
        <v>0</v>
      </c>
    </row>
    <row r="62" spans="1:60" ht="15" thickBot="1" x14ac:dyDescent="0.25">
      <c r="A62" s="302">
        <v>2045</v>
      </c>
      <c r="B62" s="822">
        <f t="shared" si="71"/>
        <v>100224.6</v>
      </c>
      <c r="C62" s="823">
        <f t="shared" si="71"/>
        <v>5059.7700000000004</v>
      </c>
      <c r="D62" s="823">
        <f t="shared" si="71"/>
        <v>5123.97</v>
      </c>
      <c r="E62" s="823">
        <f t="shared" si="71"/>
        <v>11472.42</v>
      </c>
      <c r="F62" s="823">
        <f t="shared" si="71"/>
        <v>23127.15</v>
      </c>
      <c r="G62" s="824">
        <f t="shared" si="71"/>
        <v>24401.75</v>
      </c>
      <c r="H62" s="780">
        <f t="shared" si="72"/>
        <v>1</v>
      </c>
      <c r="I62" s="781">
        <f t="shared" si="72"/>
        <v>1</v>
      </c>
      <c r="J62" s="781">
        <f t="shared" si="72"/>
        <v>1</v>
      </c>
      <c r="K62" s="781">
        <f t="shared" si="72"/>
        <v>1</v>
      </c>
      <c r="L62" s="781">
        <f t="shared" si="72"/>
        <v>0.82132954103891542</v>
      </c>
      <c r="M62" s="782">
        <f t="shared" si="72"/>
        <v>1</v>
      </c>
      <c r="N62" s="883">
        <f t="shared" si="32"/>
        <v>8325.0814676808805</v>
      </c>
      <c r="O62" s="778">
        <f t="shared" si="33"/>
        <v>7031.9071785869464</v>
      </c>
      <c r="P62" s="778">
        <f t="shared" si="34"/>
        <v>6634.4959123683157</v>
      </c>
      <c r="Q62" s="778">
        <f t="shared" si="35"/>
        <v>5892.3689695926159</v>
      </c>
      <c r="R62" s="778">
        <f t="shared" si="36"/>
        <v>5154.6977925127103</v>
      </c>
      <c r="S62" s="779">
        <f t="shared" si="37"/>
        <v>3803.7990426074634</v>
      </c>
      <c r="T62" s="736">
        <f t="shared" si="38"/>
        <v>1293.174289093934</v>
      </c>
      <c r="U62" s="304">
        <f t="shared" si="39"/>
        <v>1690.5855553125648</v>
      </c>
      <c r="V62" s="304">
        <f t="shared" si="40"/>
        <v>2432.7124980882645</v>
      </c>
      <c r="W62" s="304">
        <f t="shared" si="41"/>
        <v>3170.3836751681702</v>
      </c>
      <c r="X62" s="305">
        <f t="shared" si="42"/>
        <v>4521.2824250734175</v>
      </c>
      <c r="Y62" s="888">
        <f ca="1">IF(AND(Y$22=TRUE,INDEX(CDRANGE_CLS3,MATCH($A62,$A$24:$A$67,0),MATCH(Y$20,$B$20:$G$20,0))&lt;$D$6/OPDAYS_Cls3),86,payback(C62,T62,disc_rate/12,85))</f>
        <v>4</v>
      </c>
      <c r="Z62" s="889">
        <f ca="1">IF(AND(Z$22=TRUE,INDEX(CDRANGE_CLS3,MATCH($A62,$A$24:$A$67,0),MATCH(Z$20,$B$20:$G$20,0))&lt;$D$6/OPDAYS_Cls3),86,payback(D62,U62,disc_rate/12,85))</f>
        <v>4</v>
      </c>
      <c r="AA62" s="889">
        <f ca="1">IF(AND(AA$22=TRUE,INDEX(CDRANGE_CLS3,MATCH($A62,$A$24:$A$67,0),MATCH(AA$20,$B$20:$G$20,0))&lt;$D$6/OPDAYS_Cls3),86,payback(E62,V62,disc_rate/12,85))</f>
        <v>5</v>
      </c>
      <c r="AB62" s="889">
        <f ca="1">IF(AND(AB$22=TRUE,INDEX(CDRANGE_CLS3,MATCH($A62,$A$24:$A$67,0),MATCH(AB$20,$B$20:$G$20,0))&lt;$D$6/OPDAYS_Cls3),86,payback(F62,W62,disc_rate/12,85))</f>
        <v>8</v>
      </c>
      <c r="AC62" s="890">
        <f>IF(AND(AC$22=TRUE,INDEX(CDRANGE_CLS3,MATCH($A62,$A$24:$A$67,0),MATCH(AC$20,$B$20:$G$20,0))&lt;$D$6/OPDAYS_Cls3),86,payback(G62,X62,disc_rate/12,85))</f>
        <v>86</v>
      </c>
      <c r="AD62" s="310">
        <f t="shared" si="43"/>
        <v>0</v>
      </c>
      <c r="AE62" s="311">
        <f t="shared" si="44"/>
        <v>0</v>
      </c>
      <c r="AF62" s="311">
        <f t="shared" si="45"/>
        <v>0</v>
      </c>
      <c r="AG62" s="311">
        <f t="shared" si="46"/>
        <v>0</v>
      </c>
      <c r="AH62" s="312">
        <f t="shared" si="47"/>
        <v>0</v>
      </c>
      <c r="AI62" s="596">
        <f t="shared" si="48"/>
        <v>0.49999999896942315</v>
      </c>
      <c r="AJ62" s="314">
        <f t="shared" si="49"/>
        <v>0.49999999896942315</v>
      </c>
      <c r="AK62" s="314">
        <f t="shared" si="50"/>
        <v>0.49999999896942315</v>
      </c>
      <c r="AL62" s="314">
        <f t="shared" si="51"/>
        <v>0.49999999896942315</v>
      </c>
      <c r="AM62" s="599">
        <f t="shared" si="52"/>
        <v>0.49974809901174622</v>
      </c>
      <c r="AN62" s="313">
        <f t="shared" si="65"/>
        <v>0.99294537435345864</v>
      </c>
      <c r="AO62" s="314">
        <f t="shared" si="65"/>
        <v>0.99276586905801067</v>
      </c>
      <c r="AP62" s="314">
        <f t="shared" si="65"/>
        <v>0.96425794685830035</v>
      </c>
      <c r="AQ62" s="314">
        <f t="shared" si="65"/>
        <v>0.86251004933375119</v>
      </c>
      <c r="AR62" s="599">
        <f t="shared" si="65"/>
        <v>0.84818117779943425</v>
      </c>
      <c r="AS62" s="310">
        <f t="shared" ca="1" si="54"/>
        <v>0.99999999793884631</v>
      </c>
      <c r="AT62" s="311">
        <f t="shared" ca="1" si="55"/>
        <v>0.99999999793884631</v>
      </c>
      <c r="AU62" s="311">
        <f t="shared" ca="1" si="56"/>
        <v>0.99999999793884631</v>
      </c>
      <c r="AV62" s="311">
        <f t="shared" ca="1" si="57"/>
        <v>0.98864995797605693</v>
      </c>
      <c r="AW62" s="312">
        <f t="shared" si="58"/>
        <v>0</v>
      </c>
      <c r="AX62" s="310">
        <f t="shared" ca="1" si="59"/>
        <v>0.99294537230684565</v>
      </c>
      <c r="AY62" s="311">
        <f t="shared" ca="1" si="59"/>
        <v>0.99276586701176761</v>
      </c>
      <c r="AZ62" s="311">
        <f t="shared" ca="1" si="59"/>
        <v>0.96425794487081651</v>
      </c>
      <c r="BA62" s="311">
        <f t="shared" ca="1" si="59"/>
        <v>0.8527205240277399</v>
      </c>
      <c r="BB62" s="312">
        <f t="shared" si="59"/>
        <v>0</v>
      </c>
      <c r="BC62" s="310">
        <f t="shared" ca="1" si="66"/>
        <v>7.0546276931542362E-3</v>
      </c>
      <c r="BD62" s="311">
        <f t="shared" ca="1" si="60"/>
        <v>0.25927451042220923</v>
      </c>
      <c r="BE62" s="311">
        <f t="shared" ca="1" si="61"/>
        <v>0.25922763861153608</v>
      </c>
      <c r="BF62" s="311">
        <f t="shared" ca="1" si="62"/>
        <v>0.25178374717259655</v>
      </c>
      <c r="BG62" s="311">
        <f t="shared" ca="1" si="63"/>
        <v>0.22265947610050382</v>
      </c>
      <c r="BH62" s="312">
        <f t="shared" ca="1" si="64"/>
        <v>0</v>
      </c>
    </row>
    <row r="63" spans="1:60" x14ac:dyDescent="0.2">
      <c r="A63" s="316">
        <v>2046</v>
      </c>
      <c r="B63" s="825">
        <f t="shared" si="71"/>
        <v>100224.6</v>
      </c>
      <c r="C63" s="826">
        <f t="shared" si="71"/>
        <v>5059.7700000000004</v>
      </c>
      <c r="D63" s="826">
        <f t="shared" si="71"/>
        <v>5123.97</v>
      </c>
      <c r="E63" s="826">
        <f t="shared" si="71"/>
        <v>11472.42</v>
      </c>
      <c r="F63" s="826">
        <f t="shared" si="71"/>
        <v>23141.82</v>
      </c>
      <c r="G63" s="827">
        <f t="shared" si="71"/>
        <v>24041.65</v>
      </c>
      <c r="H63" s="780">
        <f t="shared" si="72"/>
        <v>1</v>
      </c>
      <c r="I63" s="781">
        <f t="shared" si="72"/>
        <v>1</v>
      </c>
      <c r="J63" s="781">
        <f t="shared" si="72"/>
        <v>1</v>
      </c>
      <c r="K63" s="781">
        <f t="shared" si="72"/>
        <v>1</v>
      </c>
      <c r="L63" s="781">
        <f t="shared" si="72"/>
        <v>0.82100063465328255</v>
      </c>
      <c r="M63" s="782">
        <f t="shared" si="72"/>
        <v>1</v>
      </c>
      <c r="N63" s="735">
        <f t="shared" si="32"/>
        <v>8328.3372300167448</v>
      </c>
      <c r="O63" s="632">
        <f t="shared" si="33"/>
        <v>7034.6572079566531</v>
      </c>
      <c r="P63" s="632">
        <f t="shared" si="34"/>
        <v>6637.0905226424356</v>
      </c>
      <c r="Q63" s="632">
        <f t="shared" si="35"/>
        <v>5894.6733498001477</v>
      </c>
      <c r="R63" s="632">
        <f t="shared" si="36"/>
        <v>5067.8384928092846</v>
      </c>
      <c r="S63" s="744">
        <f t="shared" si="37"/>
        <v>3433.7026915617189</v>
      </c>
      <c r="T63" s="732">
        <f t="shared" si="38"/>
        <v>1293.6800220600917</v>
      </c>
      <c r="U63" s="276">
        <f t="shared" si="39"/>
        <v>1691.2467073743092</v>
      </c>
      <c r="V63" s="276">
        <f t="shared" si="40"/>
        <v>2433.6638802165971</v>
      </c>
      <c r="W63" s="276">
        <f t="shared" si="41"/>
        <v>3260.4987372074602</v>
      </c>
      <c r="X63" s="277">
        <f t="shared" si="42"/>
        <v>4894.6345384550259</v>
      </c>
      <c r="Y63" s="279">
        <f ca="1">IF(AND(Y$22=TRUE,INDEX(CDRANGE_CLS3,MATCH($A63,$A$24:$A$67,0),MATCH(Y$20,$B$20:$G$20,0))&lt;$D$6/OPDAYS_Cls3),86,payback(C63,T63,disc_rate/12,85))</f>
        <v>4</v>
      </c>
      <c r="Z63" s="280">
        <f ca="1">IF(AND(Z$22=TRUE,INDEX(CDRANGE_CLS3,MATCH($A63,$A$24:$A$67,0),MATCH(Z$20,$B$20:$G$20,0))&lt;$D$6/OPDAYS_Cls3),86,payback(D63,U63,disc_rate/12,85))</f>
        <v>4</v>
      </c>
      <c r="AA63" s="280">
        <f ca="1">IF(AND(AA$22=TRUE,INDEX(CDRANGE_CLS3,MATCH($A63,$A$24:$A$67,0),MATCH(AA$20,$B$20:$G$20,0))&lt;$D$6/OPDAYS_Cls3),86,payback(E63,V63,disc_rate/12,85))</f>
        <v>5</v>
      </c>
      <c r="AB63" s="280">
        <f ca="1">IF(AND(AB$22=TRUE,INDEX(CDRANGE_CLS3,MATCH($A63,$A$24:$A$67,0),MATCH(AB$20,$B$20:$G$20,0))&lt;$D$6/OPDAYS_Cls3),86,payback(F63,W63,disc_rate/12,85))</f>
        <v>8</v>
      </c>
      <c r="AC63" s="281">
        <f>IF(AND(AC$22=TRUE,INDEX(CDRANGE_CLS3,MATCH($A63,$A$24:$A$67,0),MATCH(AC$20,$B$20:$G$20,0))&lt;$D$6/OPDAYS_Cls3),86,payback(G63,X63,disc_rate/12,85))</f>
        <v>86</v>
      </c>
      <c r="AD63" s="282">
        <f t="shared" si="43"/>
        <v>0</v>
      </c>
      <c r="AE63" s="283">
        <f t="shared" si="44"/>
        <v>0</v>
      </c>
      <c r="AF63" s="283">
        <f t="shared" si="45"/>
        <v>0</v>
      </c>
      <c r="AG63" s="283">
        <f t="shared" si="46"/>
        <v>0</v>
      </c>
      <c r="AH63" s="284">
        <f t="shared" si="47"/>
        <v>0</v>
      </c>
      <c r="AI63" s="594">
        <f t="shared" si="48"/>
        <v>0.49999999962087194</v>
      </c>
      <c r="AJ63" s="286">
        <f t="shared" si="49"/>
        <v>0.49999999962087194</v>
      </c>
      <c r="AK63" s="286">
        <f t="shared" si="50"/>
        <v>0.49999999962087194</v>
      </c>
      <c r="AL63" s="286">
        <f t="shared" si="51"/>
        <v>0.49999999962087194</v>
      </c>
      <c r="AM63" s="611">
        <f t="shared" si="52"/>
        <v>0.49988204931764657</v>
      </c>
      <c r="AN63" s="285">
        <f t="shared" si="65"/>
        <v>0.99294537435345864</v>
      </c>
      <c r="AO63" s="286">
        <f t="shared" si="65"/>
        <v>0.99276586905801067</v>
      </c>
      <c r="AP63" s="286">
        <f t="shared" si="65"/>
        <v>0.96425794685830035</v>
      </c>
      <c r="AQ63" s="286">
        <f t="shared" si="65"/>
        <v>0.86234816970972705</v>
      </c>
      <c r="AR63" s="611">
        <f t="shared" si="65"/>
        <v>0.85228268182513889</v>
      </c>
      <c r="AS63" s="282">
        <f t="shared" ca="1" si="54"/>
        <v>0.99999999924174388</v>
      </c>
      <c r="AT63" s="283">
        <f t="shared" ca="1" si="55"/>
        <v>0.99999999924174388</v>
      </c>
      <c r="AU63" s="283">
        <f t="shared" ca="1" si="56"/>
        <v>0.99999999924174388</v>
      </c>
      <c r="AV63" s="283">
        <f t="shared" ca="1" si="57"/>
        <v>0.98864995926416654</v>
      </c>
      <c r="AW63" s="284">
        <f t="shared" si="58"/>
        <v>0</v>
      </c>
      <c r="AX63" s="282">
        <f t="shared" ca="1" si="59"/>
        <v>0.99294537360055168</v>
      </c>
      <c r="AY63" s="283">
        <f t="shared" ca="1" si="59"/>
        <v>0.99276586830523983</v>
      </c>
      <c r="AZ63" s="283">
        <f t="shared" ca="1" si="59"/>
        <v>0.96425794612714588</v>
      </c>
      <c r="BA63" s="283">
        <f t="shared" ca="1" si="59"/>
        <v>0.85256048285505026</v>
      </c>
      <c r="BB63" s="284">
        <f t="shared" si="59"/>
        <v>0</v>
      </c>
      <c r="BC63" s="282">
        <f t="shared" ca="1" si="66"/>
        <v>7.054626399448205E-3</v>
      </c>
      <c r="BD63" s="283">
        <f t="shared" ca="1" si="60"/>
        <v>0.25928542320210141</v>
      </c>
      <c r="BE63" s="283">
        <f t="shared" ca="1" si="61"/>
        <v>0.25923854941860897</v>
      </c>
      <c r="BF63" s="283">
        <f t="shared" ca="1" si="62"/>
        <v>0.25179434466869771</v>
      </c>
      <c r="BG63" s="283">
        <f t="shared" ca="1" si="63"/>
        <v>0.22262705631114368</v>
      </c>
      <c r="BH63" s="284">
        <f t="shared" ca="1" si="64"/>
        <v>0</v>
      </c>
    </row>
    <row r="64" spans="1:60" x14ac:dyDescent="0.2">
      <c r="A64" s="317">
        <v>2047</v>
      </c>
      <c r="B64" s="819">
        <f t="shared" si="71"/>
        <v>100224.6</v>
      </c>
      <c r="C64" s="820">
        <f t="shared" si="71"/>
        <v>5059.7700000000004</v>
      </c>
      <c r="D64" s="820">
        <f t="shared" si="71"/>
        <v>5123.97</v>
      </c>
      <c r="E64" s="820">
        <f t="shared" si="71"/>
        <v>11472.42</v>
      </c>
      <c r="F64" s="820">
        <f t="shared" si="71"/>
        <v>23156.48</v>
      </c>
      <c r="G64" s="821">
        <f t="shared" si="71"/>
        <v>23681.54</v>
      </c>
      <c r="H64" s="780">
        <f t="shared" si="72"/>
        <v>1</v>
      </c>
      <c r="I64" s="781">
        <f t="shared" si="72"/>
        <v>1</v>
      </c>
      <c r="J64" s="781">
        <f t="shared" si="72"/>
        <v>1</v>
      </c>
      <c r="K64" s="781">
        <f t="shared" si="72"/>
        <v>1</v>
      </c>
      <c r="L64" s="781">
        <f t="shared" si="72"/>
        <v>0.82067172826764978</v>
      </c>
      <c r="M64" s="782">
        <f t="shared" si="72"/>
        <v>1</v>
      </c>
      <c r="N64" s="732">
        <f t="shared" si="32"/>
        <v>8404.1984375447228</v>
      </c>
      <c r="O64" s="276">
        <f t="shared" si="33"/>
        <v>7098.7345352312495</v>
      </c>
      <c r="P64" s="276">
        <f t="shared" si="34"/>
        <v>6697.5464921372195</v>
      </c>
      <c r="Q64" s="276">
        <f t="shared" si="35"/>
        <v>5948.3667853501793</v>
      </c>
      <c r="R64" s="276">
        <f t="shared" si="36"/>
        <v>5044.7628210527228</v>
      </c>
      <c r="S64" s="278">
        <f t="shared" si="37"/>
        <v>3208.4471888361268</v>
      </c>
      <c r="T64" s="733">
        <f t="shared" si="38"/>
        <v>1305.4639023134732</v>
      </c>
      <c r="U64" s="290">
        <f t="shared" si="39"/>
        <v>1706.6519454075033</v>
      </c>
      <c r="V64" s="290">
        <f t="shared" si="40"/>
        <v>2455.8316521945435</v>
      </c>
      <c r="W64" s="290">
        <f t="shared" si="41"/>
        <v>3359.435616492</v>
      </c>
      <c r="X64" s="291">
        <f t="shared" si="42"/>
        <v>5195.751248708596</v>
      </c>
      <c r="Y64" s="279">
        <f ca="1">IF(AND(Y$22=TRUE,INDEX(CDRANGE_CLS3,MATCH($A64,$A$24:$A$67,0),MATCH(Y$20,$B$20:$G$20,0))&lt;$D$6/OPDAYS_Cls3),86,payback(C64,T64,disc_rate/12,85))</f>
        <v>4</v>
      </c>
      <c r="Z64" s="280">
        <f ca="1">IF(AND(Z$22=TRUE,INDEX(CDRANGE_CLS3,MATCH($A64,$A$24:$A$67,0),MATCH(Z$20,$B$20:$G$20,0))&lt;$D$6/OPDAYS_Cls3),86,payback(D64,U64,disc_rate/12,85))</f>
        <v>4</v>
      </c>
      <c r="AA64" s="280">
        <f ca="1">IF(AND(AA$22=TRUE,INDEX(CDRANGE_CLS3,MATCH($A64,$A$24:$A$67,0),MATCH(AA$20,$B$20:$G$20,0))&lt;$D$6/OPDAYS_Cls3),86,payback(E64,V64,disc_rate/12,85))</f>
        <v>5</v>
      </c>
      <c r="AB64" s="280">
        <f ca="1">IF(AND(AB$22=TRUE,INDEX(CDRANGE_CLS3,MATCH($A64,$A$24:$A$67,0),MATCH(AB$20,$B$20:$G$20,0))&lt;$D$6/OPDAYS_Cls3),86,payback(F64,W64,disc_rate/12,85))</f>
        <v>8</v>
      </c>
      <c r="AC64" s="281">
        <f>IF(AND(AC$22=TRUE,INDEX(CDRANGE_CLS3,MATCH($A64,$A$24:$A$67,0),MATCH(AC$20,$B$20:$G$20,0))&lt;$D$6/OPDAYS_Cls3),86,payback(G64,X64,disc_rate/12,85))</f>
        <v>86</v>
      </c>
      <c r="AD64" s="296">
        <f t="shared" si="43"/>
        <v>0</v>
      </c>
      <c r="AE64" s="297">
        <f t="shared" si="44"/>
        <v>0</v>
      </c>
      <c r="AF64" s="297">
        <f t="shared" si="45"/>
        <v>0</v>
      </c>
      <c r="AG64" s="297">
        <f t="shared" si="46"/>
        <v>0</v>
      </c>
      <c r="AH64" s="298">
        <f t="shared" si="47"/>
        <v>0</v>
      </c>
      <c r="AI64" s="595">
        <f t="shared" si="48"/>
        <v>0.49999999962087194</v>
      </c>
      <c r="AJ64" s="300">
        <f t="shared" si="49"/>
        <v>0.49999999962087194</v>
      </c>
      <c r="AK64" s="300">
        <f t="shared" si="50"/>
        <v>0.49999999962087194</v>
      </c>
      <c r="AL64" s="300">
        <f t="shared" si="51"/>
        <v>0.49999999962087194</v>
      </c>
      <c r="AM64" s="598">
        <f t="shared" si="52"/>
        <v>0.49996596978666119</v>
      </c>
      <c r="AN64" s="299">
        <f t="shared" si="65"/>
        <v>0.99294537435345864</v>
      </c>
      <c r="AO64" s="300">
        <f t="shared" si="65"/>
        <v>0.99276586905801067</v>
      </c>
      <c r="AP64" s="300">
        <f t="shared" si="65"/>
        <v>0.96425794685830035</v>
      </c>
      <c r="AQ64" s="300">
        <f t="shared" si="65"/>
        <v>0.86218632826727426</v>
      </c>
      <c r="AR64" s="598">
        <f t="shared" si="65"/>
        <v>0.85634271448917654</v>
      </c>
      <c r="AS64" s="296">
        <f t="shared" ca="1" si="54"/>
        <v>0.99999999924174388</v>
      </c>
      <c r="AT64" s="297">
        <f t="shared" ca="1" si="55"/>
        <v>0.99999999924174388</v>
      </c>
      <c r="AU64" s="297">
        <f t="shared" ca="1" si="56"/>
        <v>0.99999999924174388</v>
      </c>
      <c r="AV64" s="297">
        <f t="shared" ca="1" si="57"/>
        <v>0.98864995926416654</v>
      </c>
      <c r="AW64" s="298">
        <f t="shared" si="58"/>
        <v>0</v>
      </c>
      <c r="AX64" s="296">
        <f t="shared" ca="1" si="59"/>
        <v>0.99294537360055168</v>
      </c>
      <c r="AY64" s="297">
        <f t="shared" ca="1" si="59"/>
        <v>0.99276586830523983</v>
      </c>
      <c r="AZ64" s="297">
        <f t="shared" ca="1" si="59"/>
        <v>0.96425794612714588</v>
      </c>
      <c r="BA64" s="297">
        <f t="shared" ca="1" si="59"/>
        <v>0.852400478319562</v>
      </c>
      <c r="BB64" s="298">
        <f t="shared" si="59"/>
        <v>0</v>
      </c>
      <c r="BC64" s="296">
        <f t="shared" ca="1" si="66"/>
        <v>7.054626399448205E-3</v>
      </c>
      <c r="BD64" s="297">
        <f t="shared" ca="1" si="60"/>
        <v>0.25929633398862101</v>
      </c>
      <c r="BE64" s="297">
        <f t="shared" ca="1" si="61"/>
        <v>0.25924945823266971</v>
      </c>
      <c r="BF64" s="297">
        <f t="shared" ca="1" si="62"/>
        <v>0.25180494022901728</v>
      </c>
      <c r="BG64" s="297">
        <f t="shared" ca="1" si="63"/>
        <v>0.22259464115024372</v>
      </c>
      <c r="BH64" s="298">
        <f t="shared" ca="1" si="64"/>
        <v>0</v>
      </c>
    </row>
    <row r="65" spans="1:60" x14ac:dyDescent="0.2">
      <c r="A65" s="317">
        <v>2048</v>
      </c>
      <c r="B65" s="819">
        <f t="shared" si="71"/>
        <v>100224.6</v>
      </c>
      <c r="C65" s="820">
        <f t="shared" si="71"/>
        <v>5059.7700000000004</v>
      </c>
      <c r="D65" s="820">
        <f t="shared" si="71"/>
        <v>5123.97</v>
      </c>
      <c r="E65" s="820">
        <f t="shared" si="71"/>
        <v>11472.42</v>
      </c>
      <c r="F65" s="820">
        <f t="shared" si="71"/>
        <v>23171.15</v>
      </c>
      <c r="G65" s="821">
        <f t="shared" si="71"/>
        <v>23321.43</v>
      </c>
      <c r="H65" s="780">
        <f t="shared" si="72"/>
        <v>1</v>
      </c>
      <c r="I65" s="781">
        <f t="shared" si="72"/>
        <v>1</v>
      </c>
      <c r="J65" s="781">
        <f t="shared" si="72"/>
        <v>1</v>
      </c>
      <c r="K65" s="781">
        <f t="shared" si="72"/>
        <v>1</v>
      </c>
      <c r="L65" s="781">
        <f t="shared" si="72"/>
        <v>0.82034282188201701</v>
      </c>
      <c r="M65" s="782">
        <f t="shared" si="72"/>
        <v>1</v>
      </c>
      <c r="N65" s="732">
        <f t="shared" si="32"/>
        <v>8475.3695815406791</v>
      </c>
      <c r="O65" s="276">
        <f t="shared" si="33"/>
        <v>7158.8503287302447</v>
      </c>
      <c r="P65" s="276">
        <f t="shared" si="34"/>
        <v>6754.2648156458627</v>
      </c>
      <c r="Q65" s="276">
        <f t="shared" si="35"/>
        <v>5998.7406636167425</v>
      </c>
      <c r="R65" s="276">
        <f t="shared" si="36"/>
        <v>5037.789065996818</v>
      </c>
      <c r="S65" s="278">
        <f t="shared" si="37"/>
        <v>3092.8882067705749</v>
      </c>
      <c r="T65" s="733">
        <f t="shared" si="38"/>
        <v>1316.5192528104344</v>
      </c>
      <c r="U65" s="290">
        <f t="shared" si="39"/>
        <v>1721.1047658948164</v>
      </c>
      <c r="V65" s="290">
        <f t="shared" si="40"/>
        <v>2476.6289179239366</v>
      </c>
      <c r="W65" s="290">
        <f t="shared" si="41"/>
        <v>3437.5805155438611</v>
      </c>
      <c r="X65" s="291">
        <f t="shared" si="42"/>
        <v>5382.4813747701046</v>
      </c>
      <c r="Y65" s="279">
        <f ca="1">IF(AND(Y$22=TRUE,INDEX(CDRANGE_CLS3,MATCH($A65,$A$24:$A$67,0),MATCH(Y$20,$B$20:$G$20,0))&lt;$D$6/OPDAYS_Cls3),86,payback(C65,T65,disc_rate/12,85))</f>
        <v>4</v>
      </c>
      <c r="Z65" s="280">
        <f ca="1">IF(AND(Z$22=TRUE,INDEX(CDRANGE_CLS3,MATCH($A65,$A$24:$A$67,0),MATCH(Z$20,$B$20:$G$20,0))&lt;$D$6/OPDAYS_Cls3),86,payback(D65,U65,disc_rate/12,85))</f>
        <v>4</v>
      </c>
      <c r="AA65" s="280">
        <f ca="1">IF(AND(AA$22=TRUE,INDEX(CDRANGE_CLS3,MATCH($A65,$A$24:$A$67,0),MATCH(AA$20,$B$20:$G$20,0))&lt;$D$6/OPDAYS_Cls3),86,payback(E65,V65,disc_rate/12,85))</f>
        <v>5</v>
      </c>
      <c r="AB65" s="280">
        <f ca="1">IF(AND(AB$22=TRUE,INDEX(CDRANGE_CLS3,MATCH($A65,$A$24:$A$67,0),MATCH(AB$20,$B$20:$G$20,0))&lt;$D$6/OPDAYS_Cls3),86,payback(F65,W65,disc_rate/12,85))</f>
        <v>7</v>
      </c>
      <c r="AC65" s="281">
        <f>IF(AND(AC$22=TRUE,INDEX(CDRANGE_CLS3,MATCH($A65,$A$24:$A$67,0),MATCH(AC$20,$B$20:$G$20,0))&lt;$D$6/OPDAYS_Cls3),86,payback(G65,X65,disc_rate/12,85))</f>
        <v>86</v>
      </c>
      <c r="AD65" s="296">
        <f t="shared" si="43"/>
        <v>0</v>
      </c>
      <c r="AE65" s="297">
        <f t="shared" si="44"/>
        <v>0</v>
      </c>
      <c r="AF65" s="297">
        <f t="shared" si="45"/>
        <v>0</v>
      </c>
      <c r="AG65" s="297">
        <f t="shared" si="46"/>
        <v>0</v>
      </c>
      <c r="AH65" s="298">
        <f t="shared" si="47"/>
        <v>0</v>
      </c>
      <c r="AI65" s="595">
        <f t="shared" si="48"/>
        <v>0.49999999962087194</v>
      </c>
      <c r="AJ65" s="300">
        <f t="shared" si="49"/>
        <v>0.49999999962087194</v>
      </c>
      <c r="AK65" s="300">
        <f t="shared" si="50"/>
        <v>0.49999999962087194</v>
      </c>
      <c r="AL65" s="300">
        <f t="shared" si="51"/>
        <v>0.49999999962087194</v>
      </c>
      <c r="AM65" s="598">
        <f t="shared" si="52"/>
        <v>0.49998619831278412</v>
      </c>
      <c r="AN65" s="299">
        <f t="shared" si="65"/>
        <v>0.99294537435345864</v>
      </c>
      <c r="AO65" s="300">
        <f t="shared" si="65"/>
        <v>0.99276586905801067</v>
      </c>
      <c r="AP65" s="300">
        <f t="shared" si="65"/>
        <v>0.96425794685830035</v>
      </c>
      <c r="AQ65" s="300">
        <f t="shared" si="65"/>
        <v>0.86202430426524257</v>
      </c>
      <c r="AR65" s="598">
        <f t="shared" si="65"/>
        <v>0.8603603794700404</v>
      </c>
      <c r="AS65" s="296">
        <f t="shared" ca="1" si="54"/>
        <v>0.99999999924174388</v>
      </c>
      <c r="AT65" s="297">
        <f t="shared" ca="1" si="55"/>
        <v>0.99999999924174388</v>
      </c>
      <c r="AU65" s="297">
        <f t="shared" ca="1" si="56"/>
        <v>0.99999999924174388</v>
      </c>
      <c r="AV65" s="297">
        <f t="shared" ca="1" si="57"/>
        <v>0.99672728465125515</v>
      </c>
      <c r="AW65" s="298">
        <f t="shared" si="58"/>
        <v>0</v>
      </c>
      <c r="AX65" s="296">
        <f t="shared" ca="1" si="59"/>
        <v>0.99294537360055168</v>
      </c>
      <c r="AY65" s="297">
        <f t="shared" ca="1" si="59"/>
        <v>0.99276586830523983</v>
      </c>
      <c r="AZ65" s="297">
        <f t="shared" ca="1" si="59"/>
        <v>0.96425794612714588</v>
      </c>
      <c r="BA65" s="297">
        <f t="shared" ca="1" si="59"/>
        <v>0.85920314409368259</v>
      </c>
      <c r="BB65" s="298">
        <f t="shared" si="59"/>
        <v>0</v>
      </c>
      <c r="BC65" s="296">
        <f t="shared" ca="1" si="66"/>
        <v>7.054626399448205E-3</v>
      </c>
      <c r="BD65" s="297">
        <f t="shared" ca="1" si="60"/>
        <v>0.25883326586179922</v>
      </c>
      <c r="BE65" s="297">
        <f t="shared" ca="1" si="61"/>
        <v>0.25878647381959796</v>
      </c>
      <c r="BF65" s="297">
        <f t="shared" ca="1" si="62"/>
        <v>0.25135525071662551</v>
      </c>
      <c r="BG65" s="297">
        <f t="shared" ca="1" si="63"/>
        <v>0.22397038320252904</v>
      </c>
      <c r="BH65" s="298">
        <f t="shared" ca="1" si="64"/>
        <v>0</v>
      </c>
    </row>
    <row r="66" spans="1:60" x14ac:dyDescent="0.2">
      <c r="A66" s="317">
        <v>2049</v>
      </c>
      <c r="B66" s="819">
        <f t="shared" si="71"/>
        <v>100224.6</v>
      </c>
      <c r="C66" s="820">
        <f t="shared" si="71"/>
        <v>5059.7700000000004</v>
      </c>
      <c r="D66" s="820">
        <f t="shared" si="71"/>
        <v>5123.97</v>
      </c>
      <c r="E66" s="820">
        <f t="shared" si="71"/>
        <v>11472.42</v>
      </c>
      <c r="F66" s="820">
        <f t="shared" si="71"/>
        <v>23185.82</v>
      </c>
      <c r="G66" s="821">
        <f t="shared" si="71"/>
        <v>22961.33</v>
      </c>
      <c r="H66" s="780">
        <f t="shared" si="72"/>
        <v>1</v>
      </c>
      <c r="I66" s="781">
        <f t="shared" si="72"/>
        <v>1</v>
      </c>
      <c r="J66" s="781">
        <f t="shared" si="72"/>
        <v>1</v>
      </c>
      <c r="K66" s="781">
        <f t="shared" si="72"/>
        <v>1</v>
      </c>
      <c r="L66" s="781">
        <f t="shared" si="72"/>
        <v>0.82001391549638414</v>
      </c>
      <c r="M66" s="782">
        <f t="shared" si="72"/>
        <v>1</v>
      </c>
      <c r="N66" s="732">
        <f t="shared" si="32"/>
        <v>8527.1127923232034</v>
      </c>
      <c r="O66" s="276">
        <f t="shared" si="33"/>
        <v>7202.556021792504</v>
      </c>
      <c r="P66" s="276">
        <f t="shared" si="34"/>
        <v>6795.5004626196687</v>
      </c>
      <c r="Q66" s="276">
        <f t="shared" si="35"/>
        <v>6035.3637394131374</v>
      </c>
      <c r="R66" s="276">
        <f t="shared" si="36"/>
        <v>5029.4623689443106</v>
      </c>
      <c r="S66" s="278">
        <f t="shared" si="37"/>
        <v>3030.2313600568878</v>
      </c>
      <c r="T66" s="733">
        <f t="shared" si="38"/>
        <v>1324.5567705306994</v>
      </c>
      <c r="U66" s="290">
        <f t="shared" si="39"/>
        <v>1731.6123297035347</v>
      </c>
      <c r="V66" s="290">
        <f t="shared" si="40"/>
        <v>2491.749052910066</v>
      </c>
      <c r="W66" s="290">
        <f t="shared" si="41"/>
        <v>3497.6504233788928</v>
      </c>
      <c r="X66" s="291">
        <f t="shared" si="42"/>
        <v>5496.8814322663156</v>
      </c>
      <c r="Y66" s="279">
        <f ca="1">IF(AND(Y$22=TRUE,INDEX(CDRANGE_CLS3,MATCH($A66,$A$24:$A$67,0),MATCH(Y$20,$B$20:$G$20,0))&lt;$D$6/OPDAYS_Cls3),86,payback(C66,T66,disc_rate/12,85))</f>
        <v>4</v>
      </c>
      <c r="Z66" s="280">
        <f ca="1">IF(AND(Z$22=TRUE,INDEX(CDRANGE_CLS3,MATCH($A66,$A$24:$A$67,0),MATCH(Z$20,$B$20:$G$20,0))&lt;$D$6/OPDAYS_Cls3),86,payback(D66,U66,disc_rate/12,85))</f>
        <v>3</v>
      </c>
      <c r="AA66" s="280">
        <f ca="1">IF(AND(AA$22=TRUE,INDEX(CDRANGE_CLS3,MATCH($A66,$A$24:$A$67,0),MATCH(AA$20,$B$20:$G$20,0))&lt;$D$6/OPDAYS_Cls3),86,payback(E66,V66,disc_rate/12,85))</f>
        <v>5</v>
      </c>
      <c r="AB66" s="280">
        <f ca="1">IF(AND(AB$22=TRUE,INDEX(CDRANGE_CLS3,MATCH($A66,$A$24:$A$67,0),MATCH(AB$20,$B$20:$G$20,0))&lt;$D$6/OPDAYS_Cls3),86,payback(F66,W66,disc_rate/12,85))</f>
        <v>7</v>
      </c>
      <c r="AC66" s="281">
        <f>IF(AND(AC$22=TRUE,INDEX(CDRANGE_CLS3,MATCH($A66,$A$24:$A$67,0),MATCH(AC$20,$B$20:$G$20,0))&lt;$D$6/OPDAYS_Cls3),86,payback(G66,X66,disc_rate/12,85))</f>
        <v>86</v>
      </c>
      <c r="AD66" s="296">
        <f t="shared" si="43"/>
        <v>0</v>
      </c>
      <c r="AE66" s="297">
        <f t="shared" si="44"/>
        <v>0</v>
      </c>
      <c r="AF66" s="297">
        <f t="shared" si="45"/>
        <v>0</v>
      </c>
      <c r="AG66" s="297">
        <f t="shared" si="46"/>
        <v>0</v>
      </c>
      <c r="AH66" s="298">
        <f t="shared" si="47"/>
        <v>0</v>
      </c>
      <c r="AI66" s="595">
        <f t="shared" si="48"/>
        <v>0.49999999962087194</v>
      </c>
      <c r="AJ66" s="300">
        <f t="shared" si="49"/>
        <v>0.49999999962087194</v>
      </c>
      <c r="AK66" s="300">
        <f t="shared" si="50"/>
        <v>0.49999999962087194</v>
      </c>
      <c r="AL66" s="300">
        <f t="shared" si="51"/>
        <v>0.49999999962087194</v>
      </c>
      <c r="AM66" s="598">
        <f t="shared" si="52"/>
        <v>0.49999473991021715</v>
      </c>
      <c r="AN66" s="299">
        <f t="shared" si="65"/>
        <v>0.99294537435345864</v>
      </c>
      <c r="AO66" s="300">
        <f t="shared" si="65"/>
        <v>0.99276586905801067</v>
      </c>
      <c r="AP66" s="300">
        <f t="shared" si="65"/>
        <v>0.96425794685830035</v>
      </c>
      <c r="AQ66" s="300">
        <f t="shared" si="65"/>
        <v>0.86186220812776648</v>
      </c>
      <c r="AR66" s="598">
        <f t="shared" si="65"/>
        <v>0.86433479059280294</v>
      </c>
      <c r="AS66" s="296">
        <f t="shared" ca="1" si="54"/>
        <v>0.99999999924174388</v>
      </c>
      <c r="AT66" s="297">
        <f t="shared" ca="1" si="55"/>
        <v>0.99999999924174388</v>
      </c>
      <c r="AU66" s="297">
        <f t="shared" ca="1" si="56"/>
        <v>0.99999999924174388</v>
      </c>
      <c r="AV66" s="297">
        <f t="shared" ca="1" si="57"/>
        <v>0.99672728465125515</v>
      </c>
      <c r="AW66" s="298">
        <f t="shared" si="58"/>
        <v>0</v>
      </c>
      <c r="AX66" s="296">
        <f t="shared" ca="1" si="59"/>
        <v>0.99294537360055168</v>
      </c>
      <c r="AY66" s="297">
        <f t="shared" ca="1" si="59"/>
        <v>0.99276586830523983</v>
      </c>
      <c r="AZ66" s="297">
        <f t="shared" ca="1" si="59"/>
        <v>0.96425794612714588</v>
      </c>
      <c r="BA66" s="297">
        <f t="shared" ca="1" si="59"/>
        <v>0.8590415784507236</v>
      </c>
      <c r="BB66" s="298">
        <f t="shared" si="59"/>
        <v>0</v>
      </c>
      <c r="BC66" s="296">
        <f t="shared" ca="1" si="66"/>
        <v>7.054626399448205E-3</v>
      </c>
      <c r="BD66" s="297">
        <f t="shared" ca="1" si="60"/>
        <v>0.25884424471315509</v>
      </c>
      <c r="BE66" s="297">
        <f t="shared" ca="1" si="61"/>
        <v>0.25879745068619014</v>
      </c>
      <c r="BF66" s="297">
        <f t="shared" ca="1" si="62"/>
        <v>0.25136591237530354</v>
      </c>
      <c r="BG66" s="297">
        <f t="shared" ca="1" si="63"/>
        <v>0.22393776582590302</v>
      </c>
      <c r="BH66" s="298">
        <f t="shared" ca="1" si="64"/>
        <v>0</v>
      </c>
    </row>
    <row r="67" spans="1:60" ht="15" thickBot="1" x14ac:dyDescent="0.25">
      <c r="A67" s="302">
        <v>2050</v>
      </c>
      <c r="B67" s="822">
        <f t="shared" si="71"/>
        <v>100224.6</v>
      </c>
      <c r="C67" s="823">
        <f t="shared" si="71"/>
        <v>5059.7700000000004</v>
      </c>
      <c r="D67" s="823">
        <f t="shared" si="71"/>
        <v>5123.97</v>
      </c>
      <c r="E67" s="823">
        <f t="shared" si="71"/>
        <v>11472.42</v>
      </c>
      <c r="F67" s="823">
        <f t="shared" si="71"/>
        <v>23200.49</v>
      </c>
      <c r="G67" s="824">
        <f t="shared" si="71"/>
        <v>22601.22</v>
      </c>
      <c r="H67" s="780">
        <f t="shared" si="72"/>
        <v>1</v>
      </c>
      <c r="I67" s="781">
        <f t="shared" si="72"/>
        <v>1</v>
      </c>
      <c r="J67" s="781">
        <f t="shared" si="72"/>
        <v>1</v>
      </c>
      <c r="K67" s="781">
        <f t="shared" si="72"/>
        <v>1</v>
      </c>
      <c r="L67" s="781">
        <f t="shared" si="72"/>
        <v>0.81968500911075137</v>
      </c>
      <c r="M67" s="782">
        <f t="shared" si="72"/>
        <v>1</v>
      </c>
      <c r="N67" s="883">
        <f t="shared" si="32"/>
        <v>8574.7820248709722</v>
      </c>
      <c r="O67" s="778">
        <f t="shared" si="33"/>
        <v>7242.8205669325989</v>
      </c>
      <c r="P67" s="778">
        <f t="shared" si="34"/>
        <v>6833.489439629886</v>
      </c>
      <c r="Q67" s="778">
        <f t="shared" si="35"/>
        <v>6069.1033139457359</v>
      </c>
      <c r="R67" s="778">
        <f t="shared" si="36"/>
        <v>5023.2026964611441</v>
      </c>
      <c r="S67" s="779">
        <f t="shared" si="37"/>
        <v>2992.3225309252562</v>
      </c>
      <c r="T67" s="736">
        <f t="shared" si="38"/>
        <v>1331.9614579383733</v>
      </c>
      <c r="U67" s="304">
        <f t="shared" si="39"/>
        <v>1741.2925852410863</v>
      </c>
      <c r="V67" s="304">
        <f t="shared" si="40"/>
        <v>2505.6787109252364</v>
      </c>
      <c r="W67" s="304">
        <f t="shared" si="41"/>
        <v>3551.5793284098281</v>
      </c>
      <c r="X67" s="305">
        <f t="shared" si="42"/>
        <v>5582.4594939457165</v>
      </c>
      <c r="Y67" s="888">
        <f ca="1">IF(AND(Y$22=TRUE,INDEX(CDRANGE_CLS3,MATCH($A67,$A$24:$A$67,0),MATCH(Y$20,$B$20:$G$20,0))&lt;$D$6/OPDAYS_Cls3),86,payback(C67,T67,disc_rate/12,85))</f>
        <v>4</v>
      </c>
      <c r="Z67" s="889">
        <f ca="1">IF(AND(Z$22=TRUE,INDEX(CDRANGE_CLS3,MATCH($A67,$A$24:$A$67,0),MATCH(Z$20,$B$20:$G$20,0))&lt;$D$6/OPDAYS_Cls3),86,payback(D67,U67,disc_rate/12,85))</f>
        <v>3</v>
      </c>
      <c r="AA67" s="889">
        <f ca="1">IF(AND(AA$22=TRUE,INDEX(CDRANGE_CLS3,MATCH($A67,$A$24:$A$67,0),MATCH(AA$20,$B$20:$G$20,0))&lt;$D$6/OPDAYS_Cls3),86,payback(E67,V67,disc_rate/12,85))</f>
        <v>5</v>
      </c>
      <c r="AB67" s="889">
        <f ca="1">IF(AND(AB$22=TRUE,INDEX(CDRANGE_CLS3,MATCH($A67,$A$24:$A$67,0),MATCH(AB$20,$B$20:$G$20,0))&lt;$D$6/OPDAYS_Cls3),86,payback(F67,W67,disc_rate/12,85))</f>
        <v>7</v>
      </c>
      <c r="AC67" s="890">
        <f>IF(AND(AC$22=TRUE,INDEX(CDRANGE_CLS3,MATCH($A67,$A$24:$A$67,0),MATCH(AC$20,$B$20:$G$20,0))&lt;$D$6/OPDAYS_Cls3),86,payback(G67,X67,disc_rate/12,85))</f>
        <v>86</v>
      </c>
      <c r="AD67" s="310">
        <f t="shared" si="43"/>
        <v>0</v>
      </c>
      <c r="AE67" s="311">
        <f t="shared" si="44"/>
        <v>0</v>
      </c>
      <c r="AF67" s="311">
        <f t="shared" si="45"/>
        <v>0</v>
      </c>
      <c r="AG67" s="311">
        <f t="shared" si="46"/>
        <v>0</v>
      </c>
      <c r="AH67" s="312">
        <f t="shared" si="47"/>
        <v>0</v>
      </c>
      <c r="AI67" s="596">
        <f t="shared" si="48"/>
        <v>0.49999999962087194</v>
      </c>
      <c r="AJ67" s="314">
        <f t="shared" si="49"/>
        <v>0.49999999962087194</v>
      </c>
      <c r="AK67" s="314">
        <f t="shared" si="50"/>
        <v>0.49999999962087194</v>
      </c>
      <c r="AL67" s="314">
        <f t="shared" si="51"/>
        <v>0.49999999962087194</v>
      </c>
      <c r="AM67" s="599">
        <f t="shared" si="52"/>
        <v>0.49999890515837031</v>
      </c>
      <c r="AN67" s="313">
        <f t="shared" si="65"/>
        <v>0.99294537435345864</v>
      </c>
      <c r="AO67" s="314">
        <f t="shared" si="65"/>
        <v>0.99276586905801067</v>
      </c>
      <c r="AP67" s="314">
        <f t="shared" si="65"/>
        <v>0.96425794685830035</v>
      </c>
      <c r="AQ67" s="314">
        <f t="shared" si="65"/>
        <v>0.86170003990699406</v>
      </c>
      <c r="AR67" s="599">
        <f t="shared" si="65"/>
        <v>0.86826539789271351</v>
      </c>
      <c r="AS67" s="310">
        <f t="shared" ca="1" si="54"/>
        <v>0.99999999924174388</v>
      </c>
      <c r="AT67" s="311">
        <f t="shared" ca="1" si="55"/>
        <v>0.99999999924174388</v>
      </c>
      <c r="AU67" s="311">
        <f t="shared" ca="1" si="56"/>
        <v>0.99999999924174388</v>
      </c>
      <c r="AV67" s="311">
        <f t="shared" ca="1" si="57"/>
        <v>0.99672728465125515</v>
      </c>
      <c r="AW67" s="312">
        <f t="shared" si="58"/>
        <v>0</v>
      </c>
      <c r="AX67" s="310">
        <f t="shared" ca="1" si="59"/>
        <v>0.99294537360055168</v>
      </c>
      <c r="AY67" s="311">
        <f t="shared" ca="1" si="59"/>
        <v>0.99276586830523983</v>
      </c>
      <c r="AZ67" s="311">
        <f t="shared" ca="1" si="59"/>
        <v>0.96425794612714588</v>
      </c>
      <c r="BA67" s="311">
        <f t="shared" ca="1" si="59"/>
        <v>0.85887994096037634</v>
      </c>
      <c r="BB67" s="312">
        <f t="shared" si="59"/>
        <v>0</v>
      </c>
      <c r="BC67" s="310">
        <f t="shared" ca="1" si="66"/>
        <v>7.0546263994484271E-3</v>
      </c>
      <c r="BD67" s="311">
        <f t="shared" ca="1" si="60"/>
        <v>0.25885522937878219</v>
      </c>
      <c r="BE67" s="311">
        <f t="shared" ca="1" si="61"/>
        <v>0.25880843336600245</v>
      </c>
      <c r="BF67" s="311">
        <f t="shared" ca="1" si="62"/>
        <v>0.25137657968027127</v>
      </c>
      <c r="BG67" s="311">
        <f t="shared" ca="1" si="63"/>
        <v>0.22390513117549576</v>
      </c>
      <c r="BH67" s="312">
        <f t="shared" ca="1" si="64"/>
        <v>0</v>
      </c>
    </row>
    <row r="68" spans="1:60" x14ac:dyDescent="0.2">
      <c r="A68" s="227" t="s">
        <v>240</v>
      </c>
      <c r="B68" s="807"/>
      <c r="C68" s="807"/>
      <c r="D68" s="807"/>
      <c r="E68" s="807"/>
      <c r="F68" s="807"/>
      <c r="G68" s="767"/>
      <c r="N68" s="884"/>
      <c r="O68" s="884"/>
      <c r="P68" s="884"/>
      <c r="Q68" s="884"/>
      <c r="R68" s="884"/>
      <c r="S68" s="884"/>
      <c r="W68" s="227" t="s">
        <v>40</v>
      </c>
      <c r="X68" s="227" t="s">
        <v>40</v>
      </c>
      <c r="Y68" s="234"/>
      <c r="Z68" s="234"/>
      <c r="AA68" s="234"/>
      <c r="AB68" s="234"/>
      <c r="AC68" s="234"/>
      <c r="AD68" s="322"/>
      <c r="AE68" s="234"/>
      <c r="AF68" s="234"/>
      <c r="AG68" s="234"/>
      <c r="AH68" s="234"/>
    </row>
    <row r="69" spans="1:60" ht="15" thickBot="1" x14ac:dyDescent="0.25"/>
    <row r="70" spans="1:60" s="29" customFormat="1" ht="15" x14ac:dyDescent="0.2">
      <c r="A70" s="333"/>
      <c r="B70" s="1555" t="s">
        <v>193</v>
      </c>
      <c r="C70" s="1556"/>
      <c r="D70" s="1556"/>
      <c r="E70" s="1556"/>
      <c r="F70" s="1556"/>
      <c r="G70" s="1556"/>
      <c r="H70" s="1556"/>
      <c r="I70" s="1556"/>
      <c r="J70" s="1556"/>
      <c r="K70" s="1556"/>
      <c r="L70" s="1556"/>
      <c r="M70" s="1556"/>
      <c r="N70" s="1557"/>
      <c r="O70" s="1555" t="s">
        <v>194</v>
      </c>
      <c r="P70" s="1556"/>
      <c r="Q70" s="1556"/>
      <c r="R70" s="1556"/>
      <c r="S70" s="1556"/>
      <c r="T70" s="1556"/>
      <c r="U70" s="1556"/>
      <c r="V70" s="1556"/>
      <c r="W70" s="1556"/>
      <c r="X70" s="1556"/>
      <c r="Y70" s="1556"/>
      <c r="Z70" s="1556"/>
      <c r="AA70" s="1557"/>
    </row>
    <row r="71" spans="1:60" x14ac:dyDescent="0.2">
      <c r="A71" s="324"/>
      <c r="B71" s="1552" t="s">
        <v>121</v>
      </c>
      <c r="C71" s="1553"/>
      <c r="D71" s="1553"/>
      <c r="E71" s="1553"/>
      <c r="F71" s="1553"/>
      <c r="G71" s="1553"/>
      <c r="H71" s="1553"/>
      <c r="I71" s="1553"/>
      <c r="J71" s="1553"/>
      <c r="K71" s="1553"/>
      <c r="L71" s="1554"/>
      <c r="M71" s="382"/>
      <c r="N71" s="325"/>
      <c r="O71" s="1552" t="s">
        <v>121</v>
      </c>
      <c r="P71" s="1553"/>
      <c r="Q71" s="1553"/>
      <c r="R71" s="1553"/>
      <c r="S71" s="1553"/>
      <c r="T71" s="1553"/>
      <c r="U71" s="1553"/>
      <c r="V71" s="1553"/>
      <c r="W71" s="1553"/>
      <c r="X71" s="1553"/>
      <c r="Y71" s="1554"/>
      <c r="Z71" s="382"/>
      <c r="AA71" s="325"/>
      <c r="AC71" s="954" t="s">
        <v>267</v>
      </c>
      <c r="AD71" s="234" t="b">
        <f>INDEX(TECH_OPT_FUEL2_Cls1,MATCH(RIGHT(O70),TECH_OPT_ROWS_Cls1,0))&lt;&gt;"N/A"</f>
        <v>0</v>
      </c>
      <c r="AI71" s="227"/>
      <c r="AJ71" s="227"/>
      <c r="AK71" s="227"/>
      <c r="AL71" s="227"/>
      <c r="AM71" s="227"/>
    </row>
    <row r="72" spans="1:60" s="228" customFormat="1" ht="15" thickBot="1" x14ac:dyDescent="0.25">
      <c r="A72" s="331"/>
      <c r="B72" s="338" t="s">
        <v>28</v>
      </c>
      <c r="C72" s="339" t="s">
        <v>29</v>
      </c>
      <c r="D72" s="339" t="s">
        <v>30</v>
      </c>
      <c r="E72" s="339" t="s">
        <v>31</v>
      </c>
      <c r="F72" s="339" t="s">
        <v>32</v>
      </c>
      <c r="G72" s="339" t="s">
        <v>33</v>
      </c>
      <c r="H72" s="339" t="s">
        <v>34</v>
      </c>
      <c r="I72" s="339" t="s">
        <v>35</v>
      </c>
      <c r="J72" s="339" t="s">
        <v>36</v>
      </c>
      <c r="K72" s="339" t="s">
        <v>37</v>
      </c>
      <c r="L72" s="377" t="s">
        <v>38</v>
      </c>
      <c r="M72" s="383" t="s">
        <v>122</v>
      </c>
      <c r="N72" s="332" t="s">
        <v>123</v>
      </c>
      <c r="O72" s="338" t="s">
        <v>28</v>
      </c>
      <c r="P72" s="339" t="s">
        <v>29</v>
      </c>
      <c r="Q72" s="339" t="s">
        <v>30</v>
      </c>
      <c r="R72" s="339" t="s">
        <v>31</v>
      </c>
      <c r="S72" s="339" t="s">
        <v>32</v>
      </c>
      <c r="T72" s="339" t="s">
        <v>33</v>
      </c>
      <c r="U72" s="339" t="s">
        <v>34</v>
      </c>
      <c r="V72" s="339" t="s">
        <v>35</v>
      </c>
      <c r="W72" s="339" t="s">
        <v>36</v>
      </c>
      <c r="X72" s="339" t="s">
        <v>37</v>
      </c>
      <c r="Y72" s="377" t="s">
        <v>38</v>
      </c>
      <c r="Z72" s="383" t="s">
        <v>122</v>
      </c>
      <c r="AA72" s="332" t="s">
        <v>123</v>
      </c>
      <c r="AB72" s="936"/>
      <c r="AC72" s="954" t="s">
        <v>268</v>
      </c>
      <c r="AD72" s="234">
        <f>MATCH(RIGHT(O70),TECH_OPT_ROWS_Cls1,0)</f>
        <v>2</v>
      </c>
    </row>
    <row r="73" spans="1:60" s="228" customFormat="1" thickTop="1" thickBot="1" x14ac:dyDescent="0.2">
      <c r="A73" s="335" t="s">
        <v>124</v>
      </c>
      <c r="B73" s="340">
        <f t="array" ref="B73:L73">TRANSPOSE(Cls3CentTruckShr)</f>
        <v>0.16490316390132354</v>
      </c>
      <c r="C73" s="341">
        <v>0.14150050624583405</v>
      </c>
      <c r="D73" s="341">
        <v>5.0842757108027201E-2</v>
      </c>
      <c r="E73" s="341">
        <v>1.7493235097392132E-2</v>
      </c>
      <c r="F73" s="341">
        <v>6.5645600537602268E-3</v>
      </c>
      <c r="G73" s="341">
        <v>1.3068268788829179E-4</v>
      </c>
      <c r="H73" s="341">
        <v>2.9863696966199553E-3</v>
      </c>
      <c r="I73" s="341">
        <v>0</v>
      </c>
      <c r="J73" s="341">
        <v>0</v>
      </c>
      <c r="K73" s="341">
        <v>5.0573390409248292E-4</v>
      </c>
      <c r="L73" s="378">
        <v>0</v>
      </c>
      <c r="M73" s="384"/>
      <c r="N73" s="336"/>
      <c r="O73" s="340">
        <f t="array" ref="O73:Y73">TRANSPOSE(Cls3NCentTruckShr)</f>
        <v>0.27324001996593789</v>
      </c>
      <c r="P73" s="341">
        <v>0.25610450783680394</v>
      </c>
      <c r="Q73" s="341">
        <v>4.6572125423937315E-2</v>
      </c>
      <c r="R73" s="341">
        <v>2.2779497082922668E-2</v>
      </c>
      <c r="S73" s="341">
        <v>5.0811779544371336E-3</v>
      </c>
      <c r="T73" s="341">
        <v>2.5955840495899339E-3</v>
      </c>
      <c r="U73" s="341">
        <v>4.3441677754441459E-3</v>
      </c>
      <c r="V73" s="341">
        <v>3.7558983870508854E-3</v>
      </c>
      <c r="W73" s="341">
        <v>4.897828379299261E-4</v>
      </c>
      <c r="X73" s="341">
        <v>0</v>
      </c>
      <c r="Y73" s="1209">
        <v>1.1022999100839563E-4</v>
      </c>
      <c r="Z73" s="384"/>
      <c r="AA73" s="336"/>
    </row>
    <row r="74" spans="1:60" s="228" customFormat="1" x14ac:dyDescent="0.2">
      <c r="A74" s="331" t="s">
        <v>125</v>
      </c>
      <c r="B74" s="923">
        <f t="array" ref="B74:L74">TRANSPOSE(Cls3CentVMTShr)</f>
        <v>7.4407503791532936E-2</v>
      </c>
      <c r="C74" s="924">
        <v>0.15052192967997111</v>
      </c>
      <c r="D74" s="924">
        <v>8.9028098283245441E-2</v>
      </c>
      <c r="E74" s="924">
        <v>4.5356257743642811E-2</v>
      </c>
      <c r="F74" s="924">
        <v>2.1016507050137231E-2</v>
      </c>
      <c r="G74" s="924">
        <v>4.9007047894213725E-4</v>
      </c>
      <c r="H74" s="924">
        <v>1.4797621296467818E-2</v>
      </c>
      <c r="I74" s="924">
        <v>0</v>
      </c>
      <c r="J74" s="924">
        <v>0</v>
      </c>
      <c r="K74" s="924">
        <v>3.7103078033661591E-3</v>
      </c>
      <c r="L74" s="1210">
        <v>0</v>
      </c>
      <c r="M74" s="1211"/>
      <c r="N74" s="1212"/>
      <c r="O74" s="923">
        <f t="array" ref="O74:Y74">TRANSPOSE(Cls3NCentVMTShr)</f>
        <v>0.11481596497083862</v>
      </c>
      <c r="P74" s="924">
        <v>0.26987209279577573</v>
      </c>
      <c r="Q74" s="924">
        <v>8.3836105982992667E-2</v>
      </c>
      <c r="R74" s="924">
        <v>5.9842896537765707E-2</v>
      </c>
      <c r="S74" s="924">
        <v>1.6413649143963899E-2</v>
      </c>
      <c r="T74" s="924">
        <v>1.0165768727376887E-2</v>
      </c>
      <c r="U74" s="924">
        <v>2.0700108148562976E-2</v>
      </c>
      <c r="V74" s="924">
        <v>2.0956833812228508E-2</v>
      </c>
      <c r="W74" s="924">
        <v>3.1584958359553582E-3</v>
      </c>
      <c r="X74" s="924">
        <v>0</v>
      </c>
      <c r="Y74" s="925">
        <v>9.0978791723388369E-4</v>
      </c>
      <c r="Z74" s="1211"/>
      <c r="AA74" s="1212"/>
      <c r="AB74" s="1568" t="str">
        <f>"% of miles on f2 for Tech "&amp; RIGHT(O69)&amp;" adopters"</f>
        <v>% of miles on f2 for Tech  adopters</v>
      </c>
      <c r="AC74" s="1569"/>
      <c r="AD74" s="1570"/>
      <c r="AE74" s="1237" t="s">
        <v>298</v>
      </c>
      <c r="AF74" s="1238"/>
      <c r="AG74" s="1238"/>
      <c r="AH74" s="1228" t="s">
        <v>297</v>
      </c>
      <c r="AI74" s="1229"/>
    </row>
    <row r="75" spans="1:60" ht="15" thickBot="1" x14ac:dyDescent="0.25">
      <c r="A75" s="942" t="s">
        <v>266</v>
      </c>
      <c r="B75" s="933">
        <f t="array" ref="B75:L75">TRANSPOSE(Cls3CentVMT/OPDAYS_Cls3)</f>
        <v>49.202805162026571</v>
      </c>
      <c r="C75" s="934">
        <v>115.99623692884222</v>
      </c>
      <c r="D75" s="934">
        <v>190.94140758026836</v>
      </c>
      <c r="E75" s="934">
        <v>282.72824571583544</v>
      </c>
      <c r="F75" s="934">
        <v>349.10577157713089</v>
      </c>
      <c r="G75" s="934">
        <v>408.92399999999998</v>
      </c>
      <c r="H75" s="934">
        <v>540.31926836851005</v>
      </c>
      <c r="I75" s="934">
        <v>600</v>
      </c>
      <c r="J75" s="934">
        <v>680</v>
      </c>
      <c r="K75" s="934">
        <v>800.00000000000011</v>
      </c>
      <c r="L75" s="935">
        <v>800</v>
      </c>
      <c r="M75" s="931"/>
      <c r="N75" s="932"/>
      <c r="O75" s="933">
        <f t="array" ref="O75:Y75">TRANSPOSE(Cls3NCentVMT/OPDAYS_Cls3)</f>
        <v>45.820527909508108</v>
      </c>
      <c r="P75" s="934">
        <v>114.90604343518244</v>
      </c>
      <c r="Q75" s="934">
        <v>196.29405935940918</v>
      </c>
      <c r="R75" s="934">
        <v>286.46435582159182</v>
      </c>
      <c r="S75" s="934">
        <v>352.24339419308075</v>
      </c>
      <c r="T75" s="934">
        <v>427.07804424634116</v>
      </c>
      <c r="U75" s="934">
        <v>519.59880241076587</v>
      </c>
      <c r="V75" s="934">
        <v>608.4346682070543</v>
      </c>
      <c r="W75" s="934">
        <v>703.2</v>
      </c>
      <c r="X75" s="934">
        <v>760</v>
      </c>
      <c r="Y75" s="1213">
        <v>900</v>
      </c>
      <c r="Z75" s="943"/>
      <c r="AA75" s="932"/>
      <c r="AB75" s="945" t="s">
        <v>186</v>
      </c>
      <c r="AC75" s="946" t="s">
        <v>15</v>
      </c>
      <c r="AD75" s="947" t="s">
        <v>18</v>
      </c>
      <c r="AE75" s="330" t="s">
        <v>186</v>
      </c>
      <c r="AF75" s="1239" t="s">
        <v>15</v>
      </c>
      <c r="AG75" s="1239" t="s">
        <v>18</v>
      </c>
      <c r="AH75" s="1240" t="s">
        <v>186</v>
      </c>
      <c r="AI75" s="1241" t="s">
        <v>15</v>
      </c>
    </row>
    <row r="76" spans="1:60" ht="15" thickTop="1" x14ac:dyDescent="0.2">
      <c r="A76" s="326">
        <v>2007</v>
      </c>
      <c r="B76" s="342">
        <v>0</v>
      </c>
      <c r="C76" s="343">
        <v>0</v>
      </c>
      <c r="D76" s="343">
        <v>0</v>
      </c>
      <c r="E76" s="343">
        <v>0</v>
      </c>
      <c r="F76" s="343">
        <v>0</v>
      </c>
      <c r="G76" s="343">
        <v>0</v>
      </c>
      <c r="H76" s="343">
        <v>0</v>
      </c>
      <c r="I76" s="343">
        <v>0</v>
      </c>
      <c r="J76" s="343">
        <v>0</v>
      </c>
      <c r="K76" s="343">
        <v>0</v>
      </c>
      <c r="L76" s="379">
        <v>0</v>
      </c>
      <c r="M76" s="387">
        <f>SUMPRODUCT(B76:L76,$B$74:$L$74)</f>
        <v>0</v>
      </c>
      <c r="N76" s="881">
        <f>SUMPRODUCT(B76:L76,$B$73:$L$73)</f>
        <v>0</v>
      </c>
      <c r="O76" s="342">
        <v>0</v>
      </c>
      <c r="P76" s="343">
        <v>0</v>
      </c>
      <c r="Q76" s="343">
        <v>0</v>
      </c>
      <c r="R76" s="343">
        <v>0</v>
      </c>
      <c r="S76" s="343">
        <v>0</v>
      </c>
      <c r="T76" s="343">
        <v>0</v>
      </c>
      <c r="U76" s="343">
        <v>0</v>
      </c>
      <c r="V76" s="343">
        <v>0</v>
      </c>
      <c r="W76" s="343">
        <v>0</v>
      </c>
      <c r="X76" s="343">
        <v>0</v>
      </c>
      <c r="Y76" s="379">
        <v>0</v>
      </c>
      <c r="Z76" s="387">
        <f>SUMPRODUCT(O76:Y76,$O$74:$Y$74)</f>
        <v>0</v>
      </c>
      <c r="AA76" s="881">
        <f>SUMPRODUCT(O76:Y76,$O$73:$Y$73)</f>
        <v>0</v>
      </c>
      <c r="AB76" s="948">
        <f t="array" ref="AB76">IF(AND($AD$71=TRUE,SUM(B76:L76)&gt;0),SUMPRODUCT((((TRANSPOSE(Cls3CentDailyRng)&lt;INDEX(CDRANGE_CLS3,$A76-$A$76+1,AD$72))*TRANSPOSE(Cls3CentDailyRng)+(TRANSPOSE(Cls3CentDailyRng)&gt;INDEX(CDRANGE_CLS3,$A76-$A$76+1,AD$72))*INDEX(CDRANGE_CLS3,$A76-$A$76+1,AD$72))/TRANSPOSE(Cls3CentDailyRng)),B76:L76,TRANSPOSE(Cls3CentVMTShr))/SUMPRODUCT(B76:L76,TRANSPOSE(Cls3CentVMTShr)),0)</f>
        <v>0</v>
      </c>
      <c r="AC76" s="949">
        <f t="array" ref="AC76">IF(AND($AD$72=TRUE,SUM(O76:Y76)&gt;0),SUMPRODUCT((((TRANSPOSE(Cls3NCentDailyRng)&lt;INDEX(CDRANGE_CLS3,$A76-$A$76+1,AD$74))*TRANSPOSE(Cls3NCentDailyRng)+(TRANSPOSE(Cls3NCentDailyRng)&gt;INDEX(CDRANGE_CLS3,$A76-$A$76+1,AD$74))*INDEX(CDRANGE_CLS3,$A76-$A$76+1,AD$74))/TRANSPOSE(Cls3NCentDailyRng)),O76:Y76,TRANSPOSE(Cls3NCentVMTShr))/SUMPRODUCT(O76:Y76,TRANSPOSE(Cls3NCentVMTShr)),0)</f>
        <v>0</v>
      </c>
      <c r="AD76" s="1226">
        <f>AB76*AH76+AC76*AI76</f>
        <v>0</v>
      </c>
      <c r="AE76" s="1230">
        <f t="shared" ref="AE76:AE90" si="73">SUMPRODUCT($B$74:$L$74,B76:L76)</f>
        <v>0</v>
      </c>
      <c r="AF76" s="1231">
        <f t="shared" ref="AF76:AF90" si="74">SUMPRODUCT($O$74:$Y$74,O76:Y76)</f>
        <v>0</v>
      </c>
      <c r="AG76" s="1231">
        <f t="shared" ref="AG76:AG90" si="75">SUM(AE76:AF76)</f>
        <v>0</v>
      </c>
      <c r="AH76" s="1172">
        <f>IF(AG76&gt;0,AE76/AG76,0)</f>
        <v>0</v>
      </c>
      <c r="AI76" s="1232">
        <f>IF(AG76&gt;0,AF76/AG76,0)</f>
        <v>0</v>
      </c>
      <c r="AJ76" s="227"/>
      <c r="AK76" s="227"/>
      <c r="AL76" s="227"/>
      <c r="AM76" s="227"/>
    </row>
    <row r="77" spans="1:60" x14ac:dyDescent="0.2">
      <c r="A77" s="327">
        <v>2008</v>
      </c>
      <c r="B77" s="344">
        <v>0</v>
      </c>
      <c r="C77" s="345">
        <v>0</v>
      </c>
      <c r="D77" s="345">
        <v>0</v>
      </c>
      <c r="E77" s="345">
        <v>0</v>
      </c>
      <c r="F77" s="345">
        <v>0</v>
      </c>
      <c r="G77" s="345">
        <v>0</v>
      </c>
      <c r="H77" s="345">
        <v>0</v>
      </c>
      <c r="I77" s="345">
        <v>0</v>
      </c>
      <c r="J77" s="345">
        <v>0</v>
      </c>
      <c r="K77" s="345">
        <v>0</v>
      </c>
      <c r="L77" s="380">
        <v>0</v>
      </c>
      <c r="M77" s="296">
        <f t="shared" ref="M77:M119" si="76">SUMPRODUCT(B77:L77,$B$74:$L$74)</f>
        <v>0</v>
      </c>
      <c r="N77" s="298">
        <f t="shared" ref="N77:N119" si="77">SUMPRODUCT(B77:L77,$B$73:$L$73)</f>
        <v>0</v>
      </c>
      <c r="O77" s="344">
        <v>0</v>
      </c>
      <c r="P77" s="345">
        <v>0</v>
      </c>
      <c r="Q77" s="345">
        <v>0</v>
      </c>
      <c r="R77" s="345">
        <v>0</v>
      </c>
      <c r="S77" s="345">
        <v>0</v>
      </c>
      <c r="T77" s="345">
        <v>0</v>
      </c>
      <c r="U77" s="345">
        <v>0</v>
      </c>
      <c r="V77" s="345">
        <v>0</v>
      </c>
      <c r="W77" s="345">
        <v>0</v>
      </c>
      <c r="X77" s="345">
        <v>0</v>
      </c>
      <c r="Y77" s="380">
        <v>0</v>
      </c>
      <c r="Z77" s="296">
        <f t="shared" ref="Z77:Z119" si="78">SUMPRODUCT(O77:Y77,$O$74:$Y$74)</f>
        <v>0</v>
      </c>
      <c r="AA77" s="298">
        <f t="shared" ref="AA77:AA119" si="79">SUMPRODUCT(O77:Y77,$O$73:$Y$73)</f>
        <v>0</v>
      </c>
      <c r="AB77" s="948">
        <f t="array" ref="AB77">IF(AND($AD$71=TRUE,SUM(B77:L77)&gt;0),SUMPRODUCT((((TRANSPOSE(Cls3CentDailyRng)&lt;INDEX(CDRANGE_CLS3,$A77-$A$76+1,AD$72))*TRANSPOSE(Cls3CentDailyRng)+(TRANSPOSE(Cls3CentDailyRng)&gt;INDEX(CDRANGE_CLS3,$A77-$A$76+1,AD$72))*INDEX(CDRANGE_CLS3,$A77-$A$76+1,AD$72))/TRANSPOSE(Cls3CentDailyRng)),B77:L77,TRANSPOSE(Cls3CentVMTShr))/SUMPRODUCT(B77:L77,TRANSPOSE(Cls3CentVMTShr)),0)</f>
        <v>0</v>
      </c>
      <c r="AC77" s="949">
        <f t="array" ref="AC77">IF(AND($AD$72=TRUE,SUM(O77:Y77)&gt;0),SUMPRODUCT((((TRANSPOSE(Cls3NCentDailyRng)&lt;INDEX(CDRANGE_CLS3,$A77-$A$76+1,AD$74))*TRANSPOSE(Cls3NCentDailyRng)+(TRANSPOSE(Cls3NCentDailyRng)&gt;INDEX(CDRANGE_CLS3,$A77-$A$76+1,AD$74))*INDEX(CDRANGE_CLS3,$A77-$A$76+1,AD$74))/TRANSPOSE(Cls3NCentDailyRng)),O77:Y77,TRANSPOSE(Cls3NCentVMTShr))/SUMPRODUCT(O77:Y77,TRANSPOSE(Cls3NCentVMTShr)),0)</f>
        <v>0</v>
      </c>
      <c r="AD77" s="1226">
        <f t="shared" ref="AD77:AD101" si="80">AB77*AH77+AC77*AI77</f>
        <v>0</v>
      </c>
      <c r="AE77" s="1230">
        <f t="shared" si="73"/>
        <v>0</v>
      </c>
      <c r="AF77" s="1231">
        <f t="shared" si="74"/>
        <v>0</v>
      </c>
      <c r="AG77" s="1231">
        <f t="shared" si="75"/>
        <v>0</v>
      </c>
      <c r="AH77" s="1172">
        <f t="shared" ref="AH77:AH119" si="81">IF(AG77&gt;0,AE77/AG77,0)</f>
        <v>0</v>
      </c>
      <c r="AI77" s="1232">
        <f t="shared" ref="AI77:AI119" si="82">IF(AG77&gt;0,AF77/AG77,0)</f>
        <v>0</v>
      </c>
      <c r="AJ77" s="227"/>
      <c r="AK77" s="227"/>
      <c r="AL77" s="227"/>
      <c r="AM77" s="227"/>
    </row>
    <row r="78" spans="1:60" x14ac:dyDescent="0.2">
      <c r="A78" s="327">
        <v>2009</v>
      </c>
      <c r="B78" s="344">
        <v>0</v>
      </c>
      <c r="C78" s="345">
        <v>0</v>
      </c>
      <c r="D78" s="345">
        <v>0</v>
      </c>
      <c r="E78" s="345">
        <v>0</v>
      </c>
      <c r="F78" s="345">
        <v>0</v>
      </c>
      <c r="G78" s="345">
        <v>0</v>
      </c>
      <c r="H78" s="345">
        <v>0</v>
      </c>
      <c r="I78" s="345">
        <v>0</v>
      </c>
      <c r="J78" s="345">
        <v>0</v>
      </c>
      <c r="K78" s="345">
        <v>0</v>
      </c>
      <c r="L78" s="380">
        <v>0</v>
      </c>
      <c r="M78" s="296">
        <f t="shared" si="76"/>
        <v>0</v>
      </c>
      <c r="N78" s="298">
        <f t="shared" si="77"/>
        <v>0</v>
      </c>
      <c r="O78" s="344">
        <v>0</v>
      </c>
      <c r="P78" s="345">
        <v>0</v>
      </c>
      <c r="Q78" s="345">
        <v>0</v>
      </c>
      <c r="R78" s="345">
        <v>0</v>
      </c>
      <c r="S78" s="345">
        <v>0</v>
      </c>
      <c r="T78" s="345">
        <v>0</v>
      </c>
      <c r="U78" s="345">
        <v>0</v>
      </c>
      <c r="V78" s="345">
        <v>0</v>
      </c>
      <c r="W78" s="345">
        <v>0</v>
      </c>
      <c r="X78" s="345">
        <v>0</v>
      </c>
      <c r="Y78" s="380">
        <v>0</v>
      </c>
      <c r="Z78" s="296">
        <f t="shared" si="78"/>
        <v>0</v>
      </c>
      <c r="AA78" s="298">
        <f t="shared" si="79"/>
        <v>0</v>
      </c>
      <c r="AB78" s="948">
        <f t="array" ref="AB78">IF(AND($AD$71=TRUE,SUM(B78:L78)&gt;0),SUMPRODUCT((((TRANSPOSE(Cls3CentDailyRng)&lt;INDEX(CDRANGE_CLS3,$A78-$A$76+1,AD$72))*TRANSPOSE(Cls3CentDailyRng)+(TRANSPOSE(Cls3CentDailyRng)&gt;INDEX(CDRANGE_CLS3,$A78-$A$76+1,AD$72))*INDEX(CDRANGE_CLS3,$A78-$A$76+1,AD$72))/TRANSPOSE(Cls3CentDailyRng)),B78:L78,TRANSPOSE(Cls3CentVMTShr))/SUMPRODUCT(B78:L78,TRANSPOSE(Cls3CentVMTShr)),0)</f>
        <v>0</v>
      </c>
      <c r="AC78" s="949">
        <f t="array" ref="AC78">IF(AND($AD$72=TRUE,SUM(O78:Y78)&gt;0),SUMPRODUCT((((TRANSPOSE(Cls3NCentDailyRng)&lt;INDEX(CDRANGE_CLS3,$A78-$A$76+1,AD$74))*TRANSPOSE(Cls3NCentDailyRng)+(TRANSPOSE(Cls3NCentDailyRng)&gt;INDEX(CDRANGE_CLS3,$A78-$A$76+1,AD$74))*INDEX(CDRANGE_CLS3,$A78-$A$76+1,AD$74))/TRANSPOSE(Cls3NCentDailyRng)),O78:Y78,TRANSPOSE(Cls3NCentVMTShr))/SUMPRODUCT(O78:Y78,TRANSPOSE(Cls3NCentVMTShr)),0)</f>
        <v>0</v>
      </c>
      <c r="AD78" s="1226">
        <f t="shared" si="80"/>
        <v>0</v>
      </c>
      <c r="AE78" s="1230">
        <f t="shared" si="73"/>
        <v>0</v>
      </c>
      <c r="AF78" s="1231">
        <f t="shared" si="74"/>
        <v>0</v>
      </c>
      <c r="AG78" s="1231">
        <f t="shared" si="75"/>
        <v>0</v>
      </c>
      <c r="AH78" s="1172">
        <f t="shared" si="81"/>
        <v>0</v>
      </c>
      <c r="AI78" s="1232">
        <f t="shared" si="82"/>
        <v>0</v>
      </c>
      <c r="AJ78" s="227"/>
      <c r="AK78" s="227"/>
      <c r="AL78" s="227"/>
      <c r="AM78" s="227"/>
    </row>
    <row r="79" spans="1:60" ht="15" thickBot="1" x14ac:dyDescent="0.25">
      <c r="A79" s="328">
        <v>2010</v>
      </c>
      <c r="B79" s="346">
        <v>0</v>
      </c>
      <c r="C79" s="347">
        <v>0</v>
      </c>
      <c r="D79" s="347">
        <v>0</v>
      </c>
      <c r="E79" s="347">
        <v>0</v>
      </c>
      <c r="F79" s="347">
        <v>0</v>
      </c>
      <c r="G79" s="347">
        <v>0</v>
      </c>
      <c r="H79" s="347">
        <v>0</v>
      </c>
      <c r="I79" s="347">
        <v>0</v>
      </c>
      <c r="J79" s="347">
        <v>0</v>
      </c>
      <c r="K79" s="347">
        <v>0</v>
      </c>
      <c r="L79" s="381">
        <v>0</v>
      </c>
      <c r="M79" s="310">
        <f t="shared" si="76"/>
        <v>0</v>
      </c>
      <c r="N79" s="312">
        <f t="shared" si="77"/>
        <v>0</v>
      </c>
      <c r="O79" s="346">
        <v>0</v>
      </c>
      <c r="P79" s="347">
        <v>0</v>
      </c>
      <c r="Q79" s="347">
        <v>0</v>
      </c>
      <c r="R79" s="347">
        <v>0</v>
      </c>
      <c r="S79" s="347">
        <v>0</v>
      </c>
      <c r="T79" s="347">
        <v>0</v>
      </c>
      <c r="U79" s="347">
        <v>0</v>
      </c>
      <c r="V79" s="347">
        <v>0</v>
      </c>
      <c r="W79" s="347">
        <v>0</v>
      </c>
      <c r="X79" s="347">
        <v>0</v>
      </c>
      <c r="Y79" s="381">
        <v>0</v>
      </c>
      <c r="Z79" s="310">
        <f t="shared" si="78"/>
        <v>0</v>
      </c>
      <c r="AA79" s="312">
        <f t="shared" si="79"/>
        <v>0</v>
      </c>
      <c r="AB79" s="948">
        <f t="array" ref="AB79">IF(AND($AD$71=TRUE,SUM(B79:L79)&gt;0),SUMPRODUCT((((TRANSPOSE(Cls3CentDailyRng)&lt;INDEX(CDRANGE_CLS3,$A79-$A$76+1,AD$72))*TRANSPOSE(Cls3CentDailyRng)+(TRANSPOSE(Cls3CentDailyRng)&gt;INDEX(CDRANGE_CLS3,$A79-$A$76+1,AD$72))*INDEX(CDRANGE_CLS3,$A79-$A$76+1,AD$72))/TRANSPOSE(Cls3CentDailyRng)),B79:L79,TRANSPOSE(Cls3CentVMTShr))/SUMPRODUCT(B79:L79,TRANSPOSE(Cls3CentVMTShr)),0)</f>
        <v>0</v>
      </c>
      <c r="AC79" s="949">
        <f t="array" ref="AC79">IF(AND($AD$72=TRUE,SUM(O79:Y79)&gt;0),SUMPRODUCT((((TRANSPOSE(Cls3NCentDailyRng)&lt;INDEX(CDRANGE_CLS3,$A79-$A$76+1,AD$74))*TRANSPOSE(Cls3NCentDailyRng)+(TRANSPOSE(Cls3NCentDailyRng)&gt;INDEX(CDRANGE_CLS3,$A79-$A$76+1,AD$74))*INDEX(CDRANGE_CLS3,$A79-$A$76+1,AD$74))/TRANSPOSE(Cls3NCentDailyRng)),O79:Y79,TRANSPOSE(Cls3NCentVMTShr))/SUMPRODUCT(O79:Y79,TRANSPOSE(Cls3NCentVMTShr)),0)</f>
        <v>0</v>
      </c>
      <c r="AD79" s="1226">
        <f t="shared" si="80"/>
        <v>0</v>
      </c>
      <c r="AE79" s="1230">
        <f t="shared" si="73"/>
        <v>0</v>
      </c>
      <c r="AF79" s="1231">
        <f t="shared" si="74"/>
        <v>0</v>
      </c>
      <c r="AG79" s="1231">
        <f t="shared" si="75"/>
        <v>0</v>
      </c>
      <c r="AH79" s="1172">
        <f t="shared" si="81"/>
        <v>0</v>
      </c>
      <c r="AI79" s="1232">
        <f t="shared" si="82"/>
        <v>0</v>
      </c>
      <c r="AJ79" s="227"/>
      <c r="AK79" s="227"/>
      <c r="AL79" s="227"/>
      <c r="AM79" s="227"/>
    </row>
    <row r="80" spans="1:60" x14ac:dyDescent="0.2">
      <c r="A80" s="329">
        <v>2011</v>
      </c>
      <c r="B80" s="342">
        <v>0</v>
      </c>
      <c r="C80" s="343">
        <v>0</v>
      </c>
      <c r="D80" s="343">
        <v>0</v>
      </c>
      <c r="E80" s="343">
        <v>0</v>
      </c>
      <c r="F80" s="343">
        <v>0</v>
      </c>
      <c r="G80" s="343">
        <v>0</v>
      </c>
      <c r="H80" s="343">
        <v>0</v>
      </c>
      <c r="I80" s="343">
        <v>0</v>
      </c>
      <c r="J80" s="343">
        <v>0</v>
      </c>
      <c r="K80" s="343">
        <v>0</v>
      </c>
      <c r="L80" s="379">
        <v>0</v>
      </c>
      <c r="M80" s="282">
        <f t="shared" si="76"/>
        <v>0</v>
      </c>
      <c r="N80" s="284">
        <f t="shared" si="77"/>
        <v>0</v>
      </c>
      <c r="O80" s="342">
        <v>0</v>
      </c>
      <c r="P80" s="343">
        <v>0</v>
      </c>
      <c r="Q80" s="343">
        <v>0</v>
      </c>
      <c r="R80" s="343">
        <v>0</v>
      </c>
      <c r="S80" s="343">
        <v>0</v>
      </c>
      <c r="T80" s="343">
        <v>0</v>
      </c>
      <c r="U80" s="343">
        <v>0</v>
      </c>
      <c r="V80" s="343">
        <v>0</v>
      </c>
      <c r="W80" s="343">
        <v>0</v>
      </c>
      <c r="X80" s="343">
        <v>0</v>
      </c>
      <c r="Y80" s="379">
        <v>0</v>
      </c>
      <c r="Z80" s="282">
        <f t="shared" si="78"/>
        <v>0</v>
      </c>
      <c r="AA80" s="284">
        <f t="shared" si="79"/>
        <v>0</v>
      </c>
      <c r="AB80" s="948">
        <f t="array" ref="AB80">IF(AND($AD$71=TRUE,SUM(B80:L80)&gt;0),SUMPRODUCT((((TRANSPOSE(Cls3CentDailyRng)&lt;INDEX(CDRANGE_CLS3,$A80-$A$76+1,AD$72))*TRANSPOSE(Cls3CentDailyRng)+(TRANSPOSE(Cls3CentDailyRng)&gt;INDEX(CDRANGE_CLS3,$A80-$A$76+1,AD$72))*INDEX(CDRANGE_CLS3,$A80-$A$76+1,AD$72))/TRANSPOSE(Cls3CentDailyRng)),B80:L80,TRANSPOSE(Cls3CentVMTShr))/SUMPRODUCT(B80:L80,TRANSPOSE(Cls3CentVMTShr)),0)</f>
        <v>0</v>
      </c>
      <c r="AC80" s="949">
        <f t="array" ref="AC80">IF(AND($AD$72=TRUE,SUM(O80:Y80)&gt;0),SUMPRODUCT((((TRANSPOSE(Cls3NCentDailyRng)&lt;INDEX(CDRANGE_CLS3,$A80-$A$76+1,AD$74))*TRANSPOSE(Cls3NCentDailyRng)+(TRANSPOSE(Cls3NCentDailyRng)&gt;INDEX(CDRANGE_CLS3,$A80-$A$76+1,AD$74))*INDEX(CDRANGE_CLS3,$A80-$A$76+1,AD$74))/TRANSPOSE(Cls3NCentDailyRng)),O80:Y80,TRANSPOSE(Cls3NCentVMTShr))/SUMPRODUCT(O80:Y80,TRANSPOSE(Cls3NCentVMTShr)),0)</f>
        <v>0</v>
      </c>
      <c r="AD80" s="1226">
        <f t="shared" si="80"/>
        <v>0</v>
      </c>
      <c r="AE80" s="1230">
        <f t="shared" si="73"/>
        <v>0</v>
      </c>
      <c r="AF80" s="1231">
        <f t="shared" si="74"/>
        <v>0</v>
      </c>
      <c r="AG80" s="1231">
        <f t="shared" si="75"/>
        <v>0</v>
      </c>
      <c r="AH80" s="1172">
        <f t="shared" si="81"/>
        <v>0</v>
      </c>
      <c r="AI80" s="1232">
        <f t="shared" si="82"/>
        <v>0</v>
      </c>
      <c r="AJ80" s="227"/>
      <c r="AK80" s="227"/>
      <c r="AL80" s="227"/>
      <c r="AM80" s="227"/>
    </row>
    <row r="81" spans="1:39" x14ac:dyDescent="0.2">
      <c r="A81" s="330">
        <v>2012</v>
      </c>
      <c r="B81" s="344">
        <v>0</v>
      </c>
      <c r="C81" s="345">
        <v>0</v>
      </c>
      <c r="D81" s="345">
        <v>0</v>
      </c>
      <c r="E81" s="345">
        <v>0</v>
      </c>
      <c r="F81" s="345">
        <v>0</v>
      </c>
      <c r="G81" s="345">
        <v>0</v>
      </c>
      <c r="H81" s="345">
        <v>0</v>
      </c>
      <c r="I81" s="345">
        <v>0</v>
      </c>
      <c r="J81" s="345">
        <v>0</v>
      </c>
      <c r="K81" s="345">
        <v>0</v>
      </c>
      <c r="L81" s="380">
        <v>0</v>
      </c>
      <c r="M81" s="296">
        <f t="shared" si="76"/>
        <v>0</v>
      </c>
      <c r="N81" s="298">
        <f t="shared" si="77"/>
        <v>0</v>
      </c>
      <c r="O81" s="344">
        <v>0</v>
      </c>
      <c r="P81" s="345">
        <v>0</v>
      </c>
      <c r="Q81" s="345">
        <v>0</v>
      </c>
      <c r="R81" s="345">
        <v>0</v>
      </c>
      <c r="S81" s="345">
        <v>0</v>
      </c>
      <c r="T81" s="345">
        <v>0</v>
      </c>
      <c r="U81" s="345">
        <v>0</v>
      </c>
      <c r="V81" s="345">
        <v>0</v>
      </c>
      <c r="W81" s="345">
        <v>0</v>
      </c>
      <c r="X81" s="345">
        <v>0</v>
      </c>
      <c r="Y81" s="380">
        <v>0</v>
      </c>
      <c r="Z81" s="296">
        <f t="shared" si="78"/>
        <v>0</v>
      </c>
      <c r="AA81" s="298">
        <f t="shared" si="79"/>
        <v>0</v>
      </c>
      <c r="AB81" s="948">
        <f t="array" ref="AB81">IF(AND($AD$71=TRUE,SUM(B81:L81)&gt;0),SUMPRODUCT((((TRANSPOSE(Cls3CentDailyRng)&lt;INDEX(CDRANGE_CLS3,$A81-$A$76+1,AD$72))*TRANSPOSE(Cls3CentDailyRng)+(TRANSPOSE(Cls3CentDailyRng)&gt;INDEX(CDRANGE_CLS3,$A81-$A$76+1,AD$72))*INDEX(CDRANGE_CLS3,$A81-$A$76+1,AD$72))/TRANSPOSE(Cls3CentDailyRng)),B81:L81,TRANSPOSE(Cls3CentVMTShr))/SUMPRODUCT(B81:L81,TRANSPOSE(Cls3CentVMTShr)),0)</f>
        <v>0</v>
      </c>
      <c r="AC81" s="949">
        <f t="array" ref="AC81">IF(AND($AD$72=TRUE,SUM(O81:Y81)&gt;0),SUMPRODUCT((((TRANSPOSE(Cls3NCentDailyRng)&lt;INDEX(CDRANGE_CLS3,$A81-$A$76+1,AD$74))*TRANSPOSE(Cls3NCentDailyRng)+(TRANSPOSE(Cls3NCentDailyRng)&gt;INDEX(CDRANGE_CLS3,$A81-$A$76+1,AD$74))*INDEX(CDRANGE_CLS3,$A81-$A$76+1,AD$74))/TRANSPOSE(Cls3NCentDailyRng)),O81:Y81,TRANSPOSE(Cls3NCentVMTShr))/SUMPRODUCT(O81:Y81,TRANSPOSE(Cls3NCentVMTShr)),0)</f>
        <v>0</v>
      </c>
      <c r="AD81" s="1226">
        <f t="shared" si="80"/>
        <v>0</v>
      </c>
      <c r="AE81" s="1230">
        <f t="shared" si="73"/>
        <v>0</v>
      </c>
      <c r="AF81" s="1231">
        <f t="shared" si="74"/>
        <v>0</v>
      </c>
      <c r="AG81" s="1231">
        <f t="shared" si="75"/>
        <v>0</v>
      </c>
      <c r="AH81" s="1172">
        <f t="shared" si="81"/>
        <v>0</v>
      </c>
      <c r="AI81" s="1232">
        <f t="shared" si="82"/>
        <v>0</v>
      </c>
      <c r="AJ81" s="227"/>
      <c r="AK81" s="227"/>
      <c r="AL81" s="227"/>
      <c r="AM81" s="227"/>
    </row>
    <row r="82" spans="1:39" x14ac:dyDescent="0.2">
      <c r="A82" s="330">
        <v>2013</v>
      </c>
      <c r="B82" s="344">
        <v>0</v>
      </c>
      <c r="C82" s="345">
        <v>0</v>
      </c>
      <c r="D82" s="345">
        <v>0</v>
      </c>
      <c r="E82" s="345">
        <v>0</v>
      </c>
      <c r="F82" s="345">
        <v>0</v>
      </c>
      <c r="G82" s="345">
        <v>0</v>
      </c>
      <c r="H82" s="345">
        <v>0</v>
      </c>
      <c r="I82" s="345">
        <v>0</v>
      </c>
      <c r="J82" s="345">
        <v>0</v>
      </c>
      <c r="K82" s="345">
        <v>0</v>
      </c>
      <c r="L82" s="380">
        <v>0</v>
      </c>
      <c r="M82" s="296">
        <f t="shared" si="76"/>
        <v>0</v>
      </c>
      <c r="N82" s="298">
        <f t="shared" si="77"/>
        <v>0</v>
      </c>
      <c r="O82" s="344">
        <v>0</v>
      </c>
      <c r="P82" s="345">
        <v>0</v>
      </c>
      <c r="Q82" s="345">
        <v>0</v>
      </c>
      <c r="R82" s="345">
        <v>0</v>
      </c>
      <c r="S82" s="345">
        <v>0</v>
      </c>
      <c r="T82" s="345">
        <v>0</v>
      </c>
      <c r="U82" s="345">
        <v>0</v>
      </c>
      <c r="V82" s="345">
        <v>0</v>
      </c>
      <c r="W82" s="345">
        <v>0</v>
      </c>
      <c r="X82" s="345">
        <v>0</v>
      </c>
      <c r="Y82" s="380">
        <v>0</v>
      </c>
      <c r="Z82" s="296">
        <f t="shared" si="78"/>
        <v>0</v>
      </c>
      <c r="AA82" s="298">
        <f t="shared" si="79"/>
        <v>0</v>
      </c>
      <c r="AB82" s="948">
        <f t="array" ref="AB82">IF(AND($AD$71=TRUE,SUM(B82:L82)&gt;0),SUMPRODUCT((((TRANSPOSE(Cls3CentDailyRng)&lt;INDEX(CDRANGE_CLS3,$A82-$A$76+1,AD$72))*TRANSPOSE(Cls3CentDailyRng)+(TRANSPOSE(Cls3CentDailyRng)&gt;INDEX(CDRANGE_CLS3,$A82-$A$76+1,AD$72))*INDEX(CDRANGE_CLS3,$A82-$A$76+1,AD$72))/TRANSPOSE(Cls3CentDailyRng)),B82:L82,TRANSPOSE(Cls3CentVMTShr))/SUMPRODUCT(B82:L82,TRANSPOSE(Cls3CentVMTShr)),0)</f>
        <v>0</v>
      </c>
      <c r="AC82" s="949">
        <f t="array" ref="AC82">IF(AND($AD$72=TRUE,SUM(O82:Y82)&gt;0),SUMPRODUCT((((TRANSPOSE(Cls3NCentDailyRng)&lt;INDEX(CDRANGE_CLS3,$A82-$A$76+1,AD$74))*TRANSPOSE(Cls3NCentDailyRng)+(TRANSPOSE(Cls3NCentDailyRng)&gt;INDEX(CDRANGE_CLS3,$A82-$A$76+1,AD$74))*INDEX(CDRANGE_CLS3,$A82-$A$76+1,AD$74))/TRANSPOSE(Cls3NCentDailyRng)),O82:Y82,TRANSPOSE(Cls3NCentVMTShr))/SUMPRODUCT(O82:Y82,TRANSPOSE(Cls3NCentVMTShr)),0)</f>
        <v>0</v>
      </c>
      <c r="AD82" s="1226">
        <f t="shared" si="80"/>
        <v>0</v>
      </c>
      <c r="AE82" s="1230">
        <f t="shared" si="73"/>
        <v>0</v>
      </c>
      <c r="AF82" s="1231">
        <f t="shared" si="74"/>
        <v>0</v>
      </c>
      <c r="AG82" s="1231">
        <f t="shared" si="75"/>
        <v>0</v>
      </c>
      <c r="AH82" s="1172">
        <f t="shared" si="81"/>
        <v>0</v>
      </c>
      <c r="AI82" s="1232">
        <f t="shared" si="82"/>
        <v>0</v>
      </c>
      <c r="AJ82" s="227"/>
      <c r="AK82" s="227"/>
      <c r="AL82" s="227"/>
      <c r="AM82" s="227"/>
    </row>
    <row r="83" spans="1:39" x14ac:dyDescent="0.2">
      <c r="A83" s="330">
        <v>2014</v>
      </c>
      <c r="B83" s="344">
        <v>0</v>
      </c>
      <c r="C83" s="345">
        <v>0</v>
      </c>
      <c r="D83" s="345">
        <v>0</v>
      </c>
      <c r="E83" s="345">
        <v>0</v>
      </c>
      <c r="F83" s="345">
        <v>0</v>
      </c>
      <c r="G83" s="345">
        <v>0</v>
      </c>
      <c r="H83" s="345">
        <v>0</v>
      </c>
      <c r="I83" s="345">
        <v>0</v>
      </c>
      <c r="J83" s="345">
        <v>0</v>
      </c>
      <c r="K83" s="345">
        <v>0</v>
      </c>
      <c r="L83" s="380">
        <v>0</v>
      </c>
      <c r="M83" s="296">
        <f t="shared" si="76"/>
        <v>0</v>
      </c>
      <c r="N83" s="298">
        <f t="shared" si="77"/>
        <v>0</v>
      </c>
      <c r="O83" s="344">
        <v>0</v>
      </c>
      <c r="P83" s="345">
        <v>0</v>
      </c>
      <c r="Q83" s="345">
        <v>0</v>
      </c>
      <c r="R83" s="345">
        <v>0</v>
      </c>
      <c r="S83" s="345">
        <v>0</v>
      </c>
      <c r="T83" s="345">
        <v>0</v>
      </c>
      <c r="U83" s="345">
        <v>0</v>
      </c>
      <c r="V83" s="345">
        <v>0</v>
      </c>
      <c r="W83" s="345">
        <v>0</v>
      </c>
      <c r="X83" s="345">
        <v>0</v>
      </c>
      <c r="Y83" s="380">
        <v>0</v>
      </c>
      <c r="Z83" s="296">
        <f t="shared" si="78"/>
        <v>0</v>
      </c>
      <c r="AA83" s="298">
        <f t="shared" si="79"/>
        <v>0</v>
      </c>
      <c r="AB83" s="948">
        <f t="array" ref="AB83">IF(AND($AD$71=TRUE,SUM(B83:L83)&gt;0),SUMPRODUCT((((TRANSPOSE(Cls3CentDailyRng)&lt;INDEX(CDRANGE_CLS3,$A83-$A$76+1,AD$72))*TRANSPOSE(Cls3CentDailyRng)+(TRANSPOSE(Cls3CentDailyRng)&gt;INDEX(CDRANGE_CLS3,$A83-$A$76+1,AD$72))*INDEX(CDRANGE_CLS3,$A83-$A$76+1,AD$72))/TRANSPOSE(Cls3CentDailyRng)),B83:L83,TRANSPOSE(Cls3CentVMTShr))/SUMPRODUCT(B83:L83,TRANSPOSE(Cls3CentVMTShr)),0)</f>
        <v>0</v>
      </c>
      <c r="AC83" s="949">
        <f t="array" ref="AC83">IF(AND($AD$72=TRUE,SUM(O83:Y83)&gt;0),SUMPRODUCT((((TRANSPOSE(Cls3NCentDailyRng)&lt;INDEX(CDRANGE_CLS3,$A83-$A$76+1,AD$74))*TRANSPOSE(Cls3NCentDailyRng)+(TRANSPOSE(Cls3NCentDailyRng)&gt;INDEX(CDRANGE_CLS3,$A83-$A$76+1,AD$74))*INDEX(CDRANGE_CLS3,$A83-$A$76+1,AD$74))/TRANSPOSE(Cls3NCentDailyRng)),O83:Y83,TRANSPOSE(Cls3NCentVMTShr))/SUMPRODUCT(O83:Y83,TRANSPOSE(Cls3NCentVMTShr)),0)</f>
        <v>0</v>
      </c>
      <c r="AD83" s="1226">
        <f t="shared" si="80"/>
        <v>0</v>
      </c>
      <c r="AE83" s="1230">
        <f t="shared" si="73"/>
        <v>0</v>
      </c>
      <c r="AF83" s="1231">
        <f t="shared" si="74"/>
        <v>0</v>
      </c>
      <c r="AG83" s="1231">
        <f t="shared" si="75"/>
        <v>0</v>
      </c>
      <c r="AH83" s="1172">
        <f t="shared" si="81"/>
        <v>0</v>
      </c>
      <c r="AI83" s="1232">
        <f t="shared" si="82"/>
        <v>0</v>
      </c>
      <c r="AJ83" s="227"/>
      <c r="AK83" s="227"/>
      <c r="AL83" s="227"/>
      <c r="AM83" s="227"/>
    </row>
    <row r="84" spans="1:39" ht="15" thickBot="1" x14ac:dyDescent="0.25">
      <c r="A84" s="328">
        <v>2015</v>
      </c>
      <c r="B84" s="346">
        <v>0</v>
      </c>
      <c r="C84" s="347">
        <v>0</v>
      </c>
      <c r="D84" s="347">
        <v>0</v>
      </c>
      <c r="E84" s="347">
        <v>0</v>
      </c>
      <c r="F84" s="347">
        <v>0</v>
      </c>
      <c r="G84" s="347">
        <v>0</v>
      </c>
      <c r="H84" s="347">
        <v>0</v>
      </c>
      <c r="I84" s="347">
        <v>0</v>
      </c>
      <c r="J84" s="347">
        <v>0</v>
      </c>
      <c r="K84" s="347">
        <v>0</v>
      </c>
      <c r="L84" s="381">
        <v>0</v>
      </c>
      <c r="M84" s="310">
        <f t="shared" si="76"/>
        <v>0</v>
      </c>
      <c r="N84" s="312">
        <f t="shared" si="77"/>
        <v>0</v>
      </c>
      <c r="O84" s="346">
        <v>0</v>
      </c>
      <c r="P84" s="347">
        <v>0</v>
      </c>
      <c r="Q84" s="347">
        <v>0</v>
      </c>
      <c r="R84" s="347">
        <v>0</v>
      </c>
      <c r="S84" s="347">
        <v>0</v>
      </c>
      <c r="T84" s="347">
        <v>0</v>
      </c>
      <c r="U84" s="347">
        <v>0</v>
      </c>
      <c r="V84" s="347">
        <v>0</v>
      </c>
      <c r="W84" s="347">
        <v>0</v>
      </c>
      <c r="X84" s="347">
        <v>0</v>
      </c>
      <c r="Y84" s="381">
        <v>0</v>
      </c>
      <c r="Z84" s="310">
        <f t="shared" si="78"/>
        <v>0</v>
      </c>
      <c r="AA84" s="312">
        <f t="shared" si="79"/>
        <v>0</v>
      </c>
      <c r="AB84" s="948">
        <f t="array" ref="AB84">IF(AND($AD$71=TRUE,SUM(B84:L84)&gt;0),SUMPRODUCT((((TRANSPOSE(Cls3CentDailyRng)&lt;INDEX(CDRANGE_CLS3,$A84-$A$76+1,AD$72))*TRANSPOSE(Cls3CentDailyRng)+(TRANSPOSE(Cls3CentDailyRng)&gt;INDEX(CDRANGE_CLS3,$A84-$A$76+1,AD$72))*INDEX(CDRANGE_CLS3,$A84-$A$76+1,AD$72))/TRANSPOSE(Cls3CentDailyRng)),B84:L84,TRANSPOSE(Cls3CentVMTShr))/SUMPRODUCT(B84:L84,TRANSPOSE(Cls3CentVMTShr)),0)</f>
        <v>0</v>
      </c>
      <c r="AC84" s="949">
        <f t="array" ref="AC84">IF(AND($AD$72=TRUE,SUM(O84:Y84)&gt;0),SUMPRODUCT((((TRANSPOSE(Cls3NCentDailyRng)&lt;INDEX(CDRANGE_CLS3,$A84-$A$76+1,AD$74))*TRANSPOSE(Cls3NCentDailyRng)+(TRANSPOSE(Cls3NCentDailyRng)&gt;INDEX(CDRANGE_CLS3,$A84-$A$76+1,AD$74))*INDEX(CDRANGE_CLS3,$A84-$A$76+1,AD$74))/TRANSPOSE(Cls3NCentDailyRng)),O84:Y84,TRANSPOSE(Cls3NCentVMTShr))/SUMPRODUCT(O84:Y84,TRANSPOSE(Cls3NCentVMTShr)),0)</f>
        <v>0</v>
      </c>
      <c r="AD84" s="1226">
        <f t="shared" si="80"/>
        <v>0</v>
      </c>
      <c r="AE84" s="1230">
        <f t="shared" si="73"/>
        <v>0</v>
      </c>
      <c r="AF84" s="1231">
        <f t="shared" si="74"/>
        <v>0</v>
      </c>
      <c r="AG84" s="1231">
        <f t="shared" si="75"/>
        <v>0</v>
      </c>
      <c r="AH84" s="1172">
        <f t="shared" si="81"/>
        <v>0</v>
      </c>
      <c r="AI84" s="1232">
        <f t="shared" si="82"/>
        <v>0</v>
      </c>
      <c r="AJ84" s="227"/>
      <c r="AK84" s="227"/>
      <c r="AL84" s="227"/>
      <c r="AM84" s="227"/>
    </row>
    <row r="85" spans="1:39" x14ac:dyDescent="0.2">
      <c r="A85" s="329">
        <v>2016</v>
      </c>
      <c r="B85" s="342">
        <v>0</v>
      </c>
      <c r="C85" s="343">
        <v>0</v>
      </c>
      <c r="D85" s="343">
        <v>0</v>
      </c>
      <c r="E85" s="343">
        <v>0</v>
      </c>
      <c r="F85" s="343">
        <v>0</v>
      </c>
      <c r="G85" s="343">
        <v>0</v>
      </c>
      <c r="H85" s="343">
        <v>0</v>
      </c>
      <c r="I85" s="343">
        <v>0</v>
      </c>
      <c r="J85" s="343">
        <v>0</v>
      </c>
      <c r="K85" s="343">
        <v>0</v>
      </c>
      <c r="L85" s="379">
        <v>0</v>
      </c>
      <c r="M85" s="282">
        <f t="shared" si="76"/>
        <v>0</v>
      </c>
      <c r="N85" s="284">
        <f t="shared" si="77"/>
        <v>0</v>
      </c>
      <c r="O85" s="342">
        <v>0</v>
      </c>
      <c r="P85" s="343">
        <v>0</v>
      </c>
      <c r="Q85" s="343">
        <v>0</v>
      </c>
      <c r="R85" s="343">
        <v>0</v>
      </c>
      <c r="S85" s="343">
        <v>0</v>
      </c>
      <c r="T85" s="343">
        <v>0</v>
      </c>
      <c r="U85" s="343">
        <v>0</v>
      </c>
      <c r="V85" s="343">
        <v>0</v>
      </c>
      <c r="W85" s="343">
        <v>0</v>
      </c>
      <c r="X85" s="343">
        <v>0</v>
      </c>
      <c r="Y85" s="379">
        <v>0</v>
      </c>
      <c r="Z85" s="282">
        <f t="shared" si="78"/>
        <v>0</v>
      </c>
      <c r="AA85" s="284">
        <f t="shared" si="79"/>
        <v>0</v>
      </c>
      <c r="AB85" s="948">
        <f t="array" ref="AB85">IF(AND($AD$71=TRUE,SUM(B85:L85)&gt;0),SUMPRODUCT((((TRANSPOSE(Cls3CentDailyRng)&lt;INDEX(CDRANGE_CLS3,$A85-$A$76+1,AD$72))*TRANSPOSE(Cls3CentDailyRng)+(TRANSPOSE(Cls3CentDailyRng)&gt;INDEX(CDRANGE_CLS3,$A85-$A$76+1,AD$72))*INDEX(CDRANGE_CLS3,$A85-$A$76+1,AD$72))/TRANSPOSE(Cls3CentDailyRng)),B85:L85,TRANSPOSE(Cls3CentVMTShr))/SUMPRODUCT(B85:L85,TRANSPOSE(Cls3CentVMTShr)),0)</f>
        <v>0</v>
      </c>
      <c r="AC85" s="949">
        <f t="array" ref="AC85">IF(AND($AD$72=TRUE,SUM(O85:Y85)&gt;0),SUMPRODUCT((((TRANSPOSE(Cls3NCentDailyRng)&lt;INDEX(CDRANGE_CLS3,$A85-$A$76+1,AD$74))*TRANSPOSE(Cls3NCentDailyRng)+(TRANSPOSE(Cls3NCentDailyRng)&gt;INDEX(CDRANGE_CLS3,$A85-$A$76+1,AD$74))*INDEX(CDRANGE_CLS3,$A85-$A$76+1,AD$74))/TRANSPOSE(Cls3NCentDailyRng)),O85:Y85,TRANSPOSE(Cls3NCentVMTShr))/SUMPRODUCT(O85:Y85,TRANSPOSE(Cls3NCentVMTShr)),0)</f>
        <v>0</v>
      </c>
      <c r="AD85" s="1226">
        <f t="shared" si="80"/>
        <v>0</v>
      </c>
      <c r="AE85" s="1230">
        <f t="shared" si="73"/>
        <v>0</v>
      </c>
      <c r="AF85" s="1231">
        <f t="shared" si="74"/>
        <v>0</v>
      </c>
      <c r="AG85" s="1231">
        <f t="shared" si="75"/>
        <v>0</v>
      </c>
      <c r="AH85" s="1172">
        <f t="shared" si="81"/>
        <v>0</v>
      </c>
      <c r="AI85" s="1232">
        <f t="shared" si="82"/>
        <v>0</v>
      </c>
      <c r="AJ85" s="227"/>
      <c r="AK85" s="227"/>
      <c r="AL85" s="227"/>
      <c r="AM85" s="227"/>
    </row>
    <row r="86" spans="1:39" x14ac:dyDescent="0.2">
      <c r="A86" s="330">
        <v>2017</v>
      </c>
      <c r="B86" s="344">
        <v>0</v>
      </c>
      <c r="C86" s="345">
        <v>0</v>
      </c>
      <c r="D86" s="345">
        <v>0</v>
      </c>
      <c r="E86" s="345">
        <v>0</v>
      </c>
      <c r="F86" s="345">
        <v>0</v>
      </c>
      <c r="G86" s="345">
        <v>0</v>
      </c>
      <c r="H86" s="345">
        <v>0</v>
      </c>
      <c r="I86" s="345">
        <v>0</v>
      </c>
      <c r="J86" s="345">
        <v>0</v>
      </c>
      <c r="K86" s="345">
        <v>0</v>
      </c>
      <c r="L86" s="380">
        <v>0</v>
      </c>
      <c r="M86" s="296">
        <f t="shared" si="76"/>
        <v>0</v>
      </c>
      <c r="N86" s="298">
        <f t="shared" si="77"/>
        <v>0</v>
      </c>
      <c r="O86" s="344">
        <v>0</v>
      </c>
      <c r="P86" s="345">
        <v>0</v>
      </c>
      <c r="Q86" s="345">
        <v>0</v>
      </c>
      <c r="R86" s="345">
        <v>0</v>
      </c>
      <c r="S86" s="345">
        <v>0</v>
      </c>
      <c r="T86" s="345">
        <v>0</v>
      </c>
      <c r="U86" s="345">
        <v>0</v>
      </c>
      <c r="V86" s="345">
        <v>0</v>
      </c>
      <c r="W86" s="345">
        <v>0</v>
      </c>
      <c r="X86" s="345">
        <v>0</v>
      </c>
      <c r="Y86" s="380">
        <v>0</v>
      </c>
      <c r="Z86" s="296">
        <f t="shared" si="78"/>
        <v>0</v>
      </c>
      <c r="AA86" s="298">
        <f t="shared" si="79"/>
        <v>0</v>
      </c>
      <c r="AB86" s="948">
        <f t="array" ref="AB86">IF(AND($AD$71=TRUE,SUM(B86:L86)&gt;0),SUMPRODUCT((((TRANSPOSE(Cls3CentDailyRng)&lt;INDEX(CDRANGE_CLS3,$A86-$A$76+1,AD$72))*TRANSPOSE(Cls3CentDailyRng)+(TRANSPOSE(Cls3CentDailyRng)&gt;INDEX(CDRANGE_CLS3,$A86-$A$76+1,AD$72))*INDEX(CDRANGE_CLS3,$A86-$A$76+1,AD$72))/TRANSPOSE(Cls3CentDailyRng)),B86:L86,TRANSPOSE(Cls3CentVMTShr))/SUMPRODUCT(B86:L86,TRANSPOSE(Cls3CentVMTShr)),0)</f>
        <v>0</v>
      </c>
      <c r="AC86" s="949">
        <f t="array" ref="AC86">IF(AND($AD$72=TRUE,SUM(O86:Y86)&gt;0),SUMPRODUCT((((TRANSPOSE(Cls3NCentDailyRng)&lt;INDEX(CDRANGE_CLS3,$A86-$A$76+1,AD$74))*TRANSPOSE(Cls3NCentDailyRng)+(TRANSPOSE(Cls3NCentDailyRng)&gt;INDEX(CDRANGE_CLS3,$A86-$A$76+1,AD$74))*INDEX(CDRANGE_CLS3,$A86-$A$76+1,AD$74))/TRANSPOSE(Cls3NCentDailyRng)),O86:Y86,TRANSPOSE(Cls3NCentVMTShr))/SUMPRODUCT(O86:Y86,TRANSPOSE(Cls3NCentVMTShr)),0)</f>
        <v>0</v>
      </c>
      <c r="AD86" s="1226">
        <f t="shared" si="80"/>
        <v>0</v>
      </c>
      <c r="AE86" s="1230">
        <f t="shared" si="73"/>
        <v>0</v>
      </c>
      <c r="AF86" s="1231">
        <f t="shared" si="74"/>
        <v>0</v>
      </c>
      <c r="AG86" s="1231">
        <f t="shared" si="75"/>
        <v>0</v>
      </c>
      <c r="AH86" s="1172">
        <f t="shared" si="81"/>
        <v>0</v>
      </c>
      <c r="AI86" s="1232">
        <f t="shared" si="82"/>
        <v>0</v>
      </c>
      <c r="AJ86" s="227"/>
      <c r="AK86" s="227"/>
      <c r="AL86" s="227"/>
      <c r="AM86" s="227"/>
    </row>
    <row r="87" spans="1:39" x14ac:dyDescent="0.2">
      <c r="A87" s="330">
        <v>2018</v>
      </c>
      <c r="B87" s="344">
        <v>0</v>
      </c>
      <c r="C87" s="345">
        <v>0</v>
      </c>
      <c r="D87" s="345">
        <v>0</v>
      </c>
      <c r="E87" s="345">
        <v>0</v>
      </c>
      <c r="F87" s="345">
        <v>0</v>
      </c>
      <c r="G87" s="345">
        <v>0</v>
      </c>
      <c r="H87" s="345">
        <v>0</v>
      </c>
      <c r="I87" s="345">
        <v>0</v>
      </c>
      <c r="J87" s="345">
        <v>0</v>
      </c>
      <c r="K87" s="345">
        <v>0</v>
      </c>
      <c r="L87" s="380">
        <v>0</v>
      </c>
      <c r="M87" s="296">
        <f t="shared" si="76"/>
        <v>0</v>
      </c>
      <c r="N87" s="298">
        <f t="shared" si="77"/>
        <v>0</v>
      </c>
      <c r="O87" s="344">
        <v>0</v>
      </c>
      <c r="P87" s="345">
        <v>0</v>
      </c>
      <c r="Q87" s="345">
        <v>0</v>
      </c>
      <c r="R87" s="345">
        <v>0</v>
      </c>
      <c r="S87" s="345">
        <v>0</v>
      </c>
      <c r="T87" s="345">
        <v>0</v>
      </c>
      <c r="U87" s="345">
        <v>0</v>
      </c>
      <c r="V87" s="345">
        <v>0</v>
      </c>
      <c r="W87" s="345">
        <v>0</v>
      </c>
      <c r="X87" s="345">
        <v>0</v>
      </c>
      <c r="Y87" s="380">
        <v>0</v>
      </c>
      <c r="Z87" s="296">
        <f t="shared" si="78"/>
        <v>0</v>
      </c>
      <c r="AA87" s="298">
        <f t="shared" si="79"/>
        <v>0</v>
      </c>
      <c r="AB87" s="948">
        <f t="array" ref="AB87">IF(AND($AD$71=TRUE,SUM(B87:L87)&gt;0),SUMPRODUCT((((TRANSPOSE(Cls3CentDailyRng)&lt;INDEX(CDRANGE_CLS3,$A87-$A$76+1,AD$72))*TRANSPOSE(Cls3CentDailyRng)+(TRANSPOSE(Cls3CentDailyRng)&gt;INDEX(CDRANGE_CLS3,$A87-$A$76+1,AD$72))*INDEX(CDRANGE_CLS3,$A87-$A$76+1,AD$72))/TRANSPOSE(Cls3CentDailyRng)),B87:L87,TRANSPOSE(Cls3CentVMTShr))/SUMPRODUCT(B87:L87,TRANSPOSE(Cls3CentVMTShr)),0)</f>
        <v>0</v>
      </c>
      <c r="AC87" s="949">
        <f t="array" ref="AC87">IF(AND($AD$72=TRUE,SUM(O87:Y87)&gt;0),SUMPRODUCT((((TRANSPOSE(Cls3NCentDailyRng)&lt;INDEX(CDRANGE_CLS3,$A87-$A$76+1,AD$74))*TRANSPOSE(Cls3NCentDailyRng)+(TRANSPOSE(Cls3NCentDailyRng)&gt;INDEX(CDRANGE_CLS3,$A87-$A$76+1,AD$74))*INDEX(CDRANGE_CLS3,$A87-$A$76+1,AD$74))/TRANSPOSE(Cls3NCentDailyRng)),O87:Y87,TRANSPOSE(Cls3NCentVMTShr))/SUMPRODUCT(O87:Y87,TRANSPOSE(Cls3NCentVMTShr)),0)</f>
        <v>0</v>
      </c>
      <c r="AD87" s="1226">
        <f t="shared" si="80"/>
        <v>0</v>
      </c>
      <c r="AE87" s="1230">
        <f t="shared" si="73"/>
        <v>0</v>
      </c>
      <c r="AF87" s="1231">
        <f t="shared" si="74"/>
        <v>0</v>
      </c>
      <c r="AG87" s="1231">
        <f t="shared" si="75"/>
        <v>0</v>
      </c>
      <c r="AH87" s="1172">
        <f t="shared" si="81"/>
        <v>0</v>
      </c>
      <c r="AI87" s="1232">
        <f t="shared" si="82"/>
        <v>0</v>
      </c>
      <c r="AJ87" s="227"/>
      <c r="AK87" s="227"/>
      <c r="AL87" s="227"/>
      <c r="AM87" s="227"/>
    </row>
    <row r="88" spans="1:39" x14ac:dyDescent="0.2">
      <c r="A88" s="330">
        <v>2019</v>
      </c>
      <c r="B88" s="344">
        <v>0</v>
      </c>
      <c r="C88" s="345">
        <v>0</v>
      </c>
      <c r="D88" s="345">
        <v>0</v>
      </c>
      <c r="E88" s="345">
        <v>0</v>
      </c>
      <c r="F88" s="345">
        <v>0</v>
      </c>
      <c r="G88" s="345">
        <v>0</v>
      </c>
      <c r="H88" s="345">
        <v>0</v>
      </c>
      <c r="I88" s="345">
        <v>0</v>
      </c>
      <c r="J88" s="345">
        <v>0</v>
      </c>
      <c r="K88" s="345">
        <v>0</v>
      </c>
      <c r="L88" s="380">
        <v>0</v>
      </c>
      <c r="M88" s="296">
        <f t="shared" si="76"/>
        <v>0</v>
      </c>
      <c r="N88" s="298">
        <f t="shared" si="77"/>
        <v>0</v>
      </c>
      <c r="O88" s="344">
        <v>0</v>
      </c>
      <c r="P88" s="345">
        <v>0</v>
      </c>
      <c r="Q88" s="345">
        <v>0</v>
      </c>
      <c r="R88" s="345">
        <v>0</v>
      </c>
      <c r="S88" s="345">
        <v>0</v>
      </c>
      <c r="T88" s="345">
        <v>0</v>
      </c>
      <c r="U88" s="345">
        <v>0</v>
      </c>
      <c r="V88" s="345">
        <v>0</v>
      </c>
      <c r="W88" s="345">
        <v>0</v>
      </c>
      <c r="X88" s="345">
        <v>0</v>
      </c>
      <c r="Y88" s="380">
        <v>0</v>
      </c>
      <c r="Z88" s="296">
        <f t="shared" si="78"/>
        <v>0</v>
      </c>
      <c r="AA88" s="298">
        <f t="shared" si="79"/>
        <v>0</v>
      </c>
      <c r="AB88" s="948">
        <f t="array" ref="AB88">IF(AND($AD$71=TRUE,SUM(B88:L88)&gt;0),SUMPRODUCT((((TRANSPOSE(Cls3CentDailyRng)&lt;INDEX(CDRANGE_CLS3,$A88-$A$76+1,AD$72))*TRANSPOSE(Cls3CentDailyRng)+(TRANSPOSE(Cls3CentDailyRng)&gt;INDEX(CDRANGE_CLS3,$A88-$A$76+1,AD$72))*INDEX(CDRANGE_CLS3,$A88-$A$76+1,AD$72))/TRANSPOSE(Cls3CentDailyRng)),B88:L88,TRANSPOSE(Cls3CentVMTShr))/SUMPRODUCT(B88:L88,TRANSPOSE(Cls3CentVMTShr)),0)</f>
        <v>0</v>
      </c>
      <c r="AC88" s="949">
        <f t="array" ref="AC88">IF(AND($AD$72=TRUE,SUM(O88:Y88)&gt;0),SUMPRODUCT((((TRANSPOSE(Cls3NCentDailyRng)&lt;INDEX(CDRANGE_CLS3,$A88-$A$76+1,AD$74))*TRANSPOSE(Cls3NCentDailyRng)+(TRANSPOSE(Cls3NCentDailyRng)&gt;INDEX(CDRANGE_CLS3,$A88-$A$76+1,AD$74))*INDEX(CDRANGE_CLS3,$A88-$A$76+1,AD$74))/TRANSPOSE(Cls3NCentDailyRng)),O88:Y88,TRANSPOSE(Cls3NCentVMTShr))/SUMPRODUCT(O88:Y88,TRANSPOSE(Cls3NCentVMTShr)),0)</f>
        <v>0</v>
      </c>
      <c r="AD88" s="1226">
        <f t="shared" si="80"/>
        <v>0</v>
      </c>
      <c r="AE88" s="1230">
        <f t="shared" si="73"/>
        <v>0</v>
      </c>
      <c r="AF88" s="1231">
        <f t="shared" si="74"/>
        <v>0</v>
      </c>
      <c r="AG88" s="1231">
        <f t="shared" si="75"/>
        <v>0</v>
      </c>
      <c r="AH88" s="1172">
        <f t="shared" si="81"/>
        <v>0</v>
      </c>
      <c r="AI88" s="1232">
        <f t="shared" si="82"/>
        <v>0</v>
      </c>
      <c r="AJ88" s="227"/>
      <c r="AK88" s="227"/>
      <c r="AL88" s="227"/>
      <c r="AM88" s="227"/>
    </row>
    <row r="89" spans="1:39" ht="15" thickBot="1" x14ac:dyDescent="0.25">
      <c r="A89" s="328">
        <v>2020</v>
      </c>
      <c r="B89" s="346">
        <v>0</v>
      </c>
      <c r="C89" s="347">
        <v>0</v>
      </c>
      <c r="D89" s="347">
        <v>0</v>
      </c>
      <c r="E89" s="347">
        <v>0</v>
      </c>
      <c r="F89" s="347">
        <v>0</v>
      </c>
      <c r="G89" s="347">
        <v>0</v>
      </c>
      <c r="H89" s="347">
        <v>0</v>
      </c>
      <c r="I89" s="347">
        <v>0</v>
      </c>
      <c r="J89" s="347">
        <v>0</v>
      </c>
      <c r="K89" s="347">
        <v>0</v>
      </c>
      <c r="L89" s="381">
        <v>0</v>
      </c>
      <c r="M89" s="310">
        <f t="shared" si="76"/>
        <v>0</v>
      </c>
      <c r="N89" s="312">
        <f t="shared" si="77"/>
        <v>0</v>
      </c>
      <c r="O89" s="346">
        <v>0</v>
      </c>
      <c r="P89" s="347">
        <v>0</v>
      </c>
      <c r="Q89" s="347">
        <v>0</v>
      </c>
      <c r="R89" s="347">
        <v>0</v>
      </c>
      <c r="S89" s="347">
        <v>0</v>
      </c>
      <c r="T89" s="347">
        <v>0</v>
      </c>
      <c r="U89" s="347">
        <v>0</v>
      </c>
      <c r="V89" s="347">
        <v>0</v>
      </c>
      <c r="W89" s="347">
        <v>0</v>
      </c>
      <c r="X89" s="347">
        <v>0</v>
      </c>
      <c r="Y89" s="381">
        <v>0</v>
      </c>
      <c r="Z89" s="310">
        <f t="shared" si="78"/>
        <v>0</v>
      </c>
      <c r="AA89" s="312">
        <f t="shared" si="79"/>
        <v>0</v>
      </c>
      <c r="AB89" s="948">
        <f t="array" ref="AB89">IF(AND($AD$71=TRUE,SUM(B89:L89)&gt;0),SUMPRODUCT((((TRANSPOSE(Cls3CentDailyRng)&lt;INDEX(CDRANGE_CLS3,$A89-$A$76+1,AD$72))*TRANSPOSE(Cls3CentDailyRng)+(TRANSPOSE(Cls3CentDailyRng)&gt;INDEX(CDRANGE_CLS3,$A89-$A$76+1,AD$72))*INDEX(CDRANGE_CLS3,$A89-$A$76+1,AD$72))/TRANSPOSE(Cls3CentDailyRng)),B89:L89,TRANSPOSE(Cls3CentVMTShr))/SUMPRODUCT(B89:L89,TRANSPOSE(Cls3CentVMTShr)),0)</f>
        <v>0</v>
      </c>
      <c r="AC89" s="949">
        <f t="array" ref="AC89">IF(AND($AD$72=TRUE,SUM(O89:Y89)&gt;0),SUMPRODUCT((((TRANSPOSE(Cls3NCentDailyRng)&lt;INDEX(CDRANGE_CLS3,$A89-$A$76+1,AD$74))*TRANSPOSE(Cls3NCentDailyRng)+(TRANSPOSE(Cls3NCentDailyRng)&gt;INDEX(CDRANGE_CLS3,$A89-$A$76+1,AD$74))*INDEX(CDRANGE_CLS3,$A89-$A$76+1,AD$74))/TRANSPOSE(Cls3NCentDailyRng)),O89:Y89,TRANSPOSE(Cls3NCentVMTShr))/SUMPRODUCT(O89:Y89,TRANSPOSE(Cls3NCentVMTShr)),0)</f>
        <v>0</v>
      </c>
      <c r="AD89" s="1226">
        <f t="shared" si="80"/>
        <v>0</v>
      </c>
      <c r="AE89" s="1230">
        <f t="shared" si="73"/>
        <v>0</v>
      </c>
      <c r="AF89" s="1231">
        <f t="shared" si="74"/>
        <v>0</v>
      </c>
      <c r="AG89" s="1231">
        <f t="shared" si="75"/>
        <v>0</v>
      </c>
      <c r="AH89" s="1172">
        <f t="shared" si="81"/>
        <v>0</v>
      </c>
      <c r="AI89" s="1232">
        <f t="shared" si="82"/>
        <v>0</v>
      </c>
      <c r="AJ89" s="227"/>
      <c r="AK89" s="227"/>
      <c r="AL89" s="227"/>
      <c r="AM89" s="227"/>
    </row>
    <row r="90" spans="1:39" x14ac:dyDescent="0.2">
      <c r="A90" s="329">
        <v>2021</v>
      </c>
      <c r="B90" s="342">
        <v>0</v>
      </c>
      <c r="C90" s="343">
        <v>0</v>
      </c>
      <c r="D90" s="343">
        <v>0</v>
      </c>
      <c r="E90" s="343">
        <v>0</v>
      </c>
      <c r="F90" s="343">
        <v>0</v>
      </c>
      <c r="G90" s="343">
        <v>0</v>
      </c>
      <c r="H90" s="343">
        <v>0</v>
      </c>
      <c r="I90" s="343">
        <v>0</v>
      </c>
      <c r="J90" s="343">
        <v>0</v>
      </c>
      <c r="K90" s="343">
        <v>0</v>
      </c>
      <c r="L90" s="379">
        <v>0</v>
      </c>
      <c r="M90" s="282">
        <f t="shared" si="76"/>
        <v>0</v>
      </c>
      <c r="N90" s="284">
        <f t="shared" si="77"/>
        <v>0</v>
      </c>
      <c r="O90" s="342">
        <v>0</v>
      </c>
      <c r="P90" s="343">
        <v>0</v>
      </c>
      <c r="Q90" s="343">
        <v>0</v>
      </c>
      <c r="R90" s="343">
        <v>0</v>
      </c>
      <c r="S90" s="343">
        <v>0</v>
      </c>
      <c r="T90" s="343">
        <v>0</v>
      </c>
      <c r="U90" s="343">
        <v>0</v>
      </c>
      <c r="V90" s="343">
        <v>0</v>
      </c>
      <c r="W90" s="343">
        <v>0</v>
      </c>
      <c r="X90" s="343">
        <v>0</v>
      </c>
      <c r="Y90" s="379">
        <v>0</v>
      </c>
      <c r="Z90" s="282">
        <f t="shared" si="78"/>
        <v>0</v>
      </c>
      <c r="AA90" s="284">
        <f t="shared" si="79"/>
        <v>0</v>
      </c>
      <c r="AB90" s="948">
        <f t="array" ref="AB90">IF(AND($AD$71=TRUE,SUM(B90:L90)&gt;0),SUMPRODUCT((((TRANSPOSE(Cls3CentDailyRng)&lt;INDEX(CDRANGE_CLS3,$A90-$A$76+1,AD$72))*TRANSPOSE(Cls3CentDailyRng)+(TRANSPOSE(Cls3CentDailyRng)&gt;INDEX(CDRANGE_CLS3,$A90-$A$76+1,AD$72))*INDEX(CDRANGE_CLS3,$A90-$A$76+1,AD$72))/TRANSPOSE(Cls3CentDailyRng)),B90:L90,TRANSPOSE(Cls3CentVMTShr))/SUMPRODUCT(B90:L90,TRANSPOSE(Cls3CentVMTShr)),0)</f>
        <v>0</v>
      </c>
      <c r="AC90" s="949">
        <f t="array" ref="AC90">IF(AND($AD$72=TRUE,SUM(O90:Y90)&gt;0),SUMPRODUCT((((TRANSPOSE(Cls3NCentDailyRng)&lt;INDEX(CDRANGE_CLS3,$A90-$A$76+1,AD$74))*TRANSPOSE(Cls3NCentDailyRng)+(TRANSPOSE(Cls3NCentDailyRng)&gt;INDEX(CDRANGE_CLS3,$A90-$A$76+1,AD$74))*INDEX(CDRANGE_CLS3,$A90-$A$76+1,AD$74))/TRANSPOSE(Cls3NCentDailyRng)),O90:Y90,TRANSPOSE(Cls3NCentVMTShr))/SUMPRODUCT(O90:Y90,TRANSPOSE(Cls3NCentVMTShr)),0)</f>
        <v>0</v>
      </c>
      <c r="AD90" s="1226">
        <f t="shared" si="80"/>
        <v>0</v>
      </c>
      <c r="AE90" s="1230">
        <f t="shared" si="73"/>
        <v>0</v>
      </c>
      <c r="AF90" s="1231">
        <f t="shared" si="74"/>
        <v>0</v>
      </c>
      <c r="AG90" s="1231">
        <f t="shared" si="75"/>
        <v>0</v>
      </c>
      <c r="AH90" s="1172">
        <f t="shared" si="81"/>
        <v>0</v>
      </c>
      <c r="AI90" s="1232">
        <f t="shared" si="82"/>
        <v>0</v>
      </c>
      <c r="AJ90" s="227"/>
      <c r="AK90" s="227"/>
      <c r="AL90" s="227"/>
      <c r="AM90" s="227"/>
    </row>
    <row r="91" spans="1:39" x14ac:dyDescent="0.2">
      <c r="A91" s="330">
        <v>2022</v>
      </c>
      <c r="B91" s="344">
        <v>1.1923336791622855E-2</v>
      </c>
      <c r="C91" s="345">
        <v>1.1923336791622855E-2</v>
      </c>
      <c r="D91" s="345">
        <v>1.4089092431457085E-2</v>
      </c>
      <c r="E91" s="345">
        <v>1.6892140954369261E-2</v>
      </c>
      <c r="F91" s="345">
        <v>1.7625080891948953E-2</v>
      </c>
      <c r="G91" s="345">
        <v>1.741585648412888E-2</v>
      </c>
      <c r="H91" s="345">
        <v>1.7152040378762633E-2</v>
      </c>
      <c r="I91" s="345">
        <v>1.699321303714367E-2</v>
      </c>
      <c r="J91" s="345">
        <v>1.6756158251621484E-2</v>
      </c>
      <c r="K91" s="345">
        <v>1.6538782245192254E-2</v>
      </c>
      <c r="L91" s="380">
        <v>1.6538782245192254E-2</v>
      </c>
      <c r="M91" s="296">
        <f t="shared" si="76"/>
        <v>5.3965247990698899E-3</v>
      </c>
      <c r="N91" s="298">
        <f t="shared" si="77"/>
        <v>4.8427440601729998E-3</v>
      </c>
      <c r="O91" s="344">
        <v>1.1923336791622855E-2</v>
      </c>
      <c r="P91" s="345">
        <v>1.1923336791622855E-2</v>
      </c>
      <c r="Q91" s="345">
        <v>1.4214821419692802E-2</v>
      </c>
      <c r="R91" s="345">
        <v>1.7064823891435797E-2</v>
      </c>
      <c r="S91" s="345">
        <v>1.7735193911688679E-2</v>
      </c>
      <c r="T91" s="345">
        <v>1.7408285068753027E-2</v>
      </c>
      <c r="U91" s="345">
        <v>1.7158685500308125E-2</v>
      </c>
      <c r="V91" s="345">
        <v>1.6976377852700373E-2</v>
      </c>
      <c r="W91" s="345">
        <v>1.6597084501231416E-2</v>
      </c>
      <c r="X91" s="345">
        <v>1.6538782245192254E-2</v>
      </c>
      <c r="Y91" s="380">
        <v>1.6338826388590716E-2</v>
      </c>
      <c r="Z91" s="296">
        <f t="shared" si="78"/>
        <v>8.0460013524759465E-3</v>
      </c>
      <c r="AA91" s="298">
        <f t="shared" si="79"/>
        <v>7.6458277339125445E-3</v>
      </c>
      <c r="AB91" s="948">
        <f t="array" ref="AB91">IF(AND($AD$71=TRUE,SUM(B91:L91)&gt;0),SUMPRODUCT((((TRANSPOSE(Cls3CentDailyRng)&lt;INDEX(CDRANGE_CLS3,$A91-$A$76+1,AD$72))*TRANSPOSE(Cls3CentDailyRng)+(TRANSPOSE(Cls3CentDailyRng)&gt;INDEX(CDRANGE_CLS3,$A91-$A$76+1,AD$72))*INDEX(CDRANGE_CLS3,$A91-$A$76+1,AD$72))/TRANSPOSE(Cls3CentDailyRng)),B91:L91,TRANSPOSE(Cls3CentVMTShr))/SUMPRODUCT(B91:L91,TRANSPOSE(Cls3CentVMTShr)),0)</f>
        <v>0</v>
      </c>
      <c r="AC91" s="949">
        <f t="array" ref="AC91">IF(AND($AD$72=TRUE,SUM(O91:Y91)&gt;0),SUMPRODUCT((((TRANSPOSE(Cls3NCentDailyRng)&lt;INDEX(CDRANGE_CLS3,$A91-$A$76+1,AD$74))*TRANSPOSE(Cls3NCentDailyRng)+(TRANSPOSE(Cls3NCentDailyRng)&gt;INDEX(CDRANGE_CLS3,$A91-$A$76+1,AD$74))*INDEX(CDRANGE_CLS3,$A91-$A$76+1,AD$74))/TRANSPOSE(Cls3NCentDailyRng)),O91:Y91,TRANSPOSE(Cls3NCentVMTShr))/SUMPRODUCT(O91:Y91,TRANSPOSE(Cls3NCentVMTShr)),0)</f>
        <v>0</v>
      </c>
      <c r="AD91" s="1226">
        <f t="shared" si="80"/>
        <v>0</v>
      </c>
      <c r="AE91" s="1230">
        <f>SUMPRODUCT($B$74:$L$74,B91:L91)</f>
        <v>5.3965247990698899E-3</v>
      </c>
      <c r="AF91" s="1231">
        <f>SUMPRODUCT($O$74:$Y$74,O91:Y91)</f>
        <v>8.0460013524759465E-3</v>
      </c>
      <c r="AG91" s="1231">
        <f>SUM(AE91:AF91)</f>
        <v>1.3442526151545836E-2</v>
      </c>
      <c r="AH91" s="1172">
        <f t="shared" si="81"/>
        <v>0.40145168685048915</v>
      </c>
      <c r="AI91" s="1232">
        <f t="shared" si="82"/>
        <v>0.59854831314951085</v>
      </c>
      <c r="AJ91" s="227"/>
      <c r="AK91" s="540"/>
      <c r="AL91" s="540"/>
      <c r="AM91" s="540"/>
    </row>
    <row r="92" spans="1:39" x14ac:dyDescent="0.2">
      <c r="A92" s="330">
        <v>2023</v>
      </c>
      <c r="B92" s="344">
        <v>3.0045473573670177E-2</v>
      </c>
      <c r="C92" s="345">
        <v>3.0044267568608209E-2</v>
      </c>
      <c r="D92" s="345">
        <v>3.2684337736404501E-2</v>
      </c>
      <c r="E92" s="345">
        <v>3.790400823483317E-2</v>
      </c>
      <c r="F92" s="345">
        <v>4.05358628237074E-2</v>
      </c>
      <c r="G92" s="345">
        <v>4.1103256052244706E-2</v>
      </c>
      <c r="H92" s="345">
        <v>4.1499500009325979E-2</v>
      </c>
      <c r="I92" s="345">
        <v>4.1147784197899974E-2</v>
      </c>
      <c r="J92" s="345">
        <v>4.126901247133459E-2</v>
      </c>
      <c r="K92" s="345">
        <v>4.0902542485086464E-2</v>
      </c>
      <c r="L92" s="380">
        <v>4.0902542485086464E-2</v>
      </c>
      <c r="M92" s="296">
        <f t="shared" si="76"/>
        <v>1.3024858865323355E-2</v>
      </c>
      <c r="N92" s="298">
        <f t="shared" si="77"/>
        <v>1.1946788537479443E-2</v>
      </c>
      <c r="O92" s="344">
        <v>3.0045473573670177E-2</v>
      </c>
      <c r="P92" s="345">
        <v>3.0044267568608209E-2</v>
      </c>
      <c r="Q92" s="345">
        <v>3.2591468667912425E-2</v>
      </c>
      <c r="R92" s="345">
        <v>3.874656500054028E-2</v>
      </c>
      <c r="S92" s="345">
        <v>4.0887736304283127E-2</v>
      </c>
      <c r="T92" s="345">
        <v>4.1669521450260642E-2</v>
      </c>
      <c r="U92" s="345">
        <v>4.1499500009325979E-2</v>
      </c>
      <c r="V92" s="345">
        <v>4.126901247133459E-2</v>
      </c>
      <c r="W92" s="345">
        <v>4.1233323281795457E-2</v>
      </c>
      <c r="X92" s="345">
        <v>4.0902542485086464E-2</v>
      </c>
      <c r="Y92" s="380">
        <v>4.0699754051399889E-2</v>
      </c>
      <c r="Z92" s="296">
        <f t="shared" si="78"/>
        <v>1.9594752983181588E-2</v>
      </c>
      <c r="AA92" s="298">
        <f t="shared" si="79"/>
        <v>1.8980458714264473E-2</v>
      </c>
      <c r="AB92" s="948">
        <f t="array" ref="AB92">IF(AND($AD$71=TRUE,SUM(B92:L92)&gt;0),SUMPRODUCT((((TRANSPOSE(Cls3CentDailyRng)&lt;INDEX(CDRANGE_CLS3,$A92-$A$76+1,AD$72))*TRANSPOSE(Cls3CentDailyRng)+(TRANSPOSE(Cls3CentDailyRng)&gt;INDEX(CDRANGE_CLS3,$A92-$A$76+1,AD$72))*INDEX(CDRANGE_CLS3,$A92-$A$76+1,AD$72))/TRANSPOSE(Cls3CentDailyRng)),B92:L92,TRANSPOSE(Cls3CentVMTShr))/SUMPRODUCT(B92:L92,TRANSPOSE(Cls3CentVMTShr)),0)</f>
        <v>0</v>
      </c>
      <c r="AC92" s="949">
        <f t="array" ref="AC92">IF(AND($AD$72=TRUE,SUM(O92:Y92)&gt;0),SUMPRODUCT((((TRANSPOSE(Cls3NCentDailyRng)&lt;INDEX(CDRANGE_CLS3,$A92-$A$76+1,AD$74))*TRANSPOSE(Cls3NCentDailyRng)+(TRANSPOSE(Cls3NCentDailyRng)&gt;INDEX(CDRANGE_CLS3,$A92-$A$76+1,AD$74))*INDEX(CDRANGE_CLS3,$A92-$A$76+1,AD$74))/TRANSPOSE(Cls3NCentDailyRng)),O92:Y92,TRANSPOSE(Cls3NCentVMTShr))/SUMPRODUCT(O92:Y92,TRANSPOSE(Cls3NCentVMTShr)),0)</f>
        <v>0</v>
      </c>
      <c r="AD92" s="1226">
        <f t="shared" si="80"/>
        <v>0</v>
      </c>
      <c r="AE92" s="1230">
        <f t="shared" ref="AE92:AE119" si="83">SUMPRODUCT($B$74:$L$74,B92:L92)</f>
        <v>1.3024858865323355E-2</v>
      </c>
      <c r="AF92" s="1231">
        <f t="shared" ref="AF92:AF119" si="84">SUMPRODUCT($O$74:$Y$74,O92:Y92)</f>
        <v>1.9594752983181588E-2</v>
      </c>
      <c r="AG92" s="1231">
        <f t="shared" ref="AG92:AG119" si="85">SUM(AE92:AF92)</f>
        <v>3.261961184850494E-2</v>
      </c>
      <c r="AH92" s="1172">
        <f t="shared" si="81"/>
        <v>0.39929533575735437</v>
      </c>
      <c r="AI92" s="1232">
        <f t="shared" si="82"/>
        <v>0.60070466424264568</v>
      </c>
      <c r="AJ92" s="227"/>
      <c r="AK92" s="540"/>
      <c r="AL92" s="540"/>
      <c r="AM92" s="540"/>
    </row>
    <row r="93" spans="1:39" x14ac:dyDescent="0.2">
      <c r="A93" s="330">
        <v>2024</v>
      </c>
      <c r="B93" s="344">
        <v>6.0135202507298105E-2</v>
      </c>
      <c r="C93" s="345">
        <v>6.0104015427073644E-2</v>
      </c>
      <c r="D93" s="345">
        <v>5.9463751722558952E-2</v>
      </c>
      <c r="E93" s="345">
        <v>7.6990130791623548E-2</v>
      </c>
      <c r="F93" s="345">
        <v>8.2784534008469718E-2</v>
      </c>
      <c r="G93" s="345">
        <v>8.7993779393992527E-2</v>
      </c>
      <c r="H93" s="345">
        <v>9.0888973759896935E-2</v>
      </c>
      <c r="I93" s="345">
        <v>9.0831343580355606E-2</v>
      </c>
      <c r="J93" s="345">
        <v>9.1248002531559444E-2</v>
      </c>
      <c r="K93" s="345">
        <v>9.0761603224973716E-2</v>
      </c>
      <c r="L93" s="380">
        <v>9.0761603224973716E-2</v>
      </c>
      <c r="M93" s="296">
        <f t="shared" si="76"/>
        <v>2.5772070635370462E-2</v>
      </c>
      <c r="N93" s="298">
        <f t="shared" si="77"/>
        <v>2.3663613914881455E-2</v>
      </c>
      <c r="O93" s="344">
        <v>6.0135202507298105E-2</v>
      </c>
      <c r="P93" s="345">
        <v>6.0082431885289965E-2</v>
      </c>
      <c r="Q93" s="345">
        <v>6.0408012875412524E-2</v>
      </c>
      <c r="R93" s="345">
        <v>7.7401926323865514E-2</v>
      </c>
      <c r="S93" s="345">
        <v>8.505860905926306E-2</v>
      </c>
      <c r="T93" s="345">
        <v>8.8538179219162683E-2</v>
      </c>
      <c r="U93" s="345">
        <v>9.0888973759896935E-2</v>
      </c>
      <c r="V93" s="345">
        <v>9.0831343580355606E-2</v>
      </c>
      <c r="W93" s="345">
        <v>9.1327849643731238E-2</v>
      </c>
      <c r="X93" s="345">
        <v>9.0761603224973716E-2</v>
      </c>
      <c r="Y93" s="380">
        <v>9.0783254411302028E-2</v>
      </c>
      <c r="Z93" s="296">
        <f t="shared" si="78"/>
        <v>3.9267562894914135E-2</v>
      </c>
      <c r="AA93" s="298">
        <f t="shared" si="79"/>
        <v>3.7847966401966027E-2</v>
      </c>
      <c r="AB93" s="948">
        <f t="array" ref="AB93">IF(AND($AD$71=TRUE,SUM(B93:L93)&gt;0),SUMPRODUCT((((TRANSPOSE(Cls3CentDailyRng)&lt;INDEX(CDRANGE_CLS3,$A93-$A$76+1,AD$72))*TRANSPOSE(Cls3CentDailyRng)+(TRANSPOSE(Cls3CentDailyRng)&gt;INDEX(CDRANGE_CLS3,$A93-$A$76+1,AD$72))*INDEX(CDRANGE_CLS3,$A93-$A$76+1,AD$72))/TRANSPOSE(Cls3CentDailyRng)),B93:L93,TRANSPOSE(Cls3CentVMTShr))/SUMPRODUCT(B93:L93,TRANSPOSE(Cls3CentVMTShr)),0)</f>
        <v>0</v>
      </c>
      <c r="AC93" s="949">
        <f t="array" ref="AC93">IF(AND($AD$72=TRUE,SUM(O93:Y93)&gt;0),SUMPRODUCT((((TRANSPOSE(Cls3NCentDailyRng)&lt;INDEX(CDRANGE_CLS3,$A93-$A$76+1,AD$74))*TRANSPOSE(Cls3NCentDailyRng)+(TRANSPOSE(Cls3NCentDailyRng)&gt;INDEX(CDRANGE_CLS3,$A93-$A$76+1,AD$74))*INDEX(CDRANGE_CLS3,$A93-$A$76+1,AD$74))/TRANSPOSE(Cls3NCentDailyRng)),O93:Y93,TRANSPOSE(Cls3NCentVMTShr))/SUMPRODUCT(O93:Y93,TRANSPOSE(Cls3NCentVMTShr)),0)</f>
        <v>0</v>
      </c>
      <c r="AD93" s="1226">
        <f t="shared" si="80"/>
        <v>0</v>
      </c>
      <c r="AE93" s="1230">
        <f t="shared" si="83"/>
        <v>2.5772070635370462E-2</v>
      </c>
      <c r="AF93" s="1231">
        <f t="shared" si="84"/>
        <v>3.9267562894914135E-2</v>
      </c>
      <c r="AG93" s="1231">
        <f t="shared" si="85"/>
        <v>6.5039633530284593E-2</v>
      </c>
      <c r="AH93" s="1172">
        <f t="shared" si="81"/>
        <v>0.39625178120614929</v>
      </c>
      <c r="AI93" s="1232">
        <f t="shared" si="82"/>
        <v>0.60374821879385077</v>
      </c>
      <c r="AJ93" s="227"/>
      <c r="AK93" s="540"/>
      <c r="AL93" s="540"/>
      <c r="AM93" s="540"/>
    </row>
    <row r="94" spans="1:39" ht="15" thickBot="1" x14ac:dyDescent="0.25">
      <c r="A94" s="328">
        <v>2025</v>
      </c>
      <c r="B94" s="346">
        <v>4.6989237482330033E-2</v>
      </c>
      <c r="C94" s="347">
        <v>3.6777263451391942E-2</v>
      </c>
      <c r="D94" s="347">
        <v>7.275034881108966E-2</v>
      </c>
      <c r="E94" s="347">
        <v>0.12881403010719283</v>
      </c>
      <c r="F94" s="347">
        <v>0.14907705341816177</v>
      </c>
      <c r="G94" s="347">
        <v>0.15328524420497366</v>
      </c>
      <c r="H94" s="347">
        <v>0.16270207182888247</v>
      </c>
      <c r="I94" s="347">
        <v>0.16472780643708898</v>
      </c>
      <c r="J94" s="347">
        <v>0.16745744305554242</v>
      </c>
      <c r="K94" s="347">
        <v>0.16726394418526258</v>
      </c>
      <c r="L94" s="381">
        <v>0.16726394418526258</v>
      </c>
      <c r="M94" s="310">
        <f t="shared" si="76"/>
        <v>2.7587887961438847E-2</v>
      </c>
      <c r="N94" s="312">
        <f t="shared" si="77"/>
        <v>2.0474014335410656E-2</v>
      </c>
      <c r="O94" s="346">
        <v>4.6989237482330033E-2</v>
      </c>
      <c r="P94" s="347">
        <v>4.0056581661642235E-2</v>
      </c>
      <c r="Q94" s="347">
        <v>8.6122720022354021E-2</v>
      </c>
      <c r="R94" s="347">
        <v>0.13207234335350626</v>
      </c>
      <c r="S94" s="347">
        <v>0.15118491815567919</v>
      </c>
      <c r="T94" s="347">
        <v>0.15862892196125664</v>
      </c>
      <c r="U94" s="347">
        <v>0.16270207182888247</v>
      </c>
      <c r="V94" s="347">
        <v>0.16568089559562138</v>
      </c>
      <c r="W94" s="347">
        <v>0.1667683278949223</v>
      </c>
      <c r="X94" s="347">
        <v>0.16726394418526258</v>
      </c>
      <c r="Y94" s="381">
        <v>0.16750129585114876</v>
      </c>
      <c r="Z94" s="310">
        <f t="shared" si="78"/>
        <v>4.2942359568812677E-2</v>
      </c>
      <c r="AA94" s="312">
        <f t="shared" si="79"/>
        <v>3.2726632808864189E-2</v>
      </c>
      <c r="AB94" s="948">
        <f t="array" ref="AB94">IF(AND($AD$71=TRUE,SUM(B94:L94)&gt;0),SUMPRODUCT((((TRANSPOSE(Cls3CentDailyRng)&lt;INDEX(CDRANGE_CLS3,$A94-$A$76+1,AD$72))*TRANSPOSE(Cls3CentDailyRng)+(TRANSPOSE(Cls3CentDailyRng)&gt;INDEX(CDRANGE_CLS3,$A94-$A$76+1,AD$72))*INDEX(CDRANGE_CLS3,$A94-$A$76+1,AD$72))/TRANSPOSE(Cls3CentDailyRng)),B94:L94,TRANSPOSE(Cls3CentVMTShr))/SUMPRODUCT(B94:L94,TRANSPOSE(Cls3CentVMTShr)),0)</f>
        <v>0</v>
      </c>
      <c r="AC94" s="949">
        <f t="array" ref="AC94">IF(AND($AD$72=TRUE,SUM(O94:Y94)&gt;0),SUMPRODUCT((((TRANSPOSE(Cls3NCentDailyRng)&lt;INDEX(CDRANGE_CLS3,$A94-$A$76+1,AD$74))*TRANSPOSE(Cls3NCentDailyRng)+(TRANSPOSE(Cls3NCentDailyRng)&gt;INDEX(CDRANGE_CLS3,$A94-$A$76+1,AD$74))*INDEX(CDRANGE_CLS3,$A94-$A$76+1,AD$74))/TRANSPOSE(Cls3NCentDailyRng)),O94:Y94,TRANSPOSE(Cls3NCentVMTShr))/SUMPRODUCT(O94:Y94,TRANSPOSE(Cls3NCentVMTShr)),0)</f>
        <v>0</v>
      </c>
      <c r="AD94" s="1226">
        <f t="shared" si="80"/>
        <v>0</v>
      </c>
      <c r="AE94" s="1230">
        <f t="shared" si="83"/>
        <v>2.7587887961438847E-2</v>
      </c>
      <c r="AF94" s="1231">
        <f t="shared" si="84"/>
        <v>4.2942359568812677E-2</v>
      </c>
      <c r="AG94" s="1231">
        <f t="shared" si="85"/>
        <v>7.0530247530251527E-2</v>
      </c>
      <c r="AH94" s="1172">
        <f t="shared" si="81"/>
        <v>0.39114973968588401</v>
      </c>
      <c r="AI94" s="1232">
        <f t="shared" si="82"/>
        <v>0.60885026031411593</v>
      </c>
      <c r="AJ94" s="227"/>
      <c r="AK94" s="540"/>
      <c r="AL94" s="540"/>
      <c r="AM94" s="540"/>
    </row>
    <row r="95" spans="1:39" x14ac:dyDescent="0.2">
      <c r="A95" s="329">
        <v>2026</v>
      </c>
      <c r="B95" s="342">
        <v>5.3576907039906467E-2</v>
      </c>
      <c r="C95" s="343">
        <v>5.0529645589372167E-2</v>
      </c>
      <c r="D95" s="343">
        <v>0.13211696856811619</v>
      </c>
      <c r="E95" s="343">
        <v>0.20704236926563654</v>
      </c>
      <c r="F95" s="343">
        <v>0.22363231352506424</v>
      </c>
      <c r="G95" s="343">
        <v>0.23174857975946297</v>
      </c>
      <c r="H95" s="343">
        <v>0.23938478039925484</v>
      </c>
      <c r="I95" s="343">
        <v>0.24204497299863631</v>
      </c>
      <c r="J95" s="343">
        <v>0.2456236783488919</v>
      </c>
      <c r="K95" s="343">
        <v>0.24470222202913769</v>
      </c>
      <c r="L95" s="379">
        <v>0.24470222202913769</v>
      </c>
      <c r="M95" s="282">
        <f t="shared" si="76"/>
        <v>4.2008922320398094E-2</v>
      </c>
      <c r="N95" s="284">
        <f t="shared" si="77"/>
        <v>2.8660982641206003E-2</v>
      </c>
      <c r="O95" s="342">
        <v>5.3576907039906467E-2</v>
      </c>
      <c r="P95" s="343">
        <v>5.3163659246274052E-2</v>
      </c>
      <c r="Q95" s="343">
        <v>0.14694470916678776</v>
      </c>
      <c r="R95" s="343">
        <v>0.2104967359596181</v>
      </c>
      <c r="S95" s="343">
        <v>0.22394428982770476</v>
      </c>
      <c r="T95" s="343">
        <v>0.23622122993451231</v>
      </c>
      <c r="U95" s="343">
        <v>0.23938478039925484</v>
      </c>
      <c r="V95" s="343">
        <v>0.24310849632781187</v>
      </c>
      <c r="W95" s="343">
        <v>0.24435611903919441</v>
      </c>
      <c r="X95" s="343">
        <v>0.24469118380888621</v>
      </c>
      <c r="Y95" s="379">
        <v>0.2443814146801275</v>
      </c>
      <c r="Z95" s="282">
        <f t="shared" si="78"/>
        <v>6.253620050138109E-2</v>
      </c>
      <c r="AA95" s="284">
        <f t="shared" si="79"/>
        <v>4.374401604168103E-2</v>
      </c>
      <c r="AB95" s="948">
        <f t="array" ref="AB95">IF(AND($AD$71=TRUE,SUM(B95:L95)&gt;0),SUMPRODUCT((((TRANSPOSE(Cls3CentDailyRng)&lt;INDEX(CDRANGE_CLS3,$A95-$A$76+1,AD$72))*TRANSPOSE(Cls3CentDailyRng)+(TRANSPOSE(Cls3CentDailyRng)&gt;INDEX(CDRANGE_CLS3,$A95-$A$76+1,AD$72))*INDEX(CDRANGE_CLS3,$A95-$A$76+1,AD$72))/TRANSPOSE(Cls3CentDailyRng)),B95:L95,TRANSPOSE(Cls3CentVMTShr))/SUMPRODUCT(B95:L95,TRANSPOSE(Cls3CentVMTShr)),0)</f>
        <v>0</v>
      </c>
      <c r="AC95" s="949">
        <f t="array" ref="AC95">IF(AND($AD$72=TRUE,SUM(O95:Y95)&gt;0),SUMPRODUCT((((TRANSPOSE(Cls3NCentDailyRng)&lt;INDEX(CDRANGE_CLS3,$A95-$A$76+1,AD$74))*TRANSPOSE(Cls3NCentDailyRng)+(TRANSPOSE(Cls3NCentDailyRng)&gt;INDEX(CDRANGE_CLS3,$A95-$A$76+1,AD$74))*INDEX(CDRANGE_CLS3,$A95-$A$76+1,AD$74))/TRANSPOSE(Cls3NCentDailyRng)),O95:Y95,TRANSPOSE(Cls3NCentVMTShr))/SUMPRODUCT(O95:Y95,TRANSPOSE(Cls3NCentVMTShr)),0)</f>
        <v>0</v>
      </c>
      <c r="AD95" s="1226">
        <f t="shared" si="80"/>
        <v>0</v>
      </c>
      <c r="AE95" s="1230">
        <f t="shared" si="83"/>
        <v>4.2008922320398094E-2</v>
      </c>
      <c r="AF95" s="1231">
        <f t="shared" si="84"/>
        <v>6.253620050138109E-2</v>
      </c>
      <c r="AG95" s="1231">
        <f t="shared" si="85"/>
        <v>0.10454512282177919</v>
      </c>
      <c r="AH95" s="1172">
        <f t="shared" si="81"/>
        <v>0.40182574936577198</v>
      </c>
      <c r="AI95" s="1232">
        <f t="shared" si="82"/>
        <v>0.59817425063422791</v>
      </c>
      <c r="AJ95" s="227"/>
      <c r="AK95" s="540"/>
      <c r="AL95" s="540"/>
      <c r="AM95" s="540"/>
    </row>
    <row r="96" spans="1:39" x14ac:dyDescent="0.2">
      <c r="A96" s="330">
        <v>2027</v>
      </c>
      <c r="B96" s="344">
        <v>2.7670525158214849E-2</v>
      </c>
      <c r="C96" s="345">
        <v>3.5654933106119349E-2</v>
      </c>
      <c r="D96" s="345">
        <v>0.17546988850388204</v>
      </c>
      <c r="E96" s="345">
        <v>0.25342261864135462</v>
      </c>
      <c r="F96" s="345">
        <v>0.2761243598544979</v>
      </c>
      <c r="G96" s="345">
        <v>0.28453395095786727</v>
      </c>
      <c r="H96" s="345">
        <v>0.29352146090056241</v>
      </c>
      <c r="I96" s="345">
        <v>0.29450692153201519</v>
      </c>
      <c r="J96" s="345">
        <v>0.29416128106613726</v>
      </c>
      <c r="K96" s="345">
        <v>0.29432680144186557</v>
      </c>
      <c r="L96" s="380">
        <v>0.29432680144186557</v>
      </c>
      <c r="M96" s="296">
        <f t="shared" si="76"/>
        <v>4.5919869822146825E-2</v>
      </c>
      <c r="N96" s="298">
        <f t="shared" si="77"/>
        <v>2.5837935840534398E-2</v>
      </c>
      <c r="O96" s="344">
        <v>2.7670525158214849E-2</v>
      </c>
      <c r="P96" s="345">
        <v>4.3599578059106123E-2</v>
      </c>
      <c r="Q96" s="345">
        <v>0.19327410694559377</v>
      </c>
      <c r="R96" s="345">
        <v>0.25806918492406289</v>
      </c>
      <c r="S96" s="345">
        <v>0.27274985738195312</v>
      </c>
      <c r="T96" s="345">
        <v>0.28652248547358705</v>
      </c>
      <c r="U96" s="345">
        <v>0.29352146090056241</v>
      </c>
      <c r="V96" s="345">
        <v>0.29568874774804454</v>
      </c>
      <c r="W96" s="345">
        <v>0.2956409387602833</v>
      </c>
      <c r="X96" s="345">
        <v>0.29411392316992063</v>
      </c>
      <c r="Y96" s="380">
        <v>0.29154477501673132</v>
      </c>
      <c r="Z96" s="296">
        <f t="shared" si="78"/>
        <v>6.7451475774343364E-2</v>
      </c>
      <c r="AA96" s="298">
        <f t="shared" si="79"/>
        <v>3.8298819476511453E-2</v>
      </c>
      <c r="AB96" s="948">
        <f t="array" ref="AB96">IF(AND($AD$71=TRUE,SUM(B96:L96)&gt;0),SUMPRODUCT((((TRANSPOSE(Cls3CentDailyRng)&lt;INDEX(CDRANGE_CLS3,$A96-$A$76+1,AD$72))*TRANSPOSE(Cls3CentDailyRng)+(TRANSPOSE(Cls3CentDailyRng)&gt;INDEX(CDRANGE_CLS3,$A96-$A$76+1,AD$72))*INDEX(CDRANGE_CLS3,$A96-$A$76+1,AD$72))/TRANSPOSE(Cls3CentDailyRng)),B96:L96,TRANSPOSE(Cls3CentVMTShr))/SUMPRODUCT(B96:L96,TRANSPOSE(Cls3CentVMTShr)),0)</f>
        <v>0</v>
      </c>
      <c r="AC96" s="949">
        <f t="array" ref="AC96">IF(AND($AD$72=TRUE,SUM(O96:Y96)&gt;0),SUMPRODUCT((((TRANSPOSE(Cls3NCentDailyRng)&lt;INDEX(CDRANGE_CLS3,$A96-$A$76+1,AD$74))*TRANSPOSE(Cls3NCentDailyRng)+(TRANSPOSE(Cls3NCentDailyRng)&gt;INDEX(CDRANGE_CLS3,$A96-$A$76+1,AD$74))*INDEX(CDRANGE_CLS3,$A96-$A$76+1,AD$74))/TRANSPOSE(Cls3NCentDailyRng)),O96:Y96,TRANSPOSE(Cls3NCentVMTShr))/SUMPRODUCT(O96:Y96,TRANSPOSE(Cls3NCentVMTShr)),0)</f>
        <v>0</v>
      </c>
      <c r="AD96" s="1226">
        <f t="shared" si="80"/>
        <v>0</v>
      </c>
      <c r="AE96" s="1230">
        <f t="shared" si="83"/>
        <v>4.5919869822146825E-2</v>
      </c>
      <c r="AF96" s="1231">
        <f t="shared" si="84"/>
        <v>6.7451475774343364E-2</v>
      </c>
      <c r="AG96" s="1231">
        <f t="shared" si="85"/>
        <v>0.11337134559649019</v>
      </c>
      <c r="AH96" s="1172">
        <f t="shared" si="81"/>
        <v>0.40503947078112862</v>
      </c>
      <c r="AI96" s="1232">
        <f t="shared" si="82"/>
        <v>0.59496052921887133</v>
      </c>
      <c r="AJ96" s="227"/>
      <c r="AK96" s="540"/>
      <c r="AL96" s="540"/>
      <c r="AM96" s="540"/>
    </row>
    <row r="97" spans="1:39" x14ac:dyDescent="0.2">
      <c r="A97" s="330">
        <v>2028</v>
      </c>
      <c r="B97" s="344">
        <v>1.906093417050304E-2</v>
      </c>
      <c r="C97" s="345">
        <v>5.668909876381642E-2</v>
      </c>
      <c r="D97" s="345">
        <v>0.2037919925972547</v>
      </c>
      <c r="E97" s="345">
        <v>0.2788853131281876</v>
      </c>
      <c r="F97" s="345">
        <v>0.30122658134353592</v>
      </c>
      <c r="G97" s="345">
        <v>0.30962014400670251</v>
      </c>
      <c r="H97" s="345">
        <v>0.31824440021989386</v>
      </c>
      <c r="I97" s="345">
        <v>0.31947986530317024</v>
      </c>
      <c r="J97" s="345">
        <v>0.31901424918404964</v>
      </c>
      <c r="K97" s="345">
        <v>0.3145695976729273</v>
      </c>
      <c r="L97" s="380">
        <v>0.3145695976729273</v>
      </c>
      <c r="M97" s="296">
        <f t="shared" si="76"/>
        <v>5.3102513168637205E-2</v>
      </c>
      <c r="N97" s="298">
        <f t="shared" si="77"/>
        <v>2.9532063572612517E-2</v>
      </c>
      <c r="O97" s="344">
        <v>1.906093417050304E-2</v>
      </c>
      <c r="P97" s="345">
        <v>6.7820108801683848E-2</v>
      </c>
      <c r="Q97" s="345">
        <v>0.22612291753296479</v>
      </c>
      <c r="R97" s="345">
        <v>0.28736412201515371</v>
      </c>
      <c r="S97" s="345">
        <v>0.30747579437797551</v>
      </c>
      <c r="T97" s="345">
        <v>0.3140061361844263</v>
      </c>
      <c r="U97" s="345">
        <v>0.31824440021989386</v>
      </c>
      <c r="V97" s="345">
        <v>0.31750621295936193</v>
      </c>
      <c r="W97" s="345">
        <v>0.31603950201025915</v>
      </c>
      <c r="X97" s="345">
        <v>0.3144257676097798</v>
      </c>
      <c r="Y97" s="380">
        <v>0.3051221301957191</v>
      </c>
      <c r="Z97" s="296">
        <f t="shared" si="78"/>
        <v>7.9401558436480488E-2</v>
      </c>
      <c r="AA97" s="298">
        <f t="shared" si="79"/>
        <v>4.4795101696778188E-2</v>
      </c>
      <c r="AB97" s="948">
        <f t="array" ref="AB97">IF(AND($AD$71=TRUE,SUM(B97:L97)&gt;0),SUMPRODUCT((((TRANSPOSE(Cls3CentDailyRng)&lt;INDEX(CDRANGE_CLS3,$A97-$A$76+1,AD$72))*TRANSPOSE(Cls3CentDailyRng)+(TRANSPOSE(Cls3CentDailyRng)&gt;INDEX(CDRANGE_CLS3,$A97-$A$76+1,AD$72))*INDEX(CDRANGE_CLS3,$A97-$A$76+1,AD$72))/TRANSPOSE(Cls3CentDailyRng)),B97:L97,TRANSPOSE(Cls3CentVMTShr))/SUMPRODUCT(B97:L97,TRANSPOSE(Cls3CentVMTShr)),0)</f>
        <v>0</v>
      </c>
      <c r="AC97" s="949">
        <f t="array" ref="AC97">IF(AND($AD$72=TRUE,SUM(O97:Y97)&gt;0),SUMPRODUCT((((TRANSPOSE(Cls3NCentDailyRng)&lt;INDEX(CDRANGE_CLS3,$A97-$A$76+1,AD$74))*TRANSPOSE(Cls3NCentDailyRng)+(TRANSPOSE(Cls3NCentDailyRng)&gt;INDEX(CDRANGE_CLS3,$A97-$A$76+1,AD$74))*INDEX(CDRANGE_CLS3,$A97-$A$76+1,AD$74))/TRANSPOSE(Cls3NCentDailyRng)),O97:Y97,TRANSPOSE(Cls3NCentVMTShr))/SUMPRODUCT(O97:Y97,TRANSPOSE(Cls3NCentVMTShr)),0)</f>
        <v>0</v>
      </c>
      <c r="AD97" s="1226">
        <f t="shared" si="80"/>
        <v>0</v>
      </c>
      <c r="AE97" s="1230">
        <f t="shared" si="83"/>
        <v>5.3102513168637205E-2</v>
      </c>
      <c r="AF97" s="1231">
        <f t="shared" si="84"/>
        <v>7.9401558436480488E-2</v>
      </c>
      <c r="AG97" s="1231">
        <f t="shared" si="85"/>
        <v>0.13250407160511768</v>
      </c>
      <c r="AH97" s="1172">
        <f t="shared" si="81"/>
        <v>0.40076136925732203</v>
      </c>
      <c r="AI97" s="1232">
        <f t="shared" si="82"/>
        <v>0.59923863074267802</v>
      </c>
      <c r="AJ97" s="227"/>
      <c r="AK97" s="540"/>
      <c r="AL97" s="540"/>
      <c r="AM97" s="540"/>
    </row>
    <row r="98" spans="1:39" x14ac:dyDescent="0.2">
      <c r="A98" s="330">
        <v>2029</v>
      </c>
      <c r="B98" s="344">
        <v>4.4940383363715319E-3</v>
      </c>
      <c r="C98" s="345">
        <v>6.9237417107392327E-2</v>
      </c>
      <c r="D98" s="345">
        <v>0.22736864122833528</v>
      </c>
      <c r="E98" s="345">
        <v>0.29125205256726922</v>
      </c>
      <c r="F98" s="345">
        <v>0.31055466268016307</v>
      </c>
      <c r="G98" s="345">
        <v>0.31893002688852334</v>
      </c>
      <c r="H98" s="345">
        <v>0.32552889329801715</v>
      </c>
      <c r="I98" s="345">
        <v>0.32606287020644903</v>
      </c>
      <c r="J98" s="345">
        <v>0.32306194543980277</v>
      </c>
      <c r="K98" s="345">
        <v>0.31433136022658437</v>
      </c>
      <c r="L98" s="380">
        <v>0.31433136022658437</v>
      </c>
      <c r="M98" s="296">
        <f t="shared" si="76"/>
        <v>5.6874832537495514E-2</v>
      </c>
      <c r="N98" s="298">
        <f t="shared" si="77"/>
        <v>3.0404650954929949E-2</v>
      </c>
      <c r="O98" s="344">
        <v>4.4940383363715319E-3</v>
      </c>
      <c r="P98" s="345">
        <v>8.1785657880539056E-2</v>
      </c>
      <c r="Q98" s="345">
        <v>0.24416924379906552</v>
      </c>
      <c r="R98" s="345">
        <v>0.29969735496530331</v>
      </c>
      <c r="S98" s="345">
        <v>0.31330618493754953</v>
      </c>
      <c r="T98" s="345">
        <v>0.32344674512741584</v>
      </c>
      <c r="U98" s="345">
        <v>0.3251794057859656</v>
      </c>
      <c r="V98" s="345">
        <v>0.32359375513412042</v>
      </c>
      <c r="W98" s="345">
        <v>0.31768691880745398</v>
      </c>
      <c r="X98" s="345">
        <v>0.31174062239058492</v>
      </c>
      <c r="Y98" s="380">
        <v>0.30017852567945036</v>
      </c>
      <c r="Z98" s="296">
        <f t="shared" si="78"/>
        <v>8.4212454030992825E-2</v>
      </c>
      <c r="AA98" s="298">
        <f t="shared" si="79"/>
        <v>4.5620265582545012E-2</v>
      </c>
      <c r="AB98" s="948">
        <f t="array" ref="AB98">IF(AND($AD$71=TRUE,SUM(B98:L98)&gt;0),SUMPRODUCT((((TRANSPOSE(Cls3CentDailyRng)&lt;INDEX(CDRANGE_CLS3,$A98-$A$76+1,AD$72))*TRANSPOSE(Cls3CentDailyRng)+(TRANSPOSE(Cls3CentDailyRng)&gt;INDEX(CDRANGE_CLS3,$A98-$A$76+1,AD$72))*INDEX(CDRANGE_CLS3,$A98-$A$76+1,AD$72))/TRANSPOSE(Cls3CentDailyRng)),B98:L98,TRANSPOSE(Cls3CentVMTShr))/SUMPRODUCT(B98:L98,TRANSPOSE(Cls3CentVMTShr)),0)</f>
        <v>0</v>
      </c>
      <c r="AC98" s="949">
        <f t="array" ref="AC98">IF(AND($AD$72=TRUE,SUM(O98:Y98)&gt;0),SUMPRODUCT((((TRANSPOSE(Cls3NCentDailyRng)&lt;INDEX(CDRANGE_CLS3,$A98-$A$76+1,AD$74))*TRANSPOSE(Cls3NCentDailyRng)+(TRANSPOSE(Cls3NCentDailyRng)&gt;INDEX(CDRANGE_CLS3,$A98-$A$76+1,AD$74))*INDEX(CDRANGE_CLS3,$A98-$A$76+1,AD$74))/TRANSPOSE(Cls3NCentDailyRng)),O98:Y98,TRANSPOSE(Cls3NCentVMTShr))/SUMPRODUCT(O98:Y98,TRANSPOSE(Cls3NCentVMTShr)),0)</f>
        <v>0</v>
      </c>
      <c r="AD98" s="1226">
        <f t="shared" si="80"/>
        <v>0</v>
      </c>
      <c r="AE98" s="1230">
        <f t="shared" si="83"/>
        <v>5.6874832537495514E-2</v>
      </c>
      <c r="AF98" s="1231">
        <f t="shared" si="84"/>
        <v>8.4212454030992825E-2</v>
      </c>
      <c r="AG98" s="1231">
        <f t="shared" si="85"/>
        <v>0.14108728656848835</v>
      </c>
      <c r="AH98" s="1172">
        <f t="shared" si="81"/>
        <v>0.40311805493464237</v>
      </c>
      <c r="AI98" s="1232">
        <f t="shared" si="82"/>
        <v>0.59688194506535763</v>
      </c>
      <c r="AJ98" s="227"/>
      <c r="AK98" s="540"/>
      <c r="AL98" s="540"/>
      <c r="AM98" s="540"/>
    </row>
    <row r="99" spans="1:39" ht="15" thickBot="1" x14ac:dyDescent="0.25">
      <c r="A99" s="328">
        <v>2030</v>
      </c>
      <c r="B99" s="346">
        <v>0</v>
      </c>
      <c r="C99" s="347">
        <v>8.8271819070806765E-2</v>
      </c>
      <c r="D99" s="347">
        <v>0.23731427873946251</v>
      </c>
      <c r="E99" s="347">
        <v>0.30290680876552578</v>
      </c>
      <c r="F99" s="347">
        <v>0.31665303000882927</v>
      </c>
      <c r="G99" s="347">
        <v>0.32427412160748342</v>
      </c>
      <c r="H99" s="347">
        <v>0.32761625583576776</v>
      </c>
      <c r="I99" s="347">
        <v>0.32159915937818578</v>
      </c>
      <c r="J99" s="347">
        <v>0.31348647020008275</v>
      </c>
      <c r="K99" s="347">
        <v>0.3010679574765428</v>
      </c>
      <c r="L99" s="381">
        <v>0.3010679574765428</v>
      </c>
      <c r="M99" s="310">
        <f t="shared" si="76"/>
        <v>6.0932056653312715E-2</v>
      </c>
      <c r="N99" s="312">
        <f t="shared" si="77"/>
        <v>3.3106747713915294E-2</v>
      </c>
      <c r="O99" s="346">
        <v>0</v>
      </c>
      <c r="P99" s="347">
        <v>9.4123894054817761E-2</v>
      </c>
      <c r="Q99" s="347">
        <v>0.25381549028579592</v>
      </c>
      <c r="R99" s="347">
        <v>0.30618668898190016</v>
      </c>
      <c r="S99" s="347">
        <v>0.31900298266792027</v>
      </c>
      <c r="T99" s="347">
        <v>0.32770003590048313</v>
      </c>
      <c r="U99" s="347">
        <v>0.32581576734477513</v>
      </c>
      <c r="V99" s="347">
        <v>0.3149630329830308</v>
      </c>
      <c r="W99" s="347">
        <v>0.30494060696966169</v>
      </c>
      <c r="X99" s="347">
        <v>0.29905503467860761</v>
      </c>
      <c r="Y99" s="381">
        <v>0.28829824165674872</v>
      </c>
      <c r="Z99" s="310">
        <f t="shared" si="78"/>
        <v>8.8141232228589494E-2</v>
      </c>
      <c r="AA99" s="312">
        <f t="shared" si="79"/>
        <v>4.8152044401638665E-2</v>
      </c>
      <c r="AB99" s="948">
        <f t="array" ref="AB99">IF(AND($AD$71=TRUE,SUM(B99:L99)&gt;0),SUMPRODUCT((((TRANSPOSE(Cls3CentDailyRng)&lt;INDEX(CDRANGE_CLS3,$A99-$A$76+1,AD$72))*TRANSPOSE(Cls3CentDailyRng)+(TRANSPOSE(Cls3CentDailyRng)&gt;INDEX(CDRANGE_CLS3,$A99-$A$76+1,AD$72))*INDEX(CDRANGE_CLS3,$A99-$A$76+1,AD$72))/TRANSPOSE(Cls3CentDailyRng)),B99:L99,TRANSPOSE(Cls3CentVMTShr))/SUMPRODUCT(B99:L99,TRANSPOSE(Cls3CentVMTShr)),0)</f>
        <v>0</v>
      </c>
      <c r="AC99" s="949">
        <f t="array" ref="AC99">IF(AND($AD$72=TRUE,SUM(O99:Y99)&gt;0),SUMPRODUCT((((TRANSPOSE(Cls3NCentDailyRng)&lt;INDEX(CDRANGE_CLS3,$A99-$A$76+1,AD$74))*TRANSPOSE(Cls3NCentDailyRng)+(TRANSPOSE(Cls3NCentDailyRng)&gt;INDEX(CDRANGE_CLS3,$A99-$A$76+1,AD$74))*INDEX(CDRANGE_CLS3,$A99-$A$76+1,AD$74))/TRANSPOSE(Cls3NCentDailyRng)),O99:Y99,TRANSPOSE(Cls3NCentVMTShr))/SUMPRODUCT(O99:Y99,TRANSPOSE(Cls3NCentVMTShr)),0)</f>
        <v>0</v>
      </c>
      <c r="AD99" s="1226">
        <f t="shared" si="80"/>
        <v>0</v>
      </c>
      <c r="AE99" s="1230">
        <f t="shared" si="83"/>
        <v>6.0932056653312715E-2</v>
      </c>
      <c r="AF99" s="1231">
        <f t="shared" si="84"/>
        <v>8.8141232228589494E-2</v>
      </c>
      <c r="AG99" s="1231">
        <f t="shared" si="85"/>
        <v>0.14907328888190222</v>
      </c>
      <c r="AH99" s="1172">
        <f t="shared" si="81"/>
        <v>0.40873893043027898</v>
      </c>
      <c r="AI99" s="1232">
        <f t="shared" si="82"/>
        <v>0.59126106956972091</v>
      </c>
      <c r="AJ99" s="227"/>
      <c r="AK99" s="540"/>
      <c r="AL99" s="540"/>
      <c r="AM99" s="540"/>
    </row>
    <row r="100" spans="1:39" x14ac:dyDescent="0.2">
      <c r="A100" s="329">
        <v>2031</v>
      </c>
      <c r="B100" s="342">
        <v>0</v>
      </c>
      <c r="C100" s="343">
        <v>8.7601778551946743E-2</v>
      </c>
      <c r="D100" s="343">
        <v>0.23840968210860608</v>
      </c>
      <c r="E100" s="343">
        <v>0.30432608404812156</v>
      </c>
      <c r="F100" s="343">
        <v>0.31814589674740207</v>
      </c>
      <c r="G100" s="343">
        <v>0.32541076748227071</v>
      </c>
      <c r="H100" s="343">
        <v>0.32269575451265253</v>
      </c>
      <c r="I100" s="343">
        <v>0.31384381052925858</v>
      </c>
      <c r="J100" s="343">
        <v>0.30557204588799036</v>
      </c>
      <c r="K100" s="343">
        <v>0.29305702481422358</v>
      </c>
      <c r="L100" s="379">
        <v>0.29305702481422358</v>
      </c>
      <c r="M100" s="282">
        <f t="shared" si="76"/>
        <v>6.0922492695571553E-2</v>
      </c>
      <c r="N100" s="284">
        <f t="shared" si="77"/>
        <v>3.308366040191188E-2</v>
      </c>
      <c r="O100" s="342">
        <v>0</v>
      </c>
      <c r="P100" s="343">
        <v>0.10155649677970183</v>
      </c>
      <c r="Q100" s="343">
        <v>0.2549915037563284</v>
      </c>
      <c r="R100" s="343">
        <v>0.30762397321717333</v>
      </c>
      <c r="S100" s="343">
        <v>0.32369601882935828</v>
      </c>
      <c r="T100" s="343">
        <v>0.32688115592974404</v>
      </c>
      <c r="U100" s="343">
        <v>0.32036462512041519</v>
      </c>
      <c r="V100" s="343">
        <v>0.30748599019333184</v>
      </c>
      <c r="W100" s="343">
        <v>0.29737903954371997</v>
      </c>
      <c r="X100" s="343">
        <v>0.29087368556318194</v>
      </c>
      <c r="Y100" s="379">
        <v>0.28199936974112644</v>
      </c>
      <c r="Z100" s="282">
        <f t="shared" si="78"/>
        <v>9.010124503367184E-2</v>
      </c>
      <c r="AA100" s="284">
        <f t="shared" si="79"/>
        <v>5.0108636663536626E-2</v>
      </c>
      <c r="AB100" s="948">
        <f t="array" ref="AB100">IF(AND($AD$71=TRUE,SUM(B100:L100)&gt;0),SUMPRODUCT((((TRANSPOSE(Cls3CentDailyRng)&lt;INDEX(CDRANGE_CLS3,$A100-$A$76+1,AD$72))*TRANSPOSE(Cls3CentDailyRng)+(TRANSPOSE(Cls3CentDailyRng)&gt;INDEX(CDRANGE_CLS3,$A100-$A$76+1,AD$72))*INDEX(CDRANGE_CLS3,$A100-$A$76+1,AD$72))/TRANSPOSE(Cls3CentDailyRng)),B100:L100,TRANSPOSE(Cls3CentVMTShr))/SUMPRODUCT(B100:L100,TRANSPOSE(Cls3CentVMTShr)),0)</f>
        <v>0</v>
      </c>
      <c r="AC100" s="949">
        <f t="array" ref="AC100">IF(AND($AD$72=TRUE,SUM(O100:Y100)&gt;0),SUMPRODUCT((((TRANSPOSE(Cls3NCentDailyRng)&lt;INDEX(CDRANGE_CLS3,$A100-$A$76+1,AD$74))*TRANSPOSE(Cls3NCentDailyRng)+(TRANSPOSE(Cls3NCentDailyRng)&gt;INDEX(CDRANGE_CLS3,$A100-$A$76+1,AD$74))*INDEX(CDRANGE_CLS3,$A100-$A$76+1,AD$74))/TRANSPOSE(Cls3NCentDailyRng)),O100:Y100,TRANSPOSE(Cls3NCentVMTShr))/SUMPRODUCT(O100:Y100,TRANSPOSE(Cls3NCentVMTShr)),0)</f>
        <v>0</v>
      </c>
      <c r="AD100" s="1226">
        <f t="shared" si="80"/>
        <v>0</v>
      </c>
      <c r="AE100" s="1230">
        <f t="shared" si="83"/>
        <v>6.0922492695571553E-2</v>
      </c>
      <c r="AF100" s="1231">
        <f t="shared" si="84"/>
        <v>9.010124503367184E-2</v>
      </c>
      <c r="AG100" s="1231">
        <f t="shared" si="85"/>
        <v>0.15102373772924338</v>
      </c>
      <c r="AH100" s="1172">
        <f t="shared" si="81"/>
        <v>0.40339680113595061</v>
      </c>
      <c r="AI100" s="1232">
        <f t="shared" si="82"/>
        <v>0.59660319886404944</v>
      </c>
      <c r="AJ100" s="227"/>
      <c r="AK100" s="540"/>
      <c r="AL100" s="540"/>
      <c r="AM100" s="540"/>
    </row>
    <row r="101" spans="1:39" x14ac:dyDescent="0.2">
      <c r="A101" s="330">
        <v>2032</v>
      </c>
      <c r="B101" s="344">
        <v>0</v>
      </c>
      <c r="C101" s="345">
        <v>8.7753162026865186E-2</v>
      </c>
      <c r="D101" s="345">
        <v>0.23887250667445095</v>
      </c>
      <c r="E101" s="345">
        <v>0.30493859001319595</v>
      </c>
      <c r="F101" s="345">
        <v>0.31869627538858758</v>
      </c>
      <c r="G101" s="345">
        <v>0.32458641260539306</v>
      </c>
      <c r="H101" s="345">
        <v>0.31636900124675132</v>
      </c>
      <c r="I101" s="345">
        <v>0.30678509674978399</v>
      </c>
      <c r="J101" s="345">
        <v>0.29696479341216736</v>
      </c>
      <c r="K101" s="345">
        <v>0.28585684843165571</v>
      </c>
      <c r="L101" s="380">
        <v>0.28585684843165571</v>
      </c>
      <c r="M101" s="296">
        <f t="shared" si="76"/>
        <v>6.0905091872815849E-2</v>
      </c>
      <c r="N101" s="298">
        <f t="shared" si="77"/>
        <v>3.312029709526846E-2</v>
      </c>
      <c r="O101" s="344">
        <v>0</v>
      </c>
      <c r="P101" s="345">
        <v>0.104677507819704</v>
      </c>
      <c r="Q101" s="345">
        <v>0.25549108982756097</v>
      </c>
      <c r="R101" s="345">
        <v>0.30444334823237162</v>
      </c>
      <c r="S101" s="345">
        <v>0.32356482478447146</v>
      </c>
      <c r="T101" s="345">
        <v>0.32326485655302534</v>
      </c>
      <c r="U101" s="345">
        <v>0.31202477203489176</v>
      </c>
      <c r="V101" s="345">
        <v>0.29914725094887185</v>
      </c>
      <c r="W101" s="345">
        <v>0.28808297834845714</v>
      </c>
      <c r="X101" s="345">
        <v>0.28365573464952121</v>
      </c>
      <c r="Y101" s="380">
        <v>0.27511327251427664</v>
      </c>
      <c r="Z101" s="296">
        <f t="shared" si="78"/>
        <v>9.0373132625472238E-2</v>
      </c>
      <c r="AA101" s="298">
        <f t="shared" si="79"/>
        <v>5.077584109425301E-2</v>
      </c>
      <c r="AB101" s="948">
        <f t="array" ref="AB101">IF(AND($AD$71=TRUE,SUM(B101:L101)&gt;0),SUMPRODUCT((((TRANSPOSE(Cls3CentDailyRng)&lt;INDEX(CDRANGE_CLS3,$A101-$A$76+1,AD$72))*TRANSPOSE(Cls3CentDailyRng)+(TRANSPOSE(Cls3CentDailyRng)&gt;INDEX(CDRANGE_CLS3,$A101-$A$76+1,AD$72))*INDEX(CDRANGE_CLS3,$A101-$A$76+1,AD$72))/TRANSPOSE(Cls3CentDailyRng)),B101:L101,TRANSPOSE(Cls3CentVMTShr))/SUMPRODUCT(B101:L101,TRANSPOSE(Cls3CentVMTShr)),0)</f>
        <v>0</v>
      </c>
      <c r="AC101" s="949">
        <f t="array" ref="AC101">IF(AND($AD$72=TRUE,SUM(O101:Y101)&gt;0),SUMPRODUCT((((TRANSPOSE(Cls3NCentDailyRng)&lt;INDEX(CDRANGE_CLS3,$A101-$A$76+1,AD$74))*TRANSPOSE(Cls3NCentDailyRng)+(TRANSPOSE(Cls3NCentDailyRng)&gt;INDEX(CDRANGE_CLS3,$A101-$A$76+1,AD$74))*INDEX(CDRANGE_CLS3,$A101-$A$76+1,AD$74))/TRANSPOSE(Cls3NCentDailyRng)),O101:Y101,TRANSPOSE(Cls3NCentVMTShr))/SUMPRODUCT(O101:Y101,TRANSPOSE(Cls3NCentVMTShr)),0)</f>
        <v>0</v>
      </c>
      <c r="AD101" s="1226">
        <f t="shared" si="80"/>
        <v>0</v>
      </c>
      <c r="AE101" s="1230">
        <f t="shared" si="83"/>
        <v>6.0905091872815849E-2</v>
      </c>
      <c r="AF101" s="1231">
        <f t="shared" si="84"/>
        <v>9.0373132625472238E-2</v>
      </c>
      <c r="AG101" s="1231">
        <f t="shared" si="85"/>
        <v>0.15127822449828809</v>
      </c>
      <c r="AH101" s="1172">
        <f t="shared" si="81"/>
        <v>0.40260316430078852</v>
      </c>
      <c r="AI101" s="1232">
        <f t="shared" si="82"/>
        <v>0.59739683569921143</v>
      </c>
      <c r="AJ101" s="227"/>
      <c r="AK101" s="540"/>
      <c r="AL101" s="540"/>
      <c r="AM101" s="540"/>
    </row>
    <row r="102" spans="1:39" x14ac:dyDescent="0.2">
      <c r="A102" s="330">
        <v>2033</v>
      </c>
      <c r="B102" s="344">
        <v>0</v>
      </c>
      <c r="C102" s="345">
        <v>9.6040510986603517E-2</v>
      </c>
      <c r="D102" s="345">
        <v>0.24865531938433955</v>
      </c>
      <c r="E102" s="345">
        <v>0.30130778974773725</v>
      </c>
      <c r="F102" s="345">
        <v>0.31814473738575672</v>
      </c>
      <c r="G102" s="345">
        <v>0.3225661492415634</v>
      </c>
      <c r="H102" s="345">
        <v>0.30581655784155931</v>
      </c>
      <c r="I102" s="345">
        <v>0.2973751647002052</v>
      </c>
      <c r="J102" s="345">
        <v>0.28717694963070572</v>
      </c>
      <c r="K102" s="345">
        <v>0.27834948528029074</v>
      </c>
      <c r="L102" s="380">
        <v>0.27834948528029074</v>
      </c>
      <c r="M102" s="296">
        <f t="shared" si="76"/>
        <v>6.2662198165828811E-2</v>
      </c>
      <c r="N102" s="298">
        <f t="shared" si="77"/>
        <v>3.468763705323949E-2</v>
      </c>
      <c r="O102" s="344">
        <v>0</v>
      </c>
      <c r="P102" s="345">
        <v>0.11081074364204253</v>
      </c>
      <c r="Q102" s="345">
        <v>0.25574140066074863</v>
      </c>
      <c r="R102" s="345">
        <v>0.3091008703403893</v>
      </c>
      <c r="S102" s="345">
        <v>0.3210275872353428</v>
      </c>
      <c r="T102" s="345">
        <v>0.31550712241334011</v>
      </c>
      <c r="U102" s="345">
        <v>0.30228170317824804</v>
      </c>
      <c r="V102" s="345">
        <v>0.28947340702620922</v>
      </c>
      <c r="W102" s="345">
        <v>0.28050686336294078</v>
      </c>
      <c r="X102" s="345">
        <v>0.27625781741809052</v>
      </c>
      <c r="Y102" s="380">
        <v>0.27027488101700137</v>
      </c>
      <c r="Z102" s="296">
        <f t="shared" si="78"/>
        <v>9.1774771097388588E-2</v>
      </c>
      <c r="AA102" s="298">
        <f t="shared" si="79"/>
        <v>5.2348412460781764E-2</v>
      </c>
      <c r="AB102" s="948">
        <f t="array" ref="AB102">IF(AND($AD$71=TRUE,SUM(B102:L102)&gt;0),SUMPRODUCT((((TRANSPOSE(Cls3CentDailyRng)&lt;INDEX(CDRANGE_CLS3,$A102-$A$76+1,AD$72))*TRANSPOSE(Cls3CentDailyRng)+(TRANSPOSE(Cls3CentDailyRng)&gt;INDEX(CDRANGE_CLS3,$A102-$A$76+1,AD$72))*INDEX(CDRANGE_CLS3,$A102-$A$76+1,AD$72))/TRANSPOSE(Cls3CentDailyRng)),B102:L102,TRANSPOSE(Cls3CentVMTShr))/SUMPRODUCT(B102:L102,TRANSPOSE(Cls3CentVMTShr)),0)</f>
        <v>0</v>
      </c>
      <c r="AC102" s="949">
        <f t="array" ref="AC102">IF(AND($AD$72=TRUE,SUM(O102:Y102)&gt;0),SUMPRODUCT((((TRANSPOSE(Cls3NCentDailyRng)&lt;INDEX(CDRANGE_CLS3,$A102-$A$76+1,AD$74))*TRANSPOSE(Cls3NCentDailyRng)+(TRANSPOSE(Cls3NCentDailyRng)&gt;INDEX(CDRANGE_CLS3,$A102-$A$76+1,AD$74))*INDEX(CDRANGE_CLS3,$A102-$A$76+1,AD$74))/TRANSPOSE(Cls3NCentDailyRng)),O102:Y102,TRANSPOSE(Cls3NCentVMTShr))/SUMPRODUCT(O102:Y102,TRANSPOSE(Cls3NCentVMTShr)),0)</f>
        <v>0</v>
      </c>
      <c r="AD102" s="1226">
        <f>AB102*AH102+AC102*AI102</f>
        <v>0</v>
      </c>
      <c r="AE102" s="1230">
        <f t="shared" si="83"/>
        <v>6.2662198165828811E-2</v>
      </c>
      <c r="AF102" s="1231">
        <f t="shared" si="84"/>
        <v>9.1774771097388588E-2</v>
      </c>
      <c r="AG102" s="1231">
        <f t="shared" si="85"/>
        <v>0.1544369692632174</v>
      </c>
      <c r="AH102" s="1172">
        <f t="shared" si="81"/>
        <v>0.40574610123971921</v>
      </c>
      <c r="AI102" s="1232">
        <f t="shared" si="82"/>
        <v>0.59425389876028079</v>
      </c>
      <c r="AJ102" s="227"/>
      <c r="AK102" s="540"/>
      <c r="AL102" s="540"/>
      <c r="AM102" s="540"/>
    </row>
    <row r="103" spans="1:39" x14ac:dyDescent="0.2">
      <c r="A103" s="330">
        <v>2034</v>
      </c>
      <c r="B103" s="344">
        <v>0</v>
      </c>
      <c r="C103" s="345">
        <v>9.6077788101084374E-2</v>
      </c>
      <c r="D103" s="345">
        <v>0.24468184496486389</v>
      </c>
      <c r="E103" s="345">
        <v>0.30871686359989864</v>
      </c>
      <c r="F103" s="345">
        <v>0.31586031288868971</v>
      </c>
      <c r="G103" s="345">
        <v>0.3163813313592192</v>
      </c>
      <c r="H103" s="345">
        <v>0.29632992928001933</v>
      </c>
      <c r="I103" s="345">
        <v>0.28961955721032884</v>
      </c>
      <c r="J103" s="345">
        <v>0.27939438045047266</v>
      </c>
      <c r="K103" s="345">
        <v>0.27310334153476945</v>
      </c>
      <c r="L103" s="380">
        <v>0.27310334153476945</v>
      </c>
      <c r="M103" s="296">
        <f t="shared" si="76"/>
        <v>6.2439220216050237E-2</v>
      </c>
      <c r="N103" s="298">
        <f t="shared" si="77"/>
        <v>3.4573709836533982E-2</v>
      </c>
      <c r="O103" s="344">
        <v>0</v>
      </c>
      <c r="P103" s="345">
        <v>0.11085593649808288</v>
      </c>
      <c r="Q103" s="345">
        <v>0.26684290175976039</v>
      </c>
      <c r="R103" s="345">
        <v>0.30842794095572829</v>
      </c>
      <c r="S103" s="345">
        <v>0.31519857901732284</v>
      </c>
      <c r="T103" s="345">
        <v>0.30475703107765245</v>
      </c>
      <c r="U103" s="345">
        <v>0.2926538219742732</v>
      </c>
      <c r="V103" s="345">
        <v>0.28165381568447906</v>
      </c>
      <c r="W103" s="345">
        <v>0.27515315243598815</v>
      </c>
      <c r="X103" s="345">
        <v>0.27114820743122153</v>
      </c>
      <c r="Y103" s="380">
        <v>0.26575806860889561</v>
      </c>
      <c r="Z103" s="296">
        <f t="shared" si="78"/>
        <v>9.2088254655711577E-2</v>
      </c>
      <c r="AA103" s="298">
        <f t="shared" si="79"/>
        <v>5.2729842304199484E-2</v>
      </c>
      <c r="AB103" s="948">
        <f t="array" ref="AB103">IF(AND($AD$71=TRUE,SUM(B103:L103)&gt;0),SUMPRODUCT((((TRANSPOSE(Cls3CentDailyRng)&lt;INDEX(CDRANGE_CLS3,$A103-$A$76+1,AD$72))*TRANSPOSE(Cls3CentDailyRng)+(TRANSPOSE(Cls3CentDailyRng)&gt;INDEX(CDRANGE_CLS3,$A103-$A$76+1,AD$72))*INDEX(CDRANGE_CLS3,$A103-$A$76+1,AD$72))/TRANSPOSE(Cls3CentDailyRng)),B103:L103,TRANSPOSE(Cls3CentVMTShr))/SUMPRODUCT(B103:L103,TRANSPOSE(Cls3CentVMTShr)),0)</f>
        <v>0</v>
      </c>
      <c r="AC103" s="949">
        <f t="array" ref="AC103">IF(AND($AD$72=TRUE,SUM(O103:Y103)&gt;0),SUMPRODUCT((((TRANSPOSE(Cls3NCentDailyRng)&lt;INDEX(CDRANGE_CLS3,$A103-$A$76+1,AD$74))*TRANSPOSE(Cls3NCentDailyRng)+(TRANSPOSE(Cls3NCentDailyRng)&gt;INDEX(CDRANGE_CLS3,$A103-$A$76+1,AD$74))*INDEX(CDRANGE_CLS3,$A103-$A$76+1,AD$74))/TRANSPOSE(Cls3NCentDailyRng)),O103:Y103,TRANSPOSE(Cls3NCentVMTShr))/SUMPRODUCT(O103:Y103,TRANSPOSE(Cls3NCentVMTShr)),0)</f>
        <v>0</v>
      </c>
      <c r="AD103" s="1226">
        <f t="shared" ref="AD103:AD119" si="86">AB103*AH103+AC103*AI103</f>
        <v>0</v>
      </c>
      <c r="AE103" s="1230">
        <f t="shared" si="83"/>
        <v>6.2439220216050237E-2</v>
      </c>
      <c r="AF103" s="1231">
        <f t="shared" si="84"/>
        <v>9.2088254655711577E-2</v>
      </c>
      <c r="AG103" s="1231">
        <f t="shared" si="85"/>
        <v>0.15452747487176183</v>
      </c>
      <c r="AH103" s="1172">
        <f t="shared" si="81"/>
        <v>0.40406549235252087</v>
      </c>
      <c r="AI103" s="1232">
        <f t="shared" si="82"/>
        <v>0.59593450764747902</v>
      </c>
      <c r="AJ103" s="227"/>
      <c r="AK103" s="540"/>
      <c r="AL103" s="540"/>
      <c r="AM103" s="540"/>
    </row>
    <row r="104" spans="1:39" ht="15" thickBot="1" x14ac:dyDescent="0.25">
      <c r="A104" s="328">
        <v>2035</v>
      </c>
      <c r="B104" s="346">
        <v>0</v>
      </c>
      <c r="C104" s="347">
        <v>0.10188010767836439</v>
      </c>
      <c r="D104" s="347">
        <v>0.2448031006607011</v>
      </c>
      <c r="E104" s="347">
        <v>0.30802100349467998</v>
      </c>
      <c r="F104" s="347">
        <v>0.31487593831326627</v>
      </c>
      <c r="G104" s="347">
        <v>0.30231490365935676</v>
      </c>
      <c r="H104" s="347">
        <v>0.28472580514728191</v>
      </c>
      <c r="I104" s="347">
        <v>0.2793196145102449</v>
      </c>
      <c r="J104" s="347">
        <v>0.27398080791000512</v>
      </c>
      <c r="K104" s="347">
        <v>0.26615585104202616</v>
      </c>
      <c r="L104" s="381">
        <v>0.26615585104202616</v>
      </c>
      <c r="M104" s="310">
        <f t="shared" si="76"/>
        <v>6.3066757690416156E-2</v>
      </c>
      <c r="N104" s="312">
        <f t="shared" si="77"/>
        <v>3.5342265112842233E-2</v>
      </c>
      <c r="O104" s="346">
        <v>0</v>
      </c>
      <c r="P104" s="347">
        <v>0.10933965203967552</v>
      </c>
      <c r="Q104" s="347">
        <v>0.26697825423763616</v>
      </c>
      <c r="R104" s="347">
        <v>0.31170681484070423</v>
      </c>
      <c r="S104" s="347">
        <v>0.30544492274796381</v>
      </c>
      <c r="T104" s="347">
        <v>0.29374405631399675</v>
      </c>
      <c r="U104" s="347">
        <v>0.28234610351390038</v>
      </c>
      <c r="V104" s="347">
        <v>0.27398080791000512</v>
      </c>
      <c r="W104" s="347">
        <v>0.26813630627263463</v>
      </c>
      <c r="X104" s="347">
        <v>0.2663832180952202</v>
      </c>
      <c r="Y104" s="381">
        <v>0.26308098052355444</v>
      </c>
      <c r="Z104" s="310">
        <f t="shared" si="78"/>
        <v>9.1215796987216727E-2</v>
      </c>
      <c r="AA104" s="312">
        <f t="shared" si="79"/>
        <v>5.2267035282945858E-2</v>
      </c>
      <c r="AB104" s="948">
        <f t="array" ref="AB104">IF(AND($AD$71=TRUE,SUM(B104:L104)&gt;0),SUMPRODUCT((((TRANSPOSE(Cls3CentDailyRng)&lt;INDEX(CDRANGE_CLS3,$A104-$A$76+1,AD$72))*TRANSPOSE(Cls3CentDailyRng)+(TRANSPOSE(Cls3CentDailyRng)&gt;INDEX(CDRANGE_CLS3,$A104-$A$76+1,AD$72))*INDEX(CDRANGE_CLS3,$A104-$A$76+1,AD$72))/TRANSPOSE(Cls3CentDailyRng)),B104:L104,TRANSPOSE(Cls3CentVMTShr))/SUMPRODUCT(B104:L104,TRANSPOSE(Cls3CentVMTShr)),0)</f>
        <v>0</v>
      </c>
      <c r="AC104" s="949">
        <f t="array" ref="AC104">IF(AND($AD$72=TRUE,SUM(O104:Y104)&gt;0),SUMPRODUCT((((TRANSPOSE(Cls3NCentDailyRng)&lt;INDEX(CDRANGE_CLS3,$A104-$A$76+1,AD$74))*TRANSPOSE(Cls3NCentDailyRng)+(TRANSPOSE(Cls3NCentDailyRng)&gt;INDEX(CDRANGE_CLS3,$A104-$A$76+1,AD$74))*INDEX(CDRANGE_CLS3,$A104-$A$76+1,AD$74))/TRANSPOSE(Cls3NCentDailyRng)),O104:Y104,TRANSPOSE(Cls3NCentVMTShr))/SUMPRODUCT(O104:Y104,TRANSPOSE(Cls3NCentVMTShr)),0)</f>
        <v>0</v>
      </c>
      <c r="AD104" s="1226">
        <f t="shared" si="86"/>
        <v>0</v>
      </c>
      <c r="AE104" s="1230">
        <f t="shared" si="83"/>
        <v>6.3066757690416156E-2</v>
      </c>
      <c r="AF104" s="1231">
        <f t="shared" si="84"/>
        <v>9.1215796987216727E-2</v>
      </c>
      <c r="AG104" s="1231">
        <f t="shared" si="85"/>
        <v>0.15428255467763288</v>
      </c>
      <c r="AH104" s="1172">
        <f t="shared" si="81"/>
        <v>0.40877439333430521</v>
      </c>
      <c r="AI104" s="1232">
        <f t="shared" si="82"/>
        <v>0.59122560666569479</v>
      </c>
      <c r="AJ104" s="227"/>
      <c r="AK104" s="540"/>
      <c r="AL104" s="540"/>
      <c r="AM104" s="540"/>
    </row>
    <row r="105" spans="1:39" x14ac:dyDescent="0.2">
      <c r="A105" s="329">
        <v>2036</v>
      </c>
      <c r="B105" s="342">
        <v>0</v>
      </c>
      <c r="C105" s="343">
        <v>0.10614194334268236</v>
      </c>
      <c r="D105" s="343">
        <v>0.25497302248607429</v>
      </c>
      <c r="E105" s="343">
        <v>0.30721250651074045</v>
      </c>
      <c r="F105" s="343">
        <v>0.31140996463517623</v>
      </c>
      <c r="G105" s="343">
        <v>0.30068623728465116</v>
      </c>
      <c r="H105" s="343">
        <v>0.28374146741399631</v>
      </c>
      <c r="I105" s="343">
        <v>0.27947681554294218</v>
      </c>
      <c r="J105" s="343">
        <v>0.27273999353265516</v>
      </c>
      <c r="K105" s="343">
        <v>0.26653086410875004</v>
      </c>
      <c r="L105" s="379">
        <v>0.26653086410875004</v>
      </c>
      <c r="M105" s="282">
        <f t="shared" si="76"/>
        <v>6.4490180556153326E-2</v>
      </c>
      <c r="N105" s="284">
        <f t="shared" si="77"/>
        <v>3.6422525283829547E-2</v>
      </c>
      <c r="O105" s="342">
        <v>0</v>
      </c>
      <c r="P105" s="343">
        <v>0.12198902506084108</v>
      </c>
      <c r="Q105" s="343">
        <v>0.27138874487525888</v>
      </c>
      <c r="R105" s="343">
        <v>0.30985843933687351</v>
      </c>
      <c r="S105" s="343">
        <v>0.30200291563186277</v>
      </c>
      <c r="T105" s="343">
        <v>0.29111491432010211</v>
      </c>
      <c r="U105" s="343">
        <v>0.28136879828580252</v>
      </c>
      <c r="V105" s="343">
        <v>0.27413468594931828</v>
      </c>
      <c r="W105" s="343">
        <v>0.26828552241968018</v>
      </c>
      <c r="X105" s="343">
        <v>0.26653086410875004</v>
      </c>
      <c r="Y105" s="379">
        <v>0.26192753403218011</v>
      </c>
      <c r="Z105" s="282">
        <f t="shared" si="78"/>
        <v>9.4787849206350624E-2</v>
      </c>
      <c r="AA105" s="284">
        <f t="shared" si="79"/>
        <v>5.5641862295546178E-2</v>
      </c>
      <c r="AB105" s="948">
        <f t="array" ref="AB105">IF(AND($AD$71=TRUE,SUM(B105:L105)&gt;0),SUMPRODUCT((((TRANSPOSE(Cls3CentDailyRng)&lt;INDEX(CDRANGE_CLS3,$A105-$A$76+1,AD$72))*TRANSPOSE(Cls3CentDailyRng)+(TRANSPOSE(Cls3CentDailyRng)&gt;INDEX(CDRANGE_CLS3,$A105-$A$76+1,AD$72))*INDEX(CDRANGE_CLS3,$A105-$A$76+1,AD$72))/TRANSPOSE(Cls3CentDailyRng)),B105:L105,TRANSPOSE(Cls3CentVMTShr))/SUMPRODUCT(B105:L105,TRANSPOSE(Cls3CentVMTShr)),0)</f>
        <v>0</v>
      </c>
      <c r="AC105" s="949">
        <f t="array" ref="AC105">IF(AND($AD$72=TRUE,SUM(O105:Y105)&gt;0),SUMPRODUCT((((TRANSPOSE(Cls3NCentDailyRng)&lt;INDEX(CDRANGE_CLS3,$A105-$A$76+1,AD$74))*TRANSPOSE(Cls3NCentDailyRng)+(TRANSPOSE(Cls3NCentDailyRng)&gt;INDEX(CDRANGE_CLS3,$A105-$A$76+1,AD$74))*INDEX(CDRANGE_CLS3,$A105-$A$76+1,AD$74))/TRANSPOSE(Cls3NCentDailyRng)),O105:Y105,TRANSPOSE(Cls3NCentVMTShr))/SUMPRODUCT(O105:Y105,TRANSPOSE(Cls3NCentVMTShr)),0)</f>
        <v>0</v>
      </c>
      <c r="AD105" s="1226">
        <f t="shared" si="86"/>
        <v>0</v>
      </c>
      <c r="AE105" s="1230">
        <f t="shared" si="83"/>
        <v>6.4490180556153326E-2</v>
      </c>
      <c r="AF105" s="1231">
        <f t="shared" si="84"/>
        <v>9.4787849206350624E-2</v>
      </c>
      <c r="AG105" s="1231">
        <f t="shared" si="85"/>
        <v>0.15927802976250394</v>
      </c>
      <c r="AH105" s="1172">
        <f t="shared" si="81"/>
        <v>0.40489062209215704</v>
      </c>
      <c r="AI105" s="1232">
        <f t="shared" si="82"/>
        <v>0.59510937790784302</v>
      </c>
      <c r="AJ105" s="227"/>
      <c r="AK105" s="540"/>
      <c r="AL105" s="540"/>
      <c r="AM105" s="540"/>
    </row>
    <row r="106" spans="1:39" x14ac:dyDescent="0.2">
      <c r="A106" s="330">
        <v>2037</v>
      </c>
      <c r="B106" s="344">
        <v>0</v>
      </c>
      <c r="C106" s="345">
        <v>0.10614306392813673</v>
      </c>
      <c r="D106" s="345">
        <v>0.25497571434427146</v>
      </c>
      <c r="E106" s="345">
        <v>0.30625699706059101</v>
      </c>
      <c r="F106" s="345">
        <v>0.31180652357286348</v>
      </c>
      <c r="G106" s="345">
        <v>0.30261259729193862</v>
      </c>
      <c r="H106" s="345">
        <v>0.28375268862313058</v>
      </c>
      <c r="I106" s="345">
        <v>0.27722842743156489</v>
      </c>
      <c r="J106" s="345">
        <v>0.27075472114015842</v>
      </c>
      <c r="K106" s="345">
        <v>0.26654379374344267</v>
      </c>
      <c r="L106" s="380">
        <v>0.26654379374344267</v>
      </c>
      <c r="M106" s="296">
        <f t="shared" si="76"/>
        <v>6.4456742902965811E-2</v>
      </c>
      <c r="N106" s="298">
        <f t="shared" si="77"/>
        <v>3.6409000783780329E-2</v>
      </c>
      <c r="O106" s="344">
        <v>0</v>
      </c>
      <c r="P106" s="345">
        <v>0.12199031295064949</v>
      </c>
      <c r="Q106" s="345">
        <v>0.26711696969636373</v>
      </c>
      <c r="R106" s="345">
        <v>0.30718221504382209</v>
      </c>
      <c r="S106" s="345">
        <v>0.30006472809102741</v>
      </c>
      <c r="T106" s="345">
        <v>0.28851370308634661</v>
      </c>
      <c r="U106" s="345">
        <v>0.28016626253217602</v>
      </c>
      <c r="V106" s="345">
        <v>0.2720551761050361</v>
      </c>
      <c r="W106" s="345">
        <v>0.26829827458376393</v>
      </c>
      <c r="X106" s="345">
        <v>0.26492692227475095</v>
      </c>
      <c r="Y106" s="380">
        <v>0.26194087195281041</v>
      </c>
      <c r="Z106" s="296">
        <f t="shared" si="78"/>
        <v>9.4143238569636398E-2</v>
      </c>
      <c r="AA106" s="298">
        <f t="shared" si="79"/>
        <v>5.53526567701388E-2</v>
      </c>
      <c r="AB106" s="948">
        <f t="array" ref="AB106">IF(AND($AD$71=TRUE,SUM(B106:L106)&gt;0),SUMPRODUCT((((TRANSPOSE(Cls3CentDailyRng)&lt;INDEX(CDRANGE_CLS3,$A106-$A$76+1,AD$72))*TRANSPOSE(Cls3CentDailyRng)+(TRANSPOSE(Cls3CentDailyRng)&gt;INDEX(CDRANGE_CLS3,$A106-$A$76+1,AD$72))*INDEX(CDRANGE_CLS3,$A106-$A$76+1,AD$72))/TRANSPOSE(Cls3CentDailyRng)),B106:L106,TRANSPOSE(Cls3CentVMTShr))/SUMPRODUCT(B106:L106,TRANSPOSE(Cls3CentVMTShr)),0)</f>
        <v>0</v>
      </c>
      <c r="AC106" s="949">
        <f t="array" ref="AC106">IF(AND($AD$72=TRUE,SUM(O106:Y106)&gt;0),SUMPRODUCT((((TRANSPOSE(Cls3NCentDailyRng)&lt;INDEX(CDRANGE_CLS3,$A106-$A$76+1,AD$74))*TRANSPOSE(Cls3NCentDailyRng)+(TRANSPOSE(Cls3NCentDailyRng)&gt;INDEX(CDRANGE_CLS3,$A106-$A$76+1,AD$74))*INDEX(CDRANGE_CLS3,$A106-$A$76+1,AD$74))/TRANSPOSE(Cls3NCentDailyRng)),O106:Y106,TRANSPOSE(Cls3NCentVMTShr))/SUMPRODUCT(O106:Y106,TRANSPOSE(Cls3NCentVMTShr)),0)</f>
        <v>0</v>
      </c>
      <c r="AD106" s="1226">
        <f t="shared" si="86"/>
        <v>0</v>
      </c>
      <c r="AE106" s="1230">
        <f t="shared" si="83"/>
        <v>6.4456742902965811E-2</v>
      </c>
      <c r="AF106" s="1231">
        <f t="shared" si="84"/>
        <v>9.4143238569636398E-2</v>
      </c>
      <c r="AG106" s="1231">
        <f t="shared" si="85"/>
        <v>0.15859998147260221</v>
      </c>
      <c r="AH106" s="1172">
        <f t="shared" si="81"/>
        <v>0.40641078456935742</v>
      </c>
      <c r="AI106" s="1232">
        <f t="shared" si="82"/>
        <v>0.59358921543064258</v>
      </c>
      <c r="AJ106" s="227"/>
      <c r="AK106" s="540"/>
      <c r="AL106" s="540"/>
      <c r="AM106" s="540"/>
    </row>
    <row r="107" spans="1:39" x14ac:dyDescent="0.2">
      <c r="A107" s="330">
        <v>2038</v>
      </c>
      <c r="B107" s="344">
        <v>0</v>
      </c>
      <c r="C107" s="345">
        <v>0.11236305165305087</v>
      </c>
      <c r="D107" s="345">
        <v>0.26036634478182602</v>
      </c>
      <c r="E107" s="345">
        <v>0.30435515988601924</v>
      </c>
      <c r="F107" s="345">
        <v>0.30850649376013378</v>
      </c>
      <c r="G107" s="345">
        <v>0.29814591663390805</v>
      </c>
      <c r="H107" s="345">
        <v>0.28017580932843245</v>
      </c>
      <c r="I107" s="345">
        <v>0.27504926121143208</v>
      </c>
      <c r="J107" s="345">
        <v>0.2707655255131331</v>
      </c>
      <c r="K107" s="345">
        <v>0.2649382500370504</v>
      </c>
      <c r="L107" s="380">
        <v>0.2649382500370504</v>
      </c>
      <c r="M107" s="296">
        <f t="shared" si="76"/>
        <v>6.5656214362509707E-2</v>
      </c>
      <c r="N107" s="298">
        <f t="shared" si="77"/>
        <v>3.7496196601342367E-2</v>
      </c>
      <c r="O107" s="344">
        <v>0</v>
      </c>
      <c r="P107" s="345">
        <v>0.12040373748707148</v>
      </c>
      <c r="Q107" s="345">
        <v>0.26704630493749587</v>
      </c>
      <c r="R107" s="345">
        <v>0.30498173795163414</v>
      </c>
      <c r="S107" s="345">
        <v>0.30069348513138455</v>
      </c>
      <c r="T107" s="345">
        <v>0.28939075227409039</v>
      </c>
      <c r="U107" s="345">
        <v>0.27786735268919915</v>
      </c>
      <c r="V107" s="345">
        <v>0.27206573837441378</v>
      </c>
      <c r="W107" s="345">
        <v>0.26655495009102403</v>
      </c>
      <c r="X107" s="345">
        <v>0.2649382500370504</v>
      </c>
      <c r="Y107" s="380">
        <v>0.26195246760201252</v>
      </c>
      <c r="Z107" s="296">
        <f t="shared" si="78"/>
        <v>9.3543832960170423E-2</v>
      </c>
      <c r="AA107" s="298">
        <f t="shared" si="79"/>
        <v>5.4887582402195018E-2</v>
      </c>
      <c r="AB107" s="948">
        <f t="array" ref="AB107">IF(AND($AD$71=TRUE,SUM(B107:L107)&gt;0),SUMPRODUCT((((TRANSPOSE(Cls3CentDailyRng)&lt;INDEX(CDRANGE_CLS3,$A107-$A$76+1,AD$72))*TRANSPOSE(Cls3CentDailyRng)+(TRANSPOSE(Cls3CentDailyRng)&gt;INDEX(CDRANGE_CLS3,$A107-$A$76+1,AD$72))*INDEX(CDRANGE_CLS3,$A107-$A$76+1,AD$72))/TRANSPOSE(Cls3CentDailyRng)),B107:L107,TRANSPOSE(Cls3CentVMTShr))/SUMPRODUCT(B107:L107,TRANSPOSE(Cls3CentVMTShr)),0)</f>
        <v>0</v>
      </c>
      <c r="AC107" s="949">
        <f t="array" ref="AC107">IF(AND($AD$72=TRUE,SUM(O107:Y107)&gt;0),SUMPRODUCT((((TRANSPOSE(Cls3NCentDailyRng)&lt;INDEX(CDRANGE_CLS3,$A107-$A$76+1,AD$74))*TRANSPOSE(Cls3NCentDailyRng)+(TRANSPOSE(Cls3NCentDailyRng)&gt;INDEX(CDRANGE_CLS3,$A107-$A$76+1,AD$74))*INDEX(CDRANGE_CLS3,$A107-$A$76+1,AD$74))/TRANSPOSE(Cls3NCentDailyRng)),O107:Y107,TRANSPOSE(Cls3NCentVMTShr))/SUMPRODUCT(O107:Y107,TRANSPOSE(Cls3NCentVMTShr)),0)</f>
        <v>0</v>
      </c>
      <c r="AD107" s="1226">
        <f t="shared" si="86"/>
        <v>0</v>
      </c>
      <c r="AE107" s="1230">
        <f t="shared" si="83"/>
        <v>6.5656214362509707E-2</v>
      </c>
      <c r="AF107" s="1231">
        <f t="shared" si="84"/>
        <v>9.3543832960170423E-2</v>
      </c>
      <c r="AG107" s="1231">
        <f t="shared" si="85"/>
        <v>0.15920004732268012</v>
      </c>
      <c r="AH107" s="1172">
        <f t="shared" si="81"/>
        <v>0.41241328420859158</v>
      </c>
      <c r="AI107" s="1232">
        <f t="shared" si="82"/>
        <v>0.58758671579140853</v>
      </c>
      <c r="AJ107" s="227"/>
      <c r="AK107" s="540"/>
      <c r="AL107" s="540"/>
      <c r="AM107" s="540"/>
    </row>
    <row r="108" spans="1:39" x14ac:dyDescent="0.2">
      <c r="A108" s="330">
        <v>2039</v>
      </c>
      <c r="B108" s="344">
        <v>0</v>
      </c>
      <c r="C108" s="345">
        <v>0.11236321219732286</v>
      </c>
      <c r="D108" s="345">
        <v>0.26036671679312923</v>
      </c>
      <c r="E108" s="345">
        <v>0.30595944544893372</v>
      </c>
      <c r="F108" s="345">
        <v>0.30201991214696983</v>
      </c>
      <c r="G108" s="345">
        <v>0.29352148567732839</v>
      </c>
      <c r="H108" s="345">
        <v>0.27787649566294048</v>
      </c>
      <c r="I108" s="345">
        <v>0.27416680650957898</v>
      </c>
      <c r="J108" s="345">
        <v>0.26888949824474406</v>
      </c>
      <c r="K108" s="345">
        <v>0.2647244305604462</v>
      </c>
      <c r="L108" s="380">
        <v>0.2647244305604462</v>
      </c>
      <c r="M108" s="296">
        <f t="shared" si="76"/>
        <v>6.5555626742653778E-2</v>
      </c>
      <c r="N108" s="298">
        <f t="shared" si="77"/>
        <v>3.7474141753010948E-2</v>
      </c>
      <c r="O108" s="344">
        <v>0</v>
      </c>
      <c r="P108" s="345">
        <v>0.12837316276736846</v>
      </c>
      <c r="Q108" s="345">
        <v>0.26677695012370389</v>
      </c>
      <c r="R108" s="345">
        <v>0.3007794972385161</v>
      </c>
      <c r="S108" s="345">
        <v>0.29622129277008125</v>
      </c>
      <c r="T108" s="345">
        <v>0.28696502796594958</v>
      </c>
      <c r="U108" s="345">
        <v>0.27562501574378673</v>
      </c>
      <c r="V108" s="345">
        <v>0.27008174074927604</v>
      </c>
      <c r="W108" s="345">
        <v>0.26656545050758101</v>
      </c>
      <c r="X108" s="345">
        <v>0.26326155460235517</v>
      </c>
      <c r="Y108" s="380">
        <v>0.26084444279011693</v>
      </c>
      <c r="Z108" s="296">
        <f t="shared" si="78"/>
        <v>9.5233468347516712E-2</v>
      </c>
      <c r="AA108" s="298">
        <f t="shared" si="79"/>
        <v>5.6773988832531479E-2</v>
      </c>
      <c r="AB108" s="948">
        <f t="array" ref="AB108">IF(AND($AD$71=TRUE,SUM(B108:L108)&gt;0),SUMPRODUCT((((TRANSPOSE(Cls3CentDailyRng)&lt;INDEX(CDRANGE_CLS3,$A108-$A$76+1,AD$72))*TRANSPOSE(Cls3CentDailyRng)+(TRANSPOSE(Cls3CentDailyRng)&gt;INDEX(CDRANGE_CLS3,$A108-$A$76+1,AD$72))*INDEX(CDRANGE_CLS3,$A108-$A$76+1,AD$72))/TRANSPOSE(Cls3CentDailyRng)),B108:L108,TRANSPOSE(Cls3CentVMTShr))/SUMPRODUCT(B108:L108,TRANSPOSE(Cls3CentVMTShr)),0)</f>
        <v>0</v>
      </c>
      <c r="AC108" s="949">
        <f t="array" ref="AC108">IF(AND($AD$72=TRUE,SUM(O108:Y108)&gt;0),SUMPRODUCT((((TRANSPOSE(Cls3NCentDailyRng)&lt;INDEX(CDRANGE_CLS3,$A108-$A$76+1,AD$74))*TRANSPOSE(Cls3NCentDailyRng)+(TRANSPOSE(Cls3NCentDailyRng)&gt;INDEX(CDRANGE_CLS3,$A108-$A$76+1,AD$74))*INDEX(CDRANGE_CLS3,$A108-$A$76+1,AD$74))/TRANSPOSE(Cls3NCentDailyRng)),O108:Y108,TRANSPOSE(Cls3NCentVMTShr))/SUMPRODUCT(O108:Y108,TRANSPOSE(Cls3NCentVMTShr)),0)</f>
        <v>0</v>
      </c>
      <c r="AD108" s="1226">
        <f t="shared" si="86"/>
        <v>0</v>
      </c>
      <c r="AE108" s="1230">
        <f t="shared" si="83"/>
        <v>6.5555626742653778E-2</v>
      </c>
      <c r="AF108" s="1231">
        <f t="shared" si="84"/>
        <v>9.5233468347516712E-2</v>
      </c>
      <c r="AG108" s="1231">
        <f t="shared" si="85"/>
        <v>0.16078909509017048</v>
      </c>
      <c r="AH108" s="1172">
        <f t="shared" si="81"/>
        <v>0.40771189554795495</v>
      </c>
      <c r="AI108" s="1232">
        <f t="shared" si="82"/>
        <v>0.59228810445204516</v>
      </c>
      <c r="AJ108" s="227"/>
      <c r="AK108" s="540"/>
      <c r="AL108" s="540"/>
      <c r="AM108" s="540"/>
    </row>
    <row r="109" spans="1:39" ht="15" thickBot="1" x14ac:dyDescent="0.25">
      <c r="A109" s="328">
        <v>2040</v>
      </c>
      <c r="B109" s="346">
        <v>0</v>
      </c>
      <c r="C109" s="347">
        <v>0.11236327125837534</v>
      </c>
      <c r="D109" s="347">
        <v>0.26030474228675637</v>
      </c>
      <c r="E109" s="347">
        <v>0.30178534648525818</v>
      </c>
      <c r="F109" s="347">
        <v>0.295939232416499</v>
      </c>
      <c r="G109" s="347">
        <v>0.2911462849831537</v>
      </c>
      <c r="H109" s="347">
        <v>0.27563419328689259</v>
      </c>
      <c r="I109" s="347">
        <v>0.27208528977585783</v>
      </c>
      <c r="J109" s="347">
        <v>0.26889961726524203</v>
      </c>
      <c r="K109" s="347">
        <v>0.26327214381576625</v>
      </c>
      <c r="L109" s="381">
        <v>0.26327214381576625</v>
      </c>
      <c r="M109" s="310">
        <f t="shared" si="76"/>
        <v>6.5193268815347719E-2</v>
      </c>
      <c r="N109" s="312">
        <f t="shared" si="77"/>
        <v>3.7350322461532935E-2</v>
      </c>
      <c r="O109" s="346">
        <v>0</v>
      </c>
      <c r="P109" s="347">
        <v>0.128373230243671</v>
      </c>
      <c r="Q109" s="347">
        <v>0.26593235095265844</v>
      </c>
      <c r="R109" s="347">
        <v>0.29458963261622118</v>
      </c>
      <c r="S109" s="347">
        <v>0.29389451080595647</v>
      </c>
      <c r="T109" s="347">
        <v>0.28454417069030874</v>
      </c>
      <c r="U109" s="347">
        <v>0.27345333278573369</v>
      </c>
      <c r="V109" s="347">
        <v>0.26820884211891072</v>
      </c>
      <c r="W109" s="347">
        <v>0.26495937480771725</v>
      </c>
      <c r="X109" s="347">
        <v>0.26327214381576625</v>
      </c>
      <c r="Y109" s="381">
        <v>0.2608552875187371</v>
      </c>
      <c r="Z109" s="310">
        <f t="shared" si="78"/>
        <v>9.4640191351269221E-2</v>
      </c>
      <c r="AA109" s="312">
        <f t="shared" si="79"/>
        <v>5.6558308995161094E-2</v>
      </c>
      <c r="AB109" s="948">
        <f t="array" ref="AB109">IF(AND($AD$71=TRUE,SUM(B109:L109)&gt;0),SUMPRODUCT((((TRANSPOSE(Cls3CentDailyRng)&lt;INDEX(CDRANGE_CLS3,$A109-$A$76+1,AD$72))*TRANSPOSE(Cls3CentDailyRng)+(TRANSPOSE(Cls3CentDailyRng)&gt;INDEX(CDRANGE_CLS3,$A109-$A$76+1,AD$72))*INDEX(CDRANGE_CLS3,$A109-$A$76+1,AD$72))/TRANSPOSE(Cls3CentDailyRng)),B109:L109,TRANSPOSE(Cls3CentVMTShr))/SUMPRODUCT(B109:L109,TRANSPOSE(Cls3CentVMTShr)),0)</f>
        <v>0</v>
      </c>
      <c r="AC109" s="949">
        <f t="array" ref="AC109">IF(AND($AD$72=TRUE,SUM(O109:Y109)&gt;0),SUMPRODUCT((((TRANSPOSE(Cls3NCentDailyRng)&lt;INDEX(CDRANGE_CLS3,$A109-$A$76+1,AD$74))*TRANSPOSE(Cls3NCentDailyRng)+(TRANSPOSE(Cls3NCentDailyRng)&gt;INDEX(CDRANGE_CLS3,$A109-$A$76+1,AD$74))*INDEX(CDRANGE_CLS3,$A109-$A$76+1,AD$74))/TRANSPOSE(Cls3NCentDailyRng)),O109:Y109,TRANSPOSE(Cls3NCentVMTShr))/SUMPRODUCT(O109:Y109,TRANSPOSE(Cls3NCentVMTShr)),0)</f>
        <v>0</v>
      </c>
      <c r="AD109" s="1226">
        <f t="shared" si="86"/>
        <v>0</v>
      </c>
      <c r="AE109" s="1230">
        <f t="shared" si="83"/>
        <v>6.5193268815347719E-2</v>
      </c>
      <c r="AF109" s="1231">
        <f t="shared" si="84"/>
        <v>9.4640191351269221E-2</v>
      </c>
      <c r="AG109" s="1231">
        <f t="shared" si="85"/>
        <v>0.15983346016661693</v>
      </c>
      <c r="AH109" s="1172">
        <f t="shared" si="81"/>
        <v>0.40788248435207242</v>
      </c>
      <c r="AI109" s="1232">
        <f t="shared" si="82"/>
        <v>0.59211751564792769</v>
      </c>
      <c r="AJ109" s="227"/>
      <c r="AK109" s="540"/>
      <c r="AL109" s="540"/>
      <c r="AM109" s="540"/>
    </row>
    <row r="110" spans="1:39" x14ac:dyDescent="0.2">
      <c r="A110" s="329">
        <v>2041</v>
      </c>
      <c r="B110" s="342">
        <v>0</v>
      </c>
      <c r="C110" s="343">
        <v>0.11236329298573797</v>
      </c>
      <c r="D110" s="343">
        <v>0.2595804973062335</v>
      </c>
      <c r="E110" s="343">
        <v>0.29274494522406141</v>
      </c>
      <c r="F110" s="343">
        <v>0.28919687644437214</v>
      </c>
      <c r="G110" s="343">
        <v>0.28387056920512171</v>
      </c>
      <c r="H110" s="343">
        <v>0.2734626853520688</v>
      </c>
      <c r="I110" s="343">
        <v>0.27010143338521103</v>
      </c>
      <c r="J110" s="343">
        <v>0.26658591108486995</v>
      </c>
      <c r="K110" s="343">
        <v>0.26328265108904375</v>
      </c>
      <c r="L110" s="379">
        <v>0.26328265108904375</v>
      </c>
      <c r="M110" s="282">
        <f t="shared" si="76"/>
        <v>6.4541394610593855E-2</v>
      </c>
      <c r="N110" s="284">
        <f t="shared" si="77"/>
        <v>3.7103666037312202E-2</v>
      </c>
      <c r="O110" s="342">
        <v>0</v>
      </c>
      <c r="P110" s="343">
        <v>0.13208959875131807</v>
      </c>
      <c r="Q110" s="343">
        <v>0.27169856270141945</v>
      </c>
      <c r="R110" s="343">
        <v>0.28091846775672102</v>
      </c>
      <c r="S110" s="343">
        <v>0.28663827861580915</v>
      </c>
      <c r="T110" s="343">
        <v>0.27976094564875942</v>
      </c>
      <c r="U110" s="343">
        <v>0.27136610931992278</v>
      </c>
      <c r="V110" s="343">
        <v>0.26821886008169182</v>
      </c>
      <c r="W110" s="343">
        <v>0.26496974119449307</v>
      </c>
      <c r="X110" s="343">
        <v>0.26328265108904375</v>
      </c>
      <c r="Y110" s="379">
        <v>0.26086605127521123</v>
      </c>
      <c r="Z110" s="282">
        <f t="shared" si="78"/>
        <v>9.5097750452494037E-2</v>
      </c>
      <c r="AA110" s="284">
        <f t="shared" si="79"/>
        <v>5.7408901371136106E-2</v>
      </c>
      <c r="AB110" s="948">
        <f t="array" ref="AB110">IF(AND($AD$71=TRUE,SUM(B110:L110)&gt;0),SUMPRODUCT((((TRANSPOSE(Cls3CentDailyRng)&lt;INDEX(CDRANGE_CLS3,$A110-$A$76+1,AD$72))*TRANSPOSE(Cls3CentDailyRng)+(TRANSPOSE(Cls3CentDailyRng)&gt;INDEX(CDRANGE_CLS3,$A110-$A$76+1,AD$72))*INDEX(CDRANGE_CLS3,$A110-$A$76+1,AD$72))/TRANSPOSE(Cls3CentDailyRng)),B110:L110,TRANSPOSE(Cls3CentVMTShr))/SUMPRODUCT(B110:L110,TRANSPOSE(Cls3CentVMTShr)),0)</f>
        <v>0</v>
      </c>
      <c r="AC110" s="949">
        <f t="array" ref="AC110">IF(AND($AD$72=TRUE,SUM(O110:Y110)&gt;0),SUMPRODUCT((((TRANSPOSE(Cls3NCentDailyRng)&lt;INDEX(CDRANGE_CLS3,$A110-$A$76+1,AD$74))*TRANSPOSE(Cls3NCentDailyRng)+(TRANSPOSE(Cls3NCentDailyRng)&gt;INDEX(CDRANGE_CLS3,$A110-$A$76+1,AD$74))*INDEX(CDRANGE_CLS3,$A110-$A$76+1,AD$74))/TRANSPOSE(Cls3NCentDailyRng)),O110:Y110,TRANSPOSE(Cls3NCentVMTShr))/SUMPRODUCT(O110:Y110,TRANSPOSE(Cls3NCentVMTShr)),0)</f>
        <v>0</v>
      </c>
      <c r="AD110" s="1226">
        <f t="shared" si="86"/>
        <v>0</v>
      </c>
      <c r="AE110" s="1230">
        <f t="shared" si="83"/>
        <v>6.4541394610593855E-2</v>
      </c>
      <c r="AF110" s="1231">
        <f t="shared" si="84"/>
        <v>9.5097750452494037E-2</v>
      </c>
      <c r="AG110" s="1231">
        <f t="shared" si="85"/>
        <v>0.15963914506308791</v>
      </c>
      <c r="AH110" s="1172">
        <f t="shared" si="81"/>
        <v>0.40429554157965264</v>
      </c>
      <c r="AI110" s="1232">
        <f t="shared" si="82"/>
        <v>0.59570445842034725</v>
      </c>
      <c r="AJ110" s="227"/>
      <c r="AK110" s="540"/>
      <c r="AL110" s="540"/>
      <c r="AM110" s="540"/>
    </row>
    <row r="111" spans="1:39" x14ac:dyDescent="0.2">
      <c r="A111" s="330">
        <v>2042</v>
      </c>
      <c r="B111" s="344">
        <v>0</v>
      </c>
      <c r="C111" s="345">
        <v>0.12199105743468353</v>
      </c>
      <c r="D111" s="345">
        <v>0.25009309396709895</v>
      </c>
      <c r="E111" s="345">
        <v>0.2722781538641742</v>
      </c>
      <c r="F111" s="345">
        <v>0.28200928916108919</v>
      </c>
      <c r="G111" s="345">
        <v>0.27902902800069279</v>
      </c>
      <c r="H111" s="345">
        <v>0.26937702667583391</v>
      </c>
      <c r="I111" s="345">
        <v>0.26822885047699135</v>
      </c>
      <c r="J111" s="345">
        <v>0.26498008063026696</v>
      </c>
      <c r="K111" s="345">
        <v>0.2619954111148074</v>
      </c>
      <c r="L111" s="380">
        <v>0.2619954111148074</v>
      </c>
      <c r="M111" s="296">
        <f t="shared" si="76"/>
        <v>6.399897699133146E-2</v>
      </c>
      <c r="N111" s="298">
        <f t="shared" si="77"/>
        <v>3.7564935102208367E-2</v>
      </c>
      <c r="O111" s="344">
        <v>0</v>
      </c>
      <c r="P111" s="345">
        <v>0.13028050083928486</v>
      </c>
      <c r="Q111" s="345">
        <v>0.26106873964146676</v>
      </c>
      <c r="R111" s="345">
        <v>0.259465392076978</v>
      </c>
      <c r="S111" s="345">
        <v>0.27707026356529524</v>
      </c>
      <c r="T111" s="345">
        <v>0.27515578491900738</v>
      </c>
      <c r="U111" s="345">
        <v>0.26937702667583391</v>
      </c>
      <c r="V111" s="345">
        <v>0.26647088249203299</v>
      </c>
      <c r="W111" s="345">
        <v>0.26351520476639345</v>
      </c>
      <c r="X111" s="345">
        <v>0.2619954111148074</v>
      </c>
      <c r="Y111" s="380">
        <v>0.25995288254823756</v>
      </c>
      <c r="Z111" s="296">
        <f t="shared" si="78"/>
        <v>9.2147455972143785E-2</v>
      </c>
      <c r="AA111" s="298">
        <f t="shared" si="79"/>
        <v>5.5885250443724173E-2</v>
      </c>
      <c r="AB111" s="948">
        <f t="array" ref="AB111">IF(AND($AD$71=TRUE,SUM(B111:L111)&gt;0),SUMPRODUCT((((TRANSPOSE(Cls3CentDailyRng)&lt;INDEX(CDRANGE_CLS3,$A111-$A$76+1,AD$72))*TRANSPOSE(Cls3CentDailyRng)+(TRANSPOSE(Cls3CentDailyRng)&gt;INDEX(CDRANGE_CLS3,$A111-$A$76+1,AD$72))*INDEX(CDRANGE_CLS3,$A111-$A$76+1,AD$72))/TRANSPOSE(Cls3CentDailyRng)),B111:L111,TRANSPOSE(Cls3CentVMTShr))/SUMPRODUCT(B111:L111,TRANSPOSE(Cls3CentVMTShr)),0)</f>
        <v>0</v>
      </c>
      <c r="AC111" s="949">
        <f t="array" ref="AC111">IF(AND($AD$72=TRUE,SUM(O111:Y111)&gt;0),SUMPRODUCT((((TRANSPOSE(Cls3NCentDailyRng)&lt;INDEX(CDRANGE_CLS3,$A111-$A$76+1,AD$74))*TRANSPOSE(Cls3NCentDailyRng)+(TRANSPOSE(Cls3NCentDailyRng)&gt;INDEX(CDRANGE_CLS3,$A111-$A$76+1,AD$74))*INDEX(CDRANGE_CLS3,$A111-$A$76+1,AD$74))/TRANSPOSE(Cls3NCentDailyRng)),O111:Y111,TRANSPOSE(Cls3NCentVMTShr))/SUMPRODUCT(O111:Y111,TRANSPOSE(Cls3NCentVMTShr)),0)</f>
        <v>0</v>
      </c>
      <c r="AD111" s="1226">
        <f t="shared" si="86"/>
        <v>0</v>
      </c>
      <c r="AE111" s="1230">
        <f t="shared" si="83"/>
        <v>6.399897699133146E-2</v>
      </c>
      <c r="AF111" s="1231">
        <f t="shared" si="84"/>
        <v>9.2147455972143785E-2</v>
      </c>
      <c r="AG111" s="1231">
        <f t="shared" si="85"/>
        <v>0.15614643296347525</v>
      </c>
      <c r="AH111" s="1172">
        <f t="shared" si="81"/>
        <v>0.40986512324813518</v>
      </c>
      <c r="AI111" s="1232">
        <f t="shared" si="82"/>
        <v>0.59013487675186482</v>
      </c>
      <c r="AJ111" s="227"/>
      <c r="AK111" s="540"/>
      <c r="AL111" s="540"/>
      <c r="AM111" s="540"/>
    </row>
    <row r="112" spans="1:39" x14ac:dyDescent="0.2">
      <c r="A112" s="330">
        <v>2043</v>
      </c>
      <c r="B112" s="344">
        <v>0</v>
      </c>
      <c r="C112" s="345">
        <v>0.12168153540142992</v>
      </c>
      <c r="D112" s="345">
        <v>0.23419337346346644</v>
      </c>
      <c r="E112" s="345">
        <v>0.25216009230993325</v>
      </c>
      <c r="F112" s="345">
        <v>0.27466304891587912</v>
      </c>
      <c r="G112" s="345">
        <v>0.27431389604204925</v>
      </c>
      <c r="H112" s="345">
        <v>0.26749966537320724</v>
      </c>
      <c r="I112" s="345">
        <v>0.26648105589281834</v>
      </c>
      <c r="J112" s="345">
        <v>0.26352568959177219</v>
      </c>
      <c r="K112" s="345">
        <v>0.26088751304588936</v>
      </c>
      <c r="L112" s="380">
        <v>0.26088751304588936</v>
      </c>
      <c r="M112" s="296">
        <f t="shared" si="76"/>
        <v>6.1435791091451461E-2</v>
      </c>
      <c r="N112" s="298">
        <f t="shared" si="77"/>
        <v>3.6305814151788261E-2</v>
      </c>
      <c r="O112" s="344">
        <v>0</v>
      </c>
      <c r="P112" s="345">
        <v>0.13744378532437557</v>
      </c>
      <c r="Q112" s="345">
        <v>0.23995649608850947</v>
      </c>
      <c r="R112" s="345">
        <v>0.23897694587594723</v>
      </c>
      <c r="S112" s="345">
        <v>0.2722773579441396</v>
      </c>
      <c r="T112" s="345">
        <v>0.27295892041175152</v>
      </c>
      <c r="U112" s="345">
        <v>0.26749966537320724</v>
      </c>
      <c r="V112" s="345">
        <v>0.26486119499427047</v>
      </c>
      <c r="W112" s="345">
        <v>0.26222592337488454</v>
      </c>
      <c r="X112" s="345">
        <v>0.26088751304588936</v>
      </c>
      <c r="Y112" s="380">
        <v>0.25996370330936802</v>
      </c>
      <c r="Z112" s="296">
        <f t="shared" si="78"/>
        <v>9.0906910524715209E-2</v>
      </c>
      <c r="AA112" s="298">
        <f t="shared" si="79"/>
        <v>5.6224953912943597E-2</v>
      </c>
      <c r="AB112" s="948">
        <f t="array" ref="AB112">IF(AND($AD$71=TRUE,SUM(B112:L112)&gt;0),SUMPRODUCT((((TRANSPOSE(Cls3CentDailyRng)&lt;INDEX(CDRANGE_CLS3,$A112-$A$76+1,AD$72))*TRANSPOSE(Cls3CentDailyRng)+(TRANSPOSE(Cls3CentDailyRng)&gt;INDEX(CDRANGE_CLS3,$A112-$A$76+1,AD$72))*INDEX(CDRANGE_CLS3,$A112-$A$76+1,AD$72))/TRANSPOSE(Cls3CentDailyRng)),B112:L112,TRANSPOSE(Cls3CentVMTShr))/SUMPRODUCT(B112:L112,TRANSPOSE(Cls3CentVMTShr)),0)</f>
        <v>0</v>
      </c>
      <c r="AC112" s="949">
        <f t="array" ref="AC112">IF(AND($AD$72=TRUE,SUM(O112:Y112)&gt;0),SUMPRODUCT((((TRANSPOSE(Cls3NCentDailyRng)&lt;INDEX(CDRANGE_CLS3,$A112-$A$76+1,AD$74))*TRANSPOSE(Cls3NCentDailyRng)+(TRANSPOSE(Cls3NCentDailyRng)&gt;INDEX(CDRANGE_CLS3,$A112-$A$76+1,AD$74))*INDEX(CDRANGE_CLS3,$A112-$A$76+1,AD$74))/TRANSPOSE(Cls3NCentDailyRng)),O112:Y112,TRANSPOSE(Cls3NCentVMTShr))/SUMPRODUCT(O112:Y112,TRANSPOSE(Cls3NCentVMTShr)),0)</f>
        <v>0</v>
      </c>
      <c r="AD112" s="1226">
        <f t="shared" si="86"/>
        <v>0</v>
      </c>
      <c r="AE112" s="1230">
        <f t="shared" si="83"/>
        <v>6.1435791091451461E-2</v>
      </c>
      <c r="AF112" s="1231">
        <f t="shared" si="84"/>
        <v>9.0906910524715209E-2</v>
      </c>
      <c r="AG112" s="1231">
        <f t="shared" si="85"/>
        <v>0.15234270161616667</v>
      </c>
      <c r="AH112" s="1172">
        <f t="shared" si="81"/>
        <v>0.4032736090386615</v>
      </c>
      <c r="AI112" s="1232">
        <f t="shared" si="82"/>
        <v>0.5967263909613385</v>
      </c>
      <c r="AJ112" s="227"/>
      <c r="AK112" s="540"/>
      <c r="AL112" s="540"/>
      <c r="AM112" s="540"/>
    </row>
    <row r="113" spans="1:39" x14ac:dyDescent="0.2">
      <c r="A113" s="330">
        <v>2044</v>
      </c>
      <c r="B113" s="344">
        <v>0</v>
      </c>
      <c r="C113" s="345">
        <v>0.11721287162339065</v>
      </c>
      <c r="D113" s="345">
        <v>0.22769491535145645</v>
      </c>
      <c r="E113" s="345">
        <v>0.23516611546955921</v>
      </c>
      <c r="F113" s="345">
        <v>0.26984522923191984</v>
      </c>
      <c r="G113" s="345">
        <v>0.26983376095455569</v>
      </c>
      <c r="H113" s="345">
        <v>0.26574755559712127</v>
      </c>
      <c r="I113" s="345">
        <v>0.26487155467947543</v>
      </c>
      <c r="J113" s="345">
        <v>0.26223655572807453</v>
      </c>
      <c r="K113" s="345">
        <v>0.26089824593235555</v>
      </c>
      <c r="L113" s="380">
        <v>0.26089824593235555</v>
      </c>
      <c r="M113" s="296">
        <f t="shared" si="76"/>
        <v>5.9284494077416684E-2</v>
      </c>
      <c r="N113" s="298">
        <f t="shared" si="77"/>
        <v>3.5008377443184607E-2</v>
      </c>
      <c r="O113" s="344">
        <v>0</v>
      </c>
      <c r="P113" s="345">
        <v>0.13008455490240536</v>
      </c>
      <c r="Q113" s="345">
        <v>0.21987682673948364</v>
      </c>
      <c r="R113" s="345">
        <v>0.22746404399328463</v>
      </c>
      <c r="S113" s="345">
        <v>0.26766740868692535</v>
      </c>
      <c r="T113" s="345">
        <v>0.26882689594695564</v>
      </c>
      <c r="U113" s="345">
        <v>0.26574755559712127</v>
      </c>
      <c r="V113" s="345">
        <v>0.26408597126542038</v>
      </c>
      <c r="W113" s="345">
        <v>0.2611162957780358</v>
      </c>
      <c r="X113" s="345">
        <v>0.26089824593235555</v>
      </c>
      <c r="Y113" s="380">
        <v>0.25926360285305</v>
      </c>
      <c r="Z113" s="296">
        <f t="shared" si="78"/>
        <v>8.6374164836959352E-2</v>
      </c>
      <c r="AA113" s="298">
        <f t="shared" si="79"/>
        <v>5.3097518075089459E-2</v>
      </c>
      <c r="AB113" s="948">
        <f t="array" ref="AB113">IF(AND($AD$71=TRUE,SUM(B113:L113)&gt;0),SUMPRODUCT((((TRANSPOSE(Cls3CentDailyRng)&lt;INDEX(CDRANGE_CLS3,$A113-$A$76+1,AD$72))*TRANSPOSE(Cls3CentDailyRng)+(TRANSPOSE(Cls3CentDailyRng)&gt;INDEX(CDRANGE_CLS3,$A113-$A$76+1,AD$72))*INDEX(CDRANGE_CLS3,$A113-$A$76+1,AD$72))/TRANSPOSE(Cls3CentDailyRng)),B113:L113,TRANSPOSE(Cls3CentVMTShr))/SUMPRODUCT(B113:L113,TRANSPOSE(Cls3CentVMTShr)),0)</f>
        <v>0</v>
      </c>
      <c r="AC113" s="949">
        <f t="array" ref="AC113">IF(AND($AD$72=TRUE,SUM(O113:Y113)&gt;0),SUMPRODUCT((((TRANSPOSE(Cls3NCentDailyRng)&lt;INDEX(CDRANGE_CLS3,$A113-$A$76+1,AD$74))*TRANSPOSE(Cls3NCentDailyRng)+(TRANSPOSE(Cls3NCentDailyRng)&gt;INDEX(CDRANGE_CLS3,$A113-$A$76+1,AD$74))*INDEX(CDRANGE_CLS3,$A113-$A$76+1,AD$74))/TRANSPOSE(Cls3NCentDailyRng)),O113:Y113,TRANSPOSE(Cls3NCentVMTShr))/SUMPRODUCT(O113:Y113,TRANSPOSE(Cls3NCentVMTShr)),0)</f>
        <v>0</v>
      </c>
      <c r="AD113" s="1226">
        <f t="shared" si="86"/>
        <v>0</v>
      </c>
      <c r="AE113" s="1230">
        <f t="shared" si="83"/>
        <v>5.9284494077416684E-2</v>
      </c>
      <c r="AF113" s="1231">
        <f t="shared" si="84"/>
        <v>8.6374164836959352E-2</v>
      </c>
      <c r="AG113" s="1231">
        <f t="shared" si="85"/>
        <v>0.14565865891437604</v>
      </c>
      <c r="AH113" s="1172">
        <f t="shared" si="81"/>
        <v>0.4070097481280977</v>
      </c>
      <c r="AI113" s="1232">
        <f t="shared" si="82"/>
        <v>0.59299025187190224</v>
      </c>
      <c r="AJ113" s="227"/>
      <c r="AK113" s="540"/>
      <c r="AL113" s="540"/>
      <c r="AM113" s="540"/>
    </row>
    <row r="114" spans="1:39" ht="15" thickBot="1" x14ac:dyDescent="0.25">
      <c r="A114" s="328">
        <v>2045</v>
      </c>
      <c r="B114" s="346">
        <v>0</v>
      </c>
      <c r="C114" s="347">
        <v>0.11873654667912638</v>
      </c>
      <c r="D114" s="347">
        <v>0.20632760905205658</v>
      </c>
      <c r="E114" s="347">
        <v>0.22053167304600838</v>
      </c>
      <c r="F114" s="347">
        <v>0.26968188009553518</v>
      </c>
      <c r="G114" s="347">
        <v>0.26772099224890306</v>
      </c>
      <c r="H114" s="347">
        <v>0.26571458640244605</v>
      </c>
      <c r="I114" s="347">
        <v>0.26341390186371288</v>
      </c>
      <c r="J114" s="347">
        <v>0.26224719210267544</v>
      </c>
      <c r="K114" s="347">
        <v>0.25998536663945793</v>
      </c>
      <c r="L114" s="381">
        <v>0.25998536663945793</v>
      </c>
      <c r="M114" s="310">
        <f t="shared" si="76"/>
        <v>5.6939443036573847E-2</v>
      </c>
      <c r="N114" s="312">
        <f t="shared" si="77"/>
        <v>3.3879693179136208E-2</v>
      </c>
      <c r="O114" s="346">
        <v>0</v>
      </c>
      <c r="P114" s="347">
        <v>0.12285447643258117</v>
      </c>
      <c r="Q114" s="347">
        <v>0.20118539459071677</v>
      </c>
      <c r="R114" s="347">
        <v>0.22206711126645728</v>
      </c>
      <c r="S114" s="347">
        <v>0.26567720303517384</v>
      </c>
      <c r="T114" s="347">
        <v>0.2669288008101483</v>
      </c>
      <c r="U114" s="347">
        <v>0.26571458640244605</v>
      </c>
      <c r="V114" s="347">
        <v>0.26279161005151341</v>
      </c>
      <c r="W114" s="347">
        <v>0.26112705071423631</v>
      </c>
      <c r="X114" s="347">
        <v>0.25998536663945793</v>
      </c>
      <c r="Y114" s="381">
        <v>0.25927451042220923</v>
      </c>
      <c r="Z114" s="310">
        <f t="shared" si="78"/>
        <v>8.2453257036611591E-2</v>
      </c>
      <c r="AA114" s="312">
        <f t="shared" si="79"/>
        <v>5.0232385753732366E-2</v>
      </c>
      <c r="AB114" s="948">
        <f t="array" ref="AB114">IF(AND($AD$71=TRUE,SUM(B114:L114)&gt;0),SUMPRODUCT((((TRANSPOSE(Cls3CentDailyRng)&lt;INDEX(CDRANGE_CLS3,$A114-$A$76+1,AD$72))*TRANSPOSE(Cls3CentDailyRng)+(TRANSPOSE(Cls3CentDailyRng)&gt;INDEX(CDRANGE_CLS3,$A114-$A$76+1,AD$72))*INDEX(CDRANGE_CLS3,$A114-$A$76+1,AD$72))/TRANSPOSE(Cls3CentDailyRng)),B114:L114,TRANSPOSE(Cls3CentVMTShr))/SUMPRODUCT(B114:L114,TRANSPOSE(Cls3CentVMTShr)),0)</f>
        <v>0</v>
      </c>
      <c r="AC114" s="949">
        <f t="array" ref="AC114">IF(AND($AD$72=TRUE,SUM(O114:Y114)&gt;0),SUMPRODUCT((((TRANSPOSE(Cls3NCentDailyRng)&lt;INDEX(CDRANGE_CLS3,$A114-$A$76+1,AD$74))*TRANSPOSE(Cls3NCentDailyRng)+(TRANSPOSE(Cls3NCentDailyRng)&gt;INDEX(CDRANGE_CLS3,$A114-$A$76+1,AD$74))*INDEX(CDRANGE_CLS3,$A114-$A$76+1,AD$74))/TRANSPOSE(Cls3NCentDailyRng)),O114:Y114,TRANSPOSE(Cls3NCentVMTShr))/SUMPRODUCT(O114:Y114,TRANSPOSE(Cls3NCentVMTShr)),0)</f>
        <v>0</v>
      </c>
      <c r="AD114" s="1226">
        <f t="shared" si="86"/>
        <v>0</v>
      </c>
      <c r="AE114" s="1230">
        <f t="shared" si="83"/>
        <v>5.6939443036573847E-2</v>
      </c>
      <c r="AF114" s="1231">
        <f t="shared" si="84"/>
        <v>8.2453257036611591E-2</v>
      </c>
      <c r="AG114" s="1231">
        <f t="shared" si="85"/>
        <v>0.13939270007318544</v>
      </c>
      <c r="AH114" s="1172">
        <f t="shared" si="81"/>
        <v>0.40848224481396012</v>
      </c>
      <c r="AI114" s="1232">
        <f t="shared" si="82"/>
        <v>0.59151775518603988</v>
      </c>
      <c r="AJ114" s="227"/>
      <c r="AK114" s="540"/>
      <c r="AL114" s="540"/>
      <c r="AM114" s="540"/>
    </row>
    <row r="115" spans="1:39" x14ac:dyDescent="0.2">
      <c r="A115" s="329">
        <v>2046</v>
      </c>
      <c r="B115" s="342">
        <v>0</v>
      </c>
      <c r="C115" s="343">
        <v>0.11113791412474049</v>
      </c>
      <c r="D115" s="343">
        <v>0.19677734235759331</v>
      </c>
      <c r="E115" s="343">
        <v>0.21537971745508019</v>
      </c>
      <c r="F115" s="343">
        <v>0.26745165400094084</v>
      </c>
      <c r="G115" s="343">
        <v>0.26570837914865791</v>
      </c>
      <c r="H115" s="343">
        <v>0.26572502005692888</v>
      </c>
      <c r="I115" s="343">
        <v>0.26342442963898866</v>
      </c>
      <c r="J115" s="343">
        <v>0.26113781075696724</v>
      </c>
      <c r="K115" s="343">
        <v>0.25999620554754388</v>
      </c>
      <c r="L115" s="379">
        <v>0.25999620554754388</v>
      </c>
      <c r="M115" s="282">
        <f t="shared" si="76"/>
        <v>5.466410341823344E-2</v>
      </c>
      <c r="N115" s="284">
        <f t="shared" si="77"/>
        <v>3.2213929739219452E-2</v>
      </c>
      <c r="O115" s="342">
        <v>0</v>
      </c>
      <c r="P115" s="343">
        <v>0.11383125174241353</v>
      </c>
      <c r="Q115" s="343">
        <v>0.19364423165892997</v>
      </c>
      <c r="R115" s="343">
        <v>0.21707704333017921</v>
      </c>
      <c r="S115" s="343">
        <v>0.26568693668025939</v>
      </c>
      <c r="T115" s="343">
        <v>0.26515765440538441</v>
      </c>
      <c r="U115" s="343">
        <v>0.26424794544850289</v>
      </c>
      <c r="V115" s="343">
        <v>0.26280229568258856</v>
      </c>
      <c r="W115" s="343">
        <v>0.26113781075696724</v>
      </c>
      <c r="X115" s="343">
        <v>0.25999620554754388</v>
      </c>
      <c r="Y115" s="379">
        <v>0.25928542320210141</v>
      </c>
      <c r="Z115" s="282">
        <f t="shared" si="78"/>
        <v>7.9039361576098616E-2</v>
      </c>
      <c r="AA115" s="284">
        <f t="shared" si="79"/>
        <v>4.7445745583255816E-2</v>
      </c>
      <c r="AB115" s="948">
        <f t="array" ref="AB115">IF(AND($AD$71=TRUE,SUM(B115:L115)&gt;0),SUMPRODUCT((((TRANSPOSE(Cls3CentDailyRng)&lt;INDEX(CDRANGE_CLS3,$A115-$A$76+1,AD$72))*TRANSPOSE(Cls3CentDailyRng)+(TRANSPOSE(Cls3CentDailyRng)&gt;INDEX(CDRANGE_CLS3,$A115-$A$76+1,AD$72))*INDEX(CDRANGE_CLS3,$A115-$A$76+1,AD$72))/TRANSPOSE(Cls3CentDailyRng)),B115:L115,TRANSPOSE(Cls3CentVMTShr))/SUMPRODUCT(B115:L115,TRANSPOSE(Cls3CentVMTShr)),0)</f>
        <v>0</v>
      </c>
      <c r="AC115" s="949">
        <f t="array" ref="AC115">IF(AND($AD$72=TRUE,SUM(O115:Y115)&gt;0),SUMPRODUCT((((TRANSPOSE(Cls3NCentDailyRng)&lt;INDEX(CDRANGE_CLS3,$A115-$A$76+1,AD$74))*TRANSPOSE(Cls3NCentDailyRng)+(TRANSPOSE(Cls3NCentDailyRng)&gt;INDEX(CDRANGE_CLS3,$A115-$A$76+1,AD$74))*INDEX(CDRANGE_CLS3,$A115-$A$76+1,AD$74))/TRANSPOSE(Cls3NCentDailyRng)),O115:Y115,TRANSPOSE(Cls3NCentVMTShr))/SUMPRODUCT(O115:Y115,TRANSPOSE(Cls3NCentVMTShr)),0)</f>
        <v>0</v>
      </c>
      <c r="AD115" s="1226">
        <f t="shared" si="86"/>
        <v>0</v>
      </c>
      <c r="AE115" s="1230">
        <f t="shared" si="83"/>
        <v>5.466410341823344E-2</v>
      </c>
      <c r="AF115" s="1231">
        <f t="shared" si="84"/>
        <v>7.9039361576098616E-2</v>
      </c>
      <c r="AG115" s="1231">
        <f t="shared" si="85"/>
        <v>0.13370346499433206</v>
      </c>
      <c r="AH115" s="1172">
        <f t="shared" si="81"/>
        <v>0.40884582475518311</v>
      </c>
      <c r="AI115" s="1232">
        <f t="shared" si="82"/>
        <v>0.59115417524481695</v>
      </c>
      <c r="AJ115" s="227"/>
      <c r="AK115" s="540"/>
      <c r="AL115" s="540"/>
      <c r="AM115" s="540"/>
    </row>
    <row r="116" spans="1:39" x14ac:dyDescent="0.2">
      <c r="A116" s="330">
        <v>2047</v>
      </c>
      <c r="B116" s="344">
        <v>0</v>
      </c>
      <c r="C116" s="345">
        <v>0.10406472590535791</v>
      </c>
      <c r="D116" s="345">
        <v>0.18705211393959828</v>
      </c>
      <c r="E116" s="345">
        <v>0.21204234467526134</v>
      </c>
      <c r="F116" s="345">
        <v>0.26530990271180988</v>
      </c>
      <c r="G116" s="345">
        <v>0.26380952065334839</v>
      </c>
      <c r="H116" s="345">
        <v>0.26425853715424863</v>
      </c>
      <c r="I116" s="345">
        <v>0.26213257664281214</v>
      </c>
      <c r="J116" s="345">
        <v>0.26114856880807708</v>
      </c>
      <c r="K116" s="345">
        <v>0.26000704246388689</v>
      </c>
      <c r="L116" s="380">
        <v>0.26000704246388689</v>
      </c>
      <c r="M116" s="296">
        <f t="shared" si="76"/>
        <v>5.2514641191153746E-2</v>
      </c>
      <c r="N116" s="298">
        <f t="shared" si="77"/>
        <v>3.0641549370088558E-2</v>
      </c>
      <c r="O116" s="344">
        <v>0</v>
      </c>
      <c r="P116" s="345">
        <v>0.11293393759211796</v>
      </c>
      <c r="Q116" s="345">
        <v>0.19509935777275367</v>
      </c>
      <c r="R116" s="345">
        <v>0.21544118587928399</v>
      </c>
      <c r="S116" s="345">
        <v>0.26366601876167894</v>
      </c>
      <c r="T116" s="345">
        <v>0.26516798057372998</v>
      </c>
      <c r="U116" s="345">
        <v>0.26425853715424863</v>
      </c>
      <c r="V116" s="345">
        <v>0.26168843019224181</v>
      </c>
      <c r="W116" s="345">
        <v>0.26022360455969007</v>
      </c>
      <c r="X116" s="345">
        <v>0.26000704246388689</v>
      </c>
      <c r="Y116" s="380">
        <v>0.25929633398862101</v>
      </c>
      <c r="Z116" s="296">
        <f t="shared" si="78"/>
        <v>7.8762232088669157E-2</v>
      </c>
      <c r="AA116" s="298">
        <f t="shared" si="79"/>
        <v>4.7231617735869848E-2</v>
      </c>
      <c r="AB116" s="948">
        <f t="array" ref="AB116">IF(AND($AD$71=TRUE,SUM(B116:L116)&gt;0),SUMPRODUCT((((TRANSPOSE(Cls3CentDailyRng)&lt;INDEX(CDRANGE_CLS3,$A116-$A$76+1,AD$72))*TRANSPOSE(Cls3CentDailyRng)+(TRANSPOSE(Cls3CentDailyRng)&gt;INDEX(CDRANGE_CLS3,$A116-$A$76+1,AD$72))*INDEX(CDRANGE_CLS3,$A116-$A$76+1,AD$72))/TRANSPOSE(Cls3CentDailyRng)),B116:L116,TRANSPOSE(Cls3CentVMTShr))/SUMPRODUCT(B116:L116,TRANSPOSE(Cls3CentVMTShr)),0)</f>
        <v>0</v>
      </c>
      <c r="AC116" s="949">
        <f t="array" ref="AC116">IF(AND($AD$72=TRUE,SUM(O116:Y116)&gt;0),SUMPRODUCT((((TRANSPOSE(Cls3NCentDailyRng)&lt;INDEX(CDRANGE_CLS3,$A116-$A$76+1,AD$74))*TRANSPOSE(Cls3NCentDailyRng)+(TRANSPOSE(Cls3NCentDailyRng)&gt;INDEX(CDRANGE_CLS3,$A116-$A$76+1,AD$74))*INDEX(CDRANGE_CLS3,$A116-$A$76+1,AD$74))/TRANSPOSE(Cls3NCentDailyRng)),O116:Y116,TRANSPOSE(Cls3NCentVMTShr))/SUMPRODUCT(O116:Y116,TRANSPOSE(Cls3NCentVMTShr)),0)</f>
        <v>0</v>
      </c>
      <c r="AD116" s="1226">
        <f t="shared" si="86"/>
        <v>0</v>
      </c>
      <c r="AE116" s="1230">
        <f t="shared" si="83"/>
        <v>5.2514641191153746E-2</v>
      </c>
      <c r="AF116" s="1231">
        <f t="shared" si="84"/>
        <v>7.8762232088669157E-2</v>
      </c>
      <c r="AG116" s="1231">
        <f t="shared" si="85"/>
        <v>0.1312768732798229</v>
      </c>
      <c r="AH116" s="1172">
        <f t="shared" si="81"/>
        <v>0.40002964634308658</v>
      </c>
      <c r="AI116" s="1232">
        <f t="shared" si="82"/>
        <v>0.59997035365691342</v>
      </c>
      <c r="AJ116" s="227"/>
      <c r="AK116" s="540"/>
      <c r="AL116" s="540"/>
      <c r="AM116" s="540"/>
    </row>
    <row r="117" spans="1:39" x14ac:dyDescent="0.2">
      <c r="A117" s="330">
        <v>2048</v>
      </c>
      <c r="B117" s="344">
        <v>0</v>
      </c>
      <c r="C117" s="345">
        <v>0.10643579531734364</v>
      </c>
      <c r="D117" s="345">
        <v>0.18153089129966993</v>
      </c>
      <c r="E117" s="345">
        <v>0.20885590760285005</v>
      </c>
      <c r="F117" s="345">
        <v>0.26531973769761441</v>
      </c>
      <c r="G117" s="345">
        <v>0.26381966715228</v>
      </c>
      <c r="H117" s="345">
        <v>0.26426914165815207</v>
      </c>
      <c r="I117" s="345">
        <v>0.26214325475877259</v>
      </c>
      <c r="J117" s="345">
        <v>0.26115933988236251</v>
      </c>
      <c r="K117" s="345">
        <v>0.26001789250938961</v>
      </c>
      <c r="L117" s="380">
        <v>0.26001789250938961</v>
      </c>
      <c r="M117" s="296">
        <f t="shared" si="76"/>
        <v>5.2235879169468979E-2</v>
      </c>
      <c r="N117" s="298">
        <f t="shared" si="77"/>
        <v>3.0640704662308272E-2</v>
      </c>
      <c r="O117" s="344">
        <v>0</v>
      </c>
      <c r="P117" s="345">
        <v>0.10895448369180372</v>
      </c>
      <c r="Q117" s="345">
        <v>0.18943440105233394</v>
      </c>
      <c r="R117" s="345">
        <v>0.21238177292312965</v>
      </c>
      <c r="S117" s="345">
        <v>0.26367599251920959</v>
      </c>
      <c r="T117" s="345">
        <v>0.26353753513785833</v>
      </c>
      <c r="U117" s="345">
        <v>0.26426914165815207</v>
      </c>
      <c r="V117" s="345">
        <v>0.26169924584665222</v>
      </c>
      <c r="W117" s="345">
        <v>0.2602344726872895</v>
      </c>
      <c r="X117" s="345">
        <v>0.26001789250938961</v>
      </c>
      <c r="Y117" s="380">
        <v>0.25883326586179922</v>
      </c>
      <c r="Z117" s="296">
        <f t="shared" si="78"/>
        <v>7.7013924675335341E-2</v>
      </c>
      <c r="AA117" s="298">
        <f t="shared" si="79"/>
        <v>4.5874800379395696E-2</v>
      </c>
      <c r="AB117" s="948">
        <f t="array" ref="AB117">IF(AND($AD$71=TRUE,SUM(B117:L117)&gt;0),SUMPRODUCT((((TRANSPOSE(Cls3CentDailyRng)&lt;INDEX(CDRANGE_CLS3,$A117-$A$76+1,AD$72))*TRANSPOSE(Cls3CentDailyRng)+(TRANSPOSE(Cls3CentDailyRng)&gt;INDEX(CDRANGE_CLS3,$A117-$A$76+1,AD$72))*INDEX(CDRANGE_CLS3,$A117-$A$76+1,AD$72))/TRANSPOSE(Cls3CentDailyRng)),B117:L117,TRANSPOSE(Cls3CentVMTShr))/SUMPRODUCT(B117:L117,TRANSPOSE(Cls3CentVMTShr)),0)</f>
        <v>0</v>
      </c>
      <c r="AC117" s="949">
        <f t="array" ref="AC117">IF(AND($AD$72=TRUE,SUM(O117:Y117)&gt;0),SUMPRODUCT((((TRANSPOSE(Cls3NCentDailyRng)&lt;INDEX(CDRANGE_CLS3,$A117-$A$76+1,AD$74))*TRANSPOSE(Cls3NCentDailyRng)+(TRANSPOSE(Cls3NCentDailyRng)&gt;INDEX(CDRANGE_CLS3,$A117-$A$76+1,AD$74))*INDEX(CDRANGE_CLS3,$A117-$A$76+1,AD$74))/TRANSPOSE(Cls3NCentDailyRng)),O117:Y117,TRANSPOSE(Cls3NCentVMTShr))/SUMPRODUCT(O117:Y117,TRANSPOSE(Cls3NCentVMTShr)),0)</f>
        <v>0</v>
      </c>
      <c r="AD117" s="1226">
        <f t="shared" si="86"/>
        <v>0</v>
      </c>
      <c r="AE117" s="1230">
        <f t="shared" si="83"/>
        <v>5.2235879169468979E-2</v>
      </c>
      <c r="AF117" s="1231">
        <f t="shared" si="84"/>
        <v>7.7013924675335341E-2</v>
      </c>
      <c r="AG117" s="1231">
        <f t="shared" si="85"/>
        <v>0.12924980384480433</v>
      </c>
      <c r="AH117" s="1172">
        <f t="shared" si="81"/>
        <v>0.4041466804250689</v>
      </c>
      <c r="AI117" s="1232">
        <f t="shared" si="82"/>
        <v>0.59585331957493104</v>
      </c>
      <c r="AJ117" s="227"/>
      <c r="AK117" s="540"/>
      <c r="AL117" s="540"/>
      <c r="AM117" s="540"/>
    </row>
    <row r="118" spans="1:39" x14ac:dyDescent="0.2">
      <c r="A118" s="330">
        <v>2049</v>
      </c>
      <c r="B118" s="344">
        <v>0</v>
      </c>
      <c r="C118" s="345">
        <v>0.10156417345272291</v>
      </c>
      <c r="D118" s="345">
        <v>0.17961421032821651</v>
      </c>
      <c r="E118" s="345">
        <v>0.20868802531254185</v>
      </c>
      <c r="F118" s="345">
        <v>0.26136890843737609</v>
      </c>
      <c r="G118" s="345">
        <v>0.26359785723579893</v>
      </c>
      <c r="H118" s="345">
        <v>0.26427975173503987</v>
      </c>
      <c r="I118" s="345">
        <v>0.2621539384993602</v>
      </c>
      <c r="J118" s="345">
        <v>0.26117011664122319</v>
      </c>
      <c r="K118" s="345">
        <v>0.25931818780105081</v>
      </c>
      <c r="L118" s="380">
        <v>0.25931818780105081</v>
      </c>
      <c r="M118" s="296">
        <f t="shared" si="76"/>
        <v>5.1238759821967739E-2</v>
      </c>
      <c r="N118" s="298">
        <f t="shared" si="77"/>
        <v>2.9824694931329093E-2</v>
      </c>
      <c r="O118" s="344">
        <v>0</v>
      </c>
      <c r="P118" s="345">
        <v>0.10367340634836959</v>
      </c>
      <c r="Q118" s="345">
        <v>0.18756598944699379</v>
      </c>
      <c r="R118" s="345">
        <v>0.21093416045219665</v>
      </c>
      <c r="S118" s="345">
        <v>0.26176986274371705</v>
      </c>
      <c r="T118" s="345">
        <v>0.26354805820647575</v>
      </c>
      <c r="U118" s="345">
        <v>0.26296951756488646</v>
      </c>
      <c r="V118" s="345">
        <v>0.26117011664122319</v>
      </c>
      <c r="W118" s="345">
        <v>0.26024534656198717</v>
      </c>
      <c r="X118" s="345">
        <v>0.25931818780105081</v>
      </c>
      <c r="Y118" s="380">
        <v>0.25884424471315509</v>
      </c>
      <c r="Z118" s="296">
        <f t="shared" si="78"/>
        <v>7.5276313134888334E-2</v>
      </c>
      <c r="AA118" s="298">
        <f t="shared" si="79"/>
        <v>4.4385016206137197E-2</v>
      </c>
      <c r="AB118" s="948">
        <f t="array" ref="AB118">IF(AND($AD$71=TRUE,SUM(B118:L118)&gt;0),SUMPRODUCT((((TRANSPOSE(Cls3CentDailyRng)&lt;INDEX(CDRANGE_CLS3,$A118-$A$76+1,AD$72))*TRANSPOSE(Cls3CentDailyRng)+(TRANSPOSE(Cls3CentDailyRng)&gt;INDEX(CDRANGE_CLS3,$A118-$A$76+1,AD$72))*INDEX(CDRANGE_CLS3,$A118-$A$76+1,AD$72))/TRANSPOSE(Cls3CentDailyRng)),B118:L118,TRANSPOSE(Cls3CentVMTShr))/SUMPRODUCT(B118:L118,TRANSPOSE(Cls3CentVMTShr)),0)</f>
        <v>0</v>
      </c>
      <c r="AC118" s="949">
        <f t="array" ref="AC118">IF(AND($AD$72=TRUE,SUM(O118:Y118)&gt;0),SUMPRODUCT((((TRANSPOSE(Cls3NCentDailyRng)&lt;INDEX(CDRANGE_CLS3,$A118-$A$76+1,AD$74))*TRANSPOSE(Cls3NCentDailyRng)+(TRANSPOSE(Cls3NCentDailyRng)&gt;INDEX(CDRANGE_CLS3,$A118-$A$76+1,AD$74))*INDEX(CDRANGE_CLS3,$A118-$A$76+1,AD$74))/TRANSPOSE(Cls3NCentDailyRng)),O118:Y118,TRANSPOSE(Cls3NCentVMTShr))/SUMPRODUCT(O118:Y118,TRANSPOSE(Cls3NCentVMTShr)),0)</f>
        <v>0</v>
      </c>
      <c r="AD118" s="1226">
        <f t="shared" si="86"/>
        <v>0</v>
      </c>
      <c r="AE118" s="1230">
        <f t="shared" si="83"/>
        <v>5.1238759821967739E-2</v>
      </c>
      <c r="AF118" s="1231">
        <f t="shared" si="84"/>
        <v>7.5276313134888334E-2</v>
      </c>
      <c r="AG118" s="1231">
        <f t="shared" si="85"/>
        <v>0.12651507295685607</v>
      </c>
      <c r="AH118" s="1172">
        <f t="shared" si="81"/>
        <v>0.40500122731969718</v>
      </c>
      <c r="AI118" s="1232">
        <f t="shared" si="82"/>
        <v>0.59499877268030288</v>
      </c>
      <c r="AJ118" s="227"/>
      <c r="AK118" s="540"/>
      <c r="AL118" s="540"/>
      <c r="AM118" s="540"/>
    </row>
    <row r="119" spans="1:39" ht="15" thickBot="1" x14ac:dyDescent="0.25">
      <c r="A119" s="328">
        <v>2050</v>
      </c>
      <c r="B119" s="346">
        <v>0</v>
      </c>
      <c r="C119" s="347">
        <v>0.1041595349507819</v>
      </c>
      <c r="D119" s="347">
        <v>0.17776230406821961</v>
      </c>
      <c r="E119" s="347">
        <v>0.20715074620257581</v>
      </c>
      <c r="F119" s="347">
        <v>0.26137883897544595</v>
      </c>
      <c r="G119" s="347">
        <v>0.26209186037974497</v>
      </c>
      <c r="H119" s="347">
        <v>0.26298027354345499</v>
      </c>
      <c r="I119" s="347">
        <v>0.26216462786240652</v>
      </c>
      <c r="J119" s="347">
        <v>0.26118089908248915</v>
      </c>
      <c r="K119" s="347">
        <v>0.25932912338203945</v>
      </c>
      <c r="L119" s="381">
        <v>0.25932912338203945</v>
      </c>
      <c r="M119" s="310">
        <f t="shared" si="76"/>
        <v>5.1375103771642998E-2</v>
      </c>
      <c r="N119" s="312">
        <f t="shared" si="77"/>
        <v>3.0066885082248303E-2</v>
      </c>
      <c r="O119" s="346">
        <v>0</v>
      </c>
      <c r="P119" s="347">
        <v>0.10485989885850787</v>
      </c>
      <c r="Q119" s="347">
        <v>0.18407460662053898</v>
      </c>
      <c r="R119" s="347">
        <v>0.20933345624781885</v>
      </c>
      <c r="S119" s="347">
        <v>0.26178006025555411</v>
      </c>
      <c r="T119" s="347">
        <v>0.26225980646779923</v>
      </c>
      <c r="U119" s="347">
        <v>0.26298027354345499</v>
      </c>
      <c r="V119" s="347">
        <v>0.26118089908248915</v>
      </c>
      <c r="W119" s="347">
        <v>0.26003960980857066</v>
      </c>
      <c r="X119" s="347">
        <v>0.25932912338203945</v>
      </c>
      <c r="Y119" s="381">
        <v>0.25885522937878219</v>
      </c>
      <c r="Z119" s="310">
        <f t="shared" si="78"/>
        <v>7.5194899734859655E-2</v>
      </c>
      <c r="AA119" s="312">
        <f t="shared" si="79"/>
        <v>4.4486513648592803E-2</v>
      </c>
      <c r="AB119" s="950">
        <f t="array" ref="AB119">IF(AND($AD$71=TRUE,SUM(B119:L119)&gt;0),SUMPRODUCT((((TRANSPOSE(Cls3CentDailyRng)&lt;INDEX(CDRANGE_CLS3,$A119-$A$76+1,AD$72))*TRANSPOSE(Cls3CentDailyRng)+(TRANSPOSE(Cls3CentDailyRng)&gt;INDEX(CDRANGE_CLS3,$A119-$A$76+1,AD$72))*INDEX(CDRANGE_CLS3,$A119-$A$76+1,AD$72))/TRANSPOSE(Cls3CentDailyRng)),B119:L119,TRANSPOSE(Cls3CentVMTShr))/SUMPRODUCT(B119:L119,TRANSPOSE(Cls3CentVMTShr)),0)</f>
        <v>0</v>
      </c>
      <c r="AC119" s="951">
        <f t="array" ref="AC119">IF(AND($AD$72=TRUE,SUM(O119:Y119)&gt;0),SUMPRODUCT((((TRANSPOSE(Cls3NCentDailyRng)&lt;INDEX(CDRANGE_CLS3,$A119-$A$76+1,AD$74))*TRANSPOSE(Cls3NCentDailyRng)+(TRANSPOSE(Cls3NCentDailyRng)&gt;INDEX(CDRANGE_CLS3,$A119-$A$76+1,AD$74))*INDEX(CDRANGE_CLS3,$A119-$A$76+1,AD$74))/TRANSPOSE(Cls3NCentDailyRng)),O119:Y119,TRANSPOSE(Cls3NCentVMTShr))/SUMPRODUCT(O119:Y119,TRANSPOSE(Cls3NCentVMTShr)),0)</f>
        <v>0</v>
      </c>
      <c r="AD119" s="1227">
        <f t="shared" si="86"/>
        <v>0</v>
      </c>
      <c r="AE119" s="1233">
        <f t="shared" si="83"/>
        <v>5.1375103771642998E-2</v>
      </c>
      <c r="AF119" s="1234">
        <f t="shared" si="84"/>
        <v>7.5194899734859655E-2</v>
      </c>
      <c r="AG119" s="1234">
        <f t="shared" si="85"/>
        <v>0.12657000350650266</v>
      </c>
      <c r="AH119" s="1235">
        <f t="shared" si="81"/>
        <v>0.4059026811119868</v>
      </c>
      <c r="AI119" s="1236">
        <f t="shared" si="82"/>
        <v>0.5940973188880132</v>
      </c>
      <c r="AJ119" s="227"/>
      <c r="AK119" s="540"/>
      <c r="AL119" s="540"/>
      <c r="AM119" s="540"/>
    </row>
    <row r="120" spans="1:39" x14ac:dyDescent="0.2">
      <c r="B120" s="227" t="s">
        <v>240</v>
      </c>
      <c r="U120" s="227" t="s">
        <v>240</v>
      </c>
      <c r="AB120"/>
      <c r="AC120"/>
      <c r="AD120"/>
    </row>
    <row r="121" spans="1:39" ht="15" thickBot="1" x14ac:dyDescent="0.25"/>
    <row r="122" spans="1:39" ht="15" x14ac:dyDescent="0.2">
      <c r="A122" s="333"/>
      <c r="B122" s="1555" t="s">
        <v>195</v>
      </c>
      <c r="C122" s="1556"/>
      <c r="D122" s="1556"/>
      <c r="E122" s="1556"/>
      <c r="F122" s="1556"/>
      <c r="G122" s="1556"/>
      <c r="H122" s="1556"/>
      <c r="I122" s="1556"/>
      <c r="J122" s="1556"/>
      <c r="K122" s="1556"/>
      <c r="L122" s="1556"/>
      <c r="M122" s="1556"/>
      <c r="N122" s="1557"/>
      <c r="O122" s="1555" t="s">
        <v>196</v>
      </c>
      <c r="P122" s="1556"/>
      <c r="Q122" s="1556"/>
      <c r="R122" s="1556"/>
      <c r="S122" s="1556"/>
      <c r="T122" s="1556"/>
      <c r="U122" s="1556"/>
      <c r="V122" s="1556"/>
      <c r="W122" s="1556"/>
      <c r="X122" s="1556"/>
      <c r="Y122" s="1556"/>
      <c r="Z122" s="1556"/>
      <c r="AA122" s="1557"/>
      <c r="AI122" s="227"/>
      <c r="AJ122" s="227"/>
      <c r="AK122" s="227"/>
      <c r="AL122" s="227"/>
      <c r="AM122" s="227"/>
    </row>
    <row r="123" spans="1:39" x14ac:dyDescent="0.2">
      <c r="A123" s="324"/>
      <c r="B123" s="1552" t="s">
        <v>121</v>
      </c>
      <c r="C123" s="1553"/>
      <c r="D123" s="1553"/>
      <c r="E123" s="1553"/>
      <c r="F123" s="1553"/>
      <c r="G123" s="1553"/>
      <c r="H123" s="1553"/>
      <c r="I123" s="1553"/>
      <c r="J123" s="1553"/>
      <c r="K123" s="1553"/>
      <c r="L123" s="1554"/>
      <c r="M123" s="382"/>
      <c r="N123" s="325"/>
      <c r="O123" s="1552" t="s">
        <v>121</v>
      </c>
      <c r="P123" s="1553"/>
      <c r="Q123" s="1553"/>
      <c r="R123" s="1553"/>
      <c r="S123" s="1553"/>
      <c r="T123" s="1553"/>
      <c r="U123" s="1553"/>
      <c r="V123" s="1553"/>
      <c r="W123" s="1553"/>
      <c r="X123" s="1553"/>
      <c r="Y123" s="1554"/>
      <c r="Z123" s="382"/>
      <c r="AA123" s="325"/>
      <c r="AC123" s="954" t="s">
        <v>267</v>
      </c>
      <c r="AD123" s="234" t="b">
        <f>INDEX(TECH_OPT_FUEL2_Cls1,MATCH(RIGHT(O122),TECH_OPT_ROWS_Cls1,0))&lt;&gt;"N/A"</f>
        <v>0</v>
      </c>
      <c r="AI123" s="227"/>
      <c r="AJ123" s="227"/>
      <c r="AK123" s="227"/>
      <c r="AL123" s="227"/>
      <c r="AM123" s="227"/>
    </row>
    <row r="124" spans="1:39" ht="15" thickBot="1" x14ac:dyDescent="0.25">
      <c r="A124" s="331"/>
      <c r="B124" s="338" t="s">
        <v>28</v>
      </c>
      <c r="C124" s="339" t="s">
        <v>29</v>
      </c>
      <c r="D124" s="339" t="s">
        <v>30</v>
      </c>
      <c r="E124" s="339" t="s">
        <v>31</v>
      </c>
      <c r="F124" s="339" t="s">
        <v>32</v>
      </c>
      <c r="G124" s="339" t="s">
        <v>33</v>
      </c>
      <c r="H124" s="339" t="s">
        <v>34</v>
      </c>
      <c r="I124" s="339" t="s">
        <v>35</v>
      </c>
      <c r="J124" s="339" t="s">
        <v>36</v>
      </c>
      <c r="K124" s="339" t="s">
        <v>37</v>
      </c>
      <c r="L124" s="377" t="s">
        <v>38</v>
      </c>
      <c r="M124" s="383" t="s">
        <v>122</v>
      </c>
      <c r="N124" s="332" t="s">
        <v>123</v>
      </c>
      <c r="O124" s="338" t="s">
        <v>28</v>
      </c>
      <c r="P124" s="339" t="s">
        <v>29</v>
      </c>
      <c r="Q124" s="339" t="s">
        <v>30</v>
      </c>
      <c r="R124" s="339" t="s">
        <v>31</v>
      </c>
      <c r="S124" s="339" t="s">
        <v>32</v>
      </c>
      <c r="T124" s="339" t="s">
        <v>33</v>
      </c>
      <c r="U124" s="339" t="s">
        <v>34</v>
      </c>
      <c r="V124" s="339" t="s">
        <v>35</v>
      </c>
      <c r="W124" s="339" t="s">
        <v>36</v>
      </c>
      <c r="X124" s="339" t="s">
        <v>37</v>
      </c>
      <c r="Y124" s="377" t="s">
        <v>38</v>
      </c>
      <c r="Z124" s="383" t="s">
        <v>122</v>
      </c>
      <c r="AA124" s="332" t="s">
        <v>123</v>
      </c>
      <c r="AB124" s="936"/>
      <c r="AC124" s="954" t="s">
        <v>268</v>
      </c>
      <c r="AD124" s="234">
        <f>MATCH(RIGHT(O122),TECH_OPT_ROWS_Cls1,0)</f>
        <v>3</v>
      </c>
      <c r="AI124" s="227"/>
      <c r="AJ124" s="227"/>
      <c r="AK124" s="227"/>
      <c r="AL124" s="227"/>
      <c r="AM124" s="227"/>
    </row>
    <row r="125" spans="1:39" ht="16" thickTop="1" thickBot="1" x14ac:dyDescent="0.25">
      <c r="A125" s="348" t="s">
        <v>124</v>
      </c>
      <c r="B125" s="340">
        <f t="array" ref="B125:L125">TRANSPOSE(Cls3CentTruckShr)</f>
        <v>0.16490316390132354</v>
      </c>
      <c r="C125" s="341">
        <v>0.14150050624583405</v>
      </c>
      <c r="D125" s="341">
        <v>5.0842757108027201E-2</v>
      </c>
      <c r="E125" s="341">
        <v>1.7493235097392132E-2</v>
      </c>
      <c r="F125" s="341">
        <v>6.5645600537602268E-3</v>
      </c>
      <c r="G125" s="341">
        <v>1.3068268788829179E-4</v>
      </c>
      <c r="H125" s="341">
        <v>2.9863696966199553E-3</v>
      </c>
      <c r="I125" s="341">
        <v>0</v>
      </c>
      <c r="J125" s="341">
        <v>0</v>
      </c>
      <c r="K125" s="341">
        <v>5.0573390409248292E-4</v>
      </c>
      <c r="L125" s="378">
        <v>0</v>
      </c>
      <c r="M125" s="384"/>
      <c r="N125" s="336"/>
      <c r="O125" s="340">
        <f t="array" ref="O125:Y125">TRANSPOSE(Cls3NCentTruckShr)</f>
        <v>0.27324001996593789</v>
      </c>
      <c r="P125" s="341">
        <v>0.25610450783680394</v>
      </c>
      <c r="Q125" s="341">
        <v>4.6572125423937315E-2</v>
      </c>
      <c r="R125" s="341">
        <v>2.2779497082922668E-2</v>
      </c>
      <c r="S125" s="341">
        <v>5.0811779544371336E-3</v>
      </c>
      <c r="T125" s="341">
        <v>2.5955840495899339E-3</v>
      </c>
      <c r="U125" s="341">
        <v>4.3441677754441459E-3</v>
      </c>
      <c r="V125" s="341">
        <v>3.7558983870508854E-3</v>
      </c>
      <c r="W125" s="341">
        <v>4.897828379299261E-4</v>
      </c>
      <c r="X125" s="341">
        <v>0</v>
      </c>
      <c r="Y125" s="1209">
        <v>1.1022999100839563E-4</v>
      </c>
      <c r="Z125" s="1214"/>
      <c r="AA125" s="1216">
        <v>0.76263667822937764</v>
      </c>
      <c r="AI125" s="227"/>
      <c r="AJ125" s="227"/>
      <c r="AK125" s="227"/>
      <c r="AL125" s="227"/>
      <c r="AM125" s="227"/>
    </row>
    <row r="126" spans="1:39" x14ac:dyDescent="0.2">
      <c r="A126" s="331" t="s">
        <v>125</v>
      </c>
      <c r="B126" s="923">
        <f t="array" ref="B126:L126">TRANSPOSE(Cls3CentVMTShr)</f>
        <v>7.4407503791532936E-2</v>
      </c>
      <c r="C126" s="924">
        <v>0.15052192967997111</v>
      </c>
      <c r="D126" s="924">
        <v>8.9028098283245441E-2</v>
      </c>
      <c r="E126" s="924">
        <v>4.5356257743642811E-2</v>
      </c>
      <c r="F126" s="924">
        <v>2.1016507050137231E-2</v>
      </c>
      <c r="G126" s="924">
        <v>4.9007047894213725E-4</v>
      </c>
      <c r="H126" s="924">
        <v>1.4797621296467818E-2</v>
      </c>
      <c r="I126" s="924">
        <v>0</v>
      </c>
      <c r="J126" s="924">
        <v>0</v>
      </c>
      <c r="K126" s="924">
        <v>3.7103078033661591E-3</v>
      </c>
      <c r="L126" s="1210">
        <v>0</v>
      </c>
      <c r="M126" s="1211"/>
      <c r="N126" s="1212"/>
      <c r="O126" s="923">
        <f t="array" ref="O126:Y126">TRANSPOSE(Cls3NCentVMTShr)</f>
        <v>0.11481596497083862</v>
      </c>
      <c r="P126" s="924">
        <v>0.26987209279577573</v>
      </c>
      <c r="Q126" s="924">
        <v>8.3836105982992667E-2</v>
      </c>
      <c r="R126" s="924">
        <v>5.9842896537765707E-2</v>
      </c>
      <c r="S126" s="924">
        <v>1.6413649143963899E-2</v>
      </c>
      <c r="T126" s="924">
        <v>1.0165768727376887E-2</v>
      </c>
      <c r="U126" s="924">
        <v>2.0700108148562976E-2</v>
      </c>
      <c r="V126" s="924">
        <v>2.0956833812228508E-2</v>
      </c>
      <c r="W126" s="924">
        <v>3.1584958359553582E-3</v>
      </c>
      <c r="X126" s="924">
        <v>0</v>
      </c>
      <c r="Y126" s="925">
        <v>9.0978791723388369E-4</v>
      </c>
      <c r="Z126" s="1217">
        <v>0.76961852331138836</v>
      </c>
      <c r="AA126" s="1212"/>
      <c r="AB126" s="1568" t="str">
        <f>"% of miles on f2 for Tech "&amp; RIGHT(O121)&amp;" adopters"</f>
        <v>% of miles on f2 for Tech  adopters</v>
      </c>
      <c r="AC126" s="1569"/>
      <c r="AD126" s="1570"/>
      <c r="AE126" s="1237" t="s">
        <v>298</v>
      </c>
      <c r="AF126" s="1238"/>
      <c r="AG126" s="1238"/>
      <c r="AH126" s="1228" t="s">
        <v>297</v>
      </c>
      <c r="AI126" s="1229"/>
      <c r="AJ126" s="227"/>
      <c r="AK126" s="227"/>
      <c r="AL126" s="227"/>
      <c r="AM126" s="227"/>
    </row>
    <row r="127" spans="1:39" ht="15" thickBot="1" x14ac:dyDescent="0.25">
      <c r="A127" s="942" t="s">
        <v>266</v>
      </c>
      <c r="B127" s="933">
        <f t="array" ref="B127:L127">TRANSPOSE(Cls3CentVMT/OPDAYS_Cls3)</f>
        <v>49.202805162026571</v>
      </c>
      <c r="C127" s="934">
        <v>115.99623692884222</v>
      </c>
      <c r="D127" s="934">
        <v>190.94140758026836</v>
      </c>
      <c r="E127" s="934">
        <v>282.72824571583544</v>
      </c>
      <c r="F127" s="934">
        <v>349.10577157713089</v>
      </c>
      <c r="G127" s="934">
        <v>408.92399999999998</v>
      </c>
      <c r="H127" s="934">
        <v>540.31926836851005</v>
      </c>
      <c r="I127" s="934">
        <v>600</v>
      </c>
      <c r="J127" s="934">
        <v>680</v>
      </c>
      <c r="K127" s="934">
        <v>800.00000000000011</v>
      </c>
      <c r="L127" s="935">
        <v>800</v>
      </c>
      <c r="M127" s="931"/>
      <c r="N127" s="932"/>
      <c r="O127" s="933">
        <f t="array" ref="O127:Y127">TRANSPOSE(Cls3NCentVMT/OPDAYS_Cls3)</f>
        <v>45.820527909508108</v>
      </c>
      <c r="P127" s="934">
        <v>114.90604343518244</v>
      </c>
      <c r="Q127" s="934">
        <v>196.29405935940918</v>
      </c>
      <c r="R127" s="934">
        <v>286.46435582159182</v>
      </c>
      <c r="S127" s="934">
        <v>352.24339419308075</v>
      </c>
      <c r="T127" s="934">
        <v>427.07804424634116</v>
      </c>
      <c r="U127" s="934">
        <v>519.59880241076587</v>
      </c>
      <c r="V127" s="934">
        <v>608.4346682070543</v>
      </c>
      <c r="W127" s="934">
        <v>703.2</v>
      </c>
      <c r="X127" s="934">
        <v>760</v>
      </c>
      <c r="Y127" s="1213">
        <v>900</v>
      </c>
      <c r="Z127" s="943"/>
      <c r="AA127" s="932"/>
      <c r="AB127" s="945" t="s">
        <v>186</v>
      </c>
      <c r="AC127" s="946" t="s">
        <v>15</v>
      </c>
      <c r="AD127" s="947" t="s">
        <v>18</v>
      </c>
      <c r="AE127" s="330" t="s">
        <v>186</v>
      </c>
      <c r="AF127" s="1239" t="s">
        <v>15</v>
      </c>
      <c r="AG127" s="1239" t="s">
        <v>18</v>
      </c>
      <c r="AH127" s="1240" t="s">
        <v>186</v>
      </c>
      <c r="AI127" s="1241" t="s">
        <v>15</v>
      </c>
    </row>
    <row r="128" spans="1:39" ht="15" thickTop="1" x14ac:dyDescent="0.2">
      <c r="A128" s="326">
        <v>2007</v>
      </c>
      <c r="B128" s="342">
        <v>0</v>
      </c>
      <c r="C128" s="343">
        <v>0</v>
      </c>
      <c r="D128" s="343">
        <v>0</v>
      </c>
      <c r="E128" s="343">
        <v>0</v>
      </c>
      <c r="F128" s="343">
        <v>0</v>
      </c>
      <c r="G128" s="343">
        <v>0</v>
      </c>
      <c r="H128" s="343">
        <v>0</v>
      </c>
      <c r="I128" s="343">
        <v>0</v>
      </c>
      <c r="J128" s="343">
        <v>0</v>
      </c>
      <c r="K128" s="343">
        <v>0</v>
      </c>
      <c r="L128" s="379">
        <v>0</v>
      </c>
      <c r="M128" s="387">
        <f>SUMPRODUCT(B128:L128,$B$126:$L$126)</f>
        <v>0</v>
      </c>
      <c r="N128" s="881">
        <f>SUMPRODUCT(B128:L128,$B$125:$L$125)</f>
        <v>0</v>
      </c>
      <c r="O128" s="342">
        <v>0</v>
      </c>
      <c r="P128" s="343">
        <v>0</v>
      </c>
      <c r="Q128" s="343">
        <v>0</v>
      </c>
      <c r="R128" s="343">
        <v>0</v>
      </c>
      <c r="S128" s="343">
        <v>0</v>
      </c>
      <c r="T128" s="343">
        <v>0</v>
      </c>
      <c r="U128" s="343">
        <v>0</v>
      </c>
      <c r="V128" s="343">
        <v>0</v>
      </c>
      <c r="W128" s="343">
        <v>0</v>
      </c>
      <c r="X128" s="343">
        <v>0</v>
      </c>
      <c r="Y128" s="379">
        <v>0</v>
      </c>
      <c r="Z128" s="387">
        <f>SUMPRODUCT(O128:Y128,$O$126:$Y$126)</f>
        <v>0</v>
      </c>
      <c r="AA128" s="881">
        <f>SUMPRODUCT(O128:Y128,$O$125:$Y$125)</f>
        <v>0</v>
      </c>
      <c r="AB128" s="948">
        <f t="array" ref="AB128">IF(AND($AD$123=TRUE,SUM(B128:L128)&gt;0),SUMPRODUCT((((TRANSPOSE(Cls3CentDailyRng)&lt;INDEX(CDRANGE_CLS3,$A128-$A$128+1,AD$124))*TRANSPOSE(Cls3CentDailyRng)+(TRANSPOSE(Cls3CentDailyRng)&gt;INDEX(CDRANGE_CLS3,$A128-$A$128+1,AD$124))*INDEX(CDRANGE_CLS3,$A128-$A$128+1,AD$124))/TRANSPOSE(Cls3CentDailyRng)),B128:L128,TRANSPOSE(Cls3CentVMTShr))/SUMPRODUCT(B128:L128,TRANSPOSE(Cls3CentVMTShr)),0)</f>
        <v>0</v>
      </c>
      <c r="AC128" s="949">
        <f t="array" ref="AC128">IF(AND($AD$123=TRUE,SUM(O128:Y128)&gt;0),SUMPRODUCT((((TRANSPOSE(Cls3NCentDailyRng)&lt;INDEX(CDRANGE_CLS3,$A128-$A$128+1,AD$124))*TRANSPOSE(Cls3NCentDailyRng)+(TRANSPOSE(Cls3NCentDailyRng)&gt;INDEX(CDRANGE_CLS3,$A128-$A$128+1,AD$124))*INDEX(CDRANGE_CLS3,$A128-$A$128+1,AD$124))/TRANSPOSE(Cls3NCentDailyRng)),O128:Y128,TRANSPOSE(Cls3NCentVMTShr))/SUMPRODUCT(O128:Y128,TRANSPOSE(Cls3NCentVMTShr)),0)</f>
        <v>0</v>
      </c>
      <c r="AD128" s="1226">
        <f>AB128*AH128+AC128*AI128</f>
        <v>0</v>
      </c>
      <c r="AE128" s="1230">
        <f t="shared" ref="AE128:AE142" si="87">SUMPRODUCT($B$74:$L$74,B128:L128)</f>
        <v>0</v>
      </c>
      <c r="AF128" s="1231">
        <f t="shared" ref="AF128:AF142" si="88">SUMPRODUCT($O$74:$Y$74,O128:Y128)</f>
        <v>0</v>
      </c>
      <c r="AG128" s="1231">
        <f t="shared" ref="AG128:AG142" si="89">SUM(AE128:AF128)</f>
        <v>0</v>
      </c>
      <c r="AH128" s="1172">
        <f>IF(AG128&gt;0,AE128/AG128,0)</f>
        <v>0</v>
      </c>
      <c r="AI128" s="1232">
        <f>IF(AG128&gt;0,AF128/AG128,0)</f>
        <v>0</v>
      </c>
      <c r="AJ128" s="227"/>
      <c r="AK128" s="227"/>
      <c r="AL128" s="227"/>
      <c r="AM128" s="227"/>
    </row>
    <row r="129" spans="1:39" x14ac:dyDescent="0.2">
      <c r="A129" s="327">
        <v>2008</v>
      </c>
      <c r="B129" s="344">
        <v>0</v>
      </c>
      <c r="C129" s="345">
        <v>0</v>
      </c>
      <c r="D129" s="345">
        <v>0</v>
      </c>
      <c r="E129" s="345">
        <v>0</v>
      </c>
      <c r="F129" s="345">
        <v>0</v>
      </c>
      <c r="G129" s="345">
        <v>0</v>
      </c>
      <c r="H129" s="345">
        <v>0</v>
      </c>
      <c r="I129" s="345">
        <v>0</v>
      </c>
      <c r="J129" s="345">
        <v>0</v>
      </c>
      <c r="K129" s="345">
        <v>0</v>
      </c>
      <c r="L129" s="380">
        <v>0</v>
      </c>
      <c r="M129" s="296">
        <f t="shared" ref="M129:M171" si="90">SUMPRODUCT(B129:L129,$B$126:$L$126)</f>
        <v>0</v>
      </c>
      <c r="N129" s="298">
        <f t="shared" ref="N129:N171" si="91">SUMPRODUCT(B129:L129,$B$125:$L$125)</f>
        <v>0</v>
      </c>
      <c r="O129" s="344">
        <v>0</v>
      </c>
      <c r="P129" s="345">
        <v>0</v>
      </c>
      <c r="Q129" s="345">
        <v>0</v>
      </c>
      <c r="R129" s="345">
        <v>0</v>
      </c>
      <c r="S129" s="345">
        <v>0</v>
      </c>
      <c r="T129" s="345">
        <v>0</v>
      </c>
      <c r="U129" s="345">
        <v>0</v>
      </c>
      <c r="V129" s="345">
        <v>0</v>
      </c>
      <c r="W129" s="345">
        <v>0</v>
      </c>
      <c r="X129" s="345">
        <v>0</v>
      </c>
      <c r="Y129" s="380">
        <v>0</v>
      </c>
      <c r="Z129" s="296">
        <f t="shared" ref="Z129:Z171" si="92">SUMPRODUCT(O129:Y129,$O$126:$Y$126)</f>
        <v>0</v>
      </c>
      <c r="AA129" s="298">
        <f t="shared" ref="AA129:AA171" si="93">SUMPRODUCT(O129:Y129,$O$125:$Y$125)</f>
        <v>0</v>
      </c>
      <c r="AB129" s="948">
        <f t="array" ref="AB129">IF(AND($AD$123=TRUE,SUM(B129:L129)&gt;0),SUMPRODUCT((((TRANSPOSE(Cls3CentDailyRng)&lt;INDEX(CDRANGE_CLS3,$A129-$A$128+1,AD$124))*TRANSPOSE(Cls3CentDailyRng)+(TRANSPOSE(Cls3CentDailyRng)&gt;INDEX(CDRANGE_CLS3,$A129-$A$128+1,AD$124))*INDEX(CDRANGE_CLS3,$A129-$A$128+1,AD$124))/TRANSPOSE(Cls3CentDailyRng)),B129:L129,TRANSPOSE(Cls3CentVMTShr))/SUMPRODUCT(B129:L129,TRANSPOSE(Cls3CentVMTShr)),0)</f>
        <v>0</v>
      </c>
      <c r="AC129" s="949">
        <f t="array" ref="AC129">IF(AND($AD$123=TRUE,SUM(O129:Y129)&gt;0),SUMPRODUCT((((TRANSPOSE(Cls3NCentDailyRng)&lt;INDEX(CDRANGE_CLS3,$A129-$A$128+1,AD$124))*TRANSPOSE(Cls3NCentDailyRng)+(TRANSPOSE(Cls3NCentDailyRng)&gt;INDEX(CDRANGE_CLS3,$A129-$A$128+1,AD$124))*INDEX(CDRANGE_CLS3,$A129-$A$128+1,AD$124))/TRANSPOSE(Cls3NCentDailyRng)),O129:Y129,TRANSPOSE(Cls3NCentVMTShr))/SUMPRODUCT(O129:Y129,TRANSPOSE(Cls3NCentVMTShr)),0)</f>
        <v>0</v>
      </c>
      <c r="AD129" s="1226">
        <f t="shared" ref="AD129:AD153" si="94">AB129*AH129+AC129*AI129</f>
        <v>0</v>
      </c>
      <c r="AE129" s="1230">
        <f t="shared" si="87"/>
        <v>0</v>
      </c>
      <c r="AF129" s="1231">
        <f t="shared" si="88"/>
        <v>0</v>
      </c>
      <c r="AG129" s="1231">
        <f t="shared" si="89"/>
        <v>0</v>
      </c>
      <c r="AH129" s="1172">
        <f t="shared" ref="AH129:AH171" si="95">IF(AG129&gt;0,AE129/AG129,0)</f>
        <v>0</v>
      </c>
      <c r="AI129" s="1232">
        <f t="shared" ref="AI129:AI171" si="96">IF(AG129&gt;0,AF129/AG129,0)</f>
        <v>0</v>
      </c>
      <c r="AJ129" s="227"/>
      <c r="AK129" s="227"/>
      <c r="AL129" s="227"/>
      <c r="AM129" s="227"/>
    </row>
    <row r="130" spans="1:39" x14ac:dyDescent="0.2">
      <c r="A130" s="327">
        <v>2009</v>
      </c>
      <c r="B130" s="344">
        <v>0</v>
      </c>
      <c r="C130" s="345">
        <v>0</v>
      </c>
      <c r="D130" s="345">
        <v>0</v>
      </c>
      <c r="E130" s="345">
        <v>0</v>
      </c>
      <c r="F130" s="345">
        <v>0</v>
      </c>
      <c r="G130" s="345">
        <v>0</v>
      </c>
      <c r="H130" s="345">
        <v>0</v>
      </c>
      <c r="I130" s="345">
        <v>0</v>
      </c>
      <c r="J130" s="345">
        <v>0</v>
      </c>
      <c r="K130" s="345">
        <v>0</v>
      </c>
      <c r="L130" s="380">
        <v>0</v>
      </c>
      <c r="M130" s="296">
        <f t="shared" si="90"/>
        <v>0</v>
      </c>
      <c r="N130" s="298">
        <f t="shared" si="91"/>
        <v>0</v>
      </c>
      <c r="O130" s="344">
        <v>0</v>
      </c>
      <c r="P130" s="345">
        <v>0</v>
      </c>
      <c r="Q130" s="345">
        <v>0</v>
      </c>
      <c r="R130" s="345">
        <v>0</v>
      </c>
      <c r="S130" s="345">
        <v>0</v>
      </c>
      <c r="T130" s="345">
        <v>0</v>
      </c>
      <c r="U130" s="345">
        <v>0</v>
      </c>
      <c r="V130" s="345">
        <v>0</v>
      </c>
      <c r="W130" s="345">
        <v>0</v>
      </c>
      <c r="X130" s="345">
        <v>0</v>
      </c>
      <c r="Y130" s="380">
        <v>0</v>
      </c>
      <c r="Z130" s="296">
        <f t="shared" si="92"/>
        <v>0</v>
      </c>
      <c r="AA130" s="298">
        <f t="shared" si="93"/>
        <v>0</v>
      </c>
      <c r="AB130" s="948">
        <f t="array" ref="AB130">IF(AND($AD$123=TRUE,SUM(B130:L130)&gt;0),SUMPRODUCT((((TRANSPOSE(Cls3CentDailyRng)&lt;INDEX(CDRANGE_CLS3,$A130-$A$128+1,AD$124))*TRANSPOSE(Cls3CentDailyRng)+(TRANSPOSE(Cls3CentDailyRng)&gt;INDEX(CDRANGE_CLS3,$A130-$A$128+1,AD$124))*INDEX(CDRANGE_CLS3,$A130-$A$128+1,AD$124))/TRANSPOSE(Cls3CentDailyRng)),B130:L130,TRANSPOSE(Cls3CentVMTShr))/SUMPRODUCT(B130:L130,TRANSPOSE(Cls3CentVMTShr)),0)</f>
        <v>0</v>
      </c>
      <c r="AC130" s="949">
        <f t="array" ref="AC130">IF(AND($AD$123=TRUE,SUM(O130:Y130)&gt;0),SUMPRODUCT((((TRANSPOSE(Cls3NCentDailyRng)&lt;INDEX(CDRANGE_CLS3,$A130-$A$128+1,AD$124))*TRANSPOSE(Cls3NCentDailyRng)+(TRANSPOSE(Cls3NCentDailyRng)&gt;INDEX(CDRANGE_CLS3,$A130-$A$128+1,AD$124))*INDEX(CDRANGE_CLS3,$A130-$A$128+1,AD$124))/TRANSPOSE(Cls3NCentDailyRng)),O130:Y130,TRANSPOSE(Cls3NCentVMTShr))/SUMPRODUCT(O130:Y130,TRANSPOSE(Cls3NCentVMTShr)),0)</f>
        <v>0</v>
      </c>
      <c r="AD130" s="1226">
        <f t="shared" si="94"/>
        <v>0</v>
      </c>
      <c r="AE130" s="1230">
        <f t="shared" si="87"/>
        <v>0</v>
      </c>
      <c r="AF130" s="1231">
        <f t="shared" si="88"/>
        <v>0</v>
      </c>
      <c r="AG130" s="1231">
        <f t="shared" si="89"/>
        <v>0</v>
      </c>
      <c r="AH130" s="1172">
        <f t="shared" si="95"/>
        <v>0</v>
      </c>
      <c r="AI130" s="1232">
        <f t="shared" si="96"/>
        <v>0</v>
      </c>
      <c r="AJ130" s="227"/>
      <c r="AK130" s="227"/>
      <c r="AL130" s="227"/>
      <c r="AM130" s="227"/>
    </row>
    <row r="131" spans="1:39" ht="15" thickBot="1" x14ac:dyDescent="0.25">
      <c r="A131" s="328">
        <v>2010</v>
      </c>
      <c r="B131" s="346">
        <v>0</v>
      </c>
      <c r="C131" s="347">
        <v>0</v>
      </c>
      <c r="D131" s="347">
        <v>0</v>
      </c>
      <c r="E131" s="347">
        <v>0</v>
      </c>
      <c r="F131" s="347">
        <v>0</v>
      </c>
      <c r="G131" s="347">
        <v>0</v>
      </c>
      <c r="H131" s="347">
        <v>0</v>
      </c>
      <c r="I131" s="347">
        <v>0</v>
      </c>
      <c r="J131" s="347">
        <v>0</v>
      </c>
      <c r="K131" s="347">
        <v>0</v>
      </c>
      <c r="L131" s="381">
        <v>0</v>
      </c>
      <c r="M131" s="310">
        <f t="shared" si="90"/>
        <v>0</v>
      </c>
      <c r="N131" s="312">
        <f t="shared" si="91"/>
        <v>0</v>
      </c>
      <c r="O131" s="346">
        <v>0</v>
      </c>
      <c r="P131" s="347">
        <v>0</v>
      </c>
      <c r="Q131" s="347">
        <v>0</v>
      </c>
      <c r="R131" s="347">
        <v>0</v>
      </c>
      <c r="S131" s="347">
        <v>0</v>
      </c>
      <c r="T131" s="347">
        <v>0</v>
      </c>
      <c r="U131" s="347">
        <v>0</v>
      </c>
      <c r="V131" s="347">
        <v>0</v>
      </c>
      <c r="W131" s="347">
        <v>0</v>
      </c>
      <c r="X131" s="347">
        <v>0</v>
      </c>
      <c r="Y131" s="381">
        <v>0</v>
      </c>
      <c r="Z131" s="310">
        <f t="shared" si="92"/>
        <v>0</v>
      </c>
      <c r="AA131" s="312">
        <f t="shared" si="93"/>
        <v>0</v>
      </c>
      <c r="AB131" s="948">
        <f t="array" ref="AB131">IF(AND($AD$123=TRUE,SUM(B131:L131)&gt;0),SUMPRODUCT((((TRANSPOSE(Cls3CentDailyRng)&lt;INDEX(CDRANGE_CLS3,$A131-$A$128+1,AD$124))*TRANSPOSE(Cls3CentDailyRng)+(TRANSPOSE(Cls3CentDailyRng)&gt;INDEX(CDRANGE_CLS3,$A131-$A$128+1,AD$124))*INDEX(CDRANGE_CLS3,$A131-$A$128+1,AD$124))/TRANSPOSE(Cls3CentDailyRng)),B131:L131,TRANSPOSE(Cls3CentVMTShr))/SUMPRODUCT(B131:L131,TRANSPOSE(Cls3CentVMTShr)),0)</f>
        <v>0</v>
      </c>
      <c r="AC131" s="949">
        <f t="array" ref="AC131">IF(AND($AD$123=TRUE,SUM(O131:Y131)&gt;0),SUMPRODUCT((((TRANSPOSE(Cls3NCentDailyRng)&lt;INDEX(CDRANGE_CLS3,$A131-$A$128+1,AD$124))*TRANSPOSE(Cls3NCentDailyRng)+(TRANSPOSE(Cls3NCentDailyRng)&gt;INDEX(CDRANGE_CLS3,$A131-$A$128+1,AD$124))*INDEX(CDRANGE_CLS3,$A131-$A$128+1,AD$124))/TRANSPOSE(Cls3NCentDailyRng)),O131:Y131,TRANSPOSE(Cls3NCentVMTShr))/SUMPRODUCT(O131:Y131,TRANSPOSE(Cls3NCentVMTShr)),0)</f>
        <v>0</v>
      </c>
      <c r="AD131" s="1226">
        <f t="shared" si="94"/>
        <v>0</v>
      </c>
      <c r="AE131" s="1230">
        <f t="shared" si="87"/>
        <v>0</v>
      </c>
      <c r="AF131" s="1231">
        <f t="shared" si="88"/>
        <v>0</v>
      </c>
      <c r="AG131" s="1231">
        <f t="shared" si="89"/>
        <v>0</v>
      </c>
      <c r="AH131" s="1172">
        <f t="shared" si="95"/>
        <v>0</v>
      </c>
      <c r="AI131" s="1232">
        <f t="shared" si="96"/>
        <v>0</v>
      </c>
      <c r="AJ131" s="227"/>
      <c r="AK131" s="227"/>
      <c r="AL131" s="227"/>
      <c r="AM131" s="227"/>
    </row>
    <row r="132" spans="1:39" x14ac:dyDescent="0.2">
      <c r="A132" s="329">
        <v>2011</v>
      </c>
      <c r="B132" s="342">
        <v>0</v>
      </c>
      <c r="C132" s="343">
        <v>0</v>
      </c>
      <c r="D132" s="343">
        <v>0</v>
      </c>
      <c r="E132" s="343">
        <v>0</v>
      </c>
      <c r="F132" s="343">
        <v>0</v>
      </c>
      <c r="G132" s="343">
        <v>0</v>
      </c>
      <c r="H132" s="343">
        <v>0</v>
      </c>
      <c r="I132" s="343">
        <v>0</v>
      </c>
      <c r="J132" s="343">
        <v>0</v>
      </c>
      <c r="K132" s="343">
        <v>0</v>
      </c>
      <c r="L132" s="379">
        <v>0</v>
      </c>
      <c r="M132" s="282">
        <f t="shared" si="90"/>
        <v>0</v>
      </c>
      <c r="N132" s="284">
        <f t="shared" si="91"/>
        <v>0</v>
      </c>
      <c r="O132" s="342">
        <v>0</v>
      </c>
      <c r="P132" s="343">
        <v>0</v>
      </c>
      <c r="Q132" s="343">
        <v>0</v>
      </c>
      <c r="R132" s="343">
        <v>0</v>
      </c>
      <c r="S132" s="343">
        <v>0</v>
      </c>
      <c r="T132" s="343">
        <v>0</v>
      </c>
      <c r="U132" s="343">
        <v>0</v>
      </c>
      <c r="V132" s="343">
        <v>0</v>
      </c>
      <c r="W132" s="343">
        <v>0</v>
      </c>
      <c r="X132" s="343">
        <v>0</v>
      </c>
      <c r="Y132" s="379">
        <v>0</v>
      </c>
      <c r="Z132" s="282">
        <f t="shared" si="92"/>
        <v>0</v>
      </c>
      <c r="AA132" s="284">
        <f t="shared" si="93"/>
        <v>0</v>
      </c>
      <c r="AB132" s="948">
        <f t="array" ref="AB132">IF(AND($AD$123=TRUE,SUM(B132:L132)&gt;0),SUMPRODUCT((((TRANSPOSE(Cls3CentDailyRng)&lt;INDEX(CDRANGE_CLS3,$A132-$A$128+1,AD$124))*TRANSPOSE(Cls3CentDailyRng)+(TRANSPOSE(Cls3CentDailyRng)&gt;INDEX(CDRANGE_CLS3,$A132-$A$128+1,AD$124))*INDEX(CDRANGE_CLS3,$A132-$A$128+1,AD$124))/TRANSPOSE(Cls3CentDailyRng)),B132:L132,TRANSPOSE(Cls3CentVMTShr))/SUMPRODUCT(B132:L132,TRANSPOSE(Cls3CentVMTShr)),0)</f>
        <v>0</v>
      </c>
      <c r="AC132" s="949">
        <f t="array" ref="AC132">IF(AND($AD$123=TRUE,SUM(O132:Y132)&gt;0),SUMPRODUCT((((TRANSPOSE(Cls3NCentDailyRng)&lt;INDEX(CDRANGE_CLS3,$A132-$A$128+1,AD$124))*TRANSPOSE(Cls3NCentDailyRng)+(TRANSPOSE(Cls3NCentDailyRng)&gt;INDEX(CDRANGE_CLS3,$A132-$A$128+1,AD$124))*INDEX(CDRANGE_CLS3,$A132-$A$128+1,AD$124))/TRANSPOSE(Cls3NCentDailyRng)),O132:Y132,TRANSPOSE(Cls3NCentVMTShr))/SUMPRODUCT(O132:Y132,TRANSPOSE(Cls3NCentVMTShr)),0)</f>
        <v>0</v>
      </c>
      <c r="AD132" s="1226">
        <f t="shared" si="94"/>
        <v>0</v>
      </c>
      <c r="AE132" s="1230">
        <f t="shared" si="87"/>
        <v>0</v>
      </c>
      <c r="AF132" s="1231">
        <f t="shared" si="88"/>
        <v>0</v>
      </c>
      <c r="AG132" s="1231">
        <f t="shared" si="89"/>
        <v>0</v>
      </c>
      <c r="AH132" s="1172">
        <f t="shared" si="95"/>
        <v>0</v>
      </c>
      <c r="AI132" s="1232">
        <f t="shared" si="96"/>
        <v>0</v>
      </c>
      <c r="AJ132" s="227"/>
      <c r="AK132" s="227"/>
      <c r="AL132" s="227"/>
      <c r="AM132" s="227"/>
    </row>
    <row r="133" spans="1:39" x14ac:dyDescent="0.2">
      <c r="A133" s="330">
        <v>2012</v>
      </c>
      <c r="B133" s="344">
        <v>0</v>
      </c>
      <c r="C133" s="345">
        <v>0</v>
      </c>
      <c r="D133" s="345">
        <v>0</v>
      </c>
      <c r="E133" s="345">
        <v>0</v>
      </c>
      <c r="F133" s="345">
        <v>0</v>
      </c>
      <c r="G133" s="345">
        <v>0</v>
      </c>
      <c r="H133" s="345">
        <v>0</v>
      </c>
      <c r="I133" s="345">
        <v>0</v>
      </c>
      <c r="J133" s="345">
        <v>0</v>
      </c>
      <c r="K133" s="345">
        <v>0</v>
      </c>
      <c r="L133" s="380">
        <v>0</v>
      </c>
      <c r="M133" s="296">
        <f t="shared" si="90"/>
        <v>0</v>
      </c>
      <c r="N133" s="298">
        <f t="shared" si="91"/>
        <v>0</v>
      </c>
      <c r="O133" s="344">
        <v>0</v>
      </c>
      <c r="P133" s="345">
        <v>0</v>
      </c>
      <c r="Q133" s="345">
        <v>0</v>
      </c>
      <c r="R133" s="345">
        <v>0</v>
      </c>
      <c r="S133" s="345">
        <v>0</v>
      </c>
      <c r="T133" s="345">
        <v>0</v>
      </c>
      <c r="U133" s="345">
        <v>0</v>
      </c>
      <c r="V133" s="345">
        <v>0</v>
      </c>
      <c r="W133" s="345">
        <v>0</v>
      </c>
      <c r="X133" s="345">
        <v>0</v>
      </c>
      <c r="Y133" s="380">
        <v>0</v>
      </c>
      <c r="Z133" s="296">
        <f t="shared" si="92"/>
        <v>0</v>
      </c>
      <c r="AA133" s="298">
        <f t="shared" si="93"/>
        <v>0</v>
      </c>
      <c r="AB133" s="948">
        <f t="array" ref="AB133">IF(AND($AD$123=TRUE,SUM(B133:L133)&gt;0),SUMPRODUCT((((TRANSPOSE(Cls3CentDailyRng)&lt;INDEX(CDRANGE_CLS3,$A133-$A$128+1,AD$124))*TRANSPOSE(Cls3CentDailyRng)+(TRANSPOSE(Cls3CentDailyRng)&gt;INDEX(CDRANGE_CLS3,$A133-$A$128+1,AD$124))*INDEX(CDRANGE_CLS3,$A133-$A$128+1,AD$124))/TRANSPOSE(Cls3CentDailyRng)),B133:L133,TRANSPOSE(Cls3CentVMTShr))/SUMPRODUCT(B133:L133,TRANSPOSE(Cls3CentVMTShr)),0)</f>
        <v>0</v>
      </c>
      <c r="AC133" s="949">
        <f t="array" ref="AC133">IF(AND($AD$123=TRUE,SUM(O133:Y133)&gt;0),SUMPRODUCT((((TRANSPOSE(Cls3NCentDailyRng)&lt;INDEX(CDRANGE_CLS3,$A133-$A$128+1,AD$124))*TRANSPOSE(Cls3NCentDailyRng)+(TRANSPOSE(Cls3NCentDailyRng)&gt;INDEX(CDRANGE_CLS3,$A133-$A$128+1,AD$124))*INDEX(CDRANGE_CLS3,$A133-$A$128+1,AD$124))/TRANSPOSE(Cls3NCentDailyRng)),O133:Y133,TRANSPOSE(Cls3NCentVMTShr))/SUMPRODUCT(O133:Y133,TRANSPOSE(Cls3NCentVMTShr)),0)</f>
        <v>0</v>
      </c>
      <c r="AD133" s="1226">
        <f t="shared" si="94"/>
        <v>0</v>
      </c>
      <c r="AE133" s="1230">
        <f t="shared" si="87"/>
        <v>0</v>
      </c>
      <c r="AF133" s="1231">
        <f t="shared" si="88"/>
        <v>0</v>
      </c>
      <c r="AG133" s="1231">
        <f t="shared" si="89"/>
        <v>0</v>
      </c>
      <c r="AH133" s="1172">
        <f t="shared" si="95"/>
        <v>0</v>
      </c>
      <c r="AI133" s="1232">
        <f t="shared" si="96"/>
        <v>0</v>
      </c>
      <c r="AJ133" s="227"/>
      <c r="AK133" s="227"/>
      <c r="AL133" s="227"/>
      <c r="AM133" s="227"/>
    </row>
    <row r="134" spans="1:39" x14ac:dyDescent="0.2">
      <c r="A134" s="330">
        <v>2013</v>
      </c>
      <c r="B134" s="344">
        <v>0</v>
      </c>
      <c r="C134" s="345">
        <v>0</v>
      </c>
      <c r="D134" s="345">
        <v>0</v>
      </c>
      <c r="E134" s="345">
        <v>0</v>
      </c>
      <c r="F134" s="345">
        <v>0</v>
      </c>
      <c r="G134" s="345">
        <v>0</v>
      </c>
      <c r="H134" s="345">
        <v>0</v>
      </c>
      <c r="I134" s="345">
        <v>0</v>
      </c>
      <c r="J134" s="345">
        <v>0</v>
      </c>
      <c r="K134" s="345">
        <v>0</v>
      </c>
      <c r="L134" s="380">
        <v>0</v>
      </c>
      <c r="M134" s="296">
        <f t="shared" si="90"/>
        <v>0</v>
      </c>
      <c r="N134" s="298">
        <f t="shared" si="91"/>
        <v>0</v>
      </c>
      <c r="O134" s="344">
        <v>0</v>
      </c>
      <c r="P134" s="345">
        <v>0</v>
      </c>
      <c r="Q134" s="345">
        <v>0</v>
      </c>
      <c r="R134" s="345">
        <v>0</v>
      </c>
      <c r="S134" s="345">
        <v>0</v>
      </c>
      <c r="T134" s="345">
        <v>0</v>
      </c>
      <c r="U134" s="345">
        <v>0</v>
      </c>
      <c r="V134" s="345">
        <v>0</v>
      </c>
      <c r="W134" s="345">
        <v>0</v>
      </c>
      <c r="X134" s="345">
        <v>0</v>
      </c>
      <c r="Y134" s="380">
        <v>0</v>
      </c>
      <c r="Z134" s="296">
        <f t="shared" si="92"/>
        <v>0</v>
      </c>
      <c r="AA134" s="298">
        <f t="shared" si="93"/>
        <v>0</v>
      </c>
      <c r="AB134" s="948">
        <f t="array" ref="AB134">IF(AND($AD$123=TRUE,SUM(B134:L134)&gt;0),SUMPRODUCT((((TRANSPOSE(Cls3CentDailyRng)&lt;INDEX(CDRANGE_CLS3,$A134-$A$128+1,AD$124))*TRANSPOSE(Cls3CentDailyRng)+(TRANSPOSE(Cls3CentDailyRng)&gt;INDEX(CDRANGE_CLS3,$A134-$A$128+1,AD$124))*INDEX(CDRANGE_CLS3,$A134-$A$128+1,AD$124))/TRANSPOSE(Cls3CentDailyRng)),B134:L134,TRANSPOSE(Cls3CentVMTShr))/SUMPRODUCT(B134:L134,TRANSPOSE(Cls3CentVMTShr)),0)</f>
        <v>0</v>
      </c>
      <c r="AC134" s="949">
        <f t="array" ref="AC134">IF(AND($AD$123=TRUE,SUM(O134:Y134)&gt;0),SUMPRODUCT((((TRANSPOSE(Cls3NCentDailyRng)&lt;INDEX(CDRANGE_CLS3,$A134-$A$128+1,AD$124))*TRANSPOSE(Cls3NCentDailyRng)+(TRANSPOSE(Cls3NCentDailyRng)&gt;INDEX(CDRANGE_CLS3,$A134-$A$128+1,AD$124))*INDEX(CDRANGE_CLS3,$A134-$A$128+1,AD$124))/TRANSPOSE(Cls3NCentDailyRng)),O134:Y134,TRANSPOSE(Cls3NCentVMTShr))/SUMPRODUCT(O134:Y134,TRANSPOSE(Cls3NCentVMTShr)),0)</f>
        <v>0</v>
      </c>
      <c r="AD134" s="1226">
        <f t="shared" si="94"/>
        <v>0</v>
      </c>
      <c r="AE134" s="1230">
        <f t="shared" si="87"/>
        <v>0</v>
      </c>
      <c r="AF134" s="1231">
        <f t="shared" si="88"/>
        <v>0</v>
      </c>
      <c r="AG134" s="1231">
        <f t="shared" si="89"/>
        <v>0</v>
      </c>
      <c r="AH134" s="1172">
        <f t="shared" si="95"/>
        <v>0</v>
      </c>
      <c r="AI134" s="1232">
        <f t="shared" si="96"/>
        <v>0</v>
      </c>
      <c r="AJ134" s="227"/>
      <c r="AK134" s="227"/>
      <c r="AL134" s="227"/>
      <c r="AM134" s="227"/>
    </row>
    <row r="135" spans="1:39" x14ac:dyDescent="0.2">
      <c r="A135" s="330">
        <v>2014</v>
      </c>
      <c r="B135" s="344">
        <v>0</v>
      </c>
      <c r="C135" s="345">
        <v>0</v>
      </c>
      <c r="D135" s="345">
        <v>0</v>
      </c>
      <c r="E135" s="345">
        <v>0</v>
      </c>
      <c r="F135" s="345">
        <v>0</v>
      </c>
      <c r="G135" s="345">
        <v>0</v>
      </c>
      <c r="H135" s="345">
        <v>0</v>
      </c>
      <c r="I135" s="345">
        <v>0</v>
      </c>
      <c r="J135" s="345">
        <v>0</v>
      </c>
      <c r="K135" s="345">
        <v>0</v>
      </c>
      <c r="L135" s="380">
        <v>0</v>
      </c>
      <c r="M135" s="296">
        <f t="shared" si="90"/>
        <v>0</v>
      </c>
      <c r="N135" s="298">
        <f t="shared" si="91"/>
        <v>0</v>
      </c>
      <c r="O135" s="344">
        <v>0</v>
      </c>
      <c r="P135" s="345">
        <v>0</v>
      </c>
      <c r="Q135" s="345">
        <v>0</v>
      </c>
      <c r="R135" s="345">
        <v>0</v>
      </c>
      <c r="S135" s="345">
        <v>0</v>
      </c>
      <c r="T135" s="345">
        <v>0</v>
      </c>
      <c r="U135" s="345">
        <v>0</v>
      </c>
      <c r="V135" s="345">
        <v>0</v>
      </c>
      <c r="W135" s="345">
        <v>0</v>
      </c>
      <c r="X135" s="345">
        <v>0</v>
      </c>
      <c r="Y135" s="380">
        <v>0</v>
      </c>
      <c r="Z135" s="296">
        <f t="shared" si="92"/>
        <v>0</v>
      </c>
      <c r="AA135" s="298">
        <f t="shared" si="93"/>
        <v>0</v>
      </c>
      <c r="AB135" s="948">
        <f t="array" ref="AB135">IF(AND($AD$123=TRUE,SUM(B135:L135)&gt;0),SUMPRODUCT((((TRANSPOSE(Cls3CentDailyRng)&lt;INDEX(CDRANGE_CLS3,$A135-$A$128+1,AD$124))*TRANSPOSE(Cls3CentDailyRng)+(TRANSPOSE(Cls3CentDailyRng)&gt;INDEX(CDRANGE_CLS3,$A135-$A$128+1,AD$124))*INDEX(CDRANGE_CLS3,$A135-$A$128+1,AD$124))/TRANSPOSE(Cls3CentDailyRng)),B135:L135,TRANSPOSE(Cls3CentVMTShr))/SUMPRODUCT(B135:L135,TRANSPOSE(Cls3CentVMTShr)),0)</f>
        <v>0</v>
      </c>
      <c r="AC135" s="949">
        <f t="array" ref="AC135">IF(AND($AD$123=TRUE,SUM(O135:Y135)&gt;0),SUMPRODUCT((((TRANSPOSE(Cls3NCentDailyRng)&lt;INDEX(CDRANGE_CLS3,$A135-$A$128+1,AD$124))*TRANSPOSE(Cls3NCentDailyRng)+(TRANSPOSE(Cls3NCentDailyRng)&gt;INDEX(CDRANGE_CLS3,$A135-$A$128+1,AD$124))*INDEX(CDRANGE_CLS3,$A135-$A$128+1,AD$124))/TRANSPOSE(Cls3NCentDailyRng)),O135:Y135,TRANSPOSE(Cls3NCentVMTShr))/SUMPRODUCT(O135:Y135,TRANSPOSE(Cls3NCentVMTShr)),0)</f>
        <v>0</v>
      </c>
      <c r="AD135" s="1226">
        <f t="shared" si="94"/>
        <v>0</v>
      </c>
      <c r="AE135" s="1230">
        <f t="shared" si="87"/>
        <v>0</v>
      </c>
      <c r="AF135" s="1231">
        <f t="shared" si="88"/>
        <v>0</v>
      </c>
      <c r="AG135" s="1231">
        <f t="shared" si="89"/>
        <v>0</v>
      </c>
      <c r="AH135" s="1172">
        <f t="shared" si="95"/>
        <v>0</v>
      </c>
      <c r="AI135" s="1232">
        <f t="shared" si="96"/>
        <v>0</v>
      </c>
      <c r="AJ135" s="227"/>
      <c r="AK135" s="227"/>
      <c r="AL135" s="227"/>
      <c r="AM135" s="227"/>
    </row>
    <row r="136" spans="1:39" ht="15" thickBot="1" x14ac:dyDescent="0.25">
      <c r="A136" s="328">
        <v>2015</v>
      </c>
      <c r="B136" s="346">
        <v>0</v>
      </c>
      <c r="C136" s="347">
        <v>0</v>
      </c>
      <c r="D136" s="347">
        <v>0</v>
      </c>
      <c r="E136" s="347">
        <v>0</v>
      </c>
      <c r="F136" s="347">
        <v>0</v>
      </c>
      <c r="G136" s="347">
        <v>0</v>
      </c>
      <c r="H136" s="347">
        <v>0</v>
      </c>
      <c r="I136" s="347">
        <v>0</v>
      </c>
      <c r="J136" s="347">
        <v>0</v>
      </c>
      <c r="K136" s="347">
        <v>0</v>
      </c>
      <c r="L136" s="381">
        <v>0</v>
      </c>
      <c r="M136" s="310">
        <f t="shared" si="90"/>
        <v>0</v>
      </c>
      <c r="N136" s="312">
        <f t="shared" si="91"/>
        <v>0</v>
      </c>
      <c r="O136" s="346">
        <v>0</v>
      </c>
      <c r="P136" s="347">
        <v>0</v>
      </c>
      <c r="Q136" s="347">
        <v>0</v>
      </c>
      <c r="R136" s="347">
        <v>0</v>
      </c>
      <c r="S136" s="347">
        <v>0</v>
      </c>
      <c r="T136" s="347">
        <v>0</v>
      </c>
      <c r="U136" s="347">
        <v>0</v>
      </c>
      <c r="V136" s="347">
        <v>0</v>
      </c>
      <c r="W136" s="347">
        <v>0</v>
      </c>
      <c r="X136" s="347">
        <v>0</v>
      </c>
      <c r="Y136" s="381">
        <v>0</v>
      </c>
      <c r="Z136" s="310">
        <f t="shared" si="92"/>
        <v>0</v>
      </c>
      <c r="AA136" s="312">
        <f t="shared" si="93"/>
        <v>0</v>
      </c>
      <c r="AB136" s="948">
        <f t="array" ref="AB136">IF(AND($AD$123=TRUE,SUM(B136:L136)&gt;0),SUMPRODUCT((((TRANSPOSE(Cls3CentDailyRng)&lt;INDEX(CDRANGE_CLS3,$A136-$A$128+1,AD$124))*TRANSPOSE(Cls3CentDailyRng)+(TRANSPOSE(Cls3CentDailyRng)&gt;INDEX(CDRANGE_CLS3,$A136-$A$128+1,AD$124))*INDEX(CDRANGE_CLS3,$A136-$A$128+1,AD$124))/TRANSPOSE(Cls3CentDailyRng)),B136:L136,TRANSPOSE(Cls3CentVMTShr))/SUMPRODUCT(B136:L136,TRANSPOSE(Cls3CentVMTShr)),0)</f>
        <v>0</v>
      </c>
      <c r="AC136" s="949">
        <f t="array" ref="AC136">IF(AND($AD$123=TRUE,SUM(O136:Y136)&gt;0),SUMPRODUCT((((TRANSPOSE(Cls3NCentDailyRng)&lt;INDEX(CDRANGE_CLS3,$A136-$A$128+1,AD$124))*TRANSPOSE(Cls3NCentDailyRng)+(TRANSPOSE(Cls3NCentDailyRng)&gt;INDEX(CDRANGE_CLS3,$A136-$A$128+1,AD$124))*INDEX(CDRANGE_CLS3,$A136-$A$128+1,AD$124))/TRANSPOSE(Cls3NCentDailyRng)),O136:Y136,TRANSPOSE(Cls3NCentVMTShr))/SUMPRODUCT(O136:Y136,TRANSPOSE(Cls3NCentVMTShr)),0)</f>
        <v>0</v>
      </c>
      <c r="AD136" s="1226">
        <f t="shared" si="94"/>
        <v>0</v>
      </c>
      <c r="AE136" s="1230">
        <f t="shared" si="87"/>
        <v>0</v>
      </c>
      <c r="AF136" s="1231">
        <f t="shared" si="88"/>
        <v>0</v>
      </c>
      <c r="AG136" s="1231">
        <f t="shared" si="89"/>
        <v>0</v>
      </c>
      <c r="AH136" s="1172">
        <f t="shared" si="95"/>
        <v>0</v>
      </c>
      <c r="AI136" s="1232">
        <f t="shared" si="96"/>
        <v>0</v>
      </c>
      <c r="AJ136" s="227"/>
      <c r="AK136" s="227"/>
      <c r="AL136" s="227"/>
      <c r="AM136" s="227"/>
    </row>
    <row r="137" spans="1:39" x14ac:dyDescent="0.2">
      <c r="A137" s="329">
        <v>2016</v>
      </c>
      <c r="B137" s="342">
        <v>0</v>
      </c>
      <c r="C137" s="343">
        <v>0</v>
      </c>
      <c r="D137" s="343">
        <v>0</v>
      </c>
      <c r="E137" s="343">
        <v>0</v>
      </c>
      <c r="F137" s="343">
        <v>0</v>
      </c>
      <c r="G137" s="343">
        <v>0</v>
      </c>
      <c r="H137" s="343">
        <v>0</v>
      </c>
      <c r="I137" s="343">
        <v>0</v>
      </c>
      <c r="J137" s="343">
        <v>0</v>
      </c>
      <c r="K137" s="343">
        <v>0</v>
      </c>
      <c r="L137" s="379">
        <v>0</v>
      </c>
      <c r="M137" s="282">
        <f t="shared" si="90"/>
        <v>0</v>
      </c>
      <c r="N137" s="284">
        <f t="shared" si="91"/>
        <v>0</v>
      </c>
      <c r="O137" s="342">
        <v>0</v>
      </c>
      <c r="P137" s="343">
        <v>0</v>
      </c>
      <c r="Q137" s="343">
        <v>0</v>
      </c>
      <c r="R137" s="343">
        <v>0</v>
      </c>
      <c r="S137" s="343">
        <v>0</v>
      </c>
      <c r="T137" s="343">
        <v>0</v>
      </c>
      <c r="U137" s="343">
        <v>0</v>
      </c>
      <c r="V137" s="343">
        <v>0</v>
      </c>
      <c r="W137" s="343">
        <v>0</v>
      </c>
      <c r="X137" s="343">
        <v>0</v>
      </c>
      <c r="Y137" s="379">
        <v>0</v>
      </c>
      <c r="Z137" s="282">
        <f t="shared" si="92"/>
        <v>0</v>
      </c>
      <c r="AA137" s="284">
        <f t="shared" si="93"/>
        <v>0</v>
      </c>
      <c r="AB137" s="948">
        <f t="array" ref="AB137">IF(AND($AD$123=TRUE,SUM(B137:L137)&gt;0),SUMPRODUCT((((TRANSPOSE(Cls3CentDailyRng)&lt;INDEX(CDRANGE_CLS3,$A137-$A$128+1,AD$124))*TRANSPOSE(Cls3CentDailyRng)+(TRANSPOSE(Cls3CentDailyRng)&gt;INDEX(CDRANGE_CLS3,$A137-$A$128+1,AD$124))*INDEX(CDRANGE_CLS3,$A137-$A$128+1,AD$124))/TRANSPOSE(Cls3CentDailyRng)),B137:L137,TRANSPOSE(Cls3CentVMTShr))/SUMPRODUCT(B137:L137,TRANSPOSE(Cls3CentVMTShr)),0)</f>
        <v>0</v>
      </c>
      <c r="AC137" s="949">
        <f t="array" ref="AC137">IF(AND($AD$123=TRUE,SUM(O137:Y137)&gt;0),SUMPRODUCT((((TRANSPOSE(Cls3NCentDailyRng)&lt;INDEX(CDRANGE_CLS3,$A137-$A$128+1,AD$124))*TRANSPOSE(Cls3NCentDailyRng)+(TRANSPOSE(Cls3NCentDailyRng)&gt;INDEX(CDRANGE_CLS3,$A137-$A$128+1,AD$124))*INDEX(CDRANGE_CLS3,$A137-$A$128+1,AD$124))/TRANSPOSE(Cls3NCentDailyRng)),O137:Y137,TRANSPOSE(Cls3NCentVMTShr))/SUMPRODUCT(O137:Y137,TRANSPOSE(Cls3NCentVMTShr)),0)</f>
        <v>0</v>
      </c>
      <c r="AD137" s="1226">
        <f t="shared" si="94"/>
        <v>0</v>
      </c>
      <c r="AE137" s="1230">
        <f t="shared" si="87"/>
        <v>0</v>
      </c>
      <c r="AF137" s="1231">
        <f t="shared" si="88"/>
        <v>0</v>
      </c>
      <c r="AG137" s="1231">
        <f t="shared" si="89"/>
        <v>0</v>
      </c>
      <c r="AH137" s="1172">
        <f t="shared" si="95"/>
        <v>0</v>
      </c>
      <c r="AI137" s="1232">
        <f t="shared" si="96"/>
        <v>0</v>
      </c>
      <c r="AJ137" s="227"/>
      <c r="AK137" s="227"/>
      <c r="AL137" s="227"/>
      <c r="AM137" s="227"/>
    </row>
    <row r="138" spans="1:39" x14ac:dyDescent="0.2">
      <c r="A138" s="330">
        <v>2017</v>
      </c>
      <c r="B138" s="344">
        <v>0</v>
      </c>
      <c r="C138" s="345">
        <v>0</v>
      </c>
      <c r="D138" s="345">
        <v>0</v>
      </c>
      <c r="E138" s="345">
        <v>0</v>
      </c>
      <c r="F138" s="345">
        <v>0</v>
      </c>
      <c r="G138" s="345">
        <v>0</v>
      </c>
      <c r="H138" s="345">
        <v>0</v>
      </c>
      <c r="I138" s="345">
        <v>0</v>
      </c>
      <c r="J138" s="345">
        <v>0</v>
      </c>
      <c r="K138" s="345">
        <v>0</v>
      </c>
      <c r="L138" s="380">
        <v>0</v>
      </c>
      <c r="M138" s="296">
        <f t="shared" si="90"/>
        <v>0</v>
      </c>
      <c r="N138" s="298">
        <f t="shared" si="91"/>
        <v>0</v>
      </c>
      <c r="O138" s="344">
        <v>0</v>
      </c>
      <c r="P138" s="345">
        <v>0</v>
      </c>
      <c r="Q138" s="345">
        <v>0</v>
      </c>
      <c r="R138" s="345">
        <v>0</v>
      </c>
      <c r="S138" s="345">
        <v>0</v>
      </c>
      <c r="T138" s="345">
        <v>0</v>
      </c>
      <c r="U138" s="345">
        <v>0</v>
      </c>
      <c r="V138" s="345">
        <v>0</v>
      </c>
      <c r="W138" s="345">
        <v>0</v>
      </c>
      <c r="X138" s="345">
        <v>0</v>
      </c>
      <c r="Y138" s="380">
        <v>0</v>
      </c>
      <c r="Z138" s="296">
        <f t="shared" si="92"/>
        <v>0</v>
      </c>
      <c r="AA138" s="298">
        <f t="shared" si="93"/>
        <v>0</v>
      </c>
      <c r="AB138" s="948">
        <f t="array" ref="AB138">IF(AND($AD$123=TRUE,SUM(B138:L138)&gt;0),SUMPRODUCT((((TRANSPOSE(Cls3CentDailyRng)&lt;INDEX(CDRANGE_CLS3,$A138-$A$128+1,AD$124))*TRANSPOSE(Cls3CentDailyRng)+(TRANSPOSE(Cls3CentDailyRng)&gt;INDEX(CDRANGE_CLS3,$A138-$A$128+1,AD$124))*INDEX(CDRANGE_CLS3,$A138-$A$128+1,AD$124))/TRANSPOSE(Cls3CentDailyRng)),B138:L138,TRANSPOSE(Cls3CentVMTShr))/SUMPRODUCT(B138:L138,TRANSPOSE(Cls3CentVMTShr)),0)</f>
        <v>0</v>
      </c>
      <c r="AC138" s="949">
        <f t="array" ref="AC138">IF(AND($AD$123=TRUE,SUM(O138:Y138)&gt;0),SUMPRODUCT((((TRANSPOSE(Cls3NCentDailyRng)&lt;INDEX(CDRANGE_CLS3,$A138-$A$128+1,AD$124))*TRANSPOSE(Cls3NCentDailyRng)+(TRANSPOSE(Cls3NCentDailyRng)&gt;INDEX(CDRANGE_CLS3,$A138-$A$128+1,AD$124))*INDEX(CDRANGE_CLS3,$A138-$A$128+1,AD$124))/TRANSPOSE(Cls3NCentDailyRng)),O138:Y138,TRANSPOSE(Cls3NCentVMTShr))/SUMPRODUCT(O138:Y138,TRANSPOSE(Cls3NCentVMTShr)),0)</f>
        <v>0</v>
      </c>
      <c r="AD138" s="1226">
        <f t="shared" si="94"/>
        <v>0</v>
      </c>
      <c r="AE138" s="1230">
        <f t="shared" si="87"/>
        <v>0</v>
      </c>
      <c r="AF138" s="1231">
        <f t="shared" si="88"/>
        <v>0</v>
      </c>
      <c r="AG138" s="1231">
        <f t="shared" si="89"/>
        <v>0</v>
      </c>
      <c r="AH138" s="1172">
        <f t="shared" si="95"/>
        <v>0</v>
      </c>
      <c r="AI138" s="1232">
        <f t="shared" si="96"/>
        <v>0</v>
      </c>
      <c r="AJ138" s="227"/>
      <c r="AK138" s="227"/>
      <c r="AL138" s="227"/>
      <c r="AM138" s="227"/>
    </row>
    <row r="139" spans="1:39" x14ac:dyDescent="0.2">
      <c r="A139" s="330">
        <v>2018</v>
      </c>
      <c r="B139" s="344">
        <v>0</v>
      </c>
      <c r="C139" s="345">
        <v>0</v>
      </c>
      <c r="D139" s="345">
        <v>0</v>
      </c>
      <c r="E139" s="345">
        <v>0</v>
      </c>
      <c r="F139" s="345">
        <v>0</v>
      </c>
      <c r="G139" s="345">
        <v>0</v>
      </c>
      <c r="H139" s="345">
        <v>0</v>
      </c>
      <c r="I139" s="345">
        <v>0</v>
      </c>
      <c r="J139" s="345">
        <v>0</v>
      </c>
      <c r="K139" s="345">
        <v>0</v>
      </c>
      <c r="L139" s="380">
        <v>0</v>
      </c>
      <c r="M139" s="296">
        <f t="shared" si="90"/>
        <v>0</v>
      </c>
      <c r="N139" s="298">
        <f t="shared" si="91"/>
        <v>0</v>
      </c>
      <c r="O139" s="344">
        <v>0</v>
      </c>
      <c r="P139" s="345">
        <v>0</v>
      </c>
      <c r="Q139" s="345">
        <v>0</v>
      </c>
      <c r="R139" s="345">
        <v>0</v>
      </c>
      <c r="S139" s="345">
        <v>0</v>
      </c>
      <c r="T139" s="345">
        <v>0</v>
      </c>
      <c r="U139" s="345">
        <v>0</v>
      </c>
      <c r="V139" s="345">
        <v>0</v>
      </c>
      <c r="W139" s="345">
        <v>0</v>
      </c>
      <c r="X139" s="345">
        <v>0</v>
      </c>
      <c r="Y139" s="380">
        <v>0</v>
      </c>
      <c r="Z139" s="296">
        <f t="shared" si="92"/>
        <v>0</v>
      </c>
      <c r="AA139" s="298">
        <f t="shared" si="93"/>
        <v>0</v>
      </c>
      <c r="AB139" s="948">
        <f t="array" ref="AB139">IF(AND($AD$123=TRUE,SUM(B139:L139)&gt;0),SUMPRODUCT((((TRANSPOSE(Cls3CentDailyRng)&lt;INDEX(CDRANGE_CLS3,$A139-$A$128+1,AD$124))*TRANSPOSE(Cls3CentDailyRng)+(TRANSPOSE(Cls3CentDailyRng)&gt;INDEX(CDRANGE_CLS3,$A139-$A$128+1,AD$124))*INDEX(CDRANGE_CLS3,$A139-$A$128+1,AD$124))/TRANSPOSE(Cls3CentDailyRng)),B139:L139,TRANSPOSE(Cls3CentVMTShr))/SUMPRODUCT(B139:L139,TRANSPOSE(Cls3CentVMTShr)),0)</f>
        <v>0</v>
      </c>
      <c r="AC139" s="949">
        <f t="array" ref="AC139">IF(AND($AD$123=TRUE,SUM(O139:Y139)&gt;0),SUMPRODUCT((((TRANSPOSE(Cls3NCentDailyRng)&lt;INDEX(CDRANGE_CLS3,$A139-$A$128+1,AD$124))*TRANSPOSE(Cls3NCentDailyRng)+(TRANSPOSE(Cls3NCentDailyRng)&gt;INDEX(CDRANGE_CLS3,$A139-$A$128+1,AD$124))*INDEX(CDRANGE_CLS3,$A139-$A$128+1,AD$124))/TRANSPOSE(Cls3NCentDailyRng)),O139:Y139,TRANSPOSE(Cls3NCentVMTShr))/SUMPRODUCT(O139:Y139,TRANSPOSE(Cls3NCentVMTShr)),0)</f>
        <v>0</v>
      </c>
      <c r="AD139" s="1226">
        <f t="shared" si="94"/>
        <v>0</v>
      </c>
      <c r="AE139" s="1230">
        <f t="shared" si="87"/>
        <v>0</v>
      </c>
      <c r="AF139" s="1231">
        <f t="shared" si="88"/>
        <v>0</v>
      </c>
      <c r="AG139" s="1231">
        <f t="shared" si="89"/>
        <v>0</v>
      </c>
      <c r="AH139" s="1172">
        <f t="shared" si="95"/>
        <v>0</v>
      </c>
      <c r="AI139" s="1232">
        <f t="shared" si="96"/>
        <v>0</v>
      </c>
      <c r="AJ139" s="227"/>
      <c r="AK139" s="227"/>
      <c r="AL139" s="227"/>
      <c r="AM139" s="227"/>
    </row>
    <row r="140" spans="1:39" x14ac:dyDescent="0.2">
      <c r="A140" s="330">
        <v>2019</v>
      </c>
      <c r="B140" s="344">
        <v>0</v>
      </c>
      <c r="C140" s="345">
        <v>0</v>
      </c>
      <c r="D140" s="345">
        <v>0</v>
      </c>
      <c r="E140" s="345">
        <v>0</v>
      </c>
      <c r="F140" s="345">
        <v>0</v>
      </c>
      <c r="G140" s="345">
        <v>0</v>
      </c>
      <c r="H140" s="345">
        <v>0</v>
      </c>
      <c r="I140" s="345">
        <v>0</v>
      </c>
      <c r="J140" s="345">
        <v>0</v>
      </c>
      <c r="K140" s="345">
        <v>0</v>
      </c>
      <c r="L140" s="380">
        <v>0</v>
      </c>
      <c r="M140" s="296">
        <f t="shared" si="90"/>
        <v>0</v>
      </c>
      <c r="N140" s="298">
        <f t="shared" si="91"/>
        <v>0</v>
      </c>
      <c r="O140" s="344">
        <v>0</v>
      </c>
      <c r="P140" s="345">
        <v>0</v>
      </c>
      <c r="Q140" s="345">
        <v>0</v>
      </c>
      <c r="R140" s="345">
        <v>0</v>
      </c>
      <c r="S140" s="345">
        <v>0</v>
      </c>
      <c r="T140" s="345">
        <v>0</v>
      </c>
      <c r="U140" s="345">
        <v>0</v>
      </c>
      <c r="V140" s="345">
        <v>0</v>
      </c>
      <c r="W140" s="345">
        <v>0</v>
      </c>
      <c r="X140" s="345">
        <v>0</v>
      </c>
      <c r="Y140" s="380">
        <v>0</v>
      </c>
      <c r="Z140" s="296">
        <f t="shared" si="92"/>
        <v>0</v>
      </c>
      <c r="AA140" s="298">
        <f t="shared" si="93"/>
        <v>0</v>
      </c>
      <c r="AB140" s="948">
        <f t="array" ref="AB140">IF(AND($AD$123=TRUE,SUM(B140:L140)&gt;0),SUMPRODUCT((((TRANSPOSE(Cls3CentDailyRng)&lt;INDEX(CDRANGE_CLS3,$A140-$A$128+1,AD$124))*TRANSPOSE(Cls3CentDailyRng)+(TRANSPOSE(Cls3CentDailyRng)&gt;INDEX(CDRANGE_CLS3,$A140-$A$128+1,AD$124))*INDEX(CDRANGE_CLS3,$A140-$A$128+1,AD$124))/TRANSPOSE(Cls3CentDailyRng)),B140:L140,TRANSPOSE(Cls3CentVMTShr))/SUMPRODUCT(B140:L140,TRANSPOSE(Cls3CentVMTShr)),0)</f>
        <v>0</v>
      </c>
      <c r="AC140" s="949">
        <f t="array" ref="AC140">IF(AND($AD$123=TRUE,SUM(O140:Y140)&gt;0),SUMPRODUCT((((TRANSPOSE(Cls3NCentDailyRng)&lt;INDEX(CDRANGE_CLS3,$A140-$A$128+1,AD$124))*TRANSPOSE(Cls3NCentDailyRng)+(TRANSPOSE(Cls3NCentDailyRng)&gt;INDEX(CDRANGE_CLS3,$A140-$A$128+1,AD$124))*INDEX(CDRANGE_CLS3,$A140-$A$128+1,AD$124))/TRANSPOSE(Cls3NCentDailyRng)),O140:Y140,TRANSPOSE(Cls3NCentVMTShr))/SUMPRODUCT(O140:Y140,TRANSPOSE(Cls3NCentVMTShr)),0)</f>
        <v>0</v>
      </c>
      <c r="AD140" s="1226">
        <f t="shared" si="94"/>
        <v>0</v>
      </c>
      <c r="AE140" s="1230">
        <f t="shared" si="87"/>
        <v>0</v>
      </c>
      <c r="AF140" s="1231">
        <f t="shared" si="88"/>
        <v>0</v>
      </c>
      <c r="AG140" s="1231">
        <f t="shared" si="89"/>
        <v>0</v>
      </c>
      <c r="AH140" s="1172">
        <f t="shared" si="95"/>
        <v>0</v>
      </c>
      <c r="AI140" s="1232">
        <f t="shared" si="96"/>
        <v>0</v>
      </c>
      <c r="AJ140" s="227"/>
      <c r="AK140" s="227"/>
      <c r="AL140" s="227"/>
      <c r="AM140" s="227"/>
    </row>
    <row r="141" spans="1:39" ht="15" thickBot="1" x14ac:dyDescent="0.25">
      <c r="A141" s="328">
        <v>2020</v>
      </c>
      <c r="B141" s="346">
        <v>0</v>
      </c>
      <c r="C141" s="347">
        <v>0</v>
      </c>
      <c r="D141" s="347">
        <v>0</v>
      </c>
      <c r="E141" s="347">
        <v>0</v>
      </c>
      <c r="F141" s="347">
        <v>0</v>
      </c>
      <c r="G141" s="347">
        <v>0</v>
      </c>
      <c r="H141" s="347">
        <v>0</v>
      </c>
      <c r="I141" s="347">
        <v>0</v>
      </c>
      <c r="J141" s="347">
        <v>0</v>
      </c>
      <c r="K141" s="347">
        <v>0</v>
      </c>
      <c r="L141" s="381">
        <v>0</v>
      </c>
      <c r="M141" s="310">
        <f t="shared" si="90"/>
        <v>0</v>
      </c>
      <c r="N141" s="312">
        <f t="shared" si="91"/>
        <v>0</v>
      </c>
      <c r="O141" s="346">
        <v>0</v>
      </c>
      <c r="P141" s="347">
        <v>0</v>
      </c>
      <c r="Q141" s="347">
        <v>0</v>
      </c>
      <c r="R141" s="347">
        <v>0</v>
      </c>
      <c r="S141" s="347">
        <v>0</v>
      </c>
      <c r="T141" s="347">
        <v>0</v>
      </c>
      <c r="U141" s="347">
        <v>0</v>
      </c>
      <c r="V141" s="347">
        <v>0</v>
      </c>
      <c r="W141" s="347">
        <v>0</v>
      </c>
      <c r="X141" s="347">
        <v>0</v>
      </c>
      <c r="Y141" s="381">
        <v>0</v>
      </c>
      <c r="Z141" s="310">
        <f t="shared" si="92"/>
        <v>0</v>
      </c>
      <c r="AA141" s="312">
        <f t="shared" si="93"/>
        <v>0</v>
      </c>
      <c r="AB141" s="948">
        <f t="array" ref="AB141">IF(AND($AD$123=TRUE,SUM(B141:L141)&gt;0),SUMPRODUCT((((TRANSPOSE(Cls3CentDailyRng)&lt;INDEX(CDRANGE_CLS3,$A141-$A$128+1,AD$124))*TRANSPOSE(Cls3CentDailyRng)+(TRANSPOSE(Cls3CentDailyRng)&gt;INDEX(CDRANGE_CLS3,$A141-$A$128+1,AD$124))*INDEX(CDRANGE_CLS3,$A141-$A$128+1,AD$124))/TRANSPOSE(Cls3CentDailyRng)),B141:L141,TRANSPOSE(Cls3CentVMTShr))/SUMPRODUCT(B141:L141,TRANSPOSE(Cls3CentVMTShr)),0)</f>
        <v>0</v>
      </c>
      <c r="AC141" s="949">
        <f t="array" ref="AC141">IF(AND($AD$123=TRUE,SUM(O141:Y141)&gt;0),SUMPRODUCT((((TRANSPOSE(Cls3NCentDailyRng)&lt;INDEX(CDRANGE_CLS3,$A141-$A$128+1,AD$124))*TRANSPOSE(Cls3NCentDailyRng)+(TRANSPOSE(Cls3NCentDailyRng)&gt;INDEX(CDRANGE_CLS3,$A141-$A$128+1,AD$124))*INDEX(CDRANGE_CLS3,$A141-$A$128+1,AD$124))/TRANSPOSE(Cls3NCentDailyRng)),O141:Y141,TRANSPOSE(Cls3NCentVMTShr))/SUMPRODUCT(O141:Y141,TRANSPOSE(Cls3NCentVMTShr)),0)</f>
        <v>0</v>
      </c>
      <c r="AD141" s="1226">
        <f t="shared" si="94"/>
        <v>0</v>
      </c>
      <c r="AE141" s="1230">
        <f t="shared" si="87"/>
        <v>0</v>
      </c>
      <c r="AF141" s="1231">
        <f t="shared" si="88"/>
        <v>0</v>
      </c>
      <c r="AG141" s="1231">
        <f t="shared" si="89"/>
        <v>0</v>
      </c>
      <c r="AH141" s="1172">
        <f t="shared" si="95"/>
        <v>0</v>
      </c>
      <c r="AI141" s="1232">
        <f t="shared" si="96"/>
        <v>0</v>
      </c>
      <c r="AJ141" s="227"/>
      <c r="AK141" s="227"/>
      <c r="AL141" s="227"/>
      <c r="AM141" s="227"/>
    </row>
    <row r="142" spans="1:39" x14ac:dyDescent="0.2">
      <c r="A142" s="329">
        <v>2021</v>
      </c>
      <c r="B142" s="342">
        <v>0</v>
      </c>
      <c r="C142" s="343">
        <v>0</v>
      </c>
      <c r="D142" s="343">
        <v>0</v>
      </c>
      <c r="E142" s="343">
        <v>0</v>
      </c>
      <c r="F142" s="343">
        <v>0</v>
      </c>
      <c r="G142" s="343">
        <v>0</v>
      </c>
      <c r="H142" s="343">
        <v>0</v>
      </c>
      <c r="I142" s="343">
        <v>0</v>
      </c>
      <c r="J142" s="343">
        <v>0</v>
      </c>
      <c r="K142" s="343">
        <v>0</v>
      </c>
      <c r="L142" s="379">
        <v>0</v>
      </c>
      <c r="M142" s="282">
        <f t="shared" si="90"/>
        <v>0</v>
      </c>
      <c r="N142" s="284">
        <f t="shared" si="91"/>
        <v>0</v>
      </c>
      <c r="O142" s="342">
        <v>0</v>
      </c>
      <c r="P142" s="343">
        <v>0</v>
      </c>
      <c r="Q142" s="343">
        <v>0</v>
      </c>
      <c r="R142" s="343">
        <v>0</v>
      </c>
      <c r="S142" s="343">
        <v>0</v>
      </c>
      <c r="T142" s="343">
        <v>0</v>
      </c>
      <c r="U142" s="343">
        <v>0</v>
      </c>
      <c r="V142" s="343">
        <v>0</v>
      </c>
      <c r="W142" s="343">
        <v>0</v>
      </c>
      <c r="X142" s="343">
        <v>0</v>
      </c>
      <c r="Y142" s="379">
        <v>0</v>
      </c>
      <c r="Z142" s="282">
        <f t="shared" si="92"/>
        <v>0</v>
      </c>
      <c r="AA142" s="284">
        <f t="shared" si="93"/>
        <v>0</v>
      </c>
      <c r="AB142" s="948">
        <f t="array" ref="AB142">IF(AND($AD$123=TRUE,SUM(B142:L142)&gt;0),SUMPRODUCT((((TRANSPOSE(Cls3CentDailyRng)&lt;INDEX(CDRANGE_CLS3,$A142-$A$128+1,AD$124))*TRANSPOSE(Cls3CentDailyRng)+(TRANSPOSE(Cls3CentDailyRng)&gt;INDEX(CDRANGE_CLS3,$A142-$A$128+1,AD$124))*INDEX(CDRANGE_CLS3,$A142-$A$128+1,AD$124))/TRANSPOSE(Cls3CentDailyRng)),B142:L142,TRANSPOSE(Cls3CentVMTShr))/SUMPRODUCT(B142:L142,TRANSPOSE(Cls3CentVMTShr)),0)</f>
        <v>0</v>
      </c>
      <c r="AC142" s="949">
        <f t="array" ref="AC142">IF(AND($AD$123=TRUE,SUM(O142:Y142)&gt;0),SUMPRODUCT((((TRANSPOSE(Cls3NCentDailyRng)&lt;INDEX(CDRANGE_CLS3,$A142-$A$128+1,AD$124))*TRANSPOSE(Cls3NCentDailyRng)+(TRANSPOSE(Cls3NCentDailyRng)&gt;INDEX(CDRANGE_CLS3,$A142-$A$128+1,AD$124))*INDEX(CDRANGE_CLS3,$A142-$A$128+1,AD$124))/TRANSPOSE(Cls3NCentDailyRng)),O142:Y142,TRANSPOSE(Cls3NCentVMTShr))/SUMPRODUCT(O142:Y142,TRANSPOSE(Cls3NCentVMTShr)),0)</f>
        <v>0</v>
      </c>
      <c r="AD142" s="1226">
        <f t="shared" si="94"/>
        <v>0</v>
      </c>
      <c r="AE142" s="1230">
        <f t="shared" si="87"/>
        <v>0</v>
      </c>
      <c r="AF142" s="1231">
        <f t="shared" si="88"/>
        <v>0</v>
      </c>
      <c r="AG142" s="1231">
        <f t="shared" si="89"/>
        <v>0</v>
      </c>
      <c r="AH142" s="1172">
        <f t="shared" si="95"/>
        <v>0</v>
      </c>
      <c r="AI142" s="1232">
        <f t="shared" si="96"/>
        <v>0</v>
      </c>
      <c r="AJ142" s="227"/>
      <c r="AK142" s="227"/>
      <c r="AL142" s="227"/>
      <c r="AM142" s="227"/>
    </row>
    <row r="143" spans="1:39" x14ac:dyDescent="0.2">
      <c r="A143" s="330">
        <v>2022</v>
      </c>
      <c r="B143" s="344">
        <v>1.1724727470236661E-2</v>
      </c>
      <c r="C143" s="345">
        <v>1.1724727470236661E-2</v>
      </c>
      <c r="D143" s="345">
        <v>2.1167740300299713E-2</v>
      </c>
      <c r="E143" s="345">
        <v>2.2704953014126228E-2</v>
      </c>
      <c r="F143" s="345">
        <v>2.0813483197471987E-2</v>
      </c>
      <c r="G143" s="345">
        <v>1.9517408339626154E-2</v>
      </c>
      <c r="H143" s="345">
        <v>1.8127506336638188E-2</v>
      </c>
      <c r="I143" s="345">
        <v>1.7668040996735686E-2</v>
      </c>
      <c r="J143" s="345">
        <v>1.6934873771353477E-2</v>
      </c>
      <c r="K143" s="345">
        <v>1.6579722050724895E-2</v>
      </c>
      <c r="L143" s="380">
        <v>1.6579722050724895E-2</v>
      </c>
      <c r="M143" s="296">
        <f t="shared" si="90"/>
        <v>6.3283231402750514E-3</v>
      </c>
      <c r="N143" s="298">
        <f t="shared" si="91"/>
        <v>5.2676111988416742E-3</v>
      </c>
      <c r="O143" s="344">
        <v>1.1724727470236661E-2</v>
      </c>
      <c r="P143" s="345">
        <v>1.1724727470236661E-2</v>
      </c>
      <c r="Q143" s="345">
        <v>2.2264528028440971E-2</v>
      </c>
      <c r="R143" s="345">
        <v>2.1876721474468206E-2</v>
      </c>
      <c r="S143" s="345">
        <v>2.0535696480103199E-2</v>
      </c>
      <c r="T143" s="345">
        <v>1.9174235473709503E-2</v>
      </c>
      <c r="U143" s="345">
        <v>1.7781699133564571E-2</v>
      </c>
      <c r="V143" s="345">
        <v>1.736922831194538E-2</v>
      </c>
      <c r="W143" s="345">
        <v>1.6774103394114354E-2</v>
      </c>
      <c r="X143" s="345">
        <v>1.6579722050724895E-2</v>
      </c>
      <c r="Y143" s="380">
        <v>1.6325666547008316E-2</v>
      </c>
      <c r="Z143" s="296">
        <f t="shared" si="92"/>
        <v>9.0180078661029062E-3</v>
      </c>
      <c r="AA143" s="298">
        <f t="shared" si="93"/>
        <v>8.0482802862081072E-3</v>
      </c>
      <c r="AB143" s="948">
        <f t="array" ref="AB143">IF(AND($AD$123=TRUE,SUM(B143:L143)&gt;0),SUMPRODUCT((((TRANSPOSE(Cls3CentDailyRng)&lt;INDEX(CDRANGE_CLS3,$A143-$A$128+1,AD$124))*TRANSPOSE(Cls3CentDailyRng)+(TRANSPOSE(Cls3CentDailyRng)&gt;INDEX(CDRANGE_CLS3,$A143-$A$128+1,AD$124))*INDEX(CDRANGE_CLS3,$A143-$A$128+1,AD$124))/TRANSPOSE(Cls3CentDailyRng)),B143:L143,TRANSPOSE(Cls3CentVMTShr))/SUMPRODUCT(B143:L143,TRANSPOSE(Cls3CentVMTShr)),0)</f>
        <v>0</v>
      </c>
      <c r="AC143" s="949">
        <f t="array" ref="AC143">IF(AND($AD$123=TRUE,SUM(O143:Y143)&gt;0),SUMPRODUCT((((TRANSPOSE(Cls3NCentDailyRng)&lt;INDEX(CDRANGE_CLS3,$A143-$A$128+1,AD$124))*TRANSPOSE(Cls3NCentDailyRng)+(TRANSPOSE(Cls3NCentDailyRng)&gt;INDEX(CDRANGE_CLS3,$A143-$A$128+1,AD$124))*INDEX(CDRANGE_CLS3,$A143-$A$128+1,AD$124))/TRANSPOSE(Cls3NCentDailyRng)),O143:Y143,TRANSPOSE(Cls3NCentVMTShr))/SUMPRODUCT(O143:Y143,TRANSPOSE(Cls3NCentVMTShr)),0)</f>
        <v>0</v>
      </c>
      <c r="AD143" s="1226">
        <f t="shared" si="94"/>
        <v>0</v>
      </c>
      <c r="AE143" s="1230">
        <f>SUMPRODUCT($B$74:$L$74,B143:L143)</f>
        <v>6.3283231402750514E-3</v>
      </c>
      <c r="AF143" s="1231">
        <f>SUMPRODUCT($O$74:$Y$74,O143:Y143)</f>
        <v>9.0180078661029062E-3</v>
      </c>
      <c r="AG143" s="1231">
        <f>SUM(AE143:AF143)</f>
        <v>1.5346331006377958E-2</v>
      </c>
      <c r="AH143" s="1172">
        <f t="shared" si="95"/>
        <v>0.41236717347260338</v>
      </c>
      <c r="AI143" s="1232">
        <f t="shared" si="96"/>
        <v>0.58763282652739657</v>
      </c>
      <c r="AJ143" s="227"/>
      <c r="AK143" s="227"/>
      <c r="AL143" s="227"/>
      <c r="AM143" s="227"/>
    </row>
    <row r="144" spans="1:39" x14ac:dyDescent="0.2">
      <c r="A144" s="330">
        <v>2023</v>
      </c>
      <c r="B144" s="344">
        <v>2.7265266398469313E-2</v>
      </c>
      <c r="C144" s="345">
        <v>2.7266472403531271E-2</v>
      </c>
      <c r="D144" s="345">
        <v>4.6409463653201345E-2</v>
      </c>
      <c r="E144" s="345">
        <v>5.0648017614443687E-2</v>
      </c>
      <c r="F144" s="345">
        <v>4.8787051130431219E-2</v>
      </c>
      <c r="G144" s="345">
        <v>4.7590792317682165E-2</v>
      </c>
      <c r="H144" s="345">
        <v>4.3856942634221609E-2</v>
      </c>
      <c r="I144" s="345">
        <v>4.2639186493598082E-2</v>
      </c>
      <c r="J144" s="345">
        <v>4.222141468467213E-2</v>
      </c>
      <c r="K144" s="345">
        <v>4.1336245528760709E-2</v>
      </c>
      <c r="L144" s="380">
        <v>4.1336245528760709E-2</v>
      </c>
      <c r="M144" s="296">
        <f t="shared" si="90"/>
        <v>1.4412898156273475E-2</v>
      </c>
      <c r="N144" s="298">
        <f t="shared" si="91"/>
        <v>1.2078294114689045E-2</v>
      </c>
      <c r="O144" s="344">
        <v>2.7265266398469313E-2</v>
      </c>
      <c r="P144" s="345">
        <v>2.7266472403531271E-2</v>
      </c>
      <c r="Q144" s="345">
        <v>4.8520612585390803E-2</v>
      </c>
      <c r="R144" s="345">
        <v>5.0721118144440504E-2</v>
      </c>
      <c r="S144" s="345">
        <v>4.82814081673172E-2</v>
      </c>
      <c r="T144" s="345">
        <v>4.5334184988954029E-2</v>
      </c>
      <c r="U144" s="345">
        <v>4.3856942634221609E-2</v>
      </c>
      <c r="V144" s="345">
        <v>4.222141468467213E-2</v>
      </c>
      <c r="W144" s="345">
        <v>4.1670533702508041E-2</v>
      </c>
      <c r="X144" s="345">
        <v>4.1336245528760709E-2</v>
      </c>
      <c r="Y144" s="380">
        <v>4.0664464885369074E-2</v>
      </c>
      <c r="Z144" s="296">
        <f t="shared" si="92"/>
        <v>2.0806639493221736E-2</v>
      </c>
      <c r="AA144" s="298">
        <f t="shared" si="93"/>
        <v>1.8585126378568729E-2</v>
      </c>
      <c r="AB144" s="948">
        <f t="array" ref="AB144">IF(AND($AD$123=TRUE,SUM(B144:L144)&gt;0),SUMPRODUCT((((TRANSPOSE(Cls3CentDailyRng)&lt;INDEX(CDRANGE_CLS3,$A144-$A$128+1,AD$124))*TRANSPOSE(Cls3CentDailyRng)+(TRANSPOSE(Cls3CentDailyRng)&gt;INDEX(CDRANGE_CLS3,$A144-$A$128+1,AD$124))*INDEX(CDRANGE_CLS3,$A144-$A$128+1,AD$124))/TRANSPOSE(Cls3CentDailyRng)),B144:L144,TRANSPOSE(Cls3CentVMTShr))/SUMPRODUCT(B144:L144,TRANSPOSE(Cls3CentVMTShr)),0)</f>
        <v>0</v>
      </c>
      <c r="AC144" s="949">
        <f t="array" ref="AC144">IF(AND($AD$123=TRUE,SUM(O144:Y144)&gt;0),SUMPRODUCT((((TRANSPOSE(Cls3NCentDailyRng)&lt;INDEX(CDRANGE_CLS3,$A144-$A$128+1,AD$124))*TRANSPOSE(Cls3NCentDailyRng)+(TRANSPOSE(Cls3NCentDailyRng)&gt;INDEX(CDRANGE_CLS3,$A144-$A$128+1,AD$124))*INDEX(CDRANGE_CLS3,$A144-$A$128+1,AD$124))/TRANSPOSE(Cls3NCentDailyRng)),O144:Y144,TRANSPOSE(Cls3NCentVMTShr))/SUMPRODUCT(O144:Y144,TRANSPOSE(Cls3NCentVMTShr)),0)</f>
        <v>0</v>
      </c>
      <c r="AD144" s="1226">
        <f t="shared" si="94"/>
        <v>0</v>
      </c>
      <c r="AE144" s="1230">
        <f t="shared" ref="AE144:AE171" si="97">SUMPRODUCT($B$74:$L$74,B144:L144)</f>
        <v>1.4412898156273475E-2</v>
      </c>
      <c r="AF144" s="1231">
        <f t="shared" ref="AF144:AF171" si="98">SUMPRODUCT($O$74:$Y$74,O144:Y144)</f>
        <v>2.0806639493221736E-2</v>
      </c>
      <c r="AG144" s="1231">
        <f t="shared" ref="AG144:AG171" si="99">SUM(AE144:AF144)</f>
        <v>3.521953764949521E-2</v>
      </c>
      <c r="AH144" s="1172">
        <f t="shared" si="95"/>
        <v>0.40923019205165662</v>
      </c>
      <c r="AI144" s="1232">
        <f t="shared" si="96"/>
        <v>0.59076980794834344</v>
      </c>
      <c r="AJ144" s="227"/>
      <c r="AK144" s="227"/>
      <c r="AL144" s="227"/>
      <c r="AM144" s="227"/>
    </row>
    <row r="145" spans="1:39" x14ac:dyDescent="0.2">
      <c r="A145" s="330">
        <v>2024</v>
      </c>
      <c r="B145" s="344">
        <v>4.594827315039024E-2</v>
      </c>
      <c r="C145" s="345">
        <v>4.5928318514083959E-2</v>
      </c>
      <c r="D145" s="345">
        <v>9.2710800782949673E-2</v>
      </c>
      <c r="E145" s="345">
        <v>0.10846765801467829</v>
      </c>
      <c r="F145" s="345">
        <v>0.10150910506604462</v>
      </c>
      <c r="G145" s="345">
        <v>0.10026546833605261</v>
      </c>
      <c r="H145" s="345">
        <v>9.528027593186475E-2</v>
      </c>
      <c r="I145" s="345">
        <v>9.4130053862517382E-2</v>
      </c>
      <c r="J145" s="345">
        <v>9.336028793586458E-2</v>
      </c>
      <c r="K145" s="345">
        <v>9.1730338167748962E-2</v>
      </c>
      <c r="L145" s="380">
        <v>9.1730338167748962E-2</v>
      </c>
      <c r="M145" s="296">
        <f t="shared" si="90"/>
        <v>2.7438441974268556E-2</v>
      </c>
      <c r="N145" s="298">
        <f t="shared" si="91"/>
        <v>2.169741775456473E-2</v>
      </c>
      <c r="O145" s="344">
        <v>4.594827315039024E-2</v>
      </c>
      <c r="P145" s="345">
        <v>4.5911825509836919E-2</v>
      </c>
      <c r="Q145" s="345">
        <v>0.10439874602322083</v>
      </c>
      <c r="R145" s="345">
        <v>0.10343301759297659</v>
      </c>
      <c r="S145" s="345">
        <v>0.10237962525825764</v>
      </c>
      <c r="T145" s="345">
        <v>9.9222741667440703E-2</v>
      </c>
      <c r="U145" s="345">
        <v>9.528027593186475E-2</v>
      </c>
      <c r="V145" s="345">
        <v>9.4130053862517382E-2</v>
      </c>
      <c r="W145" s="345">
        <v>9.2302628361325134E-2</v>
      </c>
      <c r="X145" s="345">
        <v>9.1730338167748962E-2</v>
      </c>
      <c r="Y145" s="380">
        <v>9.1008674492076086E-2</v>
      </c>
      <c r="Z145" s="296">
        <f t="shared" si="92"/>
        <v>3.9616446125677336E-2</v>
      </c>
      <c r="AA145" s="298">
        <f t="shared" si="93"/>
        <v>3.3131802776457733E-2</v>
      </c>
      <c r="AB145" s="948">
        <f t="array" ref="AB145">IF(AND($AD$123=TRUE,SUM(B145:L145)&gt;0),SUMPRODUCT((((TRANSPOSE(Cls3CentDailyRng)&lt;INDEX(CDRANGE_CLS3,$A145-$A$128+1,AD$124))*TRANSPOSE(Cls3CentDailyRng)+(TRANSPOSE(Cls3CentDailyRng)&gt;INDEX(CDRANGE_CLS3,$A145-$A$128+1,AD$124))*INDEX(CDRANGE_CLS3,$A145-$A$128+1,AD$124))/TRANSPOSE(Cls3CentDailyRng)),B145:L145,TRANSPOSE(Cls3CentVMTShr))/SUMPRODUCT(B145:L145,TRANSPOSE(Cls3CentVMTShr)),0)</f>
        <v>0</v>
      </c>
      <c r="AC145" s="949">
        <f t="array" ref="AC145">IF(AND($AD$123=TRUE,SUM(O145:Y145)&gt;0),SUMPRODUCT((((TRANSPOSE(Cls3NCentDailyRng)&lt;INDEX(CDRANGE_CLS3,$A145-$A$128+1,AD$124))*TRANSPOSE(Cls3NCentDailyRng)+(TRANSPOSE(Cls3NCentDailyRng)&gt;INDEX(CDRANGE_CLS3,$A145-$A$128+1,AD$124))*INDEX(CDRANGE_CLS3,$A145-$A$128+1,AD$124))/TRANSPOSE(Cls3NCentDailyRng)),O145:Y145,TRANSPOSE(Cls3NCentVMTShr))/SUMPRODUCT(O145:Y145,TRANSPOSE(Cls3NCentVMTShr)),0)</f>
        <v>0</v>
      </c>
      <c r="AD145" s="1226">
        <f t="shared" si="94"/>
        <v>0</v>
      </c>
      <c r="AE145" s="1230">
        <f t="shared" si="97"/>
        <v>2.7438441974268556E-2</v>
      </c>
      <c r="AF145" s="1231">
        <f t="shared" si="98"/>
        <v>3.9616446125677336E-2</v>
      </c>
      <c r="AG145" s="1231">
        <f t="shared" si="99"/>
        <v>6.7054888099945892E-2</v>
      </c>
      <c r="AH145" s="1172">
        <f t="shared" si="95"/>
        <v>0.40919376277790992</v>
      </c>
      <c r="AI145" s="1232">
        <f t="shared" si="96"/>
        <v>0.59080623722209002</v>
      </c>
      <c r="AJ145" s="227"/>
      <c r="AK145" s="227"/>
      <c r="AL145" s="227"/>
      <c r="AM145" s="227"/>
    </row>
    <row r="146" spans="1:39" ht="15" thickBot="1" x14ac:dyDescent="0.25">
      <c r="A146" s="328">
        <v>2025</v>
      </c>
      <c r="B146" s="346">
        <v>2.495710909531201E-2</v>
      </c>
      <c r="C146" s="347">
        <v>3.9094236599609471E-2</v>
      </c>
      <c r="D146" s="347">
        <v>0.17324619073189534</v>
      </c>
      <c r="E146" s="347">
        <v>0.18571783981635356</v>
      </c>
      <c r="F146" s="347">
        <v>0.18283220733097089</v>
      </c>
      <c r="G146" s="347">
        <v>0.17752944836230206</v>
      </c>
      <c r="H146" s="347">
        <v>0.17457862759834106</v>
      </c>
      <c r="I146" s="347">
        <v>0.17413201588770952</v>
      </c>
      <c r="J146" s="347">
        <v>0.17080702596804848</v>
      </c>
      <c r="K146" s="347">
        <v>0.16908274168216397</v>
      </c>
      <c r="L146" s="381">
        <v>0.16908274168216397</v>
      </c>
      <c r="M146" s="310">
        <f t="shared" si="90"/>
        <v>3.8728974977637824E-2</v>
      </c>
      <c r="N146" s="312">
        <f t="shared" si="91"/>
        <v>2.3534760579226374E-2</v>
      </c>
      <c r="O146" s="346">
        <v>2.495710909531201E-2</v>
      </c>
      <c r="P146" s="347">
        <v>5.1671525603713526E-2</v>
      </c>
      <c r="Q146" s="347">
        <v>0.17786433822528794</v>
      </c>
      <c r="R146" s="347">
        <v>0.18610721119879559</v>
      </c>
      <c r="S146" s="347">
        <v>0.1778565102477655</v>
      </c>
      <c r="T146" s="347">
        <v>0.1749732730678806</v>
      </c>
      <c r="U146" s="347">
        <v>0.17457862759834106</v>
      </c>
      <c r="V146" s="347">
        <v>0.17173195514363987</v>
      </c>
      <c r="W146" s="347">
        <v>0.17066265688568732</v>
      </c>
      <c r="X146" s="347">
        <v>0.16908274168216397</v>
      </c>
      <c r="Y146" s="381">
        <v>0.16795050922554305</v>
      </c>
      <c r="Z146" s="310">
        <f t="shared" si="92"/>
        <v>5.5461428746714933E-2</v>
      </c>
      <c r="AA146" s="312">
        <f t="shared" si="93"/>
        <v>3.5438926425065152E-2</v>
      </c>
      <c r="AB146" s="948">
        <f t="array" ref="AB146">IF(AND($AD$123=TRUE,SUM(B146:L146)&gt;0),SUMPRODUCT((((TRANSPOSE(Cls3CentDailyRng)&lt;INDEX(CDRANGE_CLS3,$A146-$A$128+1,AD$124))*TRANSPOSE(Cls3CentDailyRng)+(TRANSPOSE(Cls3CentDailyRng)&gt;INDEX(CDRANGE_CLS3,$A146-$A$128+1,AD$124))*INDEX(CDRANGE_CLS3,$A146-$A$128+1,AD$124))/TRANSPOSE(Cls3CentDailyRng)),B146:L146,TRANSPOSE(Cls3CentVMTShr))/SUMPRODUCT(B146:L146,TRANSPOSE(Cls3CentVMTShr)),0)</f>
        <v>0</v>
      </c>
      <c r="AC146" s="949">
        <f t="array" ref="AC146">IF(AND($AD$123=TRUE,SUM(O146:Y146)&gt;0),SUMPRODUCT((((TRANSPOSE(Cls3NCentDailyRng)&lt;INDEX(CDRANGE_CLS3,$A146-$A$128+1,AD$124))*TRANSPOSE(Cls3NCentDailyRng)+(TRANSPOSE(Cls3NCentDailyRng)&gt;INDEX(CDRANGE_CLS3,$A146-$A$128+1,AD$124))*INDEX(CDRANGE_CLS3,$A146-$A$128+1,AD$124))/TRANSPOSE(Cls3NCentDailyRng)),O146:Y146,TRANSPOSE(Cls3NCentVMTShr))/SUMPRODUCT(O146:Y146,TRANSPOSE(Cls3NCentVMTShr)),0)</f>
        <v>0</v>
      </c>
      <c r="AD146" s="1226">
        <f t="shared" si="94"/>
        <v>0</v>
      </c>
      <c r="AE146" s="1230">
        <f t="shared" si="97"/>
        <v>3.8728974977637824E-2</v>
      </c>
      <c r="AF146" s="1231">
        <f t="shared" si="98"/>
        <v>5.5461428746714933E-2</v>
      </c>
      <c r="AG146" s="1231">
        <f t="shared" si="99"/>
        <v>9.419040372435275E-2</v>
      </c>
      <c r="AH146" s="1172">
        <f t="shared" si="95"/>
        <v>0.41117750265704106</v>
      </c>
      <c r="AI146" s="1232">
        <f t="shared" si="96"/>
        <v>0.58882249734295899</v>
      </c>
      <c r="AJ146" s="227"/>
      <c r="AK146" s="227"/>
      <c r="AL146" s="227"/>
      <c r="AM146" s="227"/>
    </row>
    <row r="147" spans="1:39" x14ac:dyDescent="0.2">
      <c r="A147" s="329">
        <v>2026</v>
      </c>
      <c r="B147" s="342">
        <v>2.5242419634509069E-2</v>
      </c>
      <c r="C147" s="343">
        <v>9.5463619457595614E-2</v>
      </c>
      <c r="D147" s="343">
        <v>0.23922898801964351</v>
      </c>
      <c r="E147" s="343">
        <v>0.26322072851153361</v>
      </c>
      <c r="F147" s="343">
        <v>0.25311435927985954</v>
      </c>
      <c r="G147" s="343">
        <v>0.25564580536010417</v>
      </c>
      <c r="H147" s="343">
        <v>0.25101906097783727</v>
      </c>
      <c r="I147" s="343">
        <v>0.25090365907868795</v>
      </c>
      <c r="J147" s="343">
        <v>0.24831298206751579</v>
      </c>
      <c r="K147" s="343">
        <v>0.24537669552713168</v>
      </c>
      <c r="L147" s="379">
        <v>0.24537669552713168</v>
      </c>
      <c r="M147" s="282">
        <f t="shared" si="90"/>
        <v>5.9554174962398669E-2</v>
      </c>
      <c r="N147" s="284">
        <f t="shared" si="91"/>
        <v>3.7007072685139808E-2</v>
      </c>
      <c r="O147" s="342">
        <v>2.5242419634509069E-2</v>
      </c>
      <c r="P147" s="343">
        <v>0.1201656091165391</v>
      </c>
      <c r="Q147" s="343">
        <v>0.25385791426991944</v>
      </c>
      <c r="R147" s="343">
        <v>0.2552411777385063</v>
      </c>
      <c r="S147" s="343">
        <v>0.25938346858659594</v>
      </c>
      <c r="T147" s="343">
        <v>0.25708379185402669</v>
      </c>
      <c r="U147" s="343">
        <v>0.25101906097783727</v>
      </c>
      <c r="V147" s="343">
        <v>0.24798970921456631</v>
      </c>
      <c r="W147" s="343">
        <v>0.24703154440542144</v>
      </c>
      <c r="X147" s="343">
        <v>0.24536562688219932</v>
      </c>
      <c r="Y147" s="379">
        <v>0.2442530088483634</v>
      </c>
      <c r="Z147" s="282">
        <f t="shared" si="92"/>
        <v>9.0150958571798695E-2</v>
      </c>
      <c r="AA147" s="284">
        <f t="shared" si="93"/>
        <v>5.9464226747881384E-2</v>
      </c>
      <c r="AB147" s="948">
        <f t="array" ref="AB147">IF(AND($AD$123=TRUE,SUM(B147:L147)&gt;0),SUMPRODUCT((((TRANSPOSE(Cls3CentDailyRng)&lt;INDEX(CDRANGE_CLS3,$A147-$A$128+1,AD$124))*TRANSPOSE(Cls3CentDailyRng)+(TRANSPOSE(Cls3CentDailyRng)&gt;INDEX(CDRANGE_CLS3,$A147-$A$128+1,AD$124))*INDEX(CDRANGE_CLS3,$A147-$A$128+1,AD$124))/TRANSPOSE(Cls3CentDailyRng)),B147:L147,TRANSPOSE(Cls3CentVMTShr))/SUMPRODUCT(B147:L147,TRANSPOSE(Cls3CentVMTShr)),0)</f>
        <v>0</v>
      </c>
      <c r="AC147" s="949">
        <f t="array" ref="AC147">IF(AND($AD$123=TRUE,SUM(O147:Y147)&gt;0),SUMPRODUCT((((TRANSPOSE(Cls3NCentDailyRng)&lt;INDEX(CDRANGE_CLS3,$A147-$A$128+1,AD$124))*TRANSPOSE(Cls3NCentDailyRng)+(TRANSPOSE(Cls3NCentDailyRng)&gt;INDEX(CDRANGE_CLS3,$A147-$A$128+1,AD$124))*INDEX(CDRANGE_CLS3,$A147-$A$128+1,AD$124))/TRANSPOSE(Cls3NCentDailyRng)),O147:Y147,TRANSPOSE(Cls3NCentVMTShr))/SUMPRODUCT(O147:Y147,TRANSPOSE(Cls3NCentVMTShr)),0)</f>
        <v>0</v>
      </c>
      <c r="AD147" s="1226">
        <f t="shared" si="94"/>
        <v>0</v>
      </c>
      <c r="AE147" s="1230">
        <f t="shared" si="97"/>
        <v>5.9554174962398669E-2</v>
      </c>
      <c r="AF147" s="1231">
        <f t="shared" si="98"/>
        <v>9.0150958571798695E-2</v>
      </c>
      <c r="AG147" s="1231">
        <f t="shared" si="99"/>
        <v>0.14970513353419737</v>
      </c>
      <c r="AH147" s="1172">
        <f t="shared" si="95"/>
        <v>0.39780983828984473</v>
      </c>
      <c r="AI147" s="1232">
        <f t="shared" si="96"/>
        <v>0.60219016171015516</v>
      </c>
      <c r="AJ147" s="227"/>
      <c r="AK147" s="227"/>
      <c r="AL147" s="227"/>
      <c r="AM147" s="227"/>
    </row>
    <row r="148" spans="1:39" x14ac:dyDescent="0.2">
      <c r="A148" s="330">
        <v>2027</v>
      </c>
      <c r="B148" s="344">
        <v>1.7077083656995701E-2</v>
      </c>
      <c r="C148" s="345">
        <v>0.17096258774956016</v>
      </c>
      <c r="D148" s="345">
        <v>0.28834259033402143</v>
      </c>
      <c r="E148" s="345">
        <v>0.30731596094158797</v>
      </c>
      <c r="F148" s="345">
        <v>0.30861983375247198</v>
      </c>
      <c r="G148" s="345">
        <v>0.30475218482394711</v>
      </c>
      <c r="H148" s="345">
        <v>0.30428823168284369</v>
      </c>
      <c r="I148" s="345">
        <v>0.30044390406375082</v>
      </c>
      <c r="J148" s="345">
        <v>0.29740555169204397</v>
      </c>
      <c r="K148" s="345">
        <v>0.29516141234800186</v>
      </c>
      <c r="L148" s="380">
        <v>0.29516141234800186</v>
      </c>
      <c r="M148" s="296">
        <f t="shared" si="90"/>
        <v>7.8846918852754466E-2</v>
      </c>
      <c r="N148" s="298">
        <f t="shared" si="91"/>
        <v>5.0167210033733124E-2</v>
      </c>
      <c r="O148" s="344">
        <v>1.7077083656995701E-2</v>
      </c>
      <c r="P148" s="345">
        <v>0.18001385872640133</v>
      </c>
      <c r="Q148" s="345">
        <v>0.30439664314766146</v>
      </c>
      <c r="R148" s="345">
        <v>0.3083125162425483</v>
      </c>
      <c r="S148" s="345">
        <v>0.30484820566206056</v>
      </c>
      <c r="T148" s="345">
        <v>0.3037353477130732</v>
      </c>
      <c r="U148" s="345">
        <v>0.30428823168284369</v>
      </c>
      <c r="V148" s="345">
        <v>0.29894986462669465</v>
      </c>
      <c r="W148" s="345">
        <v>0.29647927611379965</v>
      </c>
      <c r="X148" s="345">
        <v>0.29494793042553458</v>
      </c>
      <c r="Y148" s="380">
        <v>0.29141464857529148</v>
      </c>
      <c r="Z148" s="296">
        <f t="shared" si="92"/>
        <v>0.11636795268195378</v>
      </c>
      <c r="AA148" s="298">
        <f t="shared" si="93"/>
        <v>7.6927502226099551E-2</v>
      </c>
      <c r="AB148" s="948">
        <f t="array" ref="AB148">IF(AND($AD$123=TRUE,SUM(B148:L148)&gt;0),SUMPRODUCT((((TRANSPOSE(Cls3CentDailyRng)&lt;INDEX(CDRANGE_CLS3,$A148-$A$128+1,AD$124))*TRANSPOSE(Cls3CentDailyRng)+(TRANSPOSE(Cls3CentDailyRng)&gt;INDEX(CDRANGE_CLS3,$A148-$A$128+1,AD$124))*INDEX(CDRANGE_CLS3,$A148-$A$128+1,AD$124))/TRANSPOSE(Cls3CentDailyRng)),B148:L148,TRANSPOSE(Cls3CentVMTShr))/SUMPRODUCT(B148:L148,TRANSPOSE(Cls3CentVMTShr)),0)</f>
        <v>0</v>
      </c>
      <c r="AC148" s="949">
        <f t="array" ref="AC148">IF(AND($AD$123=TRUE,SUM(O148:Y148)&gt;0),SUMPRODUCT((((TRANSPOSE(Cls3NCentDailyRng)&lt;INDEX(CDRANGE_CLS3,$A148-$A$128+1,AD$124))*TRANSPOSE(Cls3NCentDailyRng)+(TRANSPOSE(Cls3NCentDailyRng)&gt;INDEX(CDRANGE_CLS3,$A148-$A$128+1,AD$124))*INDEX(CDRANGE_CLS3,$A148-$A$128+1,AD$124))/TRANSPOSE(Cls3NCentDailyRng)),O148:Y148,TRANSPOSE(Cls3NCentVMTShr))/SUMPRODUCT(O148:Y148,TRANSPOSE(Cls3NCentVMTShr)),0)</f>
        <v>0</v>
      </c>
      <c r="AD148" s="1226">
        <f t="shared" si="94"/>
        <v>0</v>
      </c>
      <c r="AE148" s="1230">
        <f t="shared" si="97"/>
        <v>7.8846918852754466E-2</v>
      </c>
      <c r="AF148" s="1231">
        <f t="shared" si="98"/>
        <v>0.11636795268195378</v>
      </c>
      <c r="AG148" s="1231">
        <f t="shared" si="99"/>
        <v>0.19521487153470823</v>
      </c>
      <c r="AH148" s="1172">
        <f t="shared" si="95"/>
        <v>0.40389811612654664</v>
      </c>
      <c r="AI148" s="1232">
        <f t="shared" si="96"/>
        <v>0.59610188387345342</v>
      </c>
      <c r="AJ148" s="227"/>
      <c r="AK148" s="227"/>
      <c r="AL148" s="227"/>
      <c r="AM148" s="227"/>
    </row>
    <row r="149" spans="1:39" x14ac:dyDescent="0.2">
      <c r="A149" s="330">
        <v>2028</v>
      </c>
      <c r="B149" s="344">
        <v>1.0807366166846532E-2</v>
      </c>
      <c r="C149" s="345">
        <v>0.20216033207230841</v>
      </c>
      <c r="D149" s="345">
        <v>0.30615000414804638</v>
      </c>
      <c r="E149" s="345">
        <v>0.33320929186558929</v>
      </c>
      <c r="F149" s="345">
        <v>0.32587622294621549</v>
      </c>
      <c r="G149" s="345">
        <v>0.32824815178102634</v>
      </c>
      <c r="H149" s="345">
        <v>0.32468716087025573</v>
      </c>
      <c r="I149" s="345">
        <v>0.32303048547675811</v>
      </c>
      <c r="J149" s="345">
        <v>0.31994572021097578</v>
      </c>
      <c r="K149" s="345">
        <v>0.31445558854275751</v>
      </c>
      <c r="L149" s="380">
        <v>0.31445558854275751</v>
      </c>
      <c r="M149" s="296">
        <f t="shared" si="90"/>
        <v>8.6583760946786464E-2</v>
      </c>
      <c r="N149" s="298">
        <f t="shared" si="91"/>
        <v>5.5093174121125646E-2</v>
      </c>
      <c r="O149" s="344">
        <v>1.0807366166846532E-2</v>
      </c>
      <c r="P149" s="345">
        <v>0.21025775362300952</v>
      </c>
      <c r="Q149" s="345">
        <v>0.32709662231613501</v>
      </c>
      <c r="R149" s="345">
        <v>0.3381402830215271</v>
      </c>
      <c r="S149" s="345">
        <v>0.32935185968143932</v>
      </c>
      <c r="T149" s="345">
        <v>0.32932077061541448</v>
      </c>
      <c r="U149" s="345">
        <v>0.32468716087025573</v>
      </c>
      <c r="V149" s="345">
        <v>0.32103489844914451</v>
      </c>
      <c r="W149" s="345">
        <v>0.31696228724709308</v>
      </c>
      <c r="X149" s="345">
        <v>0.3143118106077894</v>
      </c>
      <c r="Y149" s="380">
        <v>0.30501154510130274</v>
      </c>
      <c r="Z149" s="296">
        <f t="shared" si="92"/>
        <v>0.12912257814218672</v>
      </c>
      <c r="AA149" s="298">
        <f t="shared" si="93"/>
        <v>8.5070623183800043E-2</v>
      </c>
      <c r="AB149" s="948">
        <f t="array" ref="AB149">IF(AND($AD$123=TRUE,SUM(B149:L149)&gt;0),SUMPRODUCT((((TRANSPOSE(Cls3CentDailyRng)&lt;INDEX(CDRANGE_CLS3,$A149-$A$128+1,AD$124))*TRANSPOSE(Cls3CentDailyRng)+(TRANSPOSE(Cls3CentDailyRng)&gt;INDEX(CDRANGE_CLS3,$A149-$A$128+1,AD$124))*INDEX(CDRANGE_CLS3,$A149-$A$128+1,AD$124))/TRANSPOSE(Cls3CentDailyRng)),B149:L149,TRANSPOSE(Cls3CentVMTShr))/SUMPRODUCT(B149:L149,TRANSPOSE(Cls3CentVMTShr)),0)</f>
        <v>0</v>
      </c>
      <c r="AC149" s="949">
        <f t="array" ref="AC149">IF(AND($AD$123=TRUE,SUM(O149:Y149)&gt;0),SUMPRODUCT((((TRANSPOSE(Cls3NCentDailyRng)&lt;INDEX(CDRANGE_CLS3,$A149-$A$128+1,AD$124))*TRANSPOSE(Cls3NCentDailyRng)+(TRANSPOSE(Cls3NCentDailyRng)&gt;INDEX(CDRANGE_CLS3,$A149-$A$128+1,AD$124))*INDEX(CDRANGE_CLS3,$A149-$A$128+1,AD$124))/TRANSPOSE(Cls3NCentDailyRng)),O149:Y149,TRANSPOSE(Cls3NCentVMTShr))/SUMPRODUCT(O149:Y149,TRANSPOSE(Cls3NCentVMTShr)),0)</f>
        <v>0</v>
      </c>
      <c r="AD149" s="1226">
        <f t="shared" si="94"/>
        <v>0</v>
      </c>
      <c r="AE149" s="1230">
        <f t="shared" si="97"/>
        <v>8.6583760946786464E-2</v>
      </c>
      <c r="AF149" s="1231">
        <f t="shared" si="98"/>
        <v>0.12912257814218672</v>
      </c>
      <c r="AG149" s="1231">
        <f t="shared" si="99"/>
        <v>0.21570633908897319</v>
      </c>
      <c r="AH149" s="1172">
        <f t="shared" si="95"/>
        <v>0.40139646017112618</v>
      </c>
      <c r="AI149" s="1232">
        <f t="shared" si="96"/>
        <v>0.59860353982887382</v>
      </c>
      <c r="AJ149" s="227"/>
      <c r="AK149" s="227"/>
      <c r="AL149" s="227"/>
      <c r="AM149" s="227"/>
    </row>
    <row r="150" spans="1:39" x14ac:dyDescent="0.2">
      <c r="A150" s="330">
        <v>2029</v>
      </c>
      <c r="B150" s="344">
        <v>4.492807556593848E-3</v>
      </c>
      <c r="C150" s="345">
        <v>0.2146707478864904</v>
      </c>
      <c r="D150" s="345">
        <v>0.31461002486616091</v>
      </c>
      <c r="E150" s="345">
        <v>0.33382458893016742</v>
      </c>
      <c r="F150" s="345">
        <v>0.34266436277667806</v>
      </c>
      <c r="G150" s="345">
        <v>0.33814810953555396</v>
      </c>
      <c r="H150" s="345">
        <v>0.33214854925609061</v>
      </c>
      <c r="I150" s="345">
        <v>0.3297158597418291</v>
      </c>
      <c r="J150" s="345">
        <v>0.32403393924621837</v>
      </c>
      <c r="K150" s="345">
        <v>0.31424527447192396</v>
      </c>
      <c r="L150" s="380">
        <v>0.31424527447192396</v>
      </c>
      <c r="M150" s="296">
        <f t="shared" si="90"/>
        <v>8.9245399666607383E-2</v>
      </c>
      <c r="N150" s="298">
        <f t="shared" si="91"/>
        <v>5.639668451982402E-2</v>
      </c>
      <c r="O150" s="344">
        <v>4.492807556593848E-3</v>
      </c>
      <c r="P150" s="345">
        <v>0.22192161194738289</v>
      </c>
      <c r="Q150" s="345">
        <v>0.31355481654777623</v>
      </c>
      <c r="R150" s="345">
        <v>0.33929263521430814</v>
      </c>
      <c r="S150" s="345">
        <v>0.33562679773650922</v>
      </c>
      <c r="T150" s="345">
        <v>0.33925186695736087</v>
      </c>
      <c r="U150" s="345">
        <v>0.33179195488766156</v>
      </c>
      <c r="V150" s="345">
        <v>0.32721908236156844</v>
      </c>
      <c r="W150" s="345">
        <v>0.31864274081564425</v>
      </c>
      <c r="X150" s="345">
        <v>0.31165524615985363</v>
      </c>
      <c r="Y150" s="380">
        <v>0.30009631595370956</v>
      </c>
      <c r="Z150" s="296">
        <f t="shared" si="92"/>
        <v>0.13096044235632603</v>
      </c>
      <c r="AA150" s="298">
        <f t="shared" si="93"/>
        <v>8.5840012992831255E-2</v>
      </c>
      <c r="AB150" s="948">
        <f t="array" ref="AB150">IF(AND($AD$123=TRUE,SUM(B150:L150)&gt;0),SUMPRODUCT((((TRANSPOSE(Cls3CentDailyRng)&lt;INDEX(CDRANGE_CLS3,$A150-$A$128+1,AD$124))*TRANSPOSE(Cls3CentDailyRng)+(TRANSPOSE(Cls3CentDailyRng)&gt;INDEX(CDRANGE_CLS3,$A150-$A$128+1,AD$124))*INDEX(CDRANGE_CLS3,$A150-$A$128+1,AD$124))/TRANSPOSE(Cls3CentDailyRng)),B150:L150,TRANSPOSE(Cls3CentVMTShr))/SUMPRODUCT(B150:L150,TRANSPOSE(Cls3CentVMTShr)),0)</f>
        <v>0</v>
      </c>
      <c r="AC150" s="949">
        <f t="array" ref="AC150">IF(AND($AD$123=TRUE,SUM(O150:Y150)&gt;0),SUMPRODUCT((((TRANSPOSE(Cls3NCentDailyRng)&lt;INDEX(CDRANGE_CLS3,$A150-$A$128+1,AD$124))*TRANSPOSE(Cls3NCentDailyRng)+(TRANSPOSE(Cls3NCentDailyRng)&gt;INDEX(CDRANGE_CLS3,$A150-$A$128+1,AD$124))*INDEX(CDRANGE_CLS3,$A150-$A$128+1,AD$124))/TRANSPOSE(Cls3NCentDailyRng)),O150:Y150,TRANSPOSE(Cls3NCentVMTShr))/SUMPRODUCT(O150:Y150,TRANSPOSE(Cls3NCentVMTShr)),0)</f>
        <v>0</v>
      </c>
      <c r="AD150" s="1226">
        <f t="shared" si="94"/>
        <v>0</v>
      </c>
      <c r="AE150" s="1230">
        <f t="shared" si="97"/>
        <v>8.9245399666607383E-2</v>
      </c>
      <c r="AF150" s="1231">
        <f t="shared" si="98"/>
        <v>0.13096044235632603</v>
      </c>
      <c r="AG150" s="1231">
        <f t="shared" si="99"/>
        <v>0.22020584202293342</v>
      </c>
      <c r="AH150" s="1172">
        <f t="shared" si="95"/>
        <v>0.40528170754576481</v>
      </c>
      <c r="AI150" s="1232">
        <f t="shared" si="96"/>
        <v>0.59471829245423524</v>
      </c>
      <c r="AJ150" s="227"/>
      <c r="AK150" s="227"/>
      <c r="AL150" s="227"/>
      <c r="AM150" s="227"/>
    </row>
    <row r="151" spans="1:39" ht="15" thickBot="1" x14ac:dyDescent="0.25">
      <c r="A151" s="328">
        <v>2030</v>
      </c>
      <c r="B151" s="346">
        <v>1.9319201936431675E-4</v>
      </c>
      <c r="C151" s="347">
        <v>0.21618920809796313</v>
      </c>
      <c r="D151" s="347">
        <v>0.32306171018329766</v>
      </c>
      <c r="E151" s="347">
        <v>0.34295804551542036</v>
      </c>
      <c r="F151" s="347">
        <v>0.33924366481512863</v>
      </c>
      <c r="G151" s="347">
        <v>0.33600381590327477</v>
      </c>
      <c r="H151" s="347">
        <v>0.33023318838451543</v>
      </c>
      <c r="I151" s="347">
        <v>0.32523242146633485</v>
      </c>
      <c r="J151" s="347">
        <v>0.31445893225336352</v>
      </c>
      <c r="K151" s="347">
        <v>0.30101353021996602</v>
      </c>
      <c r="L151" s="381">
        <v>0.30101353021996602</v>
      </c>
      <c r="M151" s="310">
        <f t="shared" si="90"/>
        <v>9.0170355843829708E-2</v>
      </c>
      <c r="N151" s="312">
        <f t="shared" si="91"/>
        <v>5.6456860573250146E-2</v>
      </c>
      <c r="O151" s="346">
        <v>0</v>
      </c>
      <c r="P151" s="347">
        <v>0.22505111799182254</v>
      </c>
      <c r="Q151" s="347">
        <v>0.32145957151522137</v>
      </c>
      <c r="R151" s="347">
        <v>0.33450353261303994</v>
      </c>
      <c r="S151" s="347">
        <v>0.3328659176184689</v>
      </c>
      <c r="T151" s="347">
        <v>0.33705700358804608</v>
      </c>
      <c r="U151" s="347">
        <v>0.3284183179547398</v>
      </c>
      <c r="V151" s="347">
        <v>0.31594007546134478</v>
      </c>
      <c r="W151" s="347">
        <v>0.30488547961304979</v>
      </c>
      <c r="X151" s="347">
        <v>0.29900097131949271</v>
      </c>
      <c r="Y151" s="381">
        <v>0.28824612291750851</v>
      </c>
      <c r="Z151" s="310">
        <f t="shared" si="92"/>
        <v>0.13123720384247037</v>
      </c>
      <c r="AA151" s="312">
        <f t="shared" si="93"/>
        <v>8.5588138421378926E-2</v>
      </c>
      <c r="AB151" s="948">
        <f t="array" ref="AB151">IF(AND($AD$123=TRUE,SUM(B151:L151)&gt;0),SUMPRODUCT((((TRANSPOSE(Cls3CentDailyRng)&lt;INDEX(CDRANGE_CLS3,$A151-$A$128+1,AD$124))*TRANSPOSE(Cls3CentDailyRng)+(TRANSPOSE(Cls3CentDailyRng)&gt;INDEX(CDRANGE_CLS3,$A151-$A$128+1,AD$124))*INDEX(CDRANGE_CLS3,$A151-$A$128+1,AD$124))/TRANSPOSE(Cls3CentDailyRng)),B151:L151,TRANSPOSE(Cls3CentVMTShr))/SUMPRODUCT(B151:L151,TRANSPOSE(Cls3CentVMTShr)),0)</f>
        <v>0</v>
      </c>
      <c r="AC151" s="949">
        <f t="array" ref="AC151">IF(AND($AD$123=TRUE,SUM(O151:Y151)&gt;0),SUMPRODUCT((((TRANSPOSE(Cls3NCentDailyRng)&lt;INDEX(CDRANGE_CLS3,$A151-$A$128+1,AD$124))*TRANSPOSE(Cls3NCentDailyRng)+(TRANSPOSE(Cls3NCentDailyRng)&gt;INDEX(CDRANGE_CLS3,$A151-$A$128+1,AD$124))*INDEX(CDRANGE_CLS3,$A151-$A$128+1,AD$124))/TRANSPOSE(Cls3NCentDailyRng)),O151:Y151,TRANSPOSE(Cls3NCentVMTShr))/SUMPRODUCT(O151:Y151,TRANSPOSE(Cls3NCentVMTShr)),0)</f>
        <v>0</v>
      </c>
      <c r="AD151" s="1226">
        <f t="shared" si="94"/>
        <v>0</v>
      </c>
      <c r="AE151" s="1230">
        <f t="shared" si="97"/>
        <v>9.0170355843829708E-2</v>
      </c>
      <c r="AF151" s="1231">
        <f t="shared" si="98"/>
        <v>0.13123720384247037</v>
      </c>
      <c r="AG151" s="1231">
        <f t="shared" si="99"/>
        <v>0.22140755968630008</v>
      </c>
      <c r="AH151" s="1172">
        <f t="shared" si="95"/>
        <v>0.40725960744785328</v>
      </c>
      <c r="AI151" s="1232">
        <f t="shared" si="96"/>
        <v>0.59274039255214672</v>
      </c>
      <c r="AJ151" s="227"/>
      <c r="AK151" s="227"/>
      <c r="AL151" s="227"/>
      <c r="AM151" s="227"/>
    </row>
    <row r="152" spans="1:39" x14ac:dyDescent="0.2">
      <c r="A152" s="329">
        <v>2031</v>
      </c>
      <c r="B152" s="342">
        <v>2.3544368576747604E-4</v>
      </c>
      <c r="C152" s="343">
        <v>0.21454819139874115</v>
      </c>
      <c r="D152" s="343">
        <v>0.32455290948093696</v>
      </c>
      <c r="E152" s="343">
        <v>0.34456498158579513</v>
      </c>
      <c r="F152" s="343">
        <v>0.34084303553158729</v>
      </c>
      <c r="G152" s="343">
        <v>0.33718157671060045</v>
      </c>
      <c r="H152" s="343">
        <v>0.32527338308963671</v>
      </c>
      <c r="I152" s="343">
        <v>0.3173894566702527</v>
      </c>
      <c r="J152" s="343">
        <v>0.3065199567148269</v>
      </c>
      <c r="K152" s="343">
        <v>0.29300404577914152</v>
      </c>
      <c r="L152" s="379">
        <v>0.29300404577914152</v>
      </c>
      <c r="M152" s="282">
        <f t="shared" si="90"/>
        <v>9.0063213327531061E-2</v>
      </c>
      <c r="N152" s="284">
        <f t="shared" si="91"/>
        <v>5.6327341105172062E-2</v>
      </c>
      <c r="O152" s="342">
        <v>0</v>
      </c>
      <c r="P152" s="343">
        <v>0.22016971653035614</v>
      </c>
      <c r="Q152" s="343">
        <v>0.32294900301488216</v>
      </c>
      <c r="R152" s="343">
        <v>0.33607374017387992</v>
      </c>
      <c r="S152" s="343">
        <v>0.34323324752637757</v>
      </c>
      <c r="T152" s="343">
        <v>0.33621474176626404</v>
      </c>
      <c r="U152" s="343">
        <v>0.32292363310616429</v>
      </c>
      <c r="V152" s="343">
        <v>0.30843983824038673</v>
      </c>
      <c r="W152" s="343">
        <v>0.29732527917207008</v>
      </c>
      <c r="X152" s="343">
        <v>0.29082110123355648</v>
      </c>
      <c r="Y152" s="379">
        <v>0.28194838971595182</v>
      </c>
      <c r="Z152" s="282">
        <f t="shared" si="92"/>
        <v>0.12999975693794996</v>
      </c>
      <c r="AA152" s="284">
        <f t="shared" si="93"/>
        <v>8.4437179101287202E-2</v>
      </c>
      <c r="AB152" s="948">
        <f t="array" ref="AB152">IF(AND($AD$123=TRUE,SUM(B152:L152)&gt;0),SUMPRODUCT((((TRANSPOSE(Cls3CentDailyRng)&lt;INDEX(CDRANGE_CLS3,$A152-$A$128+1,AD$124))*TRANSPOSE(Cls3CentDailyRng)+(TRANSPOSE(Cls3CentDailyRng)&gt;INDEX(CDRANGE_CLS3,$A152-$A$128+1,AD$124))*INDEX(CDRANGE_CLS3,$A152-$A$128+1,AD$124))/TRANSPOSE(Cls3CentDailyRng)),B152:L152,TRANSPOSE(Cls3CentVMTShr))/SUMPRODUCT(B152:L152,TRANSPOSE(Cls3CentVMTShr)),0)</f>
        <v>0</v>
      </c>
      <c r="AC152" s="949">
        <f t="array" ref="AC152">IF(AND($AD$123=TRUE,SUM(O152:Y152)&gt;0),SUMPRODUCT((((TRANSPOSE(Cls3NCentDailyRng)&lt;INDEX(CDRANGE_CLS3,$A152-$A$128+1,AD$124))*TRANSPOSE(Cls3NCentDailyRng)+(TRANSPOSE(Cls3NCentDailyRng)&gt;INDEX(CDRANGE_CLS3,$A152-$A$128+1,AD$124))*INDEX(CDRANGE_CLS3,$A152-$A$128+1,AD$124))/TRANSPOSE(Cls3NCentDailyRng)),O152:Y152,TRANSPOSE(Cls3NCentVMTShr))/SUMPRODUCT(O152:Y152,TRANSPOSE(Cls3NCentVMTShr)),0)</f>
        <v>0</v>
      </c>
      <c r="AD152" s="1226">
        <f t="shared" si="94"/>
        <v>0</v>
      </c>
      <c r="AE152" s="1230">
        <f t="shared" si="97"/>
        <v>9.0063213327531061E-2</v>
      </c>
      <c r="AF152" s="1231">
        <f t="shared" si="98"/>
        <v>0.12999975693794996</v>
      </c>
      <c r="AG152" s="1231">
        <f t="shared" si="99"/>
        <v>0.22006297026548102</v>
      </c>
      <c r="AH152" s="1172">
        <f t="shared" si="95"/>
        <v>0.40926110021545198</v>
      </c>
      <c r="AI152" s="1232">
        <f t="shared" si="96"/>
        <v>0.59073889978454797</v>
      </c>
      <c r="AJ152" s="227"/>
      <c r="AK152" s="227"/>
      <c r="AL152" s="227"/>
      <c r="AM152" s="227"/>
    </row>
    <row r="153" spans="1:39" x14ac:dyDescent="0.2">
      <c r="A153" s="330">
        <v>2032</v>
      </c>
      <c r="B153" s="344">
        <v>2.3581225936947881E-4</v>
      </c>
      <c r="C153" s="345">
        <v>0.21491894929074154</v>
      </c>
      <c r="D153" s="345">
        <v>0.32518296383986939</v>
      </c>
      <c r="E153" s="345">
        <v>0.34525847490641254</v>
      </c>
      <c r="F153" s="345">
        <v>0.34143267924119131</v>
      </c>
      <c r="G153" s="345">
        <v>0.33632740314005372</v>
      </c>
      <c r="H153" s="345">
        <v>0.31889609299519139</v>
      </c>
      <c r="I153" s="345">
        <v>0.31025099716875676</v>
      </c>
      <c r="J153" s="345">
        <v>0.29788600379987362</v>
      </c>
      <c r="K153" s="345">
        <v>0.28580517104903336</v>
      </c>
      <c r="L153" s="380">
        <v>0.28580517104903336</v>
      </c>
      <c r="M153" s="296">
        <f t="shared" si="90"/>
        <v>9.0097489629832217E-2</v>
      </c>
      <c r="N153" s="298">
        <f t="shared" si="91"/>
        <v>5.6405102920906891E-2</v>
      </c>
      <c r="O153" s="344">
        <v>0</v>
      </c>
      <c r="P153" s="345">
        <v>0.24430420215331045</v>
      </c>
      <c r="Q153" s="345">
        <v>0.32358173320882166</v>
      </c>
      <c r="R153" s="345">
        <v>0.33259896373316938</v>
      </c>
      <c r="S153" s="345">
        <v>0.34309413503977521</v>
      </c>
      <c r="T153" s="345">
        <v>0.33249518455399601</v>
      </c>
      <c r="U153" s="345">
        <v>0.31554986761346754</v>
      </c>
      <c r="V153" s="345">
        <v>0.3000752315079861</v>
      </c>
      <c r="W153" s="345">
        <v>0.28803089852465452</v>
      </c>
      <c r="X153" s="345">
        <v>0.28360445518564642</v>
      </c>
      <c r="Y153" s="380">
        <v>0.27506353736213246</v>
      </c>
      <c r="Z153" s="296">
        <f t="shared" si="92"/>
        <v>0.13595443709378324</v>
      </c>
      <c r="AA153" s="298">
        <f t="shared" si="93"/>
        <v>9.0489321682418258E-2</v>
      </c>
      <c r="AB153" s="948">
        <f t="array" ref="AB153">IF(AND($AD$123=TRUE,SUM(B153:L153)&gt;0),SUMPRODUCT((((TRANSPOSE(Cls3CentDailyRng)&lt;INDEX(CDRANGE_CLS3,$A153-$A$128+1,AD$124))*TRANSPOSE(Cls3CentDailyRng)+(TRANSPOSE(Cls3CentDailyRng)&gt;INDEX(CDRANGE_CLS3,$A153-$A$128+1,AD$124))*INDEX(CDRANGE_CLS3,$A153-$A$128+1,AD$124))/TRANSPOSE(Cls3CentDailyRng)),B153:L153,TRANSPOSE(Cls3CentVMTShr))/SUMPRODUCT(B153:L153,TRANSPOSE(Cls3CentVMTShr)),0)</f>
        <v>0</v>
      </c>
      <c r="AC153" s="949">
        <f t="array" ref="AC153">IF(AND($AD$123=TRUE,SUM(O153:Y153)&gt;0),SUMPRODUCT((((TRANSPOSE(Cls3NCentDailyRng)&lt;INDEX(CDRANGE_CLS3,$A153-$A$128+1,AD$124))*TRANSPOSE(Cls3NCentDailyRng)+(TRANSPOSE(Cls3NCentDailyRng)&gt;INDEX(CDRANGE_CLS3,$A153-$A$128+1,AD$124))*INDEX(CDRANGE_CLS3,$A153-$A$128+1,AD$124))/TRANSPOSE(Cls3NCentDailyRng)),O153:Y153,TRANSPOSE(Cls3NCentVMTShr))/SUMPRODUCT(O153:Y153,TRANSPOSE(Cls3NCentVMTShr)),0)</f>
        <v>0</v>
      </c>
      <c r="AD153" s="1226">
        <f t="shared" si="94"/>
        <v>0</v>
      </c>
      <c r="AE153" s="1230">
        <f t="shared" si="97"/>
        <v>9.0097489629832217E-2</v>
      </c>
      <c r="AF153" s="1231">
        <f t="shared" si="98"/>
        <v>0.13595443709378324</v>
      </c>
      <c r="AG153" s="1231">
        <f t="shared" si="99"/>
        <v>0.22605192672361546</v>
      </c>
      <c r="AH153" s="1172">
        <f t="shared" si="95"/>
        <v>0.39856988142370831</v>
      </c>
      <c r="AI153" s="1232">
        <f t="shared" si="96"/>
        <v>0.60143011857629169</v>
      </c>
      <c r="AJ153" s="227"/>
      <c r="AK153" s="227"/>
      <c r="AL153" s="227"/>
      <c r="AM153" s="227"/>
    </row>
    <row r="154" spans="1:39" x14ac:dyDescent="0.2">
      <c r="A154" s="330">
        <v>2033</v>
      </c>
      <c r="B154" s="344">
        <v>3.4542547898983673E-4</v>
      </c>
      <c r="C154" s="345">
        <v>0.2296337671436865</v>
      </c>
      <c r="D154" s="345">
        <v>0.31934543306983804</v>
      </c>
      <c r="E154" s="345">
        <v>0.34114759946002243</v>
      </c>
      <c r="F154" s="345">
        <v>0.34084179345885746</v>
      </c>
      <c r="G154" s="345">
        <v>0.33835974423548643</v>
      </c>
      <c r="H154" s="345">
        <v>0.30927151620551258</v>
      </c>
      <c r="I154" s="345">
        <v>0.29829764809502124</v>
      </c>
      <c r="J154" s="345">
        <v>0.28806779728328397</v>
      </c>
      <c r="K154" s="345">
        <v>0.27829916508354724</v>
      </c>
      <c r="L154" s="380">
        <v>0.27829916508354724</v>
      </c>
      <c r="M154" s="296">
        <f t="shared" si="90"/>
        <v>9.1432697464762458E-2</v>
      </c>
      <c r="N154" s="298">
        <f t="shared" si="91"/>
        <v>5.8100472093868961E-2</v>
      </c>
      <c r="O154" s="344">
        <v>1.9442851345137822E-4</v>
      </c>
      <c r="P154" s="345">
        <v>0.23504270436371702</v>
      </c>
      <c r="Q154" s="345">
        <v>0.32389875410101199</v>
      </c>
      <c r="R154" s="345">
        <v>0.34556894213659917</v>
      </c>
      <c r="S154" s="345">
        <v>0.34040375816432666</v>
      </c>
      <c r="T154" s="345">
        <v>0.32451594031445907</v>
      </c>
      <c r="U154" s="345">
        <v>0.30569672657016922</v>
      </c>
      <c r="V154" s="345">
        <v>0.29037137848758432</v>
      </c>
      <c r="W154" s="345">
        <v>0.28045615315401723</v>
      </c>
      <c r="X154" s="345">
        <v>0.27620787535439162</v>
      </c>
      <c r="Y154" s="380">
        <v>0.27022602055234518</v>
      </c>
      <c r="Z154" s="296">
        <f t="shared" si="92"/>
        <v>0.13371915658308425</v>
      </c>
      <c r="AA154" s="298">
        <f t="shared" si="93"/>
        <v>8.836287523586181E-2</v>
      </c>
      <c r="AB154" s="948">
        <f t="array" ref="AB154">IF(AND($AD$123=TRUE,SUM(B154:L154)&gt;0),SUMPRODUCT((((TRANSPOSE(Cls3CentDailyRng)&lt;INDEX(CDRANGE_CLS3,$A154-$A$128+1,AD$124))*TRANSPOSE(Cls3CentDailyRng)+(TRANSPOSE(Cls3CentDailyRng)&gt;INDEX(CDRANGE_CLS3,$A154-$A$128+1,AD$124))*INDEX(CDRANGE_CLS3,$A154-$A$128+1,AD$124))/TRANSPOSE(Cls3CentDailyRng)),B154:L154,TRANSPOSE(Cls3CentVMTShr))/SUMPRODUCT(B154:L154,TRANSPOSE(Cls3CentVMTShr)),0)</f>
        <v>0</v>
      </c>
      <c r="AC154" s="949">
        <f t="array" ref="AC154">IF(AND($AD$123=TRUE,SUM(O154:Y154)&gt;0),SUMPRODUCT((((TRANSPOSE(Cls3NCentDailyRng)&lt;INDEX(CDRANGE_CLS3,$A154-$A$128+1,AD$124))*TRANSPOSE(Cls3NCentDailyRng)+(TRANSPOSE(Cls3NCentDailyRng)&gt;INDEX(CDRANGE_CLS3,$A154-$A$128+1,AD$124))*INDEX(CDRANGE_CLS3,$A154-$A$128+1,AD$124))/TRANSPOSE(Cls3NCentDailyRng)),O154:Y154,TRANSPOSE(Cls3NCentVMTShr))/SUMPRODUCT(O154:Y154,TRANSPOSE(Cls3NCentVMTShr)),0)</f>
        <v>0</v>
      </c>
      <c r="AD154" s="1226">
        <f>AB154*AH154+AC154*AI154</f>
        <v>0</v>
      </c>
      <c r="AE154" s="1230">
        <f t="shared" si="97"/>
        <v>9.1432697464762458E-2</v>
      </c>
      <c r="AF154" s="1231">
        <f t="shared" si="98"/>
        <v>0.13371915658308425</v>
      </c>
      <c r="AG154" s="1231">
        <f t="shared" si="99"/>
        <v>0.22515185404784671</v>
      </c>
      <c r="AH154" s="1172">
        <f t="shared" si="95"/>
        <v>0.40609346901195059</v>
      </c>
      <c r="AI154" s="1232">
        <f t="shared" si="96"/>
        <v>0.59390653098804946</v>
      </c>
      <c r="AJ154" s="227"/>
      <c r="AK154" s="227"/>
      <c r="AL154" s="227"/>
      <c r="AM154" s="227"/>
    </row>
    <row r="155" spans="1:39" x14ac:dyDescent="0.2">
      <c r="A155" s="330">
        <v>2034</v>
      </c>
      <c r="B155" s="344">
        <v>4.1679565126184022E-4</v>
      </c>
      <c r="C155" s="345">
        <v>0.22972289707582189</v>
      </c>
      <c r="D155" s="345">
        <v>0.31424234131848872</v>
      </c>
      <c r="E155" s="345">
        <v>0.33726770355287594</v>
      </c>
      <c r="F155" s="345">
        <v>0.33839439373444347</v>
      </c>
      <c r="G155" s="345">
        <v>0.33187210316796112</v>
      </c>
      <c r="H155" s="345">
        <v>0.29967771258803144</v>
      </c>
      <c r="I155" s="345">
        <v>0.29051798204217333</v>
      </c>
      <c r="J155" s="345">
        <v>0.28026108590259174</v>
      </c>
      <c r="K155" s="345">
        <v>0.27305396973922441</v>
      </c>
      <c r="L155" s="380">
        <v>0.27305396973922441</v>
      </c>
      <c r="M155" s="296">
        <f t="shared" si="90"/>
        <v>9.0605085880864855E-2</v>
      </c>
      <c r="N155" s="298">
        <f t="shared" si="91"/>
        <v>5.7749308763575646E-2</v>
      </c>
      <c r="O155" s="344">
        <v>2.3599816782839795E-4</v>
      </c>
      <c r="P155" s="345">
        <v>0.23513856376103281</v>
      </c>
      <c r="Q155" s="345">
        <v>0.33320954259792529</v>
      </c>
      <c r="R155" s="345">
        <v>0.34481661977874284</v>
      </c>
      <c r="S155" s="345">
        <v>0.33422293015240218</v>
      </c>
      <c r="T155" s="345">
        <v>0.31345889674731992</v>
      </c>
      <c r="U155" s="345">
        <v>0.2959600745104643</v>
      </c>
      <c r="V155" s="345">
        <v>0.28252753009945863</v>
      </c>
      <c r="W155" s="345">
        <v>0.27510341007432643</v>
      </c>
      <c r="X155" s="345">
        <v>0.27109918908606151</v>
      </c>
      <c r="Y155" s="380">
        <v>0.26571002469645538</v>
      </c>
      <c r="Z155" s="296">
        <f t="shared" si="92"/>
        <v>0.13388455783835079</v>
      </c>
      <c r="AA155" s="298">
        <f t="shared" si="93"/>
        <v>8.8680286237083253E-2</v>
      </c>
      <c r="AB155" s="948">
        <f t="array" ref="AB155">IF(AND($AD$123=TRUE,SUM(B155:L155)&gt;0),SUMPRODUCT((((TRANSPOSE(Cls3CentDailyRng)&lt;INDEX(CDRANGE_CLS3,$A155-$A$128+1,AD$124))*TRANSPOSE(Cls3CentDailyRng)+(TRANSPOSE(Cls3CentDailyRng)&gt;INDEX(CDRANGE_CLS3,$A155-$A$128+1,AD$124))*INDEX(CDRANGE_CLS3,$A155-$A$128+1,AD$124))/TRANSPOSE(Cls3CentDailyRng)),B155:L155,TRANSPOSE(Cls3CentVMTShr))/SUMPRODUCT(B155:L155,TRANSPOSE(Cls3CentVMTShr)),0)</f>
        <v>0</v>
      </c>
      <c r="AC155" s="949">
        <f t="array" ref="AC155">IF(AND($AD$123=TRUE,SUM(O155:Y155)&gt;0),SUMPRODUCT((((TRANSPOSE(Cls3NCentDailyRng)&lt;INDEX(CDRANGE_CLS3,$A155-$A$128+1,AD$124))*TRANSPOSE(Cls3NCentDailyRng)+(TRANSPOSE(Cls3NCentDailyRng)&gt;INDEX(CDRANGE_CLS3,$A155-$A$128+1,AD$124))*INDEX(CDRANGE_CLS3,$A155-$A$128+1,AD$124))/TRANSPOSE(Cls3NCentDailyRng)),O155:Y155,TRANSPOSE(Cls3NCentVMTShr))/SUMPRODUCT(O155:Y155,TRANSPOSE(Cls3NCentVMTShr)),0)</f>
        <v>0</v>
      </c>
      <c r="AD155" s="1226">
        <f t="shared" ref="AD155:AD171" si="100">AB155*AH155+AC155*AI155</f>
        <v>0</v>
      </c>
      <c r="AE155" s="1230">
        <f t="shared" si="97"/>
        <v>9.0605085880864855E-2</v>
      </c>
      <c r="AF155" s="1231">
        <f t="shared" si="98"/>
        <v>0.13388455783835079</v>
      </c>
      <c r="AG155" s="1231">
        <f t="shared" si="99"/>
        <v>0.22448964371921565</v>
      </c>
      <c r="AH155" s="1172">
        <f t="shared" si="95"/>
        <v>0.4036047471044622</v>
      </c>
      <c r="AI155" s="1232">
        <f t="shared" si="96"/>
        <v>0.59639525289553774</v>
      </c>
      <c r="AJ155" s="227"/>
      <c r="AK155" s="227"/>
      <c r="AL155" s="227"/>
      <c r="AM155" s="227"/>
    </row>
    <row r="156" spans="1:39" ht="15" thickBot="1" x14ac:dyDescent="0.25">
      <c r="A156" s="328">
        <v>2035</v>
      </c>
      <c r="B156" s="346">
        <v>4.1682816396213971E-4</v>
      </c>
      <c r="C156" s="347">
        <v>0.22087128976381679</v>
      </c>
      <c r="D156" s="347">
        <v>0.31439806874388693</v>
      </c>
      <c r="E156" s="347">
        <v>0.33650748871736463</v>
      </c>
      <c r="F156" s="347">
        <v>0.32855952400836869</v>
      </c>
      <c r="G156" s="347">
        <v>0.31711695018608976</v>
      </c>
      <c r="H156" s="347">
        <v>0.28794249102220626</v>
      </c>
      <c r="I156" s="347">
        <v>0.28018608803197248</v>
      </c>
      <c r="J156" s="347">
        <v>0.27483071999345049</v>
      </c>
      <c r="K156" s="347">
        <v>0.26610773521822506</v>
      </c>
      <c r="L156" s="381">
        <v>0.26610773521822506</v>
      </c>
      <c r="M156" s="310">
        <f t="shared" si="90"/>
        <v>8.8838759196662717E-2</v>
      </c>
      <c r="N156" s="312">
        <f t="shared" si="91"/>
        <v>5.6386377711747253E-2</v>
      </c>
      <c r="O156" s="346">
        <v>2.858520980692977E-4</v>
      </c>
      <c r="P156" s="347">
        <v>0.23192234493625882</v>
      </c>
      <c r="Q156" s="347">
        <v>0.33337855866297728</v>
      </c>
      <c r="R156" s="347">
        <v>0.33727533993598835</v>
      </c>
      <c r="S156" s="347">
        <v>0.32388057522108327</v>
      </c>
      <c r="T156" s="347">
        <v>0.30213146352251602</v>
      </c>
      <c r="U156" s="347">
        <v>0.28553590474229029</v>
      </c>
      <c r="V156" s="347">
        <v>0.27483071999345049</v>
      </c>
      <c r="W156" s="347">
        <v>0.26808783242087902</v>
      </c>
      <c r="X156" s="347">
        <v>0.26633506116785882</v>
      </c>
      <c r="Y156" s="381">
        <v>0.26303342057679868</v>
      </c>
      <c r="Z156" s="310">
        <f t="shared" si="92"/>
        <v>0.13189860790134653</v>
      </c>
      <c r="AA156" s="312">
        <f t="shared" si="93"/>
        <v>8.7546428480452965E-2</v>
      </c>
      <c r="AB156" s="948">
        <f t="array" ref="AB156">IF(AND($AD$123=TRUE,SUM(B156:L156)&gt;0),SUMPRODUCT((((TRANSPOSE(Cls3CentDailyRng)&lt;INDEX(CDRANGE_CLS3,$A156-$A$128+1,AD$124))*TRANSPOSE(Cls3CentDailyRng)+(TRANSPOSE(Cls3CentDailyRng)&gt;INDEX(CDRANGE_CLS3,$A156-$A$128+1,AD$124))*INDEX(CDRANGE_CLS3,$A156-$A$128+1,AD$124))/TRANSPOSE(Cls3CentDailyRng)),B156:L156,TRANSPOSE(Cls3CentVMTShr))/SUMPRODUCT(B156:L156,TRANSPOSE(Cls3CentVMTShr)),0)</f>
        <v>0</v>
      </c>
      <c r="AC156" s="949">
        <f t="array" ref="AC156">IF(AND($AD$123=TRUE,SUM(O156:Y156)&gt;0),SUMPRODUCT((((TRANSPOSE(Cls3NCentDailyRng)&lt;INDEX(CDRANGE_CLS3,$A156-$A$128+1,AD$124))*TRANSPOSE(Cls3NCentDailyRng)+(TRANSPOSE(Cls3NCentDailyRng)&gt;INDEX(CDRANGE_CLS3,$A156-$A$128+1,AD$124))*INDEX(CDRANGE_CLS3,$A156-$A$128+1,AD$124))/TRANSPOSE(Cls3NCentDailyRng)),O156:Y156,TRANSPOSE(Cls3NCentVMTShr))/SUMPRODUCT(O156:Y156,TRANSPOSE(Cls3NCentVMTShr)),0)</f>
        <v>0</v>
      </c>
      <c r="AD156" s="1226">
        <f t="shared" si="100"/>
        <v>0</v>
      </c>
      <c r="AE156" s="1230">
        <f t="shared" si="97"/>
        <v>8.8838759196662717E-2</v>
      </c>
      <c r="AF156" s="1231">
        <f t="shared" si="98"/>
        <v>0.13189860790134653</v>
      </c>
      <c r="AG156" s="1231">
        <f t="shared" si="99"/>
        <v>0.22073736709800923</v>
      </c>
      <c r="AH156" s="1172">
        <f t="shared" si="95"/>
        <v>0.40246361712386269</v>
      </c>
      <c r="AI156" s="1232">
        <f t="shared" si="96"/>
        <v>0.59753638287613731</v>
      </c>
      <c r="AJ156" s="227"/>
      <c r="AK156" s="227"/>
      <c r="AL156" s="227"/>
      <c r="AM156" s="227"/>
    </row>
    <row r="157" spans="1:39" x14ac:dyDescent="0.2">
      <c r="A157" s="329">
        <v>2036</v>
      </c>
      <c r="B157" s="342">
        <v>5.0185906708058079E-4</v>
      </c>
      <c r="C157" s="343">
        <v>0.24772201137993452</v>
      </c>
      <c r="D157" s="343">
        <v>0.34137977860739427</v>
      </c>
      <c r="E157" s="343">
        <v>0.33562422008758186</v>
      </c>
      <c r="F157" s="343">
        <v>0.32494292926950408</v>
      </c>
      <c r="G157" s="343">
        <v>0.31540854048691325</v>
      </c>
      <c r="H157" s="343">
        <v>0.28694703274689187</v>
      </c>
      <c r="I157" s="343">
        <v>0.28034377671582406</v>
      </c>
      <c r="J157" s="343">
        <v>0.27269068742339264</v>
      </c>
      <c r="K157" s="343">
        <v>0.26648268048984852</v>
      </c>
      <c r="L157" s="379">
        <v>0.26648268048984852</v>
      </c>
      <c r="M157" s="282">
        <f t="shared" si="90"/>
        <v>9.515859244062197E-2</v>
      </c>
      <c r="N157" s="284">
        <f t="shared" si="91"/>
        <v>6.1529415776785605E-2</v>
      </c>
      <c r="O157" s="342">
        <v>3.4553558529680511E-4</v>
      </c>
      <c r="P157" s="343">
        <v>0.25312246534635691</v>
      </c>
      <c r="Q157" s="343">
        <v>0.33888598478637394</v>
      </c>
      <c r="R157" s="343">
        <v>0.33527534684407456</v>
      </c>
      <c r="S157" s="343">
        <v>0.32023081985881208</v>
      </c>
      <c r="T157" s="343">
        <v>0.29942725044535073</v>
      </c>
      <c r="U157" s="343">
        <v>0.28454755842179447</v>
      </c>
      <c r="V157" s="343">
        <v>0.27498507537570593</v>
      </c>
      <c r="W157" s="343">
        <v>0.26823702159253476</v>
      </c>
      <c r="X157" s="343">
        <v>0.26648268048984852</v>
      </c>
      <c r="Y157" s="379">
        <v>0.26188018260621365</v>
      </c>
      <c r="Z157" s="282">
        <f t="shared" si="92"/>
        <v>0.13786361888868789</v>
      </c>
      <c r="AA157" s="284">
        <f t="shared" si="93"/>
        <v>9.3173784585746475E-2</v>
      </c>
      <c r="AB157" s="948">
        <f t="array" ref="AB157">IF(AND($AD$123=TRUE,SUM(B157:L157)&gt;0),SUMPRODUCT((((TRANSPOSE(Cls3CentDailyRng)&lt;INDEX(CDRANGE_CLS3,$A157-$A$128+1,AD$124))*TRANSPOSE(Cls3CentDailyRng)+(TRANSPOSE(Cls3CentDailyRng)&gt;INDEX(CDRANGE_CLS3,$A157-$A$128+1,AD$124))*INDEX(CDRANGE_CLS3,$A157-$A$128+1,AD$124))/TRANSPOSE(Cls3CentDailyRng)),B157:L157,TRANSPOSE(Cls3CentVMTShr))/SUMPRODUCT(B157:L157,TRANSPOSE(Cls3CentVMTShr)),0)</f>
        <v>0</v>
      </c>
      <c r="AC157" s="949">
        <f t="array" ref="AC157">IF(AND($AD$123=TRUE,SUM(O157:Y157)&gt;0),SUMPRODUCT((((TRANSPOSE(Cls3NCentDailyRng)&lt;INDEX(CDRANGE_CLS3,$A157-$A$128+1,AD$124))*TRANSPOSE(Cls3NCentDailyRng)+(TRANSPOSE(Cls3NCentDailyRng)&gt;INDEX(CDRANGE_CLS3,$A157-$A$128+1,AD$124))*INDEX(CDRANGE_CLS3,$A157-$A$128+1,AD$124))/TRANSPOSE(Cls3NCentDailyRng)),O157:Y157,TRANSPOSE(Cls3NCentVMTShr))/SUMPRODUCT(O157:Y157,TRANSPOSE(Cls3NCentVMTShr)),0)</f>
        <v>0</v>
      </c>
      <c r="AD157" s="1226">
        <f t="shared" si="100"/>
        <v>0</v>
      </c>
      <c r="AE157" s="1230">
        <f t="shared" si="97"/>
        <v>9.515859244062197E-2</v>
      </c>
      <c r="AF157" s="1231">
        <f t="shared" si="98"/>
        <v>0.13786361888868789</v>
      </c>
      <c r="AG157" s="1231">
        <f t="shared" si="99"/>
        <v>0.23302221132930986</v>
      </c>
      <c r="AH157" s="1172">
        <f t="shared" si="95"/>
        <v>0.40836704749206365</v>
      </c>
      <c r="AI157" s="1232">
        <f t="shared" si="96"/>
        <v>0.59163295250793635</v>
      </c>
      <c r="AJ157" s="227"/>
      <c r="AK157" s="227"/>
      <c r="AL157" s="227"/>
      <c r="AM157" s="227"/>
    </row>
    <row r="158" spans="1:39" x14ac:dyDescent="0.2">
      <c r="A158" s="330">
        <v>2037</v>
      </c>
      <c r="B158" s="344">
        <v>6.0302013086080343E-4</v>
      </c>
      <c r="C158" s="345">
        <v>0.24772462668613623</v>
      </c>
      <c r="D158" s="345">
        <v>0.34138338269831514</v>
      </c>
      <c r="E158" s="345">
        <v>0.33458034294327199</v>
      </c>
      <c r="F158" s="345">
        <v>0.33062614138063451</v>
      </c>
      <c r="G158" s="345">
        <v>0.31125323197154564</v>
      </c>
      <c r="H158" s="345">
        <v>0.28695838072748231</v>
      </c>
      <c r="I158" s="345">
        <v>0.27808841391071293</v>
      </c>
      <c r="J158" s="345">
        <v>0.27070577392970002</v>
      </c>
      <c r="K158" s="345">
        <v>0.26649560778711362</v>
      </c>
      <c r="L158" s="380">
        <v>0.26649560778711362</v>
      </c>
      <c r="M158" s="296">
        <f t="shared" si="90"/>
        <v>9.523710850908354E-2</v>
      </c>
      <c r="N158" s="298">
        <f t="shared" si="91"/>
        <v>6.1565195264393059E-2</v>
      </c>
      <c r="O158" s="344">
        <v>3.4553923326233752E-4</v>
      </c>
      <c r="P158" s="345">
        <v>0.25312513766743855</v>
      </c>
      <c r="Q158" s="345">
        <v>0.33355177411764753</v>
      </c>
      <c r="R158" s="345">
        <v>0.33237959861141197</v>
      </c>
      <c r="S158" s="345">
        <v>0.31817564968291084</v>
      </c>
      <c r="T158" s="345">
        <v>0.29917624414805188</v>
      </c>
      <c r="U158" s="345">
        <v>0.28333143703699981</v>
      </c>
      <c r="V158" s="345">
        <v>0.2728991147126319</v>
      </c>
      <c r="W158" s="345">
        <v>0.26824977145127421</v>
      </c>
      <c r="X158" s="345">
        <v>0.26487902861747298</v>
      </c>
      <c r="Y158" s="380">
        <v>0.26189351811560618</v>
      </c>
      <c r="Z158" s="296">
        <f t="shared" si="92"/>
        <v>0.13713872999312318</v>
      </c>
      <c r="AA158" s="298">
        <f t="shared" si="93"/>
        <v>9.283587658895387E-2</v>
      </c>
      <c r="AB158" s="948">
        <f t="array" ref="AB158">IF(AND($AD$123=TRUE,SUM(B158:L158)&gt;0),SUMPRODUCT((((TRANSPOSE(Cls3CentDailyRng)&lt;INDEX(CDRANGE_CLS3,$A158-$A$128+1,AD$124))*TRANSPOSE(Cls3CentDailyRng)+(TRANSPOSE(Cls3CentDailyRng)&gt;INDEX(CDRANGE_CLS3,$A158-$A$128+1,AD$124))*INDEX(CDRANGE_CLS3,$A158-$A$128+1,AD$124))/TRANSPOSE(Cls3CentDailyRng)),B158:L158,TRANSPOSE(Cls3CentVMTShr))/SUMPRODUCT(B158:L158,TRANSPOSE(Cls3CentVMTShr)),0)</f>
        <v>0</v>
      </c>
      <c r="AC158" s="949">
        <f t="array" ref="AC158">IF(AND($AD$123=TRUE,SUM(O158:Y158)&gt;0),SUMPRODUCT((((TRANSPOSE(Cls3NCentDailyRng)&lt;INDEX(CDRANGE_CLS3,$A158-$A$128+1,AD$124))*TRANSPOSE(Cls3NCentDailyRng)+(TRANSPOSE(Cls3NCentDailyRng)&gt;INDEX(CDRANGE_CLS3,$A158-$A$128+1,AD$124))*INDEX(CDRANGE_CLS3,$A158-$A$128+1,AD$124))/TRANSPOSE(Cls3NCentDailyRng)),O158:Y158,TRANSPOSE(Cls3NCentVMTShr))/SUMPRODUCT(O158:Y158,TRANSPOSE(Cls3NCentVMTShr)),0)</f>
        <v>0</v>
      </c>
      <c r="AD158" s="1226">
        <f t="shared" si="100"/>
        <v>0</v>
      </c>
      <c r="AE158" s="1230">
        <f t="shared" si="97"/>
        <v>9.523710850908354E-2</v>
      </c>
      <c r="AF158" s="1231">
        <f t="shared" si="98"/>
        <v>0.13713872999312318</v>
      </c>
      <c r="AG158" s="1231">
        <f t="shared" si="99"/>
        <v>0.23237583850220672</v>
      </c>
      <c r="AH158" s="1172">
        <f t="shared" si="95"/>
        <v>0.4098408385438882</v>
      </c>
      <c r="AI158" s="1232">
        <f t="shared" si="96"/>
        <v>0.5901591614561118</v>
      </c>
      <c r="AJ158" s="227"/>
      <c r="AK158" s="227"/>
      <c r="AL158" s="227"/>
      <c r="AM158" s="227"/>
    </row>
    <row r="159" spans="1:39" x14ac:dyDescent="0.2">
      <c r="A159" s="330">
        <v>2038</v>
      </c>
      <c r="B159" s="344">
        <v>7.2311901233120565E-4</v>
      </c>
      <c r="C159" s="345">
        <v>0.23833533340780572</v>
      </c>
      <c r="D159" s="345">
        <v>0.32975628688504072</v>
      </c>
      <c r="E159" s="345">
        <v>0.33250261952732463</v>
      </c>
      <c r="F159" s="345">
        <v>0.32712693260552073</v>
      </c>
      <c r="G159" s="345">
        <v>0.306659012155721</v>
      </c>
      <c r="H159" s="345">
        <v>0.28334109168805582</v>
      </c>
      <c r="I159" s="345">
        <v>0.27590248772911974</v>
      </c>
      <c r="J159" s="345">
        <v>0.27071657634945329</v>
      </c>
      <c r="K159" s="345">
        <v>0.26489035433193242</v>
      </c>
      <c r="L159" s="380">
        <v>0.26489035433193242</v>
      </c>
      <c r="M159" s="296">
        <f t="shared" si="90"/>
        <v>9.2568098341745758E-2</v>
      </c>
      <c r="N159" s="298">
        <f t="shared" si="91"/>
        <v>5.9593724940658191E-2</v>
      </c>
      <c r="O159" s="344">
        <v>4.168461457219052E-4</v>
      </c>
      <c r="P159" s="345">
        <v>0.24983305551005919</v>
      </c>
      <c r="Q159" s="345">
        <v>0.33346353428880116</v>
      </c>
      <c r="R159" s="345">
        <v>0.32999862192449436</v>
      </c>
      <c r="S159" s="345">
        <v>0.31157021695273085</v>
      </c>
      <c r="T159" s="345">
        <v>0.29530303063539914</v>
      </c>
      <c r="U159" s="345">
        <v>0.28100655529163132</v>
      </c>
      <c r="V159" s="345">
        <v>0.27290970974707957</v>
      </c>
      <c r="W159" s="345">
        <v>0.26650676211784335</v>
      </c>
      <c r="X159" s="345">
        <v>0.26489035433193242</v>
      </c>
      <c r="Y159" s="380">
        <v>0.26190511166853947</v>
      </c>
      <c r="Z159" s="296">
        <f t="shared" si="92"/>
        <v>0.1359074023851301</v>
      </c>
      <c r="AA159" s="298">
        <f t="shared" si="93"/>
        <v>9.1899367511623545E-2</v>
      </c>
      <c r="AB159" s="948">
        <f t="array" ref="AB159">IF(AND($AD$123=TRUE,SUM(B159:L159)&gt;0),SUMPRODUCT((((TRANSPOSE(Cls3CentDailyRng)&lt;INDEX(CDRANGE_CLS3,$A159-$A$128+1,AD$124))*TRANSPOSE(Cls3CentDailyRng)+(TRANSPOSE(Cls3CentDailyRng)&gt;INDEX(CDRANGE_CLS3,$A159-$A$128+1,AD$124))*INDEX(CDRANGE_CLS3,$A159-$A$128+1,AD$124))/TRANSPOSE(Cls3CentDailyRng)),B159:L159,TRANSPOSE(Cls3CentVMTShr))/SUMPRODUCT(B159:L159,TRANSPOSE(Cls3CentVMTShr)),0)</f>
        <v>0</v>
      </c>
      <c r="AC159" s="949">
        <f t="array" ref="AC159">IF(AND($AD$123=TRUE,SUM(O159:Y159)&gt;0),SUMPRODUCT((((TRANSPOSE(Cls3NCentDailyRng)&lt;INDEX(CDRANGE_CLS3,$A159-$A$128+1,AD$124))*TRANSPOSE(Cls3NCentDailyRng)+(TRANSPOSE(Cls3NCentDailyRng)&gt;INDEX(CDRANGE_CLS3,$A159-$A$128+1,AD$124))*INDEX(CDRANGE_CLS3,$A159-$A$128+1,AD$124))/TRANSPOSE(Cls3NCentDailyRng)),O159:Y159,TRANSPOSE(Cls3NCentVMTShr))/SUMPRODUCT(O159:Y159,TRANSPOSE(Cls3NCentVMTShr)),0)</f>
        <v>0</v>
      </c>
      <c r="AD159" s="1226">
        <f t="shared" si="100"/>
        <v>0</v>
      </c>
      <c r="AE159" s="1230">
        <f t="shared" si="97"/>
        <v>9.2568098341745758E-2</v>
      </c>
      <c r="AF159" s="1231">
        <f t="shared" si="98"/>
        <v>0.1359074023851301</v>
      </c>
      <c r="AG159" s="1231">
        <f t="shared" si="99"/>
        <v>0.22847550072687586</v>
      </c>
      <c r="AH159" s="1172">
        <f t="shared" si="95"/>
        <v>0.40515546764203614</v>
      </c>
      <c r="AI159" s="1232">
        <f t="shared" si="96"/>
        <v>0.59484453235796386</v>
      </c>
      <c r="AJ159" s="227"/>
      <c r="AK159" s="227"/>
      <c r="AL159" s="227"/>
      <c r="AM159" s="227"/>
    </row>
    <row r="160" spans="1:39" x14ac:dyDescent="0.2">
      <c r="A160" s="330">
        <v>2039</v>
      </c>
      <c r="B160" s="344">
        <v>8.653964606104937E-4</v>
      </c>
      <c r="C160" s="345">
        <v>0.23833567394121086</v>
      </c>
      <c r="D160" s="345">
        <v>0.32975675804065852</v>
      </c>
      <c r="E160" s="345">
        <v>0.34205688836804649</v>
      </c>
      <c r="F160" s="345">
        <v>0.32024884222775546</v>
      </c>
      <c r="G160" s="345">
        <v>0.30190253772555675</v>
      </c>
      <c r="H160" s="345">
        <v>0.28101580155799305</v>
      </c>
      <c r="I160" s="345">
        <v>0.27501729557671345</v>
      </c>
      <c r="J160" s="345">
        <v>0.26884088823046542</v>
      </c>
      <c r="K160" s="345">
        <v>0.26467657350974899</v>
      </c>
      <c r="L160" s="380">
        <v>0.26467657350974899</v>
      </c>
      <c r="M160" s="296">
        <f t="shared" si="90"/>
        <v>9.2830037537424123E-2</v>
      </c>
      <c r="N160" s="298">
        <f t="shared" si="91"/>
        <v>5.973156863515202E-2</v>
      </c>
      <c r="O160" s="344">
        <v>5.0186703166370792E-4</v>
      </c>
      <c r="P160" s="345">
        <v>0.24323616450269184</v>
      </c>
      <c r="Q160" s="345">
        <v>0.33312718809518588</v>
      </c>
      <c r="R160" s="345">
        <v>0.32545168198757307</v>
      </c>
      <c r="S160" s="345">
        <v>0.30693625574915911</v>
      </c>
      <c r="T160" s="345">
        <v>0.2928277485676381</v>
      </c>
      <c r="U160" s="345">
        <v>0.27873888557536103</v>
      </c>
      <c r="V160" s="345">
        <v>0.27091955759028691</v>
      </c>
      <c r="W160" s="345">
        <v>0.26651726063612841</v>
      </c>
      <c r="X160" s="345">
        <v>0.26321396201130282</v>
      </c>
      <c r="Y160" s="380">
        <v>0.26079728716607314</v>
      </c>
      <c r="Z160" s="296">
        <f t="shared" si="92"/>
        <v>0.13364570096616329</v>
      </c>
      <c r="AA160" s="298">
        <f t="shared" si="93"/>
        <v>9.0066450028720782E-2</v>
      </c>
      <c r="AB160" s="948">
        <f t="array" ref="AB160">IF(AND($AD$123=TRUE,SUM(B160:L160)&gt;0),SUMPRODUCT((((TRANSPOSE(Cls3CentDailyRng)&lt;INDEX(CDRANGE_CLS3,$A160-$A$128+1,AD$124))*TRANSPOSE(Cls3CentDailyRng)+(TRANSPOSE(Cls3CentDailyRng)&gt;INDEX(CDRANGE_CLS3,$A160-$A$128+1,AD$124))*INDEX(CDRANGE_CLS3,$A160-$A$128+1,AD$124))/TRANSPOSE(Cls3CentDailyRng)),B160:L160,TRANSPOSE(Cls3CentVMTShr))/SUMPRODUCT(B160:L160,TRANSPOSE(Cls3CentVMTShr)),0)</f>
        <v>0</v>
      </c>
      <c r="AC160" s="949">
        <f t="array" ref="AC160">IF(AND($AD$123=TRUE,SUM(O160:Y160)&gt;0),SUMPRODUCT((((TRANSPOSE(Cls3NCentDailyRng)&lt;INDEX(CDRANGE_CLS3,$A160-$A$128+1,AD$124))*TRANSPOSE(Cls3NCentDailyRng)+(TRANSPOSE(Cls3NCentDailyRng)&gt;INDEX(CDRANGE_CLS3,$A160-$A$128+1,AD$124))*INDEX(CDRANGE_CLS3,$A160-$A$128+1,AD$124))/TRANSPOSE(Cls3NCentDailyRng)),O160:Y160,TRANSPOSE(Cls3NCentVMTShr))/SUMPRODUCT(O160:Y160,TRANSPOSE(Cls3NCentVMTShr)),0)</f>
        <v>0</v>
      </c>
      <c r="AD160" s="1226">
        <f t="shared" si="100"/>
        <v>0</v>
      </c>
      <c r="AE160" s="1230">
        <f t="shared" si="97"/>
        <v>9.2830037537424123E-2</v>
      </c>
      <c r="AF160" s="1231">
        <f t="shared" si="98"/>
        <v>0.13364570096616329</v>
      </c>
      <c r="AG160" s="1231">
        <f t="shared" si="99"/>
        <v>0.22647573850358743</v>
      </c>
      <c r="AH160" s="1172">
        <f t="shared" si="95"/>
        <v>0.40988954556805063</v>
      </c>
      <c r="AI160" s="1232">
        <f t="shared" si="96"/>
        <v>0.59011045443194932</v>
      </c>
      <c r="AJ160" s="227"/>
      <c r="AK160" s="227"/>
      <c r="AL160" s="227"/>
      <c r="AM160" s="227"/>
    </row>
    <row r="161" spans="1:39" ht="15" thickBot="1" x14ac:dyDescent="0.25">
      <c r="A161" s="328">
        <v>2040</v>
      </c>
      <c r="B161" s="346">
        <v>8.6539691548557954E-4</v>
      </c>
      <c r="C161" s="347">
        <v>0.23833579921669451</v>
      </c>
      <c r="D161" s="347">
        <v>0.32967826677820228</v>
      </c>
      <c r="E161" s="347">
        <v>0.33739032446719958</v>
      </c>
      <c r="F161" s="347">
        <v>0.31380115263736358</v>
      </c>
      <c r="G161" s="347">
        <v>0.29945951684916633</v>
      </c>
      <c r="H161" s="347">
        <v>0.27874816680163417</v>
      </c>
      <c r="I161" s="347">
        <v>0.27292932179865625</v>
      </c>
      <c r="J161" s="347">
        <v>0.26885100542164048</v>
      </c>
      <c r="K161" s="347">
        <v>0.26322454931038908</v>
      </c>
      <c r="L161" s="381">
        <v>0.26322454931038908</v>
      </c>
      <c r="M161" s="310">
        <f t="shared" si="90"/>
        <v>9.2435762401860064E-2</v>
      </c>
      <c r="N161" s="312">
        <f t="shared" si="91"/>
        <v>5.9595810585454642E-2</v>
      </c>
      <c r="O161" s="346">
        <v>5.0186729545818778E-4</v>
      </c>
      <c r="P161" s="347">
        <v>0.24323629235400193</v>
      </c>
      <c r="Q161" s="347">
        <v>0.3320725282125106</v>
      </c>
      <c r="R161" s="347">
        <v>0.31875407835735026</v>
      </c>
      <c r="S161" s="347">
        <v>0.30452530906354236</v>
      </c>
      <c r="T161" s="347">
        <v>0.29035743296627631</v>
      </c>
      <c r="U161" s="347">
        <v>0.27654266805890232</v>
      </c>
      <c r="V161" s="347">
        <v>0.26904084906692516</v>
      </c>
      <c r="W161" s="347">
        <v>0.26491147528364978</v>
      </c>
      <c r="X161" s="347">
        <v>0.26322454931038908</v>
      </c>
      <c r="Y161" s="381">
        <v>0.26080812993417646</v>
      </c>
      <c r="Z161" s="310">
        <f t="shared" si="92"/>
        <v>0.13300193210692379</v>
      </c>
      <c r="AA161" s="312">
        <f t="shared" si="93"/>
        <v>8.9828752421899097E-2</v>
      </c>
      <c r="AB161" s="948">
        <f t="array" ref="AB161">IF(AND($AD$123=TRUE,SUM(B161:L161)&gt;0),SUMPRODUCT((((TRANSPOSE(Cls3CentDailyRng)&lt;INDEX(CDRANGE_CLS3,$A161-$A$128+1,AD$124))*TRANSPOSE(Cls3CentDailyRng)+(TRANSPOSE(Cls3CentDailyRng)&gt;INDEX(CDRANGE_CLS3,$A161-$A$128+1,AD$124))*INDEX(CDRANGE_CLS3,$A161-$A$128+1,AD$124))/TRANSPOSE(Cls3CentDailyRng)),B161:L161,TRANSPOSE(Cls3CentVMTShr))/SUMPRODUCT(B161:L161,TRANSPOSE(Cls3CentVMTShr)),0)</f>
        <v>0</v>
      </c>
      <c r="AC161" s="949">
        <f t="array" ref="AC161">IF(AND($AD$123=TRUE,SUM(O161:Y161)&gt;0),SUMPRODUCT((((TRANSPOSE(Cls3NCentDailyRng)&lt;INDEX(CDRANGE_CLS3,$A161-$A$128+1,AD$124))*TRANSPOSE(Cls3NCentDailyRng)+(TRANSPOSE(Cls3NCentDailyRng)&gt;INDEX(CDRANGE_CLS3,$A161-$A$128+1,AD$124))*INDEX(CDRANGE_CLS3,$A161-$A$128+1,AD$124))/TRANSPOSE(Cls3NCentDailyRng)),O161:Y161,TRANSPOSE(Cls3NCentVMTShr))/SUMPRODUCT(O161:Y161,TRANSPOSE(Cls3NCentVMTShr)),0)</f>
        <v>0</v>
      </c>
      <c r="AD161" s="1226">
        <f t="shared" si="100"/>
        <v>0</v>
      </c>
      <c r="AE161" s="1230">
        <f t="shared" si="97"/>
        <v>9.2435762401860064E-2</v>
      </c>
      <c r="AF161" s="1231">
        <f t="shared" si="98"/>
        <v>0.13300193210692379</v>
      </c>
      <c r="AG161" s="1231">
        <f t="shared" si="99"/>
        <v>0.22543769450878387</v>
      </c>
      <c r="AH161" s="1172">
        <f t="shared" si="95"/>
        <v>0.41002797958554543</v>
      </c>
      <c r="AI161" s="1232">
        <f t="shared" si="96"/>
        <v>0.58997202041445451</v>
      </c>
      <c r="AJ161" s="227"/>
      <c r="AK161" s="227"/>
      <c r="AL161" s="227"/>
      <c r="AM161" s="227"/>
    </row>
    <row r="162" spans="1:39" x14ac:dyDescent="0.2">
      <c r="A162" s="329">
        <v>2041</v>
      </c>
      <c r="B162" s="342">
        <v>8.653970828248923E-4</v>
      </c>
      <c r="C162" s="343">
        <v>0.23833584530300256</v>
      </c>
      <c r="D162" s="343">
        <v>0.32876100408139525</v>
      </c>
      <c r="E162" s="343">
        <v>0.32728332639604613</v>
      </c>
      <c r="F162" s="343">
        <v>0.30665185020027702</v>
      </c>
      <c r="G162" s="343">
        <v>0.29197605426008538</v>
      </c>
      <c r="H162" s="343">
        <v>0.27655212628572723</v>
      </c>
      <c r="I162" s="343">
        <v>0.27093931131447607</v>
      </c>
      <c r="J162" s="343">
        <v>0.26653771751454119</v>
      </c>
      <c r="K162" s="343">
        <v>0.26323505468415509</v>
      </c>
      <c r="L162" s="379">
        <v>0.26323505468415509</v>
      </c>
      <c r="M162" s="282">
        <f t="shared" si="90"/>
        <v>9.1709313601355175E-2</v>
      </c>
      <c r="N162" s="284">
        <f t="shared" si="91"/>
        <v>5.9317914016277583E-2</v>
      </c>
      <c r="O162" s="342">
        <v>6.0302376808315562E-4</v>
      </c>
      <c r="P162" s="343">
        <v>0.26807129781587186</v>
      </c>
      <c r="Q162" s="343">
        <v>0.32268902137134703</v>
      </c>
      <c r="R162" s="343">
        <v>0.30396150227053853</v>
      </c>
      <c r="S162" s="343">
        <v>0.29700660330656276</v>
      </c>
      <c r="T162" s="343">
        <v>0.28547648621908089</v>
      </c>
      <c r="U162" s="343">
        <v>0.27443186421463994</v>
      </c>
      <c r="V162" s="343">
        <v>0.2690508981062904</v>
      </c>
      <c r="W162" s="343">
        <v>0.26492183979638362</v>
      </c>
      <c r="X162" s="343">
        <v>0.26323505468415509</v>
      </c>
      <c r="Y162" s="379">
        <v>0.2608188917447718</v>
      </c>
      <c r="Z162" s="282">
        <f t="shared" si="92"/>
        <v>0.13782744539052508</v>
      </c>
      <c r="AA162" s="284">
        <f t="shared" si="93"/>
        <v>9.5382773498396675E-2</v>
      </c>
      <c r="AB162" s="948">
        <f t="array" ref="AB162">IF(AND($AD$123=TRUE,SUM(B162:L162)&gt;0),SUMPRODUCT((((TRANSPOSE(Cls3CentDailyRng)&lt;INDEX(CDRANGE_CLS3,$A162-$A$128+1,AD$124))*TRANSPOSE(Cls3CentDailyRng)+(TRANSPOSE(Cls3CentDailyRng)&gt;INDEX(CDRANGE_CLS3,$A162-$A$128+1,AD$124))*INDEX(CDRANGE_CLS3,$A162-$A$128+1,AD$124))/TRANSPOSE(Cls3CentDailyRng)),B162:L162,TRANSPOSE(Cls3CentVMTShr))/SUMPRODUCT(B162:L162,TRANSPOSE(Cls3CentVMTShr)),0)</f>
        <v>0</v>
      </c>
      <c r="AC162" s="949">
        <f t="array" ref="AC162">IF(AND($AD$123=TRUE,SUM(O162:Y162)&gt;0),SUMPRODUCT((((TRANSPOSE(Cls3NCentDailyRng)&lt;INDEX(CDRANGE_CLS3,$A162-$A$128+1,AD$124))*TRANSPOSE(Cls3NCentDailyRng)+(TRANSPOSE(Cls3NCentDailyRng)&gt;INDEX(CDRANGE_CLS3,$A162-$A$128+1,AD$124))*INDEX(CDRANGE_CLS3,$A162-$A$128+1,AD$124))/TRANSPOSE(Cls3NCentDailyRng)),O162:Y162,TRANSPOSE(Cls3NCentVMTShr))/SUMPRODUCT(O162:Y162,TRANSPOSE(Cls3NCentVMTShr)),0)</f>
        <v>0</v>
      </c>
      <c r="AD162" s="1226">
        <f t="shared" si="100"/>
        <v>0</v>
      </c>
      <c r="AE162" s="1230">
        <f t="shared" si="97"/>
        <v>9.1709313601355175E-2</v>
      </c>
      <c r="AF162" s="1231">
        <f t="shared" si="98"/>
        <v>0.13782744539052508</v>
      </c>
      <c r="AG162" s="1231">
        <f t="shared" si="99"/>
        <v>0.22953675899188025</v>
      </c>
      <c r="AH162" s="1172">
        <f t="shared" si="95"/>
        <v>0.39954085787453042</v>
      </c>
      <c r="AI162" s="1232">
        <f t="shared" si="96"/>
        <v>0.60045914212546958</v>
      </c>
      <c r="AJ162" s="227"/>
      <c r="AK162" s="227"/>
      <c r="AL162" s="227"/>
      <c r="AM162" s="227"/>
    </row>
    <row r="163" spans="1:39" x14ac:dyDescent="0.2">
      <c r="A163" s="330">
        <v>2042</v>
      </c>
      <c r="B163" s="344">
        <v>1.231970677484342E-3</v>
      </c>
      <c r="C163" s="345">
        <v>0.25312668244274933</v>
      </c>
      <c r="D163" s="345">
        <v>0.31674512353463996</v>
      </c>
      <c r="E163" s="345">
        <v>0.30440183974290885</v>
      </c>
      <c r="F163" s="345">
        <v>0.2990304437522075</v>
      </c>
      <c r="G163" s="345">
        <v>0.2869962703347384</v>
      </c>
      <c r="H163" s="345">
        <v>0.27242030993668576</v>
      </c>
      <c r="I163" s="345">
        <v>0.26906091949265737</v>
      </c>
      <c r="J163" s="345">
        <v>0.26493217736298774</v>
      </c>
      <c r="K163" s="345">
        <v>0.26194804741797884</v>
      </c>
      <c r="L163" s="380">
        <v>0.26194804741797884</v>
      </c>
      <c r="M163" s="296">
        <f t="shared" si="90"/>
        <v>9.162683314072935E-2</v>
      </c>
      <c r="N163" s="298">
        <f t="shared" si="91"/>
        <v>6.0396410417217515E-2</v>
      </c>
      <c r="O163" s="344">
        <v>7.2312061688163069E-4</v>
      </c>
      <c r="P163" s="345">
        <v>0.26439979582223061</v>
      </c>
      <c r="Q163" s="345">
        <v>0.32134332219082806</v>
      </c>
      <c r="R163" s="345">
        <v>0.28074868481495757</v>
      </c>
      <c r="S163" s="345">
        <v>0.28709249251765401</v>
      </c>
      <c r="T163" s="345">
        <v>0.28077724165313545</v>
      </c>
      <c r="U163" s="345">
        <v>0.27242030993668576</v>
      </c>
      <c r="V163" s="345">
        <v>0.26729749813947185</v>
      </c>
      <c r="W163" s="345">
        <v>0.26346756632030333</v>
      </c>
      <c r="X163" s="345">
        <v>0.26194804741797884</v>
      </c>
      <c r="Y163" s="380">
        <v>0.25990588810102055</v>
      </c>
      <c r="Z163" s="296">
        <f t="shared" si="92"/>
        <v>0.13505415085819075</v>
      </c>
      <c r="AA163" s="298">
        <f t="shared" si="93"/>
        <v>9.3805142488750326E-2</v>
      </c>
      <c r="AB163" s="948">
        <f t="array" ref="AB163">IF(AND($AD$123=TRUE,SUM(B163:L163)&gt;0),SUMPRODUCT((((TRANSPOSE(Cls3CentDailyRng)&lt;INDEX(CDRANGE_CLS3,$A163-$A$128+1,AD$124))*TRANSPOSE(Cls3CentDailyRng)+(TRANSPOSE(Cls3CentDailyRng)&gt;INDEX(CDRANGE_CLS3,$A163-$A$128+1,AD$124))*INDEX(CDRANGE_CLS3,$A163-$A$128+1,AD$124))/TRANSPOSE(Cls3CentDailyRng)),B163:L163,TRANSPOSE(Cls3CentVMTShr))/SUMPRODUCT(B163:L163,TRANSPOSE(Cls3CentVMTShr)),0)</f>
        <v>0</v>
      </c>
      <c r="AC163" s="949">
        <f t="array" ref="AC163">IF(AND($AD$123=TRUE,SUM(O163:Y163)&gt;0),SUMPRODUCT((((TRANSPOSE(Cls3NCentDailyRng)&lt;INDEX(CDRANGE_CLS3,$A163-$A$128+1,AD$124))*TRANSPOSE(Cls3NCentDailyRng)+(TRANSPOSE(Cls3NCentDailyRng)&gt;INDEX(CDRANGE_CLS3,$A163-$A$128+1,AD$124))*INDEX(CDRANGE_CLS3,$A163-$A$128+1,AD$124))/TRANSPOSE(Cls3NCentDailyRng)),O163:Y163,TRANSPOSE(Cls3NCentVMTShr))/SUMPRODUCT(O163:Y163,TRANSPOSE(Cls3NCentVMTShr)),0)</f>
        <v>0</v>
      </c>
      <c r="AD163" s="1226">
        <f t="shared" si="100"/>
        <v>0</v>
      </c>
      <c r="AE163" s="1230">
        <f t="shared" si="97"/>
        <v>9.162683314072935E-2</v>
      </c>
      <c r="AF163" s="1231">
        <f t="shared" si="98"/>
        <v>0.13505415085819075</v>
      </c>
      <c r="AG163" s="1231">
        <f t="shared" si="99"/>
        <v>0.22668098399892012</v>
      </c>
      <c r="AH163" s="1172">
        <f t="shared" si="95"/>
        <v>0.40421049672682668</v>
      </c>
      <c r="AI163" s="1232">
        <f t="shared" si="96"/>
        <v>0.59578950327317326</v>
      </c>
      <c r="AJ163" s="227"/>
      <c r="AK163" s="227"/>
      <c r="AL163" s="227"/>
      <c r="AM163" s="227"/>
    </row>
    <row r="164" spans="1:39" x14ac:dyDescent="0.2">
      <c r="A164" s="330">
        <v>2043</v>
      </c>
      <c r="B164" s="344">
        <v>1.231970709724272E-3</v>
      </c>
      <c r="C164" s="345">
        <v>0.25248443630546702</v>
      </c>
      <c r="D164" s="345">
        <v>0.29660798637821834</v>
      </c>
      <c r="E164" s="345">
        <v>0.27284414970389992</v>
      </c>
      <c r="F164" s="345">
        <v>0.29124080857043638</v>
      </c>
      <c r="G164" s="345">
        <v>0.28214650507567907</v>
      </c>
      <c r="H164" s="345">
        <v>0.27052173917051509</v>
      </c>
      <c r="I164" s="345">
        <v>0.2673077030990233</v>
      </c>
      <c r="J164" s="345">
        <v>0.26347804925022855</v>
      </c>
      <c r="K164" s="345">
        <v>0.26084034963557734</v>
      </c>
      <c r="L164" s="380">
        <v>0.26084034963557734</v>
      </c>
      <c r="M164" s="296">
        <f t="shared" si="90"/>
        <v>8.8107759385679524E-2</v>
      </c>
      <c r="N164" s="298">
        <f t="shared" si="91"/>
        <v>5.8671659261861783E-2</v>
      </c>
      <c r="O164" s="344">
        <v>8.6539716703252297E-4</v>
      </c>
      <c r="P164" s="345">
        <v>0.25532253467665855</v>
      </c>
      <c r="Q164" s="345">
        <v>0.29535676213187101</v>
      </c>
      <c r="R164" s="345">
        <v>0.2585796229651412</v>
      </c>
      <c r="S164" s="345">
        <v>0.28212621716398317</v>
      </c>
      <c r="T164" s="345">
        <v>0.27853549501199343</v>
      </c>
      <c r="U164" s="345">
        <v>0.27052173917051509</v>
      </c>
      <c r="V164" s="345">
        <v>0.26568281725233517</v>
      </c>
      <c r="W164" s="345">
        <v>0.26217851800590319</v>
      </c>
      <c r="X164" s="345">
        <v>0.26084034963557734</v>
      </c>
      <c r="Y164" s="380">
        <v>0.25991670690596697</v>
      </c>
      <c r="Z164" s="296">
        <f t="shared" si="92"/>
        <v>0.12893400952830472</v>
      </c>
      <c r="AA164" s="298">
        <f t="shared" si="93"/>
        <v>8.9758045604685921E-2</v>
      </c>
      <c r="AB164" s="948">
        <f t="array" ref="AB164">IF(AND($AD$123=TRUE,SUM(B164:L164)&gt;0),SUMPRODUCT((((TRANSPOSE(Cls3CentDailyRng)&lt;INDEX(CDRANGE_CLS3,$A164-$A$128+1,AD$124))*TRANSPOSE(Cls3CentDailyRng)+(TRANSPOSE(Cls3CentDailyRng)&gt;INDEX(CDRANGE_CLS3,$A164-$A$128+1,AD$124))*INDEX(CDRANGE_CLS3,$A164-$A$128+1,AD$124))/TRANSPOSE(Cls3CentDailyRng)),B164:L164,TRANSPOSE(Cls3CentVMTShr))/SUMPRODUCT(B164:L164,TRANSPOSE(Cls3CentVMTShr)),0)</f>
        <v>0</v>
      </c>
      <c r="AC164" s="949">
        <f t="array" ref="AC164">IF(AND($AD$123=TRUE,SUM(O164:Y164)&gt;0),SUMPRODUCT((((TRANSPOSE(Cls3NCentDailyRng)&lt;INDEX(CDRANGE_CLS3,$A164-$A$128+1,AD$124))*TRANSPOSE(Cls3NCentDailyRng)+(TRANSPOSE(Cls3NCentDailyRng)&gt;INDEX(CDRANGE_CLS3,$A164-$A$128+1,AD$124))*INDEX(CDRANGE_CLS3,$A164-$A$128+1,AD$124))/TRANSPOSE(Cls3NCentDailyRng)),O164:Y164,TRANSPOSE(Cls3NCentVMTShr))/SUMPRODUCT(O164:Y164,TRANSPOSE(Cls3NCentVMTShr)),0)</f>
        <v>0</v>
      </c>
      <c r="AD164" s="1226">
        <f t="shared" si="100"/>
        <v>0</v>
      </c>
      <c r="AE164" s="1230">
        <f t="shared" si="97"/>
        <v>8.8107759385679524E-2</v>
      </c>
      <c r="AF164" s="1231">
        <f t="shared" si="98"/>
        <v>0.12893400952830472</v>
      </c>
      <c r="AG164" s="1231">
        <f t="shared" si="99"/>
        <v>0.21704176891398425</v>
      </c>
      <c r="AH164" s="1172">
        <f t="shared" si="95"/>
        <v>0.40594840258880072</v>
      </c>
      <c r="AI164" s="1232">
        <f t="shared" si="96"/>
        <v>0.59405159741119928</v>
      </c>
      <c r="AJ164" s="227"/>
      <c r="AK164" s="227"/>
      <c r="AL164" s="227"/>
      <c r="AM164" s="227"/>
    </row>
    <row r="165" spans="1:39" x14ac:dyDescent="0.2">
      <c r="A165" s="330">
        <v>2044</v>
      </c>
      <c r="B165" s="344">
        <v>1.4654654266585319E-3</v>
      </c>
      <c r="C165" s="345">
        <v>0.2432121333934868</v>
      </c>
      <c r="D165" s="345">
        <v>0.28432503954869393</v>
      </c>
      <c r="E165" s="345">
        <v>0.25445619973677913</v>
      </c>
      <c r="F165" s="345">
        <v>0.28613220111180221</v>
      </c>
      <c r="G165" s="345">
        <v>0.27753844665996741</v>
      </c>
      <c r="H165" s="345">
        <v>0.26874983495828686</v>
      </c>
      <c r="I165" s="345">
        <v>0.2656932090741766</v>
      </c>
      <c r="J165" s="345">
        <v>0.26218914843696961</v>
      </c>
      <c r="K165" s="345">
        <v>0.2608510805817455</v>
      </c>
      <c r="L165" s="380">
        <v>0.2608510805817455</v>
      </c>
      <c r="M165" s="296">
        <f t="shared" si="90"/>
        <v>8.4666108711735494E-2</v>
      </c>
      <c r="N165" s="298">
        <f t="shared" si="91"/>
        <v>5.6412540021415901E-2</v>
      </c>
      <c r="O165" s="344">
        <v>1.0335849496781264E-3</v>
      </c>
      <c r="P165" s="345">
        <v>0.24165165563201846</v>
      </c>
      <c r="Q165" s="345">
        <v>0.27064117318020003</v>
      </c>
      <c r="R165" s="345">
        <v>0.25100598619887282</v>
      </c>
      <c r="S165" s="345">
        <v>0.27734951610049396</v>
      </c>
      <c r="T165" s="345">
        <v>0.27431905292624859</v>
      </c>
      <c r="U165" s="345">
        <v>0.26874983495828686</v>
      </c>
      <c r="V165" s="345">
        <v>0.26403822963579998</v>
      </c>
      <c r="W165" s="345">
        <v>0.26106909100823616</v>
      </c>
      <c r="X165" s="345">
        <v>0.2608510805817455</v>
      </c>
      <c r="Y165" s="380">
        <v>0.25921673301425413</v>
      </c>
      <c r="Z165" s="296">
        <f t="shared" si="92"/>
        <v>0.12254209295957712</v>
      </c>
      <c r="AA165" s="298">
        <f t="shared" si="93"/>
        <v>8.4929536055604021E-2</v>
      </c>
      <c r="AB165" s="948">
        <f t="array" ref="AB165">IF(AND($AD$123=TRUE,SUM(B165:L165)&gt;0),SUMPRODUCT((((TRANSPOSE(Cls3CentDailyRng)&lt;INDEX(CDRANGE_CLS3,$A165-$A$128+1,AD$124))*TRANSPOSE(Cls3CentDailyRng)+(TRANSPOSE(Cls3CentDailyRng)&gt;INDEX(CDRANGE_CLS3,$A165-$A$128+1,AD$124))*INDEX(CDRANGE_CLS3,$A165-$A$128+1,AD$124))/TRANSPOSE(Cls3CentDailyRng)),B165:L165,TRANSPOSE(Cls3CentVMTShr))/SUMPRODUCT(B165:L165,TRANSPOSE(Cls3CentVMTShr)),0)</f>
        <v>0</v>
      </c>
      <c r="AC165" s="949">
        <f t="array" ref="AC165">IF(AND($AD$123=TRUE,SUM(O165:Y165)&gt;0),SUMPRODUCT((((TRANSPOSE(Cls3NCentDailyRng)&lt;INDEX(CDRANGE_CLS3,$A165-$A$128+1,AD$124))*TRANSPOSE(Cls3NCentDailyRng)+(TRANSPOSE(Cls3NCentDailyRng)&gt;INDEX(CDRANGE_CLS3,$A165-$A$128+1,AD$124))*INDEX(CDRANGE_CLS3,$A165-$A$128+1,AD$124))/TRANSPOSE(Cls3NCentDailyRng)),O165:Y165,TRANSPOSE(Cls3NCentVMTShr))/SUMPRODUCT(O165:Y165,TRANSPOSE(Cls3NCentVMTShr)),0)</f>
        <v>0</v>
      </c>
      <c r="AD165" s="1226">
        <f t="shared" si="100"/>
        <v>0</v>
      </c>
      <c r="AE165" s="1230">
        <f t="shared" si="97"/>
        <v>8.4666108711735494E-2</v>
      </c>
      <c r="AF165" s="1231">
        <f t="shared" si="98"/>
        <v>0.12254209295957712</v>
      </c>
      <c r="AG165" s="1231">
        <f t="shared" si="99"/>
        <v>0.2072082016713126</v>
      </c>
      <c r="AH165" s="1172">
        <f t="shared" si="95"/>
        <v>0.40860404187107657</v>
      </c>
      <c r="AI165" s="1232">
        <f t="shared" si="96"/>
        <v>0.59139595812892343</v>
      </c>
      <c r="AJ165" s="227"/>
      <c r="AK165" s="227"/>
      <c r="AL165" s="227"/>
      <c r="AM165" s="227"/>
    </row>
    <row r="166" spans="1:39" ht="15" thickBot="1" x14ac:dyDescent="0.25">
      <c r="A166" s="328">
        <v>2045</v>
      </c>
      <c r="B166" s="346">
        <v>1.7396792313087751E-3</v>
      </c>
      <c r="C166" s="347">
        <v>0.24097173787599713</v>
      </c>
      <c r="D166" s="347">
        <v>0.2576434590696195</v>
      </c>
      <c r="E166" s="347">
        <v>0.23862133085301993</v>
      </c>
      <c r="F166" s="347">
        <v>0.2794368552842858</v>
      </c>
      <c r="G166" s="347">
        <v>0.27536535111164062</v>
      </c>
      <c r="H166" s="347">
        <v>0.26653885595422178</v>
      </c>
      <c r="I166" s="347">
        <v>0.26423103449372903</v>
      </c>
      <c r="J166" s="347">
        <v>0.26219978288871998</v>
      </c>
      <c r="K166" s="347">
        <v>0.25993836631974626</v>
      </c>
      <c r="L166" s="381">
        <v>0.25993836631974626</v>
      </c>
      <c r="M166" s="310">
        <f t="shared" si="90"/>
        <v>8.107778142262545E-2</v>
      </c>
      <c r="N166" s="312">
        <f t="shared" si="91"/>
        <v>5.4455873068819244E-2</v>
      </c>
      <c r="O166" s="346">
        <v>1.2319707259478801E-3</v>
      </c>
      <c r="P166" s="347">
        <v>0.243819054191907</v>
      </c>
      <c r="Q166" s="347">
        <v>0.24763433248591427</v>
      </c>
      <c r="R166" s="347">
        <v>0.23790980512279114</v>
      </c>
      <c r="S166" s="347">
        <v>0.27868538183422542</v>
      </c>
      <c r="T166" s="347">
        <v>0.27238217953990534</v>
      </c>
      <c r="U166" s="347">
        <v>0.26653885595422178</v>
      </c>
      <c r="V166" s="347">
        <v>0.26274410241733537</v>
      </c>
      <c r="W166" s="347">
        <v>0.26107984400015249</v>
      </c>
      <c r="X166" s="347">
        <v>0.25993836631974626</v>
      </c>
      <c r="Y166" s="381">
        <v>0.25922763861153608</v>
      </c>
      <c r="Z166" s="310">
        <f t="shared" si="92"/>
        <v>0.12036666605131027</v>
      </c>
      <c r="AA166" s="312">
        <f t="shared" si="93"/>
        <v>8.4156323090025881E-2</v>
      </c>
      <c r="AB166" s="948">
        <f t="array" ref="AB166">IF(AND($AD$123=TRUE,SUM(B166:L166)&gt;0),SUMPRODUCT((((TRANSPOSE(Cls3CentDailyRng)&lt;INDEX(CDRANGE_CLS3,$A166-$A$128+1,AD$124))*TRANSPOSE(Cls3CentDailyRng)+(TRANSPOSE(Cls3CentDailyRng)&gt;INDEX(CDRANGE_CLS3,$A166-$A$128+1,AD$124))*INDEX(CDRANGE_CLS3,$A166-$A$128+1,AD$124))/TRANSPOSE(Cls3CentDailyRng)),B166:L166,TRANSPOSE(Cls3CentVMTShr))/SUMPRODUCT(B166:L166,TRANSPOSE(Cls3CentVMTShr)),0)</f>
        <v>0</v>
      </c>
      <c r="AC166" s="949">
        <f t="array" ref="AC166">IF(AND($AD$123=TRUE,SUM(O166:Y166)&gt;0),SUMPRODUCT((((TRANSPOSE(Cls3NCentDailyRng)&lt;INDEX(CDRANGE_CLS3,$A166-$A$128+1,AD$124))*TRANSPOSE(Cls3NCentDailyRng)+(TRANSPOSE(Cls3NCentDailyRng)&gt;INDEX(CDRANGE_CLS3,$A166-$A$128+1,AD$124))*INDEX(CDRANGE_CLS3,$A166-$A$128+1,AD$124))/TRANSPOSE(Cls3NCentDailyRng)),O166:Y166,TRANSPOSE(Cls3NCentVMTShr))/SUMPRODUCT(O166:Y166,TRANSPOSE(Cls3NCentVMTShr)),0)</f>
        <v>0</v>
      </c>
      <c r="AD166" s="1226">
        <f t="shared" si="100"/>
        <v>0</v>
      </c>
      <c r="AE166" s="1230">
        <f t="shared" si="97"/>
        <v>8.107778142262545E-2</v>
      </c>
      <c r="AF166" s="1231">
        <f t="shared" si="98"/>
        <v>0.12036666605131027</v>
      </c>
      <c r="AG166" s="1231">
        <f t="shared" si="99"/>
        <v>0.20144444747393572</v>
      </c>
      <c r="AH166" s="1172">
        <f t="shared" si="95"/>
        <v>0.40248208595134327</v>
      </c>
      <c r="AI166" s="1232">
        <f t="shared" si="96"/>
        <v>0.59751791404865673</v>
      </c>
      <c r="AJ166" s="227"/>
      <c r="AK166" s="227"/>
      <c r="AL166" s="227"/>
      <c r="AM166" s="227"/>
    </row>
    <row r="167" spans="1:39" x14ac:dyDescent="0.2">
      <c r="A167" s="329">
        <v>2046</v>
      </c>
      <c r="B167" s="342">
        <v>1.7396792335753991E-3</v>
      </c>
      <c r="C167" s="343">
        <v>0.22555057444044818</v>
      </c>
      <c r="D167" s="343">
        <v>0.24571794043687997</v>
      </c>
      <c r="E167" s="343">
        <v>0.23304677331839105</v>
      </c>
      <c r="F167" s="343">
        <v>0.27712595710222909</v>
      </c>
      <c r="G167" s="343">
        <v>0.27329527095712797</v>
      </c>
      <c r="H167" s="343">
        <v>0.26654932197480014</v>
      </c>
      <c r="I167" s="343">
        <v>0.26424159492707117</v>
      </c>
      <c r="J167" s="343">
        <v>0.26109060209767609</v>
      </c>
      <c r="K167" s="343">
        <v>0.25994920326836757</v>
      </c>
      <c r="L167" s="379">
        <v>0.25994920326836757</v>
      </c>
      <c r="M167" s="282">
        <f t="shared" si="90"/>
        <v>7.7392624418819389E-2</v>
      </c>
      <c r="N167" s="284">
        <f t="shared" si="91"/>
        <v>5.1554523525900342E-2</v>
      </c>
      <c r="O167" s="342">
        <v>1.2319707275530117E-3</v>
      </c>
      <c r="P167" s="343">
        <v>0.22591141115274552</v>
      </c>
      <c r="Q167" s="343">
        <v>0.23835209381953587</v>
      </c>
      <c r="R167" s="343">
        <v>0.23256373616418294</v>
      </c>
      <c r="S167" s="343">
        <v>0.27869559206139699</v>
      </c>
      <c r="T167" s="343">
        <v>0.27057484845929647</v>
      </c>
      <c r="U167" s="343">
        <v>0.26506766535361403</v>
      </c>
      <c r="V167" s="343">
        <v>0.26275478611665537</v>
      </c>
      <c r="W167" s="343">
        <v>0.26109060209767609</v>
      </c>
      <c r="X167" s="343">
        <v>0.25994920326836757</v>
      </c>
      <c r="Y167" s="379">
        <v>0.25923854941860897</v>
      </c>
      <c r="Z167" s="282">
        <f t="shared" si="92"/>
        <v>0.11438739062651396</v>
      </c>
      <c r="AA167" s="284">
        <f t="shared" si="93"/>
        <v>7.9005036937945736E-2</v>
      </c>
      <c r="AB167" s="948">
        <f t="array" ref="AB167">IF(AND($AD$123=TRUE,SUM(B167:L167)&gt;0),SUMPRODUCT((((TRANSPOSE(Cls3CentDailyRng)&lt;INDEX(CDRANGE_CLS3,$A167-$A$128+1,AD$124))*TRANSPOSE(Cls3CentDailyRng)+(TRANSPOSE(Cls3CentDailyRng)&gt;INDEX(CDRANGE_CLS3,$A167-$A$128+1,AD$124))*INDEX(CDRANGE_CLS3,$A167-$A$128+1,AD$124))/TRANSPOSE(Cls3CentDailyRng)),B167:L167,TRANSPOSE(Cls3CentVMTShr))/SUMPRODUCT(B167:L167,TRANSPOSE(Cls3CentVMTShr)),0)</f>
        <v>0</v>
      </c>
      <c r="AC167" s="949">
        <f t="array" ref="AC167">IF(AND($AD$123=TRUE,SUM(O167:Y167)&gt;0),SUMPRODUCT((((TRANSPOSE(Cls3NCentDailyRng)&lt;INDEX(CDRANGE_CLS3,$A167-$A$128+1,AD$124))*TRANSPOSE(Cls3NCentDailyRng)+(TRANSPOSE(Cls3NCentDailyRng)&gt;INDEX(CDRANGE_CLS3,$A167-$A$128+1,AD$124))*INDEX(CDRANGE_CLS3,$A167-$A$128+1,AD$124))/TRANSPOSE(Cls3NCentDailyRng)),O167:Y167,TRANSPOSE(Cls3NCentVMTShr))/SUMPRODUCT(O167:Y167,TRANSPOSE(Cls3NCentVMTShr)),0)</f>
        <v>0</v>
      </c>
      <c r="AD167" s="1226">
        <f t="shared" si="100"/>
        <v>0</v>
      </c>
      <c r="AE167" s="1230">
        <f t="shared" si="97"/>
        <v>7.7392624418819389E-2</v>
      </c>
      <c r="AF167" s="1231">
        <f t="shared" si="98"/>
        <v>0.11438739062651396</v>
      </c>
      <c r="AG167" s="1231">
        <f t="shared" si="99"/>
        <v>0.19178001504533335</v>
      </c>
      <c r="AH167" s="1172">
        <f t="shared" si="95"/>
        <v>0.40354895373496119</v>
      </c>
      <c r="AI167" s="1232">
        <f t="shared" si="96"/>
        <v>0.59645104626503875</v>
      </c>
      <c r="AJ167" s="227"/>
      <c r="AK167" s="227"/>
      <c r="AL167" s="227"/>
      <c r="AM167" s="227"/>
    </row>
    <row r="168" spans="1:39" x14ac:dyDescent="0.2">
      <c r="A168" s="330">
        <v>2047</v>
      </c>
      <c r="B168" s="344">
        <v>2.0610027603521993E-3</v>
      </c>
      <c r="C168" s="345">
        <v>0.21119578221160962</v>
      </c>
      <c r="D168" s="345">
        <v>0.23357394525675734</v>
      </c>
      <c r="E168" s="345">
        <v>0.22943564425346591</v>
      </c>
      <c r="F168" s="345">
        <v>0.27490673405015081</v>
      </c>
      <c r="G168" s="345">
        <v>0.27134219349435629</v>
      </c>
      <c r="H168" s="345">
        <v>0.26507828991574406</v>
      </c>
      <c r="I168" s="345">
        <v>0.26294573449154207</v>
      </c>
      <c r="J168" s="345">
        <v>0.26110135820393859</v>
      </c>
      <c r="K168" s="345">
        <v>0.25996003822560598</v>
      </c>
      <c r="L168" s="380">
        <v>0.25996003822560598</v>
      </c>
      <c r="M168" s="296">
        <f t="shared" si="90"/>
        <v>7.3941553140029079E-2</v>
      </c>
      <c r="N168" s="298">
        <f t="shared" si="91"/>
        <v>4.887648487533431E-2</v>
      </c>
      <c r="O168" s="344">
        <v>1.4654654337580382E-3</v>
      </c>
      <c r="P168" s="345">
        <v>0.20565009136580728</v>
      </c>
      <c r="Q168" s="345">
        <v>0.22904180765287374</v>
      </c>
      <c r="R168" s="345">
        <v>0.23081117350359082</v>
      </c>
      <c r="S168" s="345">
        <v>0.27657572526303775</v>
      </c>
      <c r="T168" s="345">
        <v>0.27058538559216389</v>
      </c>
      <c r="U168" s="345">
        <v>0.26507828991574406</v>
      </c>
      <c r="V168" s="345">
        <v>0.26164112199161943</v>
      </c>
      <c r="W168" s="345">
        <v>0.26017656117117594</v>
      </c>
      <c r="X168" s="345">
        <v>0.25996003822560598</v>
      </c>
      <c r="Y168" s="380">
        <v>0.25924945823266971</v>
      </c>
      <c r="Z168" s="296">
        <f t="shared" si="92"/>
        <v>0.10800013456307962</v>
      </c>
      <c r="AA168" s="298">
        <f t="shared" si="93"/>
        <v>7.3390972188952922E-2</v>
      </c>
      <c r="AB168" s="948">
        <f t="array" ref="AB168">IF(AND($AD$123=TRUE,SUM(B168:L168)&gt;0),SUMPRODUCT((((TRANSPOSE(Cls3CentDailyRng)&lt;INDEX(CDRANGE_CLS3,$A168-$A$128+1,AD$124))*TRANSPOSE(Cls3CentDailyRng)+(TRANSPOSE(Cls3CentDailyRng)&gt;INDEX(CDRANGE_CLS3,$A168-$A$128+1,AD$124))*INDEX(CDRANGE_CLS3,$A168-$A$128+1,AD$124))/TRANSPOSE(Cls3CentDailyRng)),B168:L168,TRANSPOSE(Cls3CentVMTShr))/SUMPRODUCT(B168:L168,TRANSPOSE(Cls3CentVMTShr)),0)</f>
        <v>0</v>
      </c>
      <c r="AC168" s="949">
        <f t="array" ref="AC168">IF(AND($AD$123=TRUE,SUM(O168:Y168)&gt;0),SUMPRODUCT((((TRANSPOSE(Cls3NCentDailyRng)&lt;INDEX(CDRANGE_CLS3,$A168-$A$128+1,AD$124))*TRANSPOSE(Cls3NCentDailyRng)+(TRANSPOSE(Cls3NCentDailyRng)&gt;INDEX(CDRANGE_CLS3,$A168-$A$128+1,AD$124))*INDEX(CDRANGE_CLS3,$A168-$A$128+1,AD$124))/TRANSPOSE(Cls3NCentDailyRng)),O168:Y168,TRANSPOSE(Cls3NCentVMTShr))/SUMPRODUCT(O168:Y168,TRANSPOSE(Cls3NCentVMTShr)),0)</f>
        <v>0</v>
      </c>
      <c r="AD168" s="1226">
        <f t="shared" si="100"/>
        <v>0</v>
      </c>
      <c r="AE168" s="1230">
        <f t="shared" si="97"/>
        <v>7.3941553140029079E-2</v>
      </c>
      <c r="AF168" s="1231">
        <f t="shared" si="98"/>
        <v>0.10800013456307962</v>
      </c>
      <c r="AG168" s="1231">
        <f t="shared" si="99"/>
        <v>0.1819416877031087</v>
      </c>
      <c r="AH168" s="1172">
        <f t="shared" si="95"/>
        <v>0.40640248023139391</v>
      </c>
      <c r="AI168" s="1232">
        <f t="shared" si="96"/>
        <v>0.59359751976860609</v>
      </c>
      <c r="AJ168" s="227"/>
      <c r="AK168" s="227"/>
      <c r="AL168" s="227"/>
      <c r="AM168" s="227"/>
    </row>
    <row r="169" spans="1:39" x14ac:dyDescent="0.2">
      <c r="A169" s="330">
        <v>2048</v>
      </c>
      <c r="B169" s="344">
        <v>2.4366945834965489E-3</v>
      </c>
      <c r="C169" s="345">
        <v>0.19772052244206231</v>
      </c>
      <c r="D169" s="345">
        <v>0.22667953638060082</v>
      </c>
      <c r="E169" s="345">
        <v>0.2259878317719474</v>
      </c>
      <c r="F169" s="345">
        <v>0.27491692478860158</v>
      </c>
      <c r="G169" s="345">
        <v>0.27135262971087171</v>
      </c>
      <c r="H169" s="345">
        <v>0.26508892731573275</v>
      </c>
      <c r="I169" s="345">
        <v>0.26295644573193866</v>
      </c>
      <c r="J169" s="345">
        <v>0.2611121273310224</v>
      </c>
      <c r="K169" s="345">
        <v>0.25997088630963056</v>
      </c>
      <c r="L169" s="380">
        <v>0.25997088630963056</v>
      </c>
      <c r="M169" s="296">
        <f t="shared" si="90"/>
        <v>7.1171426290893694E-2</v>
      </c>
      <c r="N169" s="298">
        <f t="shared" si="91"/>
        <v>4.6620942931233061E-2</v>
      </c>
      <c r="O169" s="344">
        <v>1.4654654337580382E-3</v>
      </c>
      <c r="P169" s="345">
        <v>0.19840359774631305</v>
      </c>
      <c r="Q169" s="345">
        <v>0.22239128895136406</v>
      </c>
      <c r="R169" s="345">
        <v>0.22753349615624396</v>
      </c>
      <c r="S169" s="345">
        <v>0.27658618735912271</v>
      </c>
      <c r="T169" s="345">
        <v>0.26892163001353869</v>
      </c>
      <c r="U169" s="345">
        <v>0.26508892731573275</v>
      </c>
      <c r="V169" s="345">
        <v>0.261651935690769</v>
      </c>
      <c r="W169" s="345">
        <v>0.26018742733402833</v>
      </c>
      <c r="X169" s="345">
        <v>0.25997088630963056</v>
      </c>
      <c r="Y169" s="380">
        <v>0.25878647381959796</v>
      </c>
      <c r="Z169" s="296">
        <f t="shared" si="92"/>
        <v>0.10527412715354703</v>
      </c>
      <c r="AA169" s="298">
        <f t="shared" si="93"/>
        <v>7.1146495729743728E-2</v>
      </c>
      <c r="AB169" s="948">
        <f t="array" ref="AB169">IF(AND($AD$123=TRUE,SUM(B169:L169)&gt;0),SUMPRODUCT((((TRANSPOSE(Cls3CentDailyRng)&lt;INDEX(CDRANGE_CLS3,$A169-$A$128+1,AD$124))*TRANSPOSE(Cls3CentDailyRng)+(TRANSPOSE(Cls3CentDailyRng)&gt;INDEX(CDRANGE_CLS3,$A169-$A$128+1,AD$124))*INDEX(CDRANGE_CLS3,$A169-$A$128+1,AD$124))/TRANSPOSE(Cls3CentDailyRng)),B169:L169,TRANSPOSE(Cls3CentVMTShr))/SUMPRODUCT(B169:L169,TRANSPOSE(Cls3CentVMTShr)),0)</f>
        <v>0</v>
      </c>
      <c r="AC169" s="949">
        <f t="array" ref="AC169">IF(AND($AD$123=TRUE,SUM(O169:Y169)&gt;0),SUMPRODUCT((((TRANSPOSE(Cls3NCentDailyRng)&lt;INDEX(CDRANGE_CLS3,$A169-$A$128+1,AD$124))*TRANSPOSE(Cls3NCentDailyRng)+(TRANSPOSE(Cls3NCentDailyRng)&gt;INDEX(CDRANGE_CLS3,$A169-$A$128+1,AD$124))*INDEX(CDRANGE_CLS3,$A169-$A$128+1,AD$124))/TRANSPOSE(Cls3NCentDailyRng)),O169:Y169,TRANSPOSE(Cls3NCentVMTShr))/SUMPRODUCT(O169:Y169,TRANSPOSE(Cls3NCentVMTShr)),0)</f>
        <v>0</v>
      </c>
      <c r="AD169" s="1226">
        <f t="shared" si="100"/>
        <v>0</v>
      </c>
      <c r="AE169" s="1230">
        <f t="shared" si="97"/>
        <v>7.1171426290893694E-2</v>
      </c>
      <c r="AF169" s="1231">
        <f t="shared" si="98"/>
        <v>0.10527412715354703</v>
      </c>
      <c r="AG169" s="1231">
        <f t="shared" si="99"/>
        <v>0.17644555344444074</v>
      </c>
      <c r="AH169" s="1172">
        <f t="shared" si="95"/>
        <v>0.40336197144976049</v>
      </c>
      <c r="AI169" s="1232">
        <f t="shared" si="96"/>
        <v>0.5966380285502394</v>
      </c>
      <c r="AJ169" s="227"/>
      <c r="AK169" s="227"/>
      <c r="AL169" s="227"/>
      <c r="AM169" s="227"/>
    </row>
    <row r="170" spans="1:39" x14ac:dyDescent="0.2">
      <c r="A170" s="330">
        <v>2049</v>
      </c>
      <c r="B170" s="344">
        <v>2.4366945834965489E-3</v>
      </c>
      <c r="C170" s="345">
        <v>0.18867075100623007</v>
      </c>
      <c r="D170" s="345">
        <v>0.2242861566594527</v>
      </c>
      <c r="E170" s="345">
        <v>0.22580617852011886</v>
      </c>
      <c r="F170" s="345">
        <v>0.27082318551381224</v>
      </c>
      <c r="G170" s="345">
        <v>0.27333958855215545</v>
      </c>
      <c r="H170" s="345">
        <v>0.26509957030599363</v>
      </c>
      <c r="I170" s="345">
        <v>0.2629671626144105</v>
      </c>
      <c r="J170" s="345">
        <v>0.26112290214165379</v>
      </c>
      <c r="K170" s="345">
        <v>0.25927130809435339</v>
      </c>
      <c r="L170" s="380">
        <v>0.25927130809435339</v>
      </c>
      <c r="M170" s="296">
        <f t="shared" si="90"/>
        <v>6.9500419564425236E-2</v>
      </c>
      <c r="N170" s="298">
        <f t="shared" si="91"/>
        <v>4.5188596012073541E-2</v>
      </c>
      <c r="O170" s="344">
        <v>1.7396792335753991E-3</v>
      </c>
      <c r="P170" s="345">
        <v>0.18878687790688259</v>
      </c>
      <c r="Q170" s="345">
        <v>0.22019782006242405</v>
      </c>
      <c r="R170" s="345">
        <v>0.22598260823371974</v>
      </c>
      <c r="S170" s="345">
        <v>0.27458672900048292</v>
      </c>
      <c r="T170" s="345">
        <v>0.26893236806936766</v>
      </c>
      <c r="U170" s="345">
        <v>0.2637852716765014</v>
      </c>
      <c r="V170" s="345">
        <v>0.26112290214165379</v>
      </c>
      <c r="W170" s="345">
        <v>0.26019829924294008</v>
      </c>
      <c r="X170" s="345">
        <v>0.25927130809435339</v>
      </c>
      <c r="Y170" s="380">
        <v>0.25879745068619014</v>
      </c>
      <c r="Z170" s="296">
        <f t="shared" si="92"/>
        <v>0.10236288784817538</v>
      </c>
      <c r="AA170" s="298">
        <f t="shared" si="93"/>
        <v>6.8603278164858658E-2</v>
      </c>
      <c r="AB170" s="948">
        <f t="array" ref="AB170">IF(AND($AD$123=TRUE,SUM(B170:L170)&gt;0),SUMPRODUCT((((TRANSPOSE(Cls3CentDailyRng)&lt;INDEX(CDRANGE_CLS3,$A170-$A$128+1,AD$124))*TRANSPOSE(Cls3CentDailyRng)+(TRANSPOSE(Cls3CentDailyRng)&gt;INDEX(CDRANGE_CLS3,$A170-$A$128+1,AD$124))*INDEX(CDRANGE_CLS3,$A170-$A$128+1,AD$124))/TRANSPOSE(Cls3CentDailyRng)),B170:L170,TRANSPOSE(Cls3CentVMTShr))/SUMPRODUCT(B170:L170,TRANSPOSE(Cls3CentVMTShr)),0)</f>
        <v>0</v>
      </c>
      <c r="AC170" s="949">
        <f t="array" ref="AC170">IF(AND($AD$123=TRUE,SUM(O170:Y170)&gt;0),SUMPRODUCT((((TRANSPOSE(Cls3NCentDailyRng)&lt;INDEX(CDRANGE_CLS3,$A170-$A$128+1,AD$124))*TRANSPOSE(Cls3NCentDailyRng)+(TRANSPOSE(Cls3NCentDailyRng)&gt;INDEX(CDRANGE_CLS3,$A170-$A$128+1,AD$124))*INDEX(CDRANGE_CLS3,$A170-$A$128+1,AD$124))/TRANSPOSE(Cls3NCentDailyRng)),O170:Y170,TRANSPOSE(Cls3NCentVMTShr))/SUMPRODUCT(O170:Y170,TRANSPOSE(Cls3NCentVMTShr)),0)</f>
        <v>0</v>
      </c>
      <c r="AD170" s="1226">
        <f t="shared" si="100"/>
        <v>0</v>
      </c>
      <c r="AE170" s="1230">
        <f t="shared" si="97"/>
        <v>6.9500419564425236E-2</v>
      </c>
      <c r="AF170" s="1231">
        <f t="shared" si="98"/>
        <v>0.10236288784817538</v>
      </c>
      <c r="AG170" s="1231">
        <f t="shared" si="99"/>
        <v>0.17186330741260061</v>
      </c>
      <c r="AH170" s="1172">
        <f t="shared" si="95"/>
        <v>0.4043935881995579</v>
      </c>
      <c r="AI170" s="1232">
        <f t="shared" si="96"/>
        <v>0.59560641180044216</v>
      </c>
      <c r="AJ170" s="227"/>
      <c r="AK170" s="227"/>
      <c r="AL170" s="227"/>
      <c r="AM170" s="227"/>
    </row>
    <row r="171" spans="1:39" ht="15" thickBot="1" x14ac:dyDescent="0.25">
      <c r="A171" s="328">
        <v>2050</v>
      </c>
      <c r="B171" s="346">
        <v>2.8749747875978326E-3</v>
      </c>
      <c r="C171" s="347">
        <v>0.20671675981383653</v>
      </c>
      <c r="D171" s="347">
        <v>0.22197366180289713</v>
      </c>
      <c r="E171" s="347">
        <v>0.2241428002758695</v>
      </c>
      <c r="F171" s="347">
        <v>0.27083347526085993</v>
      </c>
      <c r="G171" s="347">
        <v>0.27177793488276925</v>
      </c>
      <c r="H171" s="347">
        <v>0.26379606102104264</v>
      </c>
      <c r="I171" s="347">
        <v>0.26297788513678244</v>
      </c>
      <c r="J171" s="347">
        <v>0.26113368263366321</v>
      </c>
      <c r="K171" s="347">
        <v>0.25928224169840075</v>
      </c>
      <c r="L171" s="381">
        <v>0.25928224169840075</v>
      </c>
      <c r="M171" s="310">
        <f t="shared" si="90"/>
        <v>7.1948232001837004E-2</v>
      </c>
      <c r="N171" s="312">
        <f t="shared" si="91"/>
        <v>4.7663693940840086E-2</v>
      </c>
      <c r="O171" s="346">
        <v>2.0610027603521993E-3</v>
      </c>
      <c r="P171" s="347">
        <v>0.20346999477028765</v>
      </c>
      <c r="Q171" s="347">
        <v>0.21609902320881857</v>
      </c>
      <c r="R171" s="347">
        <v>0.22426770671970936</v>
      </c>
      <c r="S171" s="347">
        <v>0.27459742580640972</v>
      </c>
      <c r="T171" s="347">
        <v>0.26761779723507861</v>
      </c>
      <c r="U171" s="347">
        <v>0.26379606102104264</v>
      </c>
      <c r="V171" s="347">
        <v>0.26113368263366321</v>
      </c>
      <c r="W171" s="347">
        <v>0.25999259968274446</v>
      </c>
      <c r="X171" s="347">
        <v>0.25928224169840075</v>
      </c>
      <c r="Y171" s="381">
        <v>0.25880843336600245</v>
      </c>
      <c r="Z171" s="310">
        <f t="shared" si="92"/>
        <v>0.10590271406119083</v>
      </c>
      <c r="AA171" s="312">
        <f t="shared" si="93"/>
        <v>7.221816485130074E-2</v>
      </c>
      <c r="AB171" s="950">
        <f t="array" ref="AB171">IF(AND($AD$123=TRUE,SUM(B171:L171)&gt;0),SUMPRODUCT((((TRANSPOSE(Cls3CentDailyRng)&lt;INDEX(CDRANGE_CLS3,$A171-$A$128+1,AD$124))*TRANSPOSE(Cls3CentDailyRng)+(TRANSPOSE(Cls3CentDailyRng)&gt;INDEX(CDRANGE_CLS3,$A171-$A$128+1,AD$124))*INDEX(CDRANGE_CLS3,$A171-$A$128+1,AD$124))/TRANSPOSE(Cls3CentDailyRng)),B171:L171,TRANSPOSE(Cls3CentVMTShr))/SUMPRODUCT(B171:L171,TRANSPOSE(Cls3CentVMTShr)),0)</f>
        <v>0</v>
      </c>
      <c r="AC171" s="951">
        <f t="array" ref="AC171">IF(AND($AD$123=TRUE,SUM(O171:Y171)&gt;0),SUMPRODUCT((((TRANSPOSE(Cls3NCentDailyRng)&lt;INDEX(CDRANGE_CLS3,$A171-$A$128+1,AD$124))*TRANSPOSE(Cls3NCentDailyRng)+(TRANSPOSE(Cls3NCentDailyRng)&gt;INDEX(CDRANGE_CLS3,$A171-$A$128+1,AD$124))*INDEX(CDRANGE_CLS3,$A171-$A$128+1,AD$124))/TRANSPOSE(Cls3NCentDailyRng)),O171:Y171,TRANSPOSE(Cls3NCentVMTShr))/SUMPRODUCT(O171:Y171,TRANSPOSE(Cls3NCentVMTShr)),0)</f>
        <v>0</v>
      </c>
      <c r="AD171" s="1227">
        <f t="shared" si="100"/>
        <v>0</v>
      </c>
      <c r="AE171" s="1233">
        <f t="shared" si="97"/>
        <v>7.1948232001837004E-2</v>
      </c>
      <c r="AF171" s="1234">
        <f t="shared" si="98"/>
        <v>0.10590271406119083</v>
      </c>
      <c r="AG171" s="1234">
        <f t="shared" si="99"/>
        <v>0.17785094606302781</v>
      </c>
      <c r="AH171" s="1235">
        <f t="shared" si="95"/>
        <v>0.40454230688398807</v>
      </c>
      <c r="AI171" s="1236">
        <f t="shared" si="96"/>
        <v>0.59545769311601204</v>
      </c>
      <c r="AJ171" s="227"/>
      <c r="AK171" s="227"/>
      <c r="AL171" s="227"/>
      <c r="AM171" s="227"/>
    </row>
    <row r="172" spans="1:39" x14ac:dyDescent="0.2">
      <c r="B172" s="227" t="s">
        <v>240</v>
      </c>
      <c r="O172" s="227" t="s">
        <v>240</v>
      </c>
      <c r="W172" s="323"/>
      <c r="X172" s="323"/>
      <c r="Y172" s="323"/>
      <c r="AJ172" s="227"/>
      <c r="AK172" s="227"/>
      <c r="AL172" s="227"/>
      <c r="AM172" s="227"/>
    </row>
    <row r="173" spans="1:39" ht="15" thickBot="1" x14ac:dyDescent="0.25">
      <c r="W173" s="323"/>
      <c r="X173" s="323"/>
      <c r="Y173" s="323"/>
      <c r="AI173" s="227"/>
      <c r="AJ173" s="227"/>
      <c r="AK173" s="227"/>
      <c r="AL173" s="227"/>
      <c r="AM173" s="227"/>
    </row>
    <row r="174" spans="1:39" ht="15" x14ac:dyDescent="0.2">
      <c r="A174" s="333"/>
      <c r="B174" s="613" t="s">
        <v>197</v>
      </c>
      <c r="C174" s="614"/>
      <c r="D174" s="614"/>
      <c r="E174" s="614"/>
      <c r="F174" s="614"/>
      <c r="G174" s="614"/>
      <c r="H174" s="614"/>
      <c r="I174" s="614"/>
      <c r="J174" s="614"/>
      <c r="K174" s="614"/>
      <c r="L174" s="614"/>
      <c r="M174" s="614"/>
      <c r="N174" s="615"/>
      <c r="O174" s="613" t="s">
        <v>198</v>
      </c>
      <c r="P174" s="614"/>
      <c r="Q174" s="614"/>
      <c r="R174" s="614"/>
      <c r="S174" s="614"/>
      <c r="T174" s="614"/>
      <c r="U174" s="614"/>
      <c r="V174" s="614"/>
      <c r="W174" s="614"/>
      <c r="X174" s="614"/>
      <c r="Y174" s="614"/>
      <c r="Z174" s="614"/>
      <c r="AA174" s="615"/>
      <c r="AI174" s="227"/>
      <c r="AJ174" s="227"/>
      <c r="AK174" s="227"/>
      <c r="AL174" s="227"/>
      <c r="AM174" s="227"/>
    </row>
    <row r="175" spans="1:39" x14ac:dyDescent="0.2">
      <c r="A175" s="324"/>
      <c r="B175" s="616" t="s">
        <v>121</v>
      </c>
      <c r="C175" s="617"/>
      <c r="D175" s="617"/>
      <c r="E175" s="617"/>
      <c r="F175" s="617"/>
      <c r="G175" s="617"/>
      <c r="H175" s="617"/>
      <c r="I175" s="617"/>
      <c r="J175" s="617"/>
      <c r="K175" s="617"/>
      <c r="L175" s="617"/>
      <c r="M175" s="382"/>
      <c r="N175" s="325"/>
      <c r="O175" s="616" t="s">
        <v>121</v>
      </c>
      <c r="P175" s="617"/>
      <c r="Q175" s="617"/>
      <c r="R175" s="617"/>
      <c r="S175" s="617"/>
      <c r="T175" s="617"/>
      <c r="U175" s="617"/>
      <c r="V175" s="617"/>
      <c r="W175" s="617"/>
      <c r="X175" s="617"/>
      <c r="Y175" s="617"/>
      <c r="Z175" s="382"/>
      <c r="AA175" s="325"/>
      <c r="AC175" s="954" t="s">
        <v>267</v>
      </c>
      <c r="AD175" s="234" t="b">
        <f>INDEX(TECH_OPT_FUEL2_Cls3,MATCH(RIGHT(O174),TECH_OPT_ROWS_Cls3,0))&lt;&gt;"N/A"</f>
        <v>0</v>
      </c>
      <c r="AI175" s="227"/>
      <c r="AJ175" s="227"/>
      <c r="AK175" s="227"/>
      <c r="AL175" s="227"/>
      <c r="AM175" s="227"/>
    </row>
    <row r="176" spans="1:39" ht="15" thickBot="1" x14ac:dyDescent="0.25">
      <c r="A176" s="331"/>
      <c r="B176" s="338" t="s">
        <v>28</v>
      </c>
      <c r="C176" s="339" t="s">
        <v>29</v>
      </c>
      <c r="D176" s="339" t="s">
        <v>30</v>
      </c>
      <c r="E176" s="339" t="s">
        <v>31</v>
      </c>
      <c r="F176" s="339" t="s">
        <v>32</v>
      </c>
      <c r="G176" s="339" t="s">
        <v>33</v>
      </c>
      <c r="H176" s="339" t="s">
        <v>34</v>
      </c>
      <c r="I176" s="339" t="s">
        <v>35</v>
      </c>
      <c r="J176" s="339" t="s">
        <v>36</v>
      </c>
      <c r="K176" s="339" t="s">
        <v>37</v>
      </c>
      <c r="L176" s="377" t="s">
        <v>38</v>
      </c>
      <c r="M176" s="383" t="s">
        <v>122</v>
      </c>
      <c r="N176" s="332" t="s">
        <v>123</v>
      </c>
      <c r="O176" s="338" t="s">
        <v>28</v>
      </c>
      <c r="P176" s="339" t="s">
        <v>29</v>
      </c>
      <c r="Q176" s="339" t="s">
        <v>30</v>
      </c>
      <c r="R176" s="339" t="s">
        <v>31</v>
      </c>
      <c r="S176" s="339" t="s">
        <v>32</v>
      </c>
      <c r="T176" s="339" t="s">
        <v>33</v>
      </c>
      <c r="U176" s="339" t="s">
        <v>34</v>
      </c>
      <c r="V176" s="339" t="s">
        <v>35</v>
      </c>
      <c r="W176" s="339" t="s">
        <v>36</v>
      </c>
      <c r="X176" s="339" t="s">
        <v>37</v>
      </c>
      <c r="Y176" s="377" t="s">
        <v>38</v>
      </c>
      <c r="Z176" s="383" t="s">
        <v>122</v>
      </c>
      <c r="AA176" s="332" t="s">
        <v>123</v>
      </c>
      <c r="AB176" s="936"/>
      <c r="AC176" s="954" t="s">
        <v>268</v>
      </c>
      <c r="AD176" s="234">
        <f>MATCH(RIGHT(O174),TECH_OPT_ROWS_Cls3,0)</f>
        <v>4</v>
      </c>
      <c r="AI176" s="227"/>
      <c r="AJ176" s="227"/>
      <c r="AK176" s="227"/>
      <c r="AL176" s="227"/>
      <c r="AM176" s="227"/>
    </row>
    <row r="177" spans="1:39" ht="16" thickTop="1" thickBot="1" x14ac:dyDescent="0.25">
      <c r="A177" s="348" t="s">
        <v>124</v>
      </c>
      <c r="B177" s="340">
        <f t="array" ref="B177:L177">TRANSPOSE(Cls3CentTruckShr)</f>
        <v>0.16490316390132354</v>
      </c>
      <c r="C177" s="341">
        <v>0.14150050624583405</v>
      </c>
      <c r="D177" s="341">
        <v>5.0842757108027201E-2</v>
      </c>
      <c r="E177" s="341">
        <v>1.7493235097392132E-2</v>
      </c>
      <c r="F177" s="341">
        <v>6.5645600537602268E-3</v>
      </c>
      <c r="G177" s="341">
        <v>1.3068268788829179E-4</v>
      </c>
      <c r="H177" s="341">
        <v>2.9863696966199553E-3</v>
      </c>
      <c r="I177" s="341">
        <v>0</v>
      </c>
      <c r="J177" s="341">
        <v>0</v>
      </c>
      <c r="K177" s="341">
        <v>5.0573390409248292E-4</v>
      </c>
      <c r="L177" s="378">
        <v>0</v>
      </c>
      <c r="M177" s="384"/>
      <c r="N177" s="336"/>
      <c r="O177" s="340">
        <f t="array" ref="O177:Y177">TRANSPOSE(Cls3NCentTruckShr)</f>
        <v>0.27324001996593789</v>
      </c>
      <c r="P177" s="341">
        <v>0.25610450783680394</v>
      </c>
      <c r="Q177" s="341">
        <v>4.6572125423937315E-2</v>
      </c>
      <c r="R177" s="341">
        <v>2.2779497082922668E-2</v>
      </c>
      <c r="S177" s="341">
        <v>5.0811779544371336E-3</v>
      </c>
      <c r="T177" s="341">
        <v>2.5955840495899339E-3</v>
      </c>
      <c r="U177" s="341">
        <v>4.3441677754441459E-3</v>
      </c>
      <c r="V177" s="341">
        <v>3.7558983870508854E-3</v>
      </c>
      <c r="W177" s="341">
        <v>4.897828379299261E-4</v>
      </c>
      <c r="X177" s="341">
        <v>0</v>
      </c>
      <c r="Y177" s="1209">
        <v>1.1022999100839563E-4</v>
      </c>
      <c r="Z177" s="1214"/>
      <c r="AA177" s="1215"/>
      <c r="AI177" s="227"/>
      <c r="AJ177" s="227"/>
      <c r="AK177" s="227"/>
      <c r="AL177" s="227"/>
      <c r="AM177" s="227"/>
    </row>
    <row r="178" spans="1:39" x14ac:dyDescent="0.2">
      <c r="A178" s="331" t="s">
        <v>125</v>
      </c>
      <c r="B178" s="923">
        <f t="array" ref="B178:L178">TRANSPOSE(Cls3CentVMTShr)</f>
        <v>7.4407503791532936E-2</v>
      </c>
      <c r="C178" s="924">
        <v>0.15052192967997111</v>
      </c>
      <c r="D178" s="924">
        <v>8.9028098283245441E-2</v>
      </c>
      <c r="E178" s="924">
        <v>4.5356257743642811E-2</v>
      </c>
      <c r="F178" s="924">
        <v>2.1016507050137231E-2</v>
      </c>
      <c r="G178" s="924">
        <v>4.9007047894213725E-4</v>
      </c>
      <c r="H178" s="924">
        <v>1.4797621296467818E-2</v>
      </c>
      <c r="I178" s="924">
        <v>0</v>
      </c>
      <c r="J178" s="924">
        <v>0</v>
      </c>
      <c r="K178" s="924">
        <v>3.7103078033661591E-3</v>
      </c>
      <c r="L178" s="1210">
        <v>0</v>
      </c>
      <c r="M178" s="1211"/>
      <c r="N178" s="1212"/>
      <c r="O178" s="923">
        <f t="array" ref="O178:Y178">TRANSPOSE(Cls3NCentVMTShr)</f>
        <v>0.11481596497083862</v>
      </c>
      <c r="P178" s="924">
        <v>0.26987209279577573</v>
      </c>
      <c r="Q178" s="924">
        <v>8.3836105982992667E-2</v>
      </c>
      <c r="R178" s="924">
        <v>5.9842896537765707E-2</v>
      </c>
      <c r="S178" s="924">
        <v>1.6413649143963899E-2</v>
      </c>
      <c r="T178" s="924">
        <v>1.0165768727376887E-2</v>
      </c>
      <c r="U178" s="924">
        <v>2.0700108148562976E-2</v>
      </c>
      <c r="V178" s="924">
        <v>2.0956833812228508E-2</v>
      </c>
      <c r="W178" s="924">
        <v>3.1584958359553582E-3</v>
      </c>
      <c r="X178" s="924">
        <v>0</v>
      </c>
      <c r="Y178" s="925">
        <v>9.0978791723388369E-4</v>
      </c>
      <c r="Z178" s="1211"/>
      <c r="AA178" s="1212"/>
      <c r="AB178" s="1568" t="str">
        <f>"% of miles on f2 for Tech "&amp; RIGHT(O173)&amp;" adopters"</f>
        <v>% of miles on f2 for Tech  adopters</v>
      </c>
      <c r="AC178" s="1569"/>
      <c r="AD178" s="1570"/>
      <c r="AE178" s="1237" t="s">
        <v>298</v>
      </c>
      <c r="AF178" s="1238"/>
      <c r="AG178" s="1238"/>
      <c r="AH178" s="1228" t="s">
        <v>297</v>
      </c>
      <c r="AI178" s="1229"/>
      <c r="AJ178" s="227"/>
      <c r="AK178" s="227"/>
      <c r="AL178" s="227"/>
      <c r="AM178" s="227"/>
    </row>
    <row r="179" spans="1:39" ht="15" thickBot="1" x14ac:dyDescent="0.25">
      <c r="A179" s="942" t="s">
        <v>266</v>
      </c>
      <c r="B179" s="933">
        <f t="array" ref="B179:L179">TRANSPOSE(Cls3CentVMT/OPDAYS_Cls3)</f>
        <v>49.202805162026571</v>
      </c>
      <c r="C179" s="934">
        <v>115.99623692884222</v>
      </c>
      <c r="D179" s="934">
        <v>190.94140758026836</v>
      </c>
      <c r="E179" s="934">
        <v>282.72824571583544</v>
      </c>
      <c r="F179" s="934">
        <v>349.10577157713089</v>
      </c>
      <c r="G179" s="934">
        <v>408.92399999999998</v>
      </c>
      <c r="H179" s="934">
        <v>540.31926836851005</v>
      </c>
      <c r="I179" s="934">
        <v>600</v>
      </c>
      <c r="J179" s="934">
        <v>680</v>
      </c>
      <c r="K179" s="934">
        <v>800.00000000000011</v>
      </c>
      <c r="L179" s="935">
        <v>800</v>
      </c>
      <c r="M179" s="931"/>
      <c r="N179" s="932"/>
      <c r="O179" s="933">
        <f t="array" ref="O179:Y179">TRANSPOSE(Cls3NCentVMT/OPDAYS_Cls3)</f>
        <v>45.820527909508108</v>
      </c>
      <c r="P179" s="934">
        <v>114.90604343518244</v>
      </c>
      <c r="Q179" s="934">
        <v>196.29405935940918</v>
      </c>
      <c r="R179" s="934">
        <v>286.46435582159182</v>
      </c>
      <c r="S179" s="934">
        <v>352.24339419308075</v>
      </c>
      <c r="T179" s="934">
        <v>427.07804424634116</v>
      </c>
      <c r="U179" s="934">
        <v>519.59880241076587</v>
      </c>
      <c r="V179" s="934">
        <v>608.4346682070543</v>
      </c>
      <c r="W179" s="934">
        <v>703.2</v>
      </c>
      <c r="X179" s="934">
        <v>760</v>
      </c>
      <c r="Y179" s="1213">
        <v>900</v>
      </c>
      <c r="Z179" s="943"/>
      <c r="AA179" s="932"/>
      <c r="AB179" s="945" t="s">
        <v>186</v>
      </c>
      <c r="AC179" s="946" t="s">
        <v>15</v>
      </c>
      <c r="AD179" s="947" t="s">
        <v>18</v>
      </c>
      <c r="AE179" s="330" t="s">
        <v>186</v>
      </c>
      <c r="AF179" s="1239" t="s">
        <v>15</v>
      </c>
      <c r="AG179" s="1239" t="s">
        <v>18</v>
      </c>
      <c r="AH179" s="1240" t="s">
        <v>186</v>
      </c>
      <c r="AI179" s="1241" t="s">
        <v>15</v>
      </c>
    </row>
    <row r="180" spans="1:39" ht="15" thickTop="1" x14ac:dyDescent="0.2">
      <c r="A180" s="326">
        <v>2007</v>
      </c>
      <c r="B180" s="342">
        <v>0</v>
      </c>
      <c r="C180" s="343">
        <v>0</v>
      </c>
      <c r="D180" s="343">
        <v>0</v>
      </c>
      <c r="E180" s="343">
        <v>0</v>
      </c>
      <c r="F180" s="343">
        <v>0</v>
      </c>
      <c r="G180" s="343">
        <v>0</v>
      </c>
      <c r="H180" s="343">
        <v>0</v>
      </c>
      <c r="I180" s="343">
        <v>0</v>
      </c>
      <c r="J180" s="343">
        <v>0</v>
      </c>
      <c r="K180" s="343">
        <v>0</v>
      </c>
      <c r="L180" s="379">
        <v>0</v>
      </c>
      <c r="M180" s="282">
        <f>SUMPRODUCT(B180:L180,$B$178:$L$178)</f>
        <v>0</v>
      </c>
      <c r="N180" s="282">
        <f>SUMPRODUCT(B180:L180,$B$177:$L$177)</f>
        <v>0</v>
      </c>
      <c r="O180" s="342">
        <v>0</v>
      </c>
      <c r="P180" s="343">
        <v>0</v>
      </c>
      <c r="Q180" s="343">
        <v>0</v>
      </c>
      <c r="R180" s="343">
        <v>0</v>
      </c>
      <c r="S180" s="343">
        <v>0</v>
      </c>
      <c r="T180" s="343">
        <v>0</v>
      </c>
      <c r="U180" s="343">
        <v>0</v>
      </c>
      <c r="V180" s="343">
        <v>0</v>
      </c>
      <c r="W180" s="343">
        <v>0</v>
      </c>
      <c r="X180" s="343">
        <v>0</v>
      </c>
      <c r="Y180" s="379">
        <v>0</v>
      </c>
      <c r="Z180" s="387">
        <f>SUMPRODUCT(O180:Y180,$O$178:$Y$178)</f>
        <v>0</v>
      </c>
      <c r="AA180" s="284">
        <f>SUMPRODUCT(O180:Y180,$O$177:$Y$177)</f>
        <v>0</v>
      </c>
      <c r="AB180" s="948">
        <f t="array" ref="AB180">IF(AND($AD$175=TRUE,SUM(B180:L180)&gt;0),SUMPRODUCT((((TRANSPOSE(Cls3CentDailyRng)&lt;INDEX(CDRANGE_CLS3,$A180-$A$180+1,AD$176))*TRANSPOSE(Cls3CentDailyRng)+(TRANSPOSE(Cls3CentDailyRng)&gt;INDEX(CDRANGE_CLS3,$A180-$A$180+1,AD$176))*INDEX(CDRANGE_CLS3,$A180-$A$180+1,AD$176))/TRANSPOSE(Cls3CentDailyRng)),B180:L180,TRANSPOSE(Cls3CentVMTShr))/SUMPRODUCT(B180:L180,TRANSPOSE(Cls3CentVMTShr)),0)</f>
        <v>0</v>
      </c>
      <c r="AC180" s="949">
        <f t="array" ref="AC180">IF(AND($AD$175=TRUE,SUM(O180:Y180)&gt;0),SUMPRODUCT((((TRANSPOSE(Cls3NCentDailyRng)&lt;INDEX(CDRANGE_CLS3,$A180-$A$180+1,AD$176))*TRANSPOSE(Cls3NCentDailyRng)+(TRANSPOSE(Cls3NCentDailyRng)&gt;INDEX(CDRANGE_CLS3,$A180-$A$180+1,AD$176))*INDEX(CDRANGE_CLS3,$A180-$A$180+1,AD$176))/TRANSPOSE(Cls3NCentDailyRng)),O180:Y180,TRANSPOSE(Cls3NCentVMTShr))/SUMPRODUCT(O180:Y180,TRANSPOSE(Cls3NCentVMTShr)),0)</f>
        <v>0</v>
      </c>
      <c r="AD180" s="1226">
        <f>AB180*AH180+AC180*AI180</f>
        <v>0</v>
      </c>
      <c r="AE180" s="1230">
        <f t="shared" ref="AE180:AE194" si="101">SUMPRODUCT($B$74:$L$74,B180:L180)</f>
        <v>0</v>
      </c>
      <c r="AF180" s="1231">
        <f t="shared" ref="AF180:AF194" si="102">SUMPRODUCT($O$74:$Y$74,O180:Y180)</f>
        <v>0</v>
      </c>
      <c r="AG180" s="1231">
        <f t="shared" ref="AG180:AG194" si="103">SUM(AE180:AF180)</f>
        <v>0</v>
      </c>
      <c r="AH180" s="1172">
        <f>IF(AG180&gt;0,AE180/AG180,0)</f>
        <v>0</v>
      </c>
      <c r="AI180" s="1232">
        <f>IF(AG180&gt;0,AF180/AG180,0)</f>
        <v>0</v>
      </c>
      <c r="AJ180" s="227"/>
      <c r="AK180" s="227"/>
      <c r="AL180" s="227"/>
      <c r="AM180" s="227"/>
    </row>
    <row r="181" spans="1:39" x14ac:dyDescent="0.2">
      <c r="A181" s="327">
        <v>2008</v>
      </c>
      <c r="B181" s="344">
        <v>0</v>
      </c>
      <c r="C181" s="345">
        <v>0</v>
      </c>
      <c r="D181" s="345">
        <v>0</v>
      </c>
      <c r="E181" s="345">
        <v>0</v>
      </c>
      <c r="F181" s="345">
        <v>0</v>
      </c>
      <c r="G181" s="345">
        <v>0</v>
      </c>
      <c r="H181" s="345">
        <v>0</v>
      </c>
      <c r="I181" s="345">
        <v>0</v>
      </c>
      <c r="J181" s="345">
        <v>0</v>
      </c>
      <c r="K181" s="345">
        <v>0</v>
      </c>
      <c r="L181" s="380">
        <v>0</v>
      </c>
      <c r="M181" s="296">
        <f t="shared" ref="M181:M223" si="104">SUMPRODUCT(B181:L181,$B$178:$L$178)</f>
        <v>0</v>
      </c>
      <c r="N181" s="298">
        <f t="shared" ref="N181:N223" si="105">SUMPRODUCT(B181:L181,$B$177:$L$177)</f>
        <v>0</v>
      </c>
      <c r="O181" s="344">
        <v>0</v>
      </c>
      <c r="P181" s="345">
        <v>0</v>
      </c>
      <c r="Q181" s="345">
        <v>0</v>
      </c>
      <c r="R181" s="345">
        <v>0</v>
      </c>
      <c r="S181" s="345">
        <v>0</v>
      </c>
      <c r="T181" s="345">
        <v>0</v>
      </c>
      <c r="U181" s="345">
        <v>0</v>
      </c>
      <c r="V181" s="345">
        <v>0</v>
      </c>
      <c r="W181" s="345">
        <v>0</v>
      </c>
      <c r="X181" s="345">
        <v>0</v>
      </c>
      <c r="Y181" s="380">
        <v>0</v>
      </c>
      <c r="Z181" s="296">
        <f t="shared" ref="Z181:Z223" si="106">SUMPRODUCT(O181:Y181,$O$178:$Y$178)</f>
        <v>0</v>
      </c>
      <c r="AA181" s="298">
        <f t="shared" ref="AA181:AA223" si="107">SUMPRODUCT(O181:Y181,$O$177:$Y$177)</f>
        <v>0</v>
      </c>
      <c r="AB181" s="948">
        <f t="array" ref="AB181">IF(AND($AD$175=TRUE,SUM(B181:L181)&gt;0),SUMPRODUCT((((TRANSPOSE(Cls3CentDailyRng)&lt;INDEX(CDRANGE_CLS3,$A181-$A$180+1,AD$176))*TRANSPOSE(Cls3CentDailyRng)+(TRANSPOSE(Cls3CentDailyRng)&gt;INDEX(CDRANGE_CLS3,$A181-$A$180+1,AD$176))*INDEX(CDRANGE_CLS3,$A181-$A$180+1,AD$176))/TRANSPOSE(Cls3CentDailyRng)),B181:L181,TRANSPOSE(Cls3CentVMTShr))/SUMPRODUCT(B181:L181,TRANSPOSE(Cls3CentVMTShr)),0)</f>
        <v>0</v>
      </c>
      <c r="AC181" s="949">
        <f t="array" ref="AC181">IF(AND($AD$175=TRUE,SUM(O181:Y181)&gt;0),SUMPRODUCT((((TRANSPOSE(Cls3NCentDailyRng)&lt;INDEX(CDRANGE_CLS3,$A181-$A$180+1,AD$176))*TRANSPOSE(Cls3NCentDailyRng)+(TRANSPOSE(Cls3NCentDailyRng)&gt;INDEX(CDRANGE_CLS3,$A181-$A$180+1,AD$176))*INDEX(CDRANGE_CLS3,$A181-$A$180+1,AD$176))/TRANSPOSE(Cls3NCentDailyRng)),O181:Y181,TRANSPOSE(Cls3NCentVMTShr))/SUMPRODUCT(O181:Y181,TRANSPOSE(Cls3NCentVMTShr)),0)</f>
        <v>0</v>
      </c>
      <c r="AD181" s="1226">
        <f t="shared" ref="AD181:AD205" si="108">AB181*AH181+AC181*AI181</f>
        <v>0</v>
      </c>
      <c r="AE181" s="1230">
        <f t="shared" si="101"/>
        <v>0</v>
      </c>
      <c r="AF181" s="1231">
        <f t="shared" si="102"/>
        <v>0</v>
      </c>
      <c r="AG181" s="1231">
        <f t="shared" si="103"/>
        <v>0</v>
      </c>
      <c r="AH181" s="1172">
        <f t="shared" ref="AH181:AH223" si="109">IF(AG181&gt;0,AE181/AG181,0)</f>
        <v>0</v>
      </c>
      <c r="AI181" s="1232">
        <f t="shared" ref="AI181:AI223" si="110">IF(AG181&gt;0,AF181/AG181,0)</f>
        <v>0</v>
      </c>
      <c r="AJ181" s="227"/>
      <c r="AK181" s="227"/>
      <c r="AL181" s="227"/>
      <c r="AM181" s="227"/>
    </row>
    <row r="182" spans="1:39" x14ac:dyDescent="0.2">
      <c r="A182" s="327">
        <v>2009</v>
      </c>
      <c r="B182" s="344">
        <v>0</v>
      </c>
      <c r="C182" s="345">
        <v>0</v>
      </c>
      <c r="D182" s="345">
        <v>0</v>
      </c>
      <c r="E182" s="345">
        <v>0</v>
      </c>
      <c r="F182" s="345">
        <v>0</v>
      </c>
      <c r="G182" s="345">
        <v>0</v>
      </c>
      <c r="H182" s="345">
        <v>0</v>
      </c>
      <c r="I182" s="345">
        <v>0</v>
      </c>
      <c r="J182" s="345">
        <v>0</v>
      </c>
      <c r="K182" s="345">
        <v>0</v>
      </c>
      <c r="L182" s="380">
        <v>0</v>
      </c>
      <c r="M182" s="296">
        <f t="shared" si="104"/>
        <v>0</v>
      </c>
      <c r="N182" s="298">
        <f t="shared" si="105"/>
        <v>0</v>
      </c>
      <c r="O182" s="344">
        <v>0</v>
      </c>
      <c r="P182" s="345">
        <v>0</v>
      </c>
      <c r="Q182" s="345">
        <v>0</v>
      </c>
      <c r="R182" s="345">
        <v>0</v>
      </c>
      <c r="S182" s="345">
        <v>0</v>
      </c>
      <c r="T182" s="345">
        <v>0</v>
      </c>
      <c r="U182" s="345">
        <v>0</v>
      </c>
      <c r="V182" s="345">
        <v>0</v>
      </c>
      <c r="W182" s="345">
        <v>0</v>
      </c>
      <c r="X182" s="345">
        <v>0</v>
      </c>
      <c r="Y182" s="380">
        <v>0</v>
      </c>
      <c r="Z182" s="296">
        <f t="shared" si="106"/>
        <v>0</v>
      </c>
      <c r="AA182" s="298">
        <f t="shared" si="107"/>
        <v>0</v>
      </c>
      <c r="AB182" s="948">
        <f t="array" ref="AB182">IF(AND($AD$175=TRUE,SUM(B182:L182)&gt;0),SUMPRODUCT((((TRANSPOSE(Cls3CentDailyRng)&lt;INDEX(CDRANGE_CLS3,$A182-$A$180+1,AD$176))*TRANSPOSE(Cls3CentDailyRng)+(TRANSPOSE(Cls3CentDailyRng)&gt;INDEX(CDRANGE_CLS3,$A182-$A$180+1,AD$176))*INDEX(CDRANGE_CLS3,$A182-$A$180+1,AD$176))/TRANSPOSE(Cls3CentDailyRng)),B182:L182,TRANSPOSE(Cls3CentVMTShr))/SUMPRODUCT(B182:L182,TRANSPOSE(Cls3CentVMTShr)),0)</f>
        <v>0</v>
      </c>
      <c r="AC182" s="949">
        <f t="array" ref="AC182">IF(AND($AD$175=TRUE,SUM(O182:Y182)&gt;0),SUMPRODUCT((((TRANSPOSE(Cls3NCentDailyRng)&lt;INDEX(CDRANGE_CLS3,$A182-$A$180+1,AD$176))*TRANSPOSE(Cls3NCentDailyRng)+(TRANSPOSE(Cls3NCentDailyRng)&gt;INDEX(CDRANGE_CLS3,$A182-$A$180+1,AD$176))*INDEX(CDRANGE_CLS3,$A182-$A$180+1,AD$176))/TRANSPOSE(Cls3NCentDailyRng)),O182:Y182,TRANSPOSE(Cls3NCentVMTShr))/SUMPRODUCT(O182:Y182,TRANSPOSE(Cls3NCentVMTShr)),0)</f>
        <v>0</v>
      </c>
      <c r="AD182" s="1226">
        <f t="shared" si="108"/>
        <v>0</v>
      </c>
      <c r="AE182" s="1230">
        <f t="shared" si="101"/>
        <v>0</v>
      </c>
      <c r="AF182" s="1231">
        <f t="shared" si="102"/>
        <v>0</v>
      </c>
      <c r="AG182" s="1231">
        <f t="shared" si="103"/>
        <v>0</v>
      </c>
      <c r="AH182" s="1172">
        <f t="shared" si="109"/>
        <v>0</v>
      </c>
      <c r="AI182" s="1232">
        <f t="shared" si="110"/>
        <v>0</v>
      </c>
      <c r="AJ182" s="227"/>
      <c r="AK182" s="227"/>
      <c r="AL182" s="227"/>
      <c r="AM182" s="227"/>
    </row>
    <row r="183" spans="1:39" ht="15" thickBot="1" x14ac:dyDescent="0.25">
      <c r="A183" s="328">
        <v>2010</v>
      </c>
      <c r="B183" s="346">
        <v>0</v>
      </c>
      <c r="C183" s="347">
        <v>0</v>
      </c>
      <c r="D183" s="347">
        <v>0</v>
      </c>
      <c r="E183" s="347">
        <v>0</v>
      </c>
      <c r="F183" s="347">
        <v>0</v>
      </c>
      <c r="G183" s="347">
        <v>0</v>
      </c>
      <c r="H183" s="347">
        <v>0</v>
      </c>
      <c r="I183" s="347">
        <v>0</v>
      </c>
      <c r="J183" s="347">
        <v>0</v>
      </c>
      <c r="K183" s="347">
        <v>0</v>
      </c>
      <c r="L183" s="381">
        <v>0</v>
      </c>
      <c r="M183" s="310">
        <f t="shared" si="104"/>
        <v>0</v>
      </c>
      <c r="N183" s="312">
        <f t="shared" si="105"/>
        <v>0</v>
      </c>
      <c r="O183" s="346">
        <v>0</v>
      </c>
      <c r="P183" s="347">
        <v>0</v>
      </c>
      <c r="Q183" s="347">
        <v>0</v>
      </c>
      <c r="R183" s="347">
        <v>0</v>
      </c>
      <c r="S183" s="347">
        <v>0</v>
      </c>
      <c r="T183" s="347">
        <v>0</v>
      </c>
      <c r="U183" s="347">
        <v>0</v>
      </c>
      <c r="V183" s="347">
        <v>0</v>
      </c>
      <c r="W183" s="347">
        <v>0</v>
      </c>
      <c r="X183" s="347">
        <v>0</v>
      </c>
      <c r="Y183" s="381">
        <v>0</v>
      </c>
      <c r="Z183" s="310">
        <f t="shared" si="106"/>
        <v>0</v>
      </c>
      <c r="AA183" s="312">
        <f t="shared" si="107"/>
        <v>0</v>
      </c>
      <c r="AB183" s="948">
        <f t="array" ref="AB183">IF(AND($AD$175=TRUE,SUM(B183:L183)&gt;0),SUMPRODUCT((((TRANSPOSE(Cls3CentDailyRng)&lt;INDEX(CDRANGE_CLS3,$A183-$A$180+1,AD$176))*TRANSPOSE(Cls3CentDailyRng)+(TRANSPOSE(Cls3CentDailyRng)&gt;INDEX(CDRANGE_CLS3,$A183-$A$180+1,AD$176))*INDEX(CDRANGE_CLS3,$A183-$A$180+1,AD$176))/TRANSPOSE(Cls3CentDailyRng)),B183:L183,TRANSPOSE(Cls3CentVMTShr))/SUMPRODUCT(B183:L183,TRANSPOSE(Cls3CentVMTShr)),0)</f>
        <v>0</v>
      </c>
      <c r="AC183" s="949">
        <f t="array" ref="AC183">IF(AND($AD$175=TRUE,SUM(O183:Y183)&gt;0),SUMPRODUCT((((TRANSPOSE(Cls3NCentDailyRng)&lt;INDEX(CDRANGE_CLS3,$A183-$A$180+1,AD$176))*TRANSPOSE(Cls3NCentDailyRng)+(TRANSPOSE(Cls3NCentDailyRng)&gt;INDEX(CDRANGE_CLS3,$A183-$A$180+1,AD$176))*INDEX(CDRANGE_CLS3,$A183-$A$180+1,AD$176))/TRANSPOSE(Cls3NCentDailyRng)),O183:Y183,TRANSPOSE(Cls3NCentVMTShr))/SUMPRODUCT(O183:Y183,TRANSPOSE(Cls3NCentVMTShr)),0)</f>
        <v>0</v>
      </c>
      <c r="AD183" s="1226">
        <f t="shared" si="108"/>
        <v>0</v>
      </c>
      <c r="AE183" s="1230">
        <f t="shared" si="101"/>
        <v>0</v>
      </c>
      <c r="AF183" s="1231">
        <f t="shared" si="102"/>
        <v>0</v>
      </c>
      <c r="AG183" s="1231">
        <f t="shared" si="103"/>
        <v>0</v>
      </c>
      <c r="AH183" s="1172">
        <f t="shared" si="109"/>
        <v>0</v>
      </c>
      <c r="AI183" s="1232">
        <f t="shared" si="110"/>
        <v>0</v>
      </c>
      <c r="AJ183" s="227"/>
      <c r="AK183" s="227"/>
      <c r="AL183" s="227"/>
      <c r="AM183" s="227"/>
    </row>
    <row r="184" spans="1:39" x14ac:dyDescent="0.2">
      <c r="A184" s="329">
        <v>2011</v>
      </c>
      <c r="B184" s="342">
        <v>0</v>
      </c>
      <c r="C184" s="343">
        <v>0</v>
      </c>
      <c r="D184" s="343">
        <v>0</v>
      </c>
      <c r="E184" s="343">
        <v>0</v>
      </c>
      <c r="F184" s="343">
        <v>0</v>
      </c>
      <c r="G184" s="343">
        <v>0</v>
      </c>
      <c r="H184" s="343">
        <v>0</v>
      </c>
      <c r="I184" s="343">
        <v>0</v>
      </c>
      <c r="J184" s="343">
        <v>0</v>
      </c>
      <c r="K184" s="343">
        <v>0</v>
      </c>
      <c r="L184" s="379">
        <v>0</v>
      </c>
      <c r="M184" s="282">
        <f t="shared" si="104"/>
        <v>0</v>
      </c>
      <c r="N184" s="284">
        <f t="shared" si="105"/>
        <v>0</v>
      </c>
      <c r="O184" s="342">
        <v>0</v>
      </c>
      <c r="P184" s="343">
        <v>0</v>
      </c>
      <c r="Q184" s="343">
        <v>0</v>
      </c>
      <c r="R184" s="343">
        <v>0</v>
      </c>
      <c r="S184" s="343">
        <v>0</v>
      </c>
      <c r="T184" s="343">
        <v>0</v>
      </c>
      <c r="U184" s="343">
        <v>0</v>
      </c>
      <c r="V184" s="343">
        <v>0</v>
      </c>
      <c r="W184" s="343">
        <v>0</v>
      </c>
      <c r="X184" s="343">
        <v>0</v>
      </c>
      <c r="Y184" s="379">
        <v>0</v>
      </c>
      <c r="Z184" s="282">
        <f t="shared" si="106"/>
        <v>0</v>
      </c>
      <c r="AA184" s="284">
        <f t="shared" si="107"/>
        <v>0</v>
      </c>
      <c r="AB184" s="948">
        <f t="array" ref="AB184">IF(AND($AD$175=TRUE,SUM(B184:L184)&gt;0),SUMPRODUCT((((TRANSPOSE(Cls3CentDailyRng)&lt;INDEX(CDRANGE_CLS3,$A184-$A$180+1,AD$176))*TRANSPOSE(Cls3CentDailyRng)+(TRANSPOSE(Cls3CentDailyRng)&gt;INDEX(CDRANGE_CLS3,$A184-$A$180+1,AD$176))*INDEX(CDRANGE_CLS3,$A184-$A$180+1,AD$176))/TRANSPOSE(Cls3CentDailyRng)),B184:L184,TRANSPOSE(Cls3CentVMTShr))/SUMPRODUCT(B184:L184,TRANSPOSE(Cls3CentVMTShr)),0)</f>
        <v>0</v>
      </c>
      <c r="AC184" s="949">
        <f t="array" ref="AC184">IF(AND($AD$175=TRUE,SUM(O184:Y184)&gt;0),SUMPRODUCT((((TRANSPOSE(Cls3NCentDailyRng)&lt;INDEX(CDRANGE_CLS3,$A184-$A$180+1,AD$176))*TRANSPOSE(Cls3NCentDailyRng)+(TRANSPOSE(Cls3NCentDailyRng)&gt;INDEX(CDRANGE_CLS3,$A184-$A$180+1,AD$176))*INDEX(CDRANGE_CLS3,$A184-$A$180+1,AD$176))/TRANSPOSE(Cls3NCentDailyRng)),O184:Y184,TRANSPOSE(Cls3NCentVMTShr))/SUMPRODUCT(O184:Y184,TRANSPOSE(Cls3NCentVMTShr)),0)</f>
        <v>0</v>
      </c>
      <c r="AD184" s="1226">
        <f t="shared" si="108"/>
        <v>0</v>
      </c>
      <c r="AE184" s="1230">
        <f t="shared" si="101"/>
        <v>0</v>
      </c>
      <c r="AF184" s="1231">
        <f t="shared" si="102"/>
        <v>0</v>
      </c>
      <c r="AG184" s="1231">
        <f t="shared" si="103"/>
        <v>0</v>
      </c>
      <c r="AH184" s="1172">
        <f t="shared" si="109"/>
        <v>0</v>
      </c>
      <c r="AI184" s="1232">
        <f t="shared" si="110"/>
        <v>0</v>
      </c>
      <c r="AJ184" s="227"/>
      <c r="AK184" s="227"/>
      <c r="AL184" s="227"/>
      <c r="AM184" s="227"/>
    </row>
    <row r="185" spans="1:39" x14ac:dyDescent="0.2">
      <c r="A185" s="330">
        <v>2012</v>
      </c>
      <c r="B185" s="344">
        <v>0</v>
      </c>
      <c r="C185" s="345">
        <v>0</v>
      </c>
      <c r="D185" s="345">
        <v>0</v>
      </c>
      <c r="E185" s="345">
        <v>0</v>
      </c>
      <c r="F185" s="345">
        <v>0</v>
      </c>
      <c r="G185" s="345">
        <v>0</v>
      </c>
      <c r="H185" s="345">
        <v>0</v>
      </c>
      <c r="I185" s="345">
        <v>0</v>
      </c>
      <c r="J185" s="345">
        <v>0</v>
      </c>
      <c r="K185" s="345">
        <v>0</v>
      </c>
      <c r="L185" s="380">
        <v>0</v>
      </c>
      <c r="M185" s="296">
        <f t="shared" si="104"/>
        <v>0</v>
      </c>
      <c r="N185" s="298">
        <f t="shared" si="105"/>
        <v>0</v>
      </c>
      <c r="O185" s="344">
        <v>0</v>
      </c>
      <c r="P185" s="345">
        <v>0</v>
      </c>
      <c r="Q185" s="345">
        <v>0</v>
      </c>
      <c r="R185" s="345">
        <v>0</v>
      </c>
      <c r="S185" s="345">
        <v>0</v>
      </c>
      <c r="T185" s="345">
        <v>0</v>
      </c>
      <c r="U185" s="345">
        <v>0</v>
      </c>
      <c r="V185" s="345">
        <v>0</v>
      </c>
      <c r="W185" s="345">
        <v>0</v>
      </c>
      <c r="X185" s="345">
        <v>0</v>
      </c>
      <c r="Y185" s="380">
        <v>0</v>
      </c>
      <c r="Z185" s="296">
        <f t="shared" si="106"/>
        <v>0</v>
      </c>
      <c r="AA185" s="298">
        <f t="shared" si="107"/>
        <v>0</v>
      </c>
      <c r="AB185" s="948">
        <f t="array" ref="AB185">IF(AND($AD$175=TRUE,SUM(B185:L185)&gt;0),SUMPRODUCT((((TRANSPOSE(Cls3CentDailyRng)&lt;INDEX(CDRANGE_CLS3,$A185-$A$180+1,AD$176))*TRANSPOSE(Cls3CentDailyRng)+(TRANSPOSE(Cls3CentDailyRng)&gt;INDEX(CDRANGE_CLS3,$A185-$A$180+1,AD$176))*INDEX(CDRANGE_CLS3,$A185-$A$180+1,AD$176))/TRANSPOSE(Cls3CentDailyRng)),B185:L185,TRANSPOSE(Cls3CentVMTShr))/SUMPRODUCT(B185:L185,TRANSPOSE(Cls3CentVMTShr)),0)</f>
        <v>0</v>
      </c>
      <c r="AC185" s="949">
        <f t="array" ref="AC185">IF(AND($AD$175=TRUE,SUM(O185:Y185)&gt;0),SUMPRODUCT((((TRANSPOSE(Cls3NCentDailyRng)&lt;INDEX(CDRANGE_CLS3,$A185-$A$180+1,AD$176))*TRANSPOSE(Cls3NCentDailyRng)+(TRANSPOSE(Cls3NCentDailyRng)&gt;INDEX(CDRANGE_CLS3,$A185-$A$180+1,AD$176))*INDEX(CDRANGE_CLS3,$A185-$A$180+1,AD$176))/TRANSPOSE(Cls3NCentDailyRng)),O185:Y185,TRANSPOSE(Cls3NCentVMTShr))/SUMPRODUCT(O185:Y185,TRANSPOSE(Cls3NCentVMTShr)),0)</f>
        <v>0</v>
      </c>
      <c r="AD185" s="1226">
        <f t="shared" si="108"/>
        <v>0</v>
      </c>
      <c r="AE185" s="1230">
        <f t="shared" si="101"/>
        <v>0</v>
      </c>
      <c r="AF185" s="1231">
        <f t="shared" si="102"/>
        <v>0</v>
      </c>
      <c r="AG185" s="1231">
        <f t="shared" si="103"/>
        <v>0</v>
      </c>
      <c r="AH185" s="1172">
        <f t="shared" si="109"/>
        <v>0</v>
      </c>
      <c r="AI185" s="1232">
        <f t="shared" si="110"/>
        <v>0</v>
      </c>
      <c r="AJ185" s="227"/>
      <c r="AK185" s="227"/>
      <c r="AL185" s="227"/>
      <c r="AM185" s="227"/>
    </row>
    <row r="186" spans="1:39" x14ac:dyDescent="0.2">
      <c r="A186" s="330">
        <v>2013</v>
      </c>
      <c r="B186" s="344">
        <v>0</v>
      </c>
      <c r="C186" s="345">
        <v>0</v>
      </c>
      <c r="D186" s="345">
        <v>0</v>
      </c>
      <c r="E186" s="345">
        <v>0</v>
      </c>
      <c r="F186" s="345">
        <v>0</v>
      </c>
      <c r="G186" s="345">
        <v>0</v>
      </c>
      <c r="H186" s="345">
        <v>0</v>
      </c>
      <c r="I186" s="345">
        <v>0</v>
      </c>
      <c r="J186" s="345">
        <v>0</v>
      </c>
      <c r="K186" s="345">
        <v>0</v>
      </c>
      <c r="L186" s="380">
        <v>0</v>
      </c>
      <c r="M186" s="296">
        <f t="shared" si="104"/>
        <v>0</v>
      </c>
      <c r="N186" s="298">
        <f t="shared" si="105"/>
        <v>0</v>
      </c>
      <c r="O186" s="344">
        <v>0</v>
      </c>
      <c r="P186" s="345">
        <v>0</v>
      </c>
      <c r="Q186" s="345">
        <v>0</v>
      </c>
      <c r="R186" s="345">
        <v>0</v>
      </c>
      <c r="S186" s="345">
        <v>0</v>
      </c>
      <c r="T186" s="345">
        <v>0</v>
      </c>
      <c r="U186" s="345">
        <v>0</v>
      </c>
      <c r="V186" s="345">
        <v>0</v>
      </c>
      <c r="W186" s="345">
        <v>0</v>
      </c>
      <c r="X186" s="345">
        <v>0</v>
      </c>
      <c r="Y186" s="380">
        <v>0</v>
      </c>
      <c r="Z186" s="296">
        <f t="shared" si="106"/>
        <v>0</v>
      </c>
      <c r="AA186" s="298">
        <f t="shared" si="107"/>
        <v>0</v>
      </c>
      <c r="AB186" s="948">
        <f t="array" ref="AB186">IF(AND($AD$175=TRUE,SUM(B186:L186)&gt;0),SUMPRODUCT((((TRANSPOSE(Cls3CentDailyRng)&lt;INDEX(CDRANGE_CLS3,$A186-$A$180+1,AD$176))*TRANSPOSE(Cls3CentDailyRng)+(TRANSPOSE(Cls3CentDailyRng)&gt;INDEX(CDRANGE_CLS3,$A186-$A$180+1,AD$176))*INDEX(CDRANGE_CLS3,$A186-$A$180+1,AD$176))/TRANSPOSE(Cls3CentDailyRng)),B186:L186,TRANSPOSE(Cls3CentVMTShr))/SUMPRODUCT(B186:L186,TRANSPOSE(Cls3CentVMTShr)),0)</f>
        <v>0</v>
      </c>
      <c r="AC186" s="949">
        <f t="array" ref="AC186">IF(AND($AD$175=TRUE,SUM(O186:Y186)&gt;0),SUMPRODUCT((((TRANSPOSE(Cls3NCentDailyRng)&lt;INDEX(CDRANGE_CLS3,$A186-$A$180+1,AD$176))*TRANSPOSE(Cls3NCentDailyRng)+(TRANSPOSE(Cls3NCentDailyRng)&gt;INDEX(CDRANGE_CLS3,$A186-$A$180+1,AD$176))*INDEX(CDRANGE_CLS3,$A186-$A$180+1,AD$176))/TRANSPOSE(Cls3NCentDailyRng)),O186:Y186,TRANSPOSE(Cls3NCentVMTShr))/SUMPRODUCT(O186:Y186,TRANSPOSE(Cls3NCentVMTShr)),0)</f>
        <v>0</v>
      </c>
      <c r="AD186" s="1226">
        <f t="shared" si="108"/>
        <v>0</v>
      </c>
      <c r="AE186" s="1230">
        <f t="shared" si="101"/>
        <v>0</v>
      </c>
      <c r="AF186" s="1231">
        <f t="shared" si="102"/>
        <v>0</v>
      </c>
      <c r="AG186" s="1231">
        <f t="shared" si="103"/>
        <v>0</v>
      </c>
      <c r="AH186" s="1172">
        <f t="shared" si="109"/>
        <v>0</v>
      </c>
      <c r="AI186" s="1232">
        <f t="shared" si="110"/>
        <v>0</v>
      </c>
      <c r="AJ186" s="227"/>
      <c r="AK186" s="227"/>
      <c r="AL186" s="227"/>
      <c r="AM186" s="227"/>
    </row>
    <row r="187" spans="1:39" x14ac:dyDescent="0.2">
      <c r="A187" s="330">
        <v>2014</v>
      </c>
      <c r="B187" s="344">
        <v>0</v>
      </c>
      <c r="C187" s="345">
        <v>0</v>
      </c>
      <c r="D187" s="345">
        <v>0</v>
      </c>
      <c r="E187" s="345">
        <v>0</v>
      </c>
      <c r="F187" s="345">
        <v>0</v>
      </c>
      <c r="G187" s="345">
        <v>0</v>
      </c>
      <c r="H187" s="345">
        <v>0</v>
      </c>
      <c r="I187" s="345">
        <v>0</v>
      </c>
      <c r="J187" s="345">
        <v>0</v>
      </c>
      <c r="K187" s="345">
        <v>0</v>
      </c>
      <c r="L187" s="380">
        <v>0</v>
      </c>
      <c r="M187" s="296">
        <f t="shared" si="104"/>
        <v>0</v>
      </c>
      <c r="N187" s="298">
        <f t="shared" si="105"/>
        <v>0</v>
      </c>
      <c r="O187" s="344">
        <v>0</v>
      </c>
      <c r="P187" s="345">
        <v>0</v>
      </c>
      <c r="Q187" s="345">
        <v>0</v>
      </c>
      <c r="R187" s="345">
        <v>0</v>
      </c>
      <c r="S187" s="345">
        <v>0</v>
      </c>
      <c r="T187" s="345">
        <v>0</v>
      </c>
      <c r="U187" s="345">
        <v>0</v>
      </c>
      <c r="V187" s="345">
        <v>0</v>
      </c>
      <c r="W187" s="345">
        <v>0</v>
      </c>
      <c r="X187" s="345">
        <v>0</v>
      </c>
      <c r="Y187" s="380">
        <v>0</v>
      </c>
      <c r="Z187" s="296">
        <f t="shared" si="106"/>
        <v>0</v>
      </c>
      <c r="AA187" s="298">
        <f t="shared" si="107"/>
        <v>0</v>
      </c>
      <c r="AB187" s="948">
        <f t="array" ref="AB187">IF(AND($AD$175=TRUE,SUM(B187:L187)&gt;0),SUMPRODUCT((((TRANSPOSE(Cls3CentDailyRng)&lt;INDEX(CDRANGE_CLS3,$A187-$A$180+1,AD$176))*TRANSPOSE(Cls3CentDailyRng)+(TRANSPOSE(Cls3CentDailyRng)&gt;INDEX(CDRANGE_CLS3,$A187-$A$180+1,AD$176))*INDEX(CDRANGE_CLS3,$A187-$A$180+1,AD$176))/TRANSPOSE(Cls3CentDailyRng)),B187:L187,TRANSPOSE(Cls3CentVMTShr))/SUMPRODUCT(B187:L187,TRANSPOSE(Cls3CentVMTShr)),0)</f>
        <v>0</v>
      </c>
      <c r="AC187" s="949">
        <f t="array" ref="AC187">IF(AND($AD$175=TRUE,SUM(O187:Y187)&gt;0),SUMPRODUCT((((TRANSPOSE(Cls3NCentDailyRng)&lt;INDEX(CDRANGE_CLS3,$A187-$A$180+1,AD$176))*TRANSPOSE(Cls3NCentDailyRng)+(TRANSPOSE(Cls3NCentDailyRng)&gt;INDEX(CDRANGE_CLS3,$A187-$A$180+1,AD$176))*INDEX(CDRANGE_CLS3,$A187-$A$180+1,AD$176))/TRANSPOSE(Cls3NCentDailyRng)),O187:Y187,TRANSPOSE(Cls3NCentVMTShr))/SUMPRODUCT(O187:Y187,TRANSPOSE(Cls3NCentVMTShr)),0)</f>
        <v>0</v>
      </c>
      <c r="AD187" s="1226">
        <f t="shared" si="108"/>
        <v>0</v>
      </c>
      <c r="AE187" s="1230">
        <f t="shared" si="101"/>
        <v>0</v>
      </c>
      <c r="AF187" s="1231">
        <f t="shared" si="102"/>
        <v>0</v>
      </c>
      <c r="AG187" s="1231">
        <f t="shared" si="103"/>
        <v>0</v>
      </c>
      <c r="AH187" s="1172">
        <f t="shared" si="109"/>
        <v>0</v>
      </c>
      <c r="AI187" s="1232">
        <f t="shared" si="110"/>
        <v>0</v>
      </c>
      <c r="AJ187" s="227"/>
      <c r="AK187" s="227"/>
      <c r="AL187" s="227"/>
      <c r="AM187" s="227"/>
    </row>
    <row r="188" spans="1:39" ht="15" thickBot="1" x14ac:dyDescent="0.25">
      <c r="A188" s="328">
        <v>2015</v>
      </c>
      <c r="B188" s="346">
        <v>0</v>
      </c>
      <c r="C188" s="347">
        <v>0</v>
      </c>
      <c r="D188" s="347">
        <v>0</v>
      </c>
      <c r="E188" s="347">
        <v>0</v>
      </c>
      <c r="F188" s="347">
        <v>0</v>
      </c>
      <c r="G188" s="347">
        <v>0</v>
      </c>
      <c r="H188" s="347">
        <v>0</v>
      </c>
      <c r="I188" s="347">
        <v>0</v>
      </c>
      <c r="J188" s="347">
        <v>0</v>
      </c>
      <c r="K188" s="347">
        <v>0</v>
      </c>
      <c r="L188" s="381">
        <v>0</v>
      </c>
      <c r="M188" s="310">
        <f t="shared" si="104"/>
        <v>0</v>
      </c>
      <c r="N188" s="312">
        <f t="shared" si="105"/>
        <v>0</v>
      </c>
      <c r="O188" s="346">
        <v>0</v>
      </c>
      <c r="P188" s="347">
        <v>0</v>
      </c>
      <c r="Q188" s="347">
        <v>0</v>
      </c>
      <c r="R188" s="347">
        <v>0</v>
      </c>
      <c r="S188" s="347">
        <v>0</v>
      </c>
      <c r="T188" s="347">
        <v>0</v>
      </c>
      <c r="U188" s="347">
        <v>0</v>
      </c>
      <c r="V188" s="347">
        <v>0</v>
      </c>
      <c r="W188" s="347">
        <v>0</v>
      </c>
      <c r="X188" s="347">
        <v>0</v>
      </c>
      <c r="Y188" s="381">
        <v>0</v>
      </c>
      <c r="Z188" s="310">
        <f t="shared" si="106"/>
        <v>0</v>
      </c>
      <c r="AA188" s="312">
        <f t="shared" si="107"/>
        <v>0</v>
      </c>
      <c r="AB188" s="948">
        <f t="array" ref="AB188">IF(AND($AD$175=TRUE,SUM(B188:L188)&gt;0),SUMPRODUCT((((TRANSPOSE(Cls3CentDailyRng)&lt;INDEX(CDRANGE_CLS3,$A188-$A$180+1,AD$176))*TRANSPOSE(Cls3CentDailyRng)+(TRANSPOSE(Cls3CentDailyRng)&gt;INDEX(CDRANGE_CLS3,$A188-$A$180+1,AD$176))*INDEX(CDRANGE_CLS3,$A188-$A$180+1,AD$176))/TRANSPOSE(Cls3CentDailyRng)),B188:L188,TRANSPOSE(Cls3CentVMTShr))/SUMPRODUCT(B188:L188,TRANSPOSE(Cls3CentVMTShr)),0)</f>
        <v>0</v>
      </c>
      <c r="AC188" s="949">
        <f t="array" ref="AC188">IF(AND($AD$175=TRUE,SUM(O188:Y188)&gt;0),SUMPRODUCT((((TRANSPOSE(Cls3NCentDailyRng)&lt;INDEX(CDRANGE_CLS3,$A188-$A$180+1,AD$176))*TRANSPOSE(Cls3NCentDailyRng)+(TRANSPOSE(Cls3NCentDailyRng)&gt;INDEX(CDRANGE_CLS3,$A188-$A$180+1,AD$176))*INDEX(CDRANGE_CLS3,$A188-$A$180+1,AD$176))/TRANSPOSE(Cls3NCentDailyRng)),O188:Y188,TRANSPOSE(Cls3NCentVMTShr))/SUMPRODUCT(O188:Y188,TRANSPOSE(Cls3NCentVMTShr)),0)</f>
        <v>0</v>
      </c>
      <c r="AD188" s="1226">
        <f t="shared" si="108"/>
        <v>0</v>
      </c>
      <c r="AE188" s="1230">
        <f t="shared" si="101"/>
        <v>0</v>
      </c>
      <c r="AF188" s="1231">
        <f t="shared" si="102"/>
        <v>0</v>
      </c>
      <c r="AG188" s="1231">
        <f t="shared" si="103"/>
        <v>0</v>
      </c>
      <c r="AH188" s="1172">
        <f t="shared" si="109"/>
        <v>0</v>
      </c>
      <c r="AI188" s="1232">
        <f t="shared" si="110"/>
        <v>0</v>
      </c>
      <c r="AJ188" s="227"/>
      <c r="AK188" s="227"/>
      <c r="AL188" s="227"/>
      <c r="AM188" s="227"/>
    </row>
    <row r="189" spans="1:39" x14ac:dyDescent="0.2">
      <c r="A189" s="329">
        <v>2016</v>
      </c>
      <c r="B189" s="342">
        <v>0</v>
      </c>
      <c r="C189" s="343">
        <v>0</v>
      </c>
      <c r="D189" s="343">
        <v>0</v>
      </c>
      <c r="E189" s="343">
        <v>0</v>
      </c>
      <c r="F189" s="343">
        <v>0</v>
      </c>
      <c r="G189" s="343">
        <v>0</v>
      </c>
      <c r="H189" s="343">
        <v>0</v>
      </c>
      <c r="I189" s="343">
        <v>0</v>
      </c>
      <c r="J189" s="343">
        <v>0</v>
      </c>
      <c r="K189" s="343">
        <v>0</v>
      </c>
      <c r="L189" s="379">
        <v>0</v>
      </c>
      <c r="M189" s="282">
        <f t="shared" si="104"/>
        <v>0</v>
      </c>
      <c r="N189" s="284">
        <f t="shared" si="105"/>
        <v>0</v>
      </c>
      <c r="O189" s="342">
        <v>0</v>
      </c>
      <c r="P189" s="343">
        <v>0</v>
      </c>
      <c r="Q189" s="343">
        <v>0</v>
      </c>
      <c r="R189" s="343">
        <v>0</v>
      </c>
      <c r="S189" s="343">
        <v>0</v>
      </c>
      <c r="T189" s="343">
        <v>0</v>
      </c>
      <c r="U189" s="343">
        <v>0</v>
      </c>
      <c r="V189" s="343">
        <v>0</v>
      </c>
      <c r="W189" s="343">
        <v>0</v>
      </c>
      <c r="X189" s="343">
        <v>0</v>
      </c>
      <c r="Y189" s="379">
        <v>0</v>
      </c>
      <c r="Z189" s="282">
        <f t="shared" si="106"/>
        <v>0</v>
      </c>
      <c r="AA189" s="284">
        <f t="shared" si="107"/>
        <v>0</v>
      </c>
      <c r="AB189" s="948">
        <f t="array" ref="AB189">IF(AND($AD$175=TRUE,SUM(B189:L189)&gt;0),SUMPRODUCT((((TRANSPOSE(Cls3CentDailyRng)&lt;INDEX(CDRANGE_CLS3,$A189-$A$180+1,AD$176))*TRANSPOSE(Cls3CentDailyRng)+(TRANSPOSE(Cls3CentDailyRng)&gt;INDEX(CDRANGE_CLS3,$A189-$A$180+1,AD$176))*INDEX(CDRANGE_CLS3,$A189-$A$180+1,AD$176))/TRANSPOSE(Cls3CentDailyRng)),B189:L189,TRANSPOSE(Cls3CentVMTShr))/SUMPRODUCT(B189:L189,TRANSPOSE(Cls3CentVMTShr)),0)</f>
        <v>0</v>
      </c>
      <c r="AC189" s="949">
        <f t="array" ref="AC189">IF(AND($AD$175=TRUE,SUM(O189:Y189)&gt;0),SUMPRODUCT((((TRANSPOSE(Cls3NCentDailyRng)&lt;INDEX(CDRANGE_CLS3,$A189-$A$180+1,AD$176))*TRANSPOSE(Cls3NCentDailyRng)+(TRANSPOSE(Cls3NCentDailyRng)&gt;INDEX(CDRANGE_CLS3,$A189-$A$180+1,AD$176))*INDEX(CDRANGE_CLS3,$A189-$A$180+1,AD$176))/TRANSPOSE(Cls3NCentDailyRng)),O189:Y189,TRANSPOSE(Cls3NCentVMTShr))/SUMPRODUCT(O189:Y189,TRANSPOSE(Cls3NCentVMTShr)),0)</f>
        <v>0</v>
      </c>
      <c r="AD189" s="1226">
        <f t="shared" si="108"/>
        <v>0</v>
      </c>
      <c r="AE189" s="1230">
        <f t="shared" si="101"/>
        <v>0</v>
      </c>
      <c r="AF189" s="1231">
        <f t="shared" si="102"/>
        <v>0</v>
      </c>
      <c r="AG189" s="1231">
        <f t="shared" si="103"/>
        <v>0</v>
      </c>
      <c r="AH189" s="1172">
        <f t="shared" si="109"/>
        <v>0</v>
      </c>
      <c r="AI189" s="1232">
        <f t="shared" si="110"/>
        <v>0</v>
      </c>
      <c r="AJ189" s="227"/>
      <c r="AK189" s="227"/>
      <c r="AL189" s="227"/>
      <c r="AM189" s="227"/>
    </row>
    <row r="190" spans="1:39" x14ac:dyDescent="0.2">
      <c r="A190" s="330">
        <v>2017</v>
      </c>
      <c r="B190" s="344">
        <v>0</v>
      </c>
      <c r="C190" s="345">
        <v>0</v>
      </c>
      <c r="D190" s="345">
        <v>0</v>
      </c>
      <c r="E190" s="345">
        <v>0</v>
      </c>
      <c r="F190" s="345">
        <v>0</v>
      </c>
      <c r="G190" s="345">
        <v>0</v>
      </c>
      <c r="H190" s="345">
        <v>0</v>
      </c>
      <c r="I190" s="345">
        <v>0</v>
      </c>
      <c r="J190" s="345">
        <v>0</v>
      </c>
      <c r="K190" s="345">
        <v>0</v>
      </c>
      <c r="L190" s="380">
        <v>0</v>
      </c>
      <c r="M190" s="296">
        <f t="shared" si="104"/>
        <v>0</v>
      </c>
      <c r="N190" s="298">
        <f t="shared" si="105"/>
        <v>0</v>
      </c>
      <c r="O190" s="344">
        <v>0</v>
      </c>
      <c r="P190" s="345">
        <v>0</v>
      </c>
      <c r="Q190" s="345">
        <v>0</v>
      </c>
      <c r="R190" s="345">
        <v>0</v>
      </c>
      <c r="S190" s="345">
        <v>0</v>
      </c>
      <c r="T190" s="345">
        <v>0</v>
      </c>
      <c r="U190" s="345">
        <v>0</v>
      </c>
      <c r="V190" s="345">
        <v>0</v>
      </c>
      <c r="W190" s="345">
        <v>0</v>
      </c>
      <c r="X190" s="345">
        <v>0</v>
      </c>
      <c r="Y190" s="380">
        <v>0</v>
      </c>
      <c r="Z190" s="296">
        <f t="shared" si="106"/>
        <v>0</v>
      </c>
      <c r="AA190" s="298">
        <f t="shared" si="107"/>
        <v>0</v>
      </c>
      <c r="AB190" s="948">
        <f t="array" ref="AB190">IF(AND($AD$175=TRUE,SUM(B190:L190)&gt;0),SUMPRODUCT((((TRANSPOSE(Cls3CentDailyRng)&lt;INDEX(CDRANGE_CLS3,$A190-$A$180+1,AD$176))*TRANSPOSE(Cls3CentDailyRng)+(TRANSPOSE(Cls3CentDailyRng)&gt;INDEX(CDRANGE_CLS3,$A190-$A$180+1,AD$176))*INDEX(CDRANGE_CLS3,$A190-$A$180+1,AD$176))/TRANSPOSE(Cls3CentDailyRng)),B190:L190,TRANSPOSE(Cls3CentVMTShr))/SUMPRODUCT(B190:L190,TRANSPOSE(Cls3CentVMTShr)),0)</f>
        <v>0</v>
      </c>
      <c r="AC190" s="949">
        <f t="array" ref="AC190">IF(AND($AD$175=TRUE,SUM(O190:Y190)&gt;0),SUMPRODUCT((((TRANSPOSE(Cls3NCentDailyRng)&lt;INDEX(CDRANGE_CLS3,$A190-$A$180+1,AD$176))*TRANSPOSE(Cls3NCentDailyRng)+(TRANSPOSE(Cls3NCentDailyRng)&gt;INDEX(CDRANGE_CLS3,$A190-$A$180+1,AD$176))*INDEX(CDRANGE_CLS3,$A190-$A$180+1,AD$176))/TRANSPOSE(Cls3NCentDailyRng)),O190:Y190,TRANSPOSE(Cls3NCentVMTShr))/SUMPRODUCT(O190:Y190,TRANSPOSE(Cls3NCentVMTShr)),0)</f>
        <v>0</v>
      </c>
      <c r="AD190" s="1226">
        <f t="shared" si="108"/>
        <v>0</v>
      </c>
      <c r="AE190" s="1230">
        <f t="shared" si="101"/>
        <v>0</v>
      </c>
      <c r="AF190" s="1231">
        <f t="shared" si="102"/>
        <v>0</v>
      </c>
      <c r="AG190" s="1231">
        <f t="shared" si="103"/>
        <v>0</v>
      </c>
      <c r="AH190" s="1172">
        <f t="shared" si="109"/>
        <v>0</v>
      </c>
      <c r="AI190" s="1232">
        <f t="shared" si="110"/>
        <v>0</v>
      </c>
      <c r="AJ190" s="227"/>
      <c r="AK190" s="227"/>
      <c r="AL190" s="227"/>
      <c r="AM190" s="227"/>
    </row>
    <row r="191" spans="1:39" x14ac:dyDescent="0.2">
      <c r="A191" s="330">
        <v>2018</v>
      </c>
      <c r="B191" s="344">
        <v>0</v>
      </c>
      <c r="C191" s="345">
        <v>0</v>
      </c>
      <c r="D191" s="345">
        <v>0</v>
      </c>
      <c r="E191" s="345">
        <v>0</v>
      </c>
      <c r="F191" s="345">
        <v>0</v>
      </c>
      <c r="G191" s="345">
        <v>0</v>
      </c>
      <c r="H191" s="345">
        <v>0</v>
      </c>
      <c r="I191" s="345">
        <v>0</v>
      </c>
      <c r="J191" s="345">
        <v>0</v>
      </c>
      <c r="K191" s="345">
        <v>0</v>
      </c>
      <c r="L191" s="380">
        <v>0</v>
      </c>
      <c r="M191" s="296">
        <f t="shared" si="104"/>
        <v>0</v>
      </c>
      <c r="N191" s="298">
        <f t="shared" si="105"/>
        <v>0</v>
      </c>
      <c r="O191" s="344">
        <v>0</v>
      </c>
      <c r="P191" s="345">
        <v>0</v>
      </c>
      <c r="Q191" s="345">
        <v>0</v>
      </c>
      <c r="R191" s="345">
        <v>0</v>
      </c>
      <c r="S191" s="345">
        <v>0</v>
      </c>
      <c r="T191" s="345">
        <v>0</v>
      </c>
      <c r="U191" s="345">
        <v>0</v>
      </c>
      <c r="V191" s="345">
        <v>0</v>
      </c>
      <c r="W191" s="345">
        <v>0</v>
      </c>
      <c r="X191" s="345">
        <v>0</v>
      </c>
      <c r="Y191" s="380">
        <v>0</v>
      </c>
      <c r="Z191" s="296">
        <f t="shared" si="106"/>
        <v>0</v>
      </c>
      <c r="AA191" s="298">
        <f t="shared" si="107"/>
        <v>0</v>
      </c>
      <c r="AB191" s="948">
        <f t="array" ref="AB191">IF(AND($AD$175=TRUE,SUM(B191:L191)&gt;0),SUMPRODUCT((((TRANSPOSE(Cls3CentDailyRng)&lt;INDEX(CDRANGE_CLS3,$A191-$A$180+1,AD$176))*TRANSPOSE(Cls3CentDailyRng)+(TRANSPOSE(Cls3CentDailyRng)&gt;INDEX(CDRANGE_CLS3,$A191-$A$180+1,AD$176))*INDEX(CDRANGE_CLS3,$A191-$A$180+1,AD$176))/TRANSPOSE(Cls3CentDailyRng)),B191:L191,TRANSPOSE(Cls3CentVMTShr))/SUMPRODUCT(B191:L191,TRANSPOSE(Cls3CentVMTShr)),0)</f>
        <v>0</v>
      </c>
      <c r="AC191" s="949">
        <f t="array" ref="AC191">IF(AND($AD$175=TRUE,SUM(O191:Y191)&gt;0),SUMPRODUCT((((TRANSPOSE(Cls3NCentDailyRng)&lt;INDEX(CDRANGE_CLS3,$A191-$A$180+1,AD$176))*TRANSPOSE(Cls3NCentDailyRng)+(TRANSPOSE(Cls3NCentDailyRng)&gt;INDEX(CDRANGE_CLS3,$A191-$A$180+1,AD$176))*INDEX(CDRANGE_CLS3,$A191-$A$180+1,AD$176))/TRANSPOSE(Cls3NCentDailyRng)),O191:Y191,TRANSPOSE(Cls3NCentVMTShr))/SUMPRODUCT(O191:Y191,TRANSPOSE(Cls3NCentVMTShr)),0)</f>
        <v>0</v>
      </c>
      <c r="AD191" s="1226">
        <f t="shared" si="108"/>
        <v>0</v>
      </c>
      <c r="AE191" s="1230">
        <f t="shared" si="101"/>
        <v>0</v>
      </c>
      <c r="AF191" s="1231">
        <f t="shared" si="102"/>
        <v>0</v>
      </c>
      <c r="AG191" s="1231">
        <f t="shared" si="103"/>
        <v>0</v>
      </c>
      <c r="AH191" s="1172">
        <f t="shared" si="109"/>
        <v>0</v>
      </c>
      <c r="AI191" s="1232">
        <f t="shared" si="110"/>
        <v>0</v>
      </c>
      <c r="AJ191" s="227"/>
      <c r="AK191" s="227"/>
      <c r="AL191" s="227"/>
      <c r="AM191" s="227"/>
    </row>
    <row r="192" spans="1:39" x14ac:dyDescent="0.2">
      <c r="A192" s="330">
        <v>2019</v>
      </c>
      <c r="B192" s="344">
        <v>0</v>
      </c>
      <c r="C192" s="345">
        <v>0</v>
      </c>
      <c r="D192" s="345">
        <v>0</v>
      </c>
      <c r="E192" s="345">
        <v>0</v>
      </c>
      <c r="F192" s="345">
        <v>0</v>
      </c>
      <c r="G192" s="345">
        <v>0</v>
      </c>
      <c r="H192" s="345">
        <v>0</v>
      </c>
      <c r="I192" s="345">
        <v>0</v>
      </c>
      <c r="J192" s="345">
        <v>0</v>
      </c>
      <c r="K192" s="345">
        <v>0</v>
      </c>
      <c r="L192" s="380">
        <v>0</v>
      </c>
      <c r="M192" s="296">
        <f t="shared" si="104"/>
        <v>0</v>
      </c>
      <c r="N192" s="298">
        <f t="shared" si="105"/>
        <v>0</v>
      </c>
      <c r="O192" s="344">
        <v>0</v>
      </c>
      <c r="P192" s="345">
        <v>0</v>
      </c>
      <c r="Q192" s="345">
        <v>0</v>
      </c>
      <c r="R192" s="345">
        <v>0</v>
      </c>
      <c r="S192" s="345">
        <v>0</v>
      </c>
      <c r="T192" s="345">
        <v>0</v>
      </c>
      <c r="U192" s="345">
        <v>0</v>
      </c>
      <c r="V192" s="345">
        <v>0</v>
      </c>
      <c r="W192" s="345">
        <v>0</v>
      </c>
      <c r="X192" s="345">
        <v>0</v>
      </c>
      <c r="Y192" s="380">
        <v>0</v>
      </c>
      <c r="Z192" s="296">
        <f t="shared" si="106"/>
        <v>0</v>
      </c>
      <c r="AA192" s="298">
        <f t="shared" si="107"/>
        <v>0</v>
      </c>
      <c r="AB192" s="948">
        <f t="array" ref="AB192">IF(AND($AD$175=TRUE,SUM(B192:L192)&gt;0),SUMPRODUCT((((TRANSPOSE(Cls3CentDailyRng)&lt;INDEX(CDRANGE_CLS3,$A192-$A$180+1,AD$176))*TRANSPOSE(Cls3CentDailyRng)+(TRANSPOSE(Cls3CentDailyRng)&gt;INDEX(CDRANGE_CLS3,$A192-$A$180+1,AD$176))*INDEX(CDRANGE_CLS3,$A192-$A$180+1,AD$176))/TRANSPOSE(Cls3CentDailyRng)),B192:L192,TRANSPOSE(Cls3CentVMTShr))/SUMPRODUCT(B192:L192,TRANSPOSE(Cls3CentVMTShr)),0)</f>
        <v>0</v>
      </c>
      <c r="AC192" s="949">
        <f t="array" ref="AC192">IF(AND($AD$175=TRUE,SUM(O192:Y192)&gt;0),SUMPRODUCT((((TRANSPOSE(Cls3NCentDailyRng)&lt;INDEX(CDRANGE_CLS3,$A192-$A$180+1,AD$176))*TRANSPOSE(Cls3NCentDailyRng)+(TRANSPOSE(Cls3NCentDailyRng)&gt;INDEX(CDRANGE_CLS3,$A192-$A$180+1,AD$176))*INDEX(CDRANGE_CLS3,$A192-$A$180+1,AD$176))/TRANSPOSE(Cls3NCentDailyRng)),O192:Y192,TRANSPOSE(Cls3NCentVMTShr))/SUMPRODUCT(O192:Y192,TRANSPOSE(Cls3NCentVMTShr)),0)</f>
        <v>0</v>
      </c>
      <c r="AD192" s="1226">
        <f t="shared" si="108"/>
        <v>0</v>
      </c>
      <c r="AE192" s="1230">
        <f t="shared" si="101"/>
        <v>0</v>
      </c>
      <c r="AF192" s="1231">
        <f t="shared" si="102"/>
        <v>0</v>
      </c>
      <c r="AG192" s="1231">
        <f t="shared" si="103"/>
        <v>0</v>
      </c>
      <c r="AH192" s="1172">
        <f t="shared" si="109"/>
        <v>0</v>
      </c>
      <c r="AI192" s="1232">
        <f t="shared" si="110"/>
        <v>0</v>
      </c>
      <c r="AJ192" s="227"/>
      <c r="AK192" s="227"/>
      <c r="AL192" s="227"/>
      <c r="AM192" s="227"/>
    </row>
    <row r="193" spans="1:39" ht="15" thickBot="1" x14ac:dyDescent="0.25">
      <c r="A193" s="328">
        <v>2020</v>
      </c>
      <c r="B193" s="346">
        <v>0</v>
      </c>
      <c r="C193" s="347">
        <v>0</v>
      </c>
      <c r="D193" s="347">
        <v>0</v>
      </c>
      <c r="E193" s="347">
        <v>0</v>
      </c>
      <c r="F193" s="347">
        <v>0</v>
      </c>
      <c r="G193" s="347">
        <v>0</v>
      </c>
      <c r="H193" s="347">
        <v>0</v>
      </c>
      <c r="I193" s="347">
        <v>0</v>
      </c>
      <c r="J193" s="347">
        <v>0</v>
      </c>
      <c r="K193" s="347">
        <v>0</v>
      </c>
      <c r="L193" s="381">
        <v>0</v>
      </c>
      <c r="M193" s="310">
        <f t="shared" si="104"/>
        <v>0</v>
      </c>
      <c r="N193" s="312">
        <f t="shared" si="105"/>
        <v>0</v>
      </c>
      <c r="O193" s="346">
        <v>0</v>
      </c>
      <c r="P193" s="347">
        <v>0</v>
      </c>
      <c r="Q193" s="347">
        <v>0</v>
      </c>
      <c r="R193" s="347">
        <v>0</v>
      </c>
      <c r="S193" s="347">
        <v>0</v>
      </c>
      <c r="T193" s="347">
        <v>0</v>
      </c>
      <c r="U193" s="347">
        <v>0</v>
      </c>
      <c r="V193" s="347">
        <v>0</v>
      </c>
      <c r="W193" s="347">
        <v>0</v>
      </c>
      <c r="X193" s="347">
        <v>0</v>
      </c>
      <c r="Y193" s="381">
        <v>0</v>
      </c>
      <c r="Z193" s="310">
        <f t="shared" si="106"/>
        <v>0</v>
      </c>
      <c r="AA193" s="312">
        <f t="shared" si="107"/>
        <v>0</v>
      </c>
      <c r="AB193" s="948">
        <f t="array" ref="AB193">IF(AND($AD$175=TRUE,SUM(B193:L193)&gt;0),SUMPRODUCT((((TRANSPOSE(Cls3CentDailyRng)&lt;INDEX(CDRANGE_CLS3,$A193-$A$180+1,AD$176))*TRANSPOSE(Cls3CentDailyRng)+(TRANSPOSE(Cls3CentDailyRng)&gt;INDEX(CDRANGE_CLS3,$A193-$A$180+1,AD$176))*INDEX(CDRANGE_CLS3,$A193-$A$180+1,AD$176))/TRANSPOSE(Cls3CentDailyRng)),B193:L193,TRANSPOSE(Cls3CentVMTShr))/SUMPRODUCT(B193:L193,TRANSPOSE(Cls3CentVMTShr)),0)</f>
        <v>0</v>
      </c>
      <c r="AC193" s="949">
        <f t="array" ref="AC193">IF(AND($AD$175=TRUE,SUM(O193:Y193)&gt;0),SUMPRODUCT((((TRANSPOSE(Cls3NCentDailyRng)&lt;INDEX(CDRANGE_CLS3,$A193-$A$180+1,AD$176))*TRANSPOSE(Cls3NCentDailyRng)+(TRANSPOSE(Cls3NCentDailyRng)&gt;INDEX(CDRANGE_CLS3,$A193-$A$180+1,AD$176))*INDEX(CDRANGE_CLS3,$A193-$A$180+1,AD$176))/TRANSPOSE(Cls3NCentDailyRng)),O193:Y193,TRANSPOSE(Cls3NCentVMTShr))/SUMPRODUCT(O193:Y193,TRANSPOSE(Cls3NCentVMTShr)),0)</f>
        <v>0</v>
      </c>
      <c r="AD193" s="1226">
        <f t="shared" si="108"/>
        <v>0</v>
      </c>
      <c r="AE193" s="1230">
        <f t="shared" si="101"/>
        <v>0</v>
      </c>
      <c r="AF193" s="1231">
        <f t="shared" si="102"/>
        <v>0</v>
      </c>
      <c r="AG193" s="1231">
        <f t="shared" si="103"/>
        <v>0</v>
      </c>
      <c r="AH193" s="1172">
        <f t="shared" si="109"/>
        <v>0</v>
      </c>
      <c r="AI193" s="1232">
        <f t="shared" si="110"/>
        <v>0</v>
      </c>
      <c r="AJ193" s="227"/>
      <c r="AK193" s="227"/>
      <c r="AL193" s="227"/>
      <c r="AM193" s="227"/>
    </row>
    <row r="194" spans="1:39" x14ac:dyDescent="0.2">
      <c r="A194" s="329">
        <v>2021</v>
      </c>
      <c r="B194" s="342">
        <v>0</v>
      </c>
      <c r="C194" s="343">
        <v>0</v>
      </c>
      <c r="D194" s="343">
        <v>0</v>
      </c>
      <c r="E194" s="343">
        <v>0</v>
      </c>
      <c r="F194" s="343">
        <v>0</v>
      </c>
      <c r="G194" s="343">
        <v>0</v>
      </c>
      <c r="H194" s="343">
        <v>0</v>
      </c>
      <c r="I194" s="343">
        <v>0</v>
      </c>
      <c r="J194" s="343">
        <v>0</v>
      </c>
      <c r="K194" s="343">
        <v>0</v>
      </c>
      <c r="L194" s="379">
        <v>0</v>
      </c>
      <c r="M194" s="282">
        <f t="shared" si="104"/>
        <v>0</v>
      </c>
      <c r="N194" s="284">
        <f t="shared" si="105"/>
        <v>0</v>
      </c>
      <c r="O194" s="342">
        <v>0</v>
      </c>
      <c r="P194" s="343">
        <v>0</v>
      </c>
      <c r="Q194" s="343">
        <v>0</v>
      </c>
      <c r="R194" s="343">
        <v>0</v>
      </c>
      <c r="S194" s="343">
        <v>0</v>
      </c>
      <c r="T194" s="343">
        <v>0</v>
      </c>
      <c r="U194" s="343">
        <v>0</v>
      </c>
      <c r="V194" s="343">
        <v>0</v>
      </c>
      <c r="W194" s="343">
        <v>0</v>
      </c>
      <c r="X194" s="343">
        <v>0</v>
      </c>
      <c r="Y194" s="379">
        <v>0</v>
      </c>
      <c r="Z194" s="282">
        <f t="shared" si="106"/>
        <v>0</v>
      </c>
      <c r="AA194" s="284">
        <f t="shared" si="107"/>
        <v>0</v>
      </c>
      <c r="AB194" s="948">
        <f t="array" ref="AB194">IF(AND($AD$175=TRUE,SUM(B194:L194)&gt;0),SUMPRODUCT((((TRANSPOSE(Cls3CentDailyRng)&lt;INDEX(CDRANGE_CLS3,$A194-$A$180+1,AD$176))*TRANSPOSE(Cls3CentDailyRng)+(TRANSPOSE(Cls3CentDailyRng)&gt;INDEX(CDRANGE_CLS3,$A194-$A$180+1,AD$176))*INDEX(CDRANGE_CLS3,$A194-$A$180+1,AD$176))/TRANSPOSE(Cls3CentDailyRng)),B194:L194,TRANSPOSE(Cls3CentVMTShr))/SUMPRODUCT(B194:L194,TRANSPOSE(Cls3CentVMTShr)),0)</f>
        <v>0</v>
      </c>
      <c r="AC194" s="949">
        <f t="array" ref="AC194">IF(AND($AD$175=TRUE,SUM(O194:Y194)&gt;0),SUMPRODUCT((((TRANSPOSE(Cls3NCentDailyRng)&lt;INDEX(CDRANGE_CLS3,$A194-$A$180+1,AD$176))*TRANSPOSE(Cls3NCentDailyRng)+(TRANSPOSE(Cls3NCentDailyRng)&gt;INDEX(CDRANGE_CLS3,$A194-$A$180+1,AD$176))*INDEX(CDRANGE_CLS3,$A194-$A$180+1,AD$176))/TRANSPOSE(Cls3NCentDailyRng)),O194:Y194,TRANSPOSE(Cls3NCentVMTShr))/SUMPRODUCT(O194:Y194,TRANSPOSE(Cls3NCentVMTShr)),0)</f>
        <v>0</v>
      </c>
      <c r="AD194" s="1226">
        <f t="shared" si="108"/>
        <v>0</v>
      </c>
      <c r="AE194" s="1230">
        <f t="shared" si="101"/>
        <v>0</v>
      </c>
      <c r="AF194" s="1231">
        <f t="shared" si="102"/>
        <v>0</v>
      </c>
      <c r="AG194" s="1231">
        <f t="shared" si="103"/>
        <v>0</v>
      </c>
      <c r="AH194" s="1172">
        <f t="shared" si="109"/>
        <v>0</v>
      </c>
      <c r="AI194" s="1232">
        <f t="shared" si="110"/>
        <v>0</v>
      </c>
      <c r="AJ194" s="227"/>
      <c r="AK194" s="227"/>
      <c r="AL194" s="227"/>
      <c r="AM194" s="227"/>
    </row>
    <row r="195" spans="1:39" x14ac:dyDescent="0.2">
      <c r="A195" s="330">
        <v>2022</v>
      </c>
      <c r="B195" s="344">
        <v>0</v>
      </c>
      <c r="C195" s="345">
        <v>0</v>
      </c>
      <c r="D195" s="345">
        <v>2.7250213030939504E-4</v>
      </c>
      <c r="E195" s="345">
        <v>4.0032061474236866E-3</v>
      </c>
      <c r="F195" s="345">
        <v>7.0647034306077217E-3</v>
      </c>
      <c r="G195" s="345">
        <v>9.3069655644467952E-3</v>
      </c>
      <c r="H195" s="345">
        <v>1.1913907283552775E-2</v>
      </c>
      <c r="I195" s="345">
        <v>1.2687157803448222E-2</v>
      </c>
      <c r="J195" s="345">
        <v>1.365737981435261E-2</v>
      </c>
      <c r="K195" s="345">
        <v>1.4229907541410422E-2</v>
      </c>
      <c r="L195" s="380">
        <v>1.4229907541410422E-2</v>
      </c>
      <c r="M195" s="296">
        <f t="shared" si="104"/>
        <v>5.8796207992654252E-4</v>
      </c>
      <c r="N195" s="298">
        <f t="shared" si="105"/>
        <v>1.7425259348695883E-4</v>
      </c>
      <c r="O195" s="344">
        <v>0</v>
      </c>
      <c r="P195" s="345">
        <v>0</v>
      </c>
      <c r="Q195" s="345">
        <v>5.6036945027803883E-4</v>
      </c>
      <c r="R195" s="345">
        <v>4.6587547500151743E-3</v>
      </c>
      <c r="S195" s="345">
        <v>7.9693399964099448E-3</v>
      </c>
      <c r="T195" s="345">
        <v>1.022848492722909E-2</v>
      </c>
      <c r="U195" s="345">
        <v>1.2253069365080901E-2</v>
      </c>
      <c r="V195" s="345">
        <v>1.3002805672681826E-2</v>
      </c>
      <c r="W195" s="345">
        <v>1.3977223941981807E-2</v>
      </c>
      <c r="X195" s="345">
        <v>1.4229907541410422E-2</v>
      </c>
      <c r="Y195" s="380">
        <v>1.4722085649601493E-2</v>
      </c>
      <c r="Z195" s="296">
        <f t="shared" si="106"/>
        <v>1.144237411778395E-3</v>
      </c>
      <c r="AA195" s="298">
        <f t="shared" si="107"/>
        <v>3.0979943930656804E-4</v>
      </c>
      <c r="AB195" s="948">
        <f t="array" ref="AB195">IF(AND($AD$175=TRUE,SUM(B195:L195)&gt;0),SUMPRODUCT((((TRANSPOSE(Cls3CentDailyRng)&lt;INDEX(CDRANGE_CLS3,$A195-$A$180+1,AD$176))*TRANSPOSE(Cls3CentDailyRng)+(TRANSPOSE(Cls3CentDailyRng)&gt;INDEX(CDRANGE_CLS3,$A195-$A$180+1,AD$176))*INDEX(CDRANGE_CLS3,$A195-$A$180+1,AD$176))/TRANSPOSE(Cls3CentDailyRng)),B195:L195,TRANSPOSE(Cls3CentVMTShr))/SUMPRODUCT(B195:L195,TRANSPOSE(Cls3CentVMTShr)),0)</f>
        <v>0</v>
      </c>
      <c r="AC195" s="949">
        <f t="array" ref="AC195">IF(AND($AD$175=TRUE,SUM(O195:Y195)&gt;0),SUMPRODUCT((((TRANSPOSE(Cls3NCentDailyRng)&lt;INDEX(CDRANGE_CLS3,$A195-$A$180+1,AD$176))*TRANSPOSE(Cls3NCentDailyRng)+(TRANSPOSE(Cls3NCentDailyRng)&gt;INDEX(CDRANGE_CLS3,$A195-$A$180+1,AD$176))*INDEX(CDRANGE_CLS3,$A195-$A$180+1,AD$176))/TRANSPOSE(Cls3NCentDailyRng)),O195:Y195,TRANSPOSE(Cls3NCentVMTShr))/SUMPRODUCT(O195:Y195,TRANSPOSE(Cls3NCentVMTShr)),0)</f>
        <v>0</v>
      </c>
      <c r="AD195" s="1226">
        <f t="shared" si="108"/>
        <v>0</v>
      </c>
      <c r="AE195" s="1230">
        <f>SUMPRODUCT($B$74:$L$74,B195:L195)</f>
        <v>5.8796207992654252E-4</v>
      </c>
      <c r="AF195" s="1231">
        <f>SUMPRODUCT($O$74:$Y$74,O195:Y195)</f>
        <v>1.144237411778395E-3</v>
      </c>
      <c r="AG195" s="1231">
        <f>SUM(AE195:AF195)</f>
        <v>1.7321994917049374E-3</v>
      </c>
      <c r="AH195" s="1172">
        <f t="shared" si="109"/>
        <v>0.33943092740884828</v>
      </c>
      <c r="AI195" s="1232">
        <f t="shared" si="110"/>
        <v>0.66056907259115172</v>
      </c>
      <c r="AJ195" s="227"/>
      <c r="AK195" s="227"/>
      <c r="AL195" s="227"/>
      <c r="AM195" s="227"/>
    </row>
    <row r="196" spans="1:39" x14ac:dyDescent="0.2">
      <c r="A196" s="330">
        <v>2023</v>
      </c>
      <c r="B196" s="344">
        <v>0</v>
      </c>
      <c r="C196" s="345">
        <v>0</v>
      </c>
      <c r="D196" s="345">
        <v>2.2834235407492159E-3</v>
      </c>
      <c r="E196" s="345">
        <v>1.4960280683265893E-2</v>
      </c>
      <c r="F196" s="345">
        <v>2.2700498086809014E-2</v>
      </c>
      <c r="G196" s="345">
        <v>2.7402480074126725E-2</v>
      </c>
      <c r="H196" s="345">
        <v>3.3133368686644515E-2</v>
      </c>
      <c r="I196" s="345">
        <v>3.4702840638694013E-2</v>
      </c>
      <c r="J196" s="345">
        <v>3.5388440780075574E-2</v>
      </c>
      <c r="K196" s="345">
        <v>3.6640079922235134E-2</v>
      </c>
      <c r="L196" s="380">
        <v>3.6640079922235134E-2</v>
      </c>
      <c r="M196" s="296">
        <f t="shared" si="104"/>
        <v>1.9985865431653635E-3</v>
      </c>
      <c r="N196" s="298">
        <f t="shared" si="105"/>
        <v>6.4787768712249187E-4</v>
      </c>
      <c r="O196" s="344">
        <v>0</v>
      </c>
      <c r="P196" s="345">
        <v>0</v>
      </c>
      <c r="Q196" s="345">
        <v>4.2093947287843818E-3</v>
      </c>
      <c r="R196" s="345">
        <v>1.7151465613179831E-2</v>
      </c>
      <c r="S196" s="345">
        <v>2.5077072460837006E-2</v>
      </c>
      <c r="T196" s="345">
        <v>2.9092822004838925E-2</v>
      </c>
      <c r="U196" s="345">
        <v>3.3133368686644515E-2</v>
      </c>
      <c r="V196" s="345">
        <v>3.5388440780075574E-2</v>
      </c>
      <c r="W196" s="345">
        <v>3.5975010951778782E-2</v>
      </c>
      <c r="X196" s="345">
        <v>3.6640079922235134E-2</v>
      </c>
      <c r="Y196" s="380">
        <v>3.7617813669498401E-2</v>
      </c>
      <c r="Z196" s="296">
        <f t="shared" si="106"/>
        <v>3.6619949559056489E-3</v>
      </c>
      <c r="AA196" s="298">
        <f t="shared" si="107"/>
        <v>1.0882950070818613E-3</v>
      </c>
      <c r="AB196" s="948">
        <f t="array" ref="AB196">IF(AND($AD$175=TRUE,SUM(B196:L196)&gt;0),SUMPRODUCT((((TRANSPOSE(Cls3CentDailyRng)&lt;INDEX(CDRANGE_CLS3,$A196-$A$180+1,AD$176))*TRANSPOSE(Cls3CentDailyRng)+(TRANSPOSE(Cls3CentDailyRng)&gt;INDEX(CDRANGE_CLS3,$A196-$A$180+1,AD$176))*INDEX(CDRANGE_CLS3,$A196-$A$180+1,AD$176))/TRANSPOSE(Cls3CentDailyRng)),B196:L196,TRANSPOSE(Cls3CentVMTShr))/SUMPRODUCT(B196:L196,TRANSPOSE(Cls3CentVMTShr)),0)</f>
        <v>0</v>
      </c>
      <c r="AC196" s="949">
        <f t="array" ref="AC196">IF(AND($AD$175=TRUE,SUM(O196:Y196)&gt;0),SUMPRODUCT((((TRANSPOSE(Cls3NCentDailyRng)&lt;INDEX(CDRANGE_CLS3,$A196-$A$180+1,AD$176))*TRANSPOSE(Cls3NCentDailyRng)+(TRANSPOSE(Cls3NCentDailyRng)&gt;INDEX(CDRANGE_CLS3,$A196-$A$180+1,AD$176))*INDEX(CDRANGE_CLS3,$A196-$A$180+1,AD$176))/TRANSPOSE(Cls3NCentDailyRng)),O196:Y196,TRANSPOSE(Cls3NCentVMTShr))/SUMPRODUCT(O196:Y196,TRANSPOSE(Cls3NCentVMTShr)),0)</f>
        <v>0</v>
      </c>
      <c r="AD196" s="1226">
        <f t="shared" si="108"/>
        <v>0</v>
      </c>
      <c r="AE196" s="1230">
        <f t="shared" ref="AE196:AE223" si="111">SUMPRODUCT($B$74:$L$74,B196:L196)</f>
        <v>1.9985865431653635E-3</v>
      </c>
      <c r="AF196" s="1231">
        <f t="shared" ref="AF196:AF223" si="112">SUMPRODUCT($O$74:$Y$74,O196:Y196)</f>
        <v>3.6619949559056489E-3</v>
      </c>
      <c r="AG196" s="1231">
        <f t="shared" ref="AG196:AG223" si="113">SUM(AE196:AF196)</f>
        <v>5.6605814990710124E-3</v>
      </c>
      <c r="AH196" s="1172">
        <f t="shared" si="109"/>
        <v>0.35307088918220891</v>
      </c>
      <c r="AI196" s="1232">
        <f t="shared" si="110"/>
        <v>0.64692911081779103</v>
      </c>
      <c r="AJ196" s="227"/>
      <c r="AK196" s="227"/>
      <c r="AL196" s="227"/>
      <c r="AM196" s="227"/>
    </row>
    <row r="197" spans="1:39" x14ac:dyDescent="0.2">
      <c r="A197" s="330">
        <v>2024</v>
      </c>
      <c r="B197" s="344">
        <v>0</v>
      </c>
      <c r="C197" s="345">
        <v>5.1141716530740934E-5</v>
      </c>
      <c r="D197" s="345">
        <v>1.3235693708928247E-2</v>
      </c>
      <c r="E197" s="345">
        <v>4.7766740297846E-2</v>
      </c>
      <c r="F197" s="345">
        <v>6.2350591979091312E-2</v>
      </c>
      <c r="G197" s="345">
        <v>6.9149953538416672E-2</v>
      </c>
      <c r="H197" s="345">
        <v>7.8637745173457355E-2</v>
      </c>
      <c r="I197" s="345">
        <v>8.2009085360883346E-2</v>
      </c>
      <c r="J197" s="345">
        <v>8.3238779350409506E-2</v>
      </c>
      <c r="K197" s="345">
        <v>8.5355128425110838E-2</v>
      </c>
      <c r="L197" s="380">
        <v>8.5355128425110838E-2</v>
      </c>
      <c r="M197" s="296">
        <f t="shared" si="104"/>
        <v>6.1771925532436755E-3</v>
      </c>
      <c r="N197" s="298">
        <f t="shared" si="105"/>
        <v>2.2121198258042364E-3</v>
      </c>
      <c r="O197" s="344">
        <v>0</v>
      </c>
      <c r="P197" s="345">
        <v>8.9218262561464282E-5</v>
      </c>
      <c r="Q197" s="345">
        <v>1.8545014431019975E-2</v>
      </c>
      <c r="R197" s="345">
        <v>5.2389585187305743E-2</v>
      </c>
      <c r="S197" s="345">
        <v>6.4962744822830237E-2</v>
      </c>
      <c r="T197" s="345">
        <v>7.3817234252642971E-2</v>
      </c>
      <c r="U197" s="345">
        <v>7.8637745173457355E-2</v>
      </c>
      <c r="V197" s="345">
        <v>8.2009085360883346E-2</v>
      </c>
      <c r="W197" s="345">
        <v>8.4216591812777131E-2</v>
      </c>
      <c r="X197" s="345">
        <v>8.5355128425110838E-2</v>
      </c>
      <c r="Y197" s="380">
        <v>8.6055140914455361E-2</v>
      </c>
      <c r="Z197" s="296">
        <f t="shared" si="106"/>
        <v>1.0221398757635787E-2</v>
      </c>
      <c r="AA197" s="298">
        <f t="shared" si="107"/>
        <v>3.3019914916024586E-3</v>
      </c>
      <c r="AB197" s="948">
        <f t="array" ref="AB197">IF(AND($AD$175=TRUE,SUM(B197:L197)&gt;0),SUMPRODUCT((((TRANSPOSE(Cls3CentDailyRng)&lt;INDEX(CDRANGE_CLS3,$A197-$A$180+1,AD$176))*TRANSPOSE(Cls3CentDailyRng)+(TRANSPOSE(Cls3CentDailyRng)&gt;INDEX(CDRANGE_CLS3,$A197-$A$180+1,AD$176))*INDEX(CDRANGE_CLS3,$A197-$A$180+1,AD$176))/TRANSPOSE(Cls3CentDailyRng)),B197:L197,TRANSPOSE(Cls3CentVMTShr))/SUMPRODUCT(B197:L197,TRANSPOSE(Cls3CentVMTShr)),0)</f>
        <v>0</v>
      </c>
      <c r="AC197" s="949">
        <f t="array" ref="AC197">IF(AND($AD$175=TRUE,SUM(O197:Y197)&gt;0),SUMPRODUCT((((TRANSPOSE(Cls3NCentDailyRng)&lt;INDEX(CDRANGE_CLS3,$A197-$A$180+1,AD$176))*TRANSPOSE(Cls3NCentDailyRng)+(TRANSPOSE(Cls3NCentDailyRng)&gt;INDEX(CDRANGE_CLS3,$A197-$A$180+1,AD$176))*INDEX(CDRANGE_CLS3,$A197-$A$180+1,AD$176))/TRANSPOSE(Cls3NCentDailyRng)),O197:Y197,TRANSPOSE(Cls3NCentVMTShr))/SUMPRODUCT(O197:Y197,TRANSPOSE(Cls3NCentVMTShr)),0)</f>
        <v>0</v>
      </c>
      <c r="AD197" s="1226">
        <f t="shared" si="108"/>
        <v>0</v>
      </c>
      <c r="AE197" s="1230">
        <f t="shared" si="111"/>
        <v>6.1771925532436755E-3</v>
      </c>
      <c r="AF197" s="1231">
        <f t="shared" si="112"/>
        <v>1.0221398757635787E-2</v>
      </c>
      <c r="AG197" s="1231">
        <f t="shared" si="113"/>
        <v>1.6398591310879462E-2</v>
      </c>
      <c r="AH197" s="1172">
        <f t="shared" si="109"/>
        <v>0.37669043859550827</v>
      </c>
      <c r="AI197" s="1232">
        <f t="shared" si="110"/>
        <v>0.62330956140449179</v>
      </c>
      <c r="AJ197" s="227"/>
      <c r="AK197" s="227"/>
      <c r="AL197" s="227"/>
      <c r="AM197" s="227"/>
    </row>
    <row r="198" spans="1:39" ht="15" thickBot="1" x14ac:dyDescent="0.25">
      <c r="A198" s="328">
        <v>2025</v>
      </c>
      <c r="B198" s="346">
        <v>0</v>
      </c>
      <c r="C198" s="347">
        <v>6.0747721986965475E-4</v>
      </c>
      <c r="D198" s="347">
        <v>4.4430165246877554E-2</v>
      </c>
      <c r="E198" s="347">
        <v>0.10444254387752784</v>
      </c>
      <c r="F198" s="347">
        <v>0.12589562508306684</v>
      </c>
      <c r="G198" s="347">
        <v>0.13767549244811988</v>
      </c>
      <c r="H198" s="347">
        <v>0.15423672035581332</v>
      </c>
      <c r="I198" s="347">
        <v>0.15667332223100286</v>
      </c>
      <c r="J198" s="347">
        <v>0.15726867553221047</v>
      </c>
      <c r="K198" s="347">
        <v>0.16081352215621803</v>
      </c>
      <c r="L198" s="381">
        <v>0.16081352215621803</v>
      </c>
      <c r="M198" s="310">
        <f t="shared" si="104"/>
        <v>1.4376455931862032E-2</v>
      </c>
      <c r="N198" s="312">
        <f t="shared" si="105"/>
        <v>5.5583263212206765E-3</v>
      </c>
      <c r="O198" s="346">
        <v>0</v>
      </c>
      <c r="P198" s="347">
        <v>1.0800489743013773E-3</v>
      </c>
      <c r="Q198" s="347">
        <v>5.9703215082517469E-2</v>
      </c>
      <c r="R198" s="347">
        <v>0.1147165584591036</v>
      </c>
      <c r="S198" s="347">
        <v>0.12876345742875478</v>
      </c>
      <c r="T198" s="347">
        <v>0.14418392425477075</v>
      </c>
      <c r="U198" s="347">
        <v>0.15423672035581332</v>
      </c>
      <c r="V198" s="347">
        <v>0.15812029381654011</v>
      </c>
      <c r="W198" s="347">
        <v>0.15972922324303487</v>
      </c>
      <c r="X198" s="347">
        <v>0.16081352215621803</v>
      </c>
      <c r="Y198" s="381">
        <v>0.16170840294695274</v>
      </c>
      <c r="Z198" s="310">
        <f t="shared" si="106"/>
        <v>2.289899187352442E-2</v>
      </c>
      <c r="AA198" s="312">
        <f t="shared" si="107"/>
        <v>8.0587797709761565E-3</v>
      </c>
      <c r="AB198" s="948">
        <f t="array" ref="AB198">IF(AND($AD$175=TRUE,SUM(B198:L198)&gt;0),SUMPRODUCT((((TRANSPOSE(Cls3CentDailyRng)&lt;INDEX(CDRANGE_CLS3,$A198-$A$180+1,AD$176))*TRANSPOSE(Cls3CentDailyRng)+(TRANSPOSE(Cls3CentDailyRng)&gt;INDEX(CDRANGE_CLS3,$A198-$A$180+1,AD$176))*INDEX(CDRANGE_CLS3,$A198-$A$180+1,AD$176))/TRANSPOSE(Cls3CentDailyRng)),B198:L198,TRANSPOSE(Cls3CentVMTShr))/SUMPRODUCT(B198:L198,TRANSPOSE(Cls3CentVMTShr)),0)</f>
        <v>0</v>
      </c>
      <c r="AC198" s="949">
        <f t="array" ref="AC198">IF(AND($AD$175=TRUE,SUM(O198:Y198)&gt;0),SUMPRODUCT((((TRANSPOSE(Cls3NCentDailyRng)&lt;INDEX(CDRANGE_CLS3,$A198-$A$180+1,AD$176))*TRANSPOSE(Cls3NCentDailyRng)+(TRANSPOSE(Cls3NCentDailyRng)&gt;INDEX(CDRANGE_CLS3,$A198-$A$180+1,AD$176))*INDEX(CDRANGE_CLS3,$A198-$A$180+1,AD$176))/TRANSPOSE(Cls3NCentDailyRng)),O198:Y198,TRANSPOSE(Cls3NCentVMTShr))/SUMPRODUCT(O198:Y198,TRANSPOSE(Cls3NCentVMTShr)),0)</f>
        <v>0</v>
      </c>
      <c r="AD198" s="1226">
        <f t="shared" si="108"/>
        <v>0</v>
      </c>
      <c r="AE198" s="1230">
        <f t="shared" si="111"/>
        <v>1.4376455931862032E-2</v>
      </c>
      <c r="AF198" s="1231">
        <f t="shared" si="112"/>
        <v>2.289899187352442E-2</v>
      </c>
      <c r="AG198" s="1231">
        <f t="shared" si="113"/>
        <v>3.7275447805386455E-2</v>
      </c>
      <c r="AH198" s="1172">
        <f t="shared" si="109"/>
        <v>0.38568164242911052</v>
      </c>
      <c r="AI198" s="1232">
        <f t="shared" si="110"/>
        <v>0.61431835757088937</v>
      </c>
      <c r="AJ198" s="227"/>
      <c r="AK198" s="227"/>
      <c r="AL198" s="227"/>
      <c r="AM198" s="227"/>
    </row>
    <row r="199" spans="1:39" x14ac:dyDescent="0.2">
      <c r="A199" s="329">
        <v>2026</v>
      </c>
      <c r="B199" s="342">
        <v>0</v>
      </c>
      <c r="C199" s="343">
        <v>2.9169067895216329E-3</v>
      </c>
      <c r="D199" s="343">
        <v>7.742266465521612E-2</v>
      </c>
      <c r="E199" s="343">
        <v>0.16249002823187458</v>
      </c>
      <c r="F199" s="343">
        <v>0.19241496645633238</v>
      </c>
      <c r="G199" s="343">
        <v>0.21097330970114819</v>
      </c>
      <c r="H199" s="343">
        <v>0.22803454258553377</v>
      </c>
      <c r="I199" s="343">
        <v>0.23135943360982178</v>
      </c>
      <c r="J199" s="343">
        <v>0.23274964213761828</v>
      </c>
      <c r="K199" s="343">
        <v>0.2366073849977566</v>
      </c>
      <c r="L199" s="379">
        <v>0.2366073849977566</v>
      </c>
      <c r="M199" s="282">
        <f t="shared" si="104"/>
        <v>2.3101327958783349E-2</v>
      </c>
      <c r="N199" s="284">
        <f t="shared" si="105"/>
        <v>9.2829477719940327E-3</v>
      </c>
      <c r="O199" s="342">
        <v>0</v>
      </c>
      <c r="P199" s="343">
        <v>4.8257445589209042E-3</v>
      </c>
      <c r="Q199" s="343">
        <v>9.6642513141667497E-2</v>
      </c>
      <c r="R199" s="343">
        <v>0.16701521231092031</v>
      </c>
      <c r="S199" s="343">
        <v>0.20145230812613762</v>
      </c>
      <c r="T199" s="343">
        <v>0.21637331262938833</v>
      </c>
      <c r="U199" s="343">
        <v>0.22803454258553377</v>
      </c>
      <c r="V199" s="343">
        <v>0.23320986014476777</v>
      </c>
      <c r="W199" s="343">
        <v>0.23529863910941012</v>
      </c>
      <c r="X199" s="343">
        <v>0.2365967119257793</v>
      </c>
      <c r="Y199" s="379">
        <v>0.23744809987341536</v>
      </c>
      <c r="Z199" s="282">
        <f t="shared" si="106"/>
        <v>3.5472205547591291E-2</v>
      </c>
      <c r="AA199" s="284">
        <f t="shared" si="107"/>
        <v>1.3134446852394305E-2</v>
      </c>
      <c r="AB199" s="948">
        <f t="array" ref="AB199">IF(AND($AD$175=TRUE,SUM(B199:L199)&gt;0),SUMPRODUCT((((TRANSPOSE(Cls3CentDailyRng)&lt;INDEX(CDRANGE_CLS3,$A199-$A$180+1,AD$176))*TRANSPOSE(Cls3CentDailyRng)+(TRANSPOSE(Cls3CentDailyRng)&gt;INDEX(CDRANGE_CLS3,$A199-$A$180+1,AD$176))*INDEX(CDRANGE_CLS3,$A199-$A$180+1,AD$176))/TRANSPOSE(Cls3CentDailyRng)),B199:L199,TRANSPOSE(Cls3CentVMTShr))/SUMPRODUCT(B199:L199,TRANSPOSE(Cls3CentVMTShr)),0)</f>
        <v>0</v>
      </c>
      <c r="AC199" s="949">
        <f t="array" ref="AC199">IF(AND($AD$175=TRUE,SUM(O199:Y199)&gt;0),SUMPRODUCT((((TRANSPOSE(Cls3NCentDailyRng)&lt;INDEX(CDRANGE_CLS3,$A199-$A$180+1,AD$176))*TRANSPOSE(Cls3NCentDailyRng)+(TRANSPOSE(Cls3NCentDailyRng)&gt;INDEX(CDRANGE_CLS3,$A199-$A$180+1,AD$176))*INDEX(CDRANGE_CLS3,$A199-$A$180+1,AD$176))/TRANSPOSE(Cls3NCentDailyRng)),O199:Y199,TRANSPOSE(Cls3NCentVMTShr))/SUMPRODUCT(O199:Y199,TRANSPOSE(Cls3NCentVMTShr)),0)</f>
        <v>0</v>
      </c>
      <c r="AD199" s="1226">
        <f t="shared" si="108"/>
        <v>0</v>
      </c>
      <c r="AE199" s="1230">
        <f t="shared" si="111"/>
        <v>2.3101327958783349E-2</v>
      </c>
      <c r="AF199" s="1231">
        <f t="shared" si="112"/>
        <v>3.5472205547591291E-2</v>
      </c>
      <c r="AG199" s="1231">
        <f t="shared" si="113"/>
        <v>5.8573533506374641E-2</v>
      </c>
      <c r="AH199" s="1172">
        <f t="shared" si="109"/>
        <v>0.39439874250149515</v>
      </c>
      <c r="AI199" s="1232">
        <f t="shared" si="110"/>
        <v>0.60560125749850491</v>
      </c>
      <c r="AJ199" s="227"/>
      <c r="AK199" s="227"/>
      <c r="AL199" s="227"/>
      <c r="AM199" s="227"/>
    </row>
    <row r="200" spans="1:39" x14ac:dyDescent="0.2">
      <c r="A200" s="330">
        <v>2027</v>
      </c>
      <c r="B200" s="344">
        <v>0</v>
      </c>
      <c r="C200" s="345">
        <v>7.9618322653728472E-3</v>
      </c>
      <c r="D200" s="345">
        <v>0.10605011056021668</v>
      </c>
      <c r="E200" s="345">
        <v>0.20138286868633909</v>
      </c>
      <c r="F200" s="345">
        <v>0.24004126316258528</v>
      </c>
      <c r="G200" s="345">
        <v>0.25186498165041354</v>
      </c>
      <c r="H200" s="345">
        <v>0.27458538430273954</v>
      </c>
      <c r="I200" s="345">
        <v>0.27744425129037964</v>
      </c>
      <c r="J200" s="345">
        <v>0.28369271883510044</v>
      </c>
      <c r="K200" s="345">
        <v>0.28502744403396529</v>
      </c>
      <c r="L200" s="380">
        <v>0.28502744403396529</v>
      </c>
      <c r="M200" s="296">
        <f t="shared" si="104"/>
        <v>3.0062853891564208E-2</v>
      </c>
      <c r="N200" s="298">
        <f t="shared" si="105"/>
        <v>1.2614162368264089E-2</v>
      </c>
      <c r="O200" s="344">
        <v>0</v>
      </c>
      <c r="P200" s="345">
        <v>1.0248828647921048E-2</v>
      </c>
      <c r="Q200" s="345">
        <v>0.13051858335086361</v>
      </c>
      <c r="R200" s="345">
        <v>0.21861423590355172</v>
      </c>
      <c r="S200" s="345">
        <v>0.24718739372554144</v>
      </c>
      <c r="T200" s="345">
        <v>0.26451641888742766</v>
      </c>
      <c r="U200" s="345">
        <v>0.27458538430273954</v>
      </c>
      <c r="V200" s="345">
        <v>0.28062093921854236</v>
      </c>
      <c r="W200" s="345">
        <v>0.28280915215086178</v>
      </c>
      <c r="X200" s="345">
        <v>0.28482129172488035</v>
      </c>
      <c r="Y200" s="380">
        <v>0.28370845019822699</v>
      </c>
      <c r="Z200" s="296">
        <f t="shared" si="106"/>
        <v>4.625305120371917E-2</v>
      </c>
      <c r="AA200" s="298">
        <f t="shared" si="107"/>
        <v>1.8042416093259663E-2</v>
      </c>
      <c r="AB200" s="948">
        <f t="array" ref="AB200">IF(AND($AD$175=TRUE,SUM(B200:L200)&gt;0),SUMPRODUCT((((TRANSPOSE(Cls3CentDailyRng)&lt;INDEX(CDRANGE_CLS3,$A200-$A$180+1,AD$176))*TRANSPOSE(Cls3CentDailyRng)+(TRANSPOSE(Cls3CentDailyRng)&gt;INDEX(CDRANGE_CLS3,$A200-$A$180+1,AD$176))*INDEX(CDRANGE_CLS3,$A200-$A$180+1,AD$176))/TRANSPOSE(Cls3CentDailyRng)),B200:L200,TRANSPOSE(Cls3CentVMTShr))/SUMPRODUCT(B200:L200,TRANSPOSE(Cls3CentVMTShr)),0)</f>
        <v>0</v>
      </c>
      <c r="AC200" s="949">
        <f t="array" ref="AC200">IF(AND($AD$175=TRUE,SUM(O200:Y200)&gt;0),SUMPRODUCT((((TRANSPOSE(Cls3NCentDailyRng)&lt;INDEX(CDRANGE_CLS3,$A200-$A$180+1,AD$176))*TRANSPOSE(Cls3NCentDailyRng)+(TRANSPOSE(Cls3NCentDailyRng)&gt;INDEX(CDRANGE_CLS3,$A200-$A$180+1,AD$176))*INDEX(CDRANGE_CLS3,$A200-$A$180+1,AD$176))/TRANSPOSE(Cls3NCentDailyRng)),O200:Y200,TRANSPOSE(Cls3NCentVMTShr))/SUMPRODUCT(O200:Y200,TRANSPOSE(Cls3NCentVMTShr)),0)</f>
        <v>0</v>
      </c>
      <c r="AD200" s="1226">
        <f t="shared" si="108"/>
        <v>0</v>
      </c>
      <c r="AE200" s="1230">
        <f t="shared" si="111"/>
        <v>3.0062853891564208E-2</v>
      </c>
      <c r="AF200" s="1231">
        <f t="shared" si="112"/>
        <v>4.625305120371917E-2</v>
      </c>
      <c r="AG200" s="1231">
        <f t="shared" si="113"/>
        <v>7.6315905095283382E-2</v>
      </c>
      <c r="AH200" s="1172">
        <f t="shared" si="109"/>
        <v>0.39392645417792743</v>
      </c>
      <c r="AI200" s="1232">
        <f t="shared" si="110"/>
        <v>0.60607354582207251</v>
      </c>
      <c r="AJ200" s="227"/>
      <c r="AK200" s="227"/>
      <c r="AL200" s="227"/>
      <c r="AM200" s="227"/>
    </row>
    <row r="201" spans="1:39" x14ac:dyDescent="0.2">
      <c r="A201" s="330">
        <v>2028</v>
      </c>
      <c r="B201" s="344">
        <v>0</v>
      </c>
      <c r="C201" s="345">
        <v>1.6045363583005168E-2</v>
      </c>
      <c r="D201" s="345">
        <v>0.13782977269106469</v>
      </c>
      <c r="E201" s="345">
        <v>0.23660568806709489</v>
      </c>
      <c r="F201" s="345">
        <v>0.26461602610987778</v>
      </c>
      <c r="G201" s="345">
        <v>0.28627299460384859</v>
      </c>
      <c r="H201" s="345">
        <v>0.30026052749763699</v>
      </c>
      <c r="I201" s="345">
        <v>0.30365890149364411</v>
      </c>
      <c r="J201" s="345">
        <v>0.305630165861074</v>
      </c>
      <c r="K201" s="345">
        <v>0.30657801210484331</v>
      </c>
      <c r="L201" s="380">
        <v>0.30657801210484331</v>
      </c>
      <c r="M201" s="296">
        <f t="shared" si="104"/>
        <v>3.6699689098743299E-2</v>
      </c>
      <c r="N201" s="298">
        <f t="shared" si="105"/>
        <v>1.624330620618912E-2</v>
      </c>
      <c r="O201" s="344">
        <v>0</v>
      </c>
      <c r="P201" s="345">
        <v>2.0065708079234128E-2</v>
      </c>
      <c r="Q201" s="345">
        <v>0.15685748810969502</v>
      </c>
      <c r="R201" s="345">
        <v>0.2458761497813656</v>
      </c>
      <c r="S201" s="345">
        <v>0.27258495072124483</v>
      </c>
      <c r="T201" s="345">
        <v>0.29222169743734233</v>
      </c>
      <c r="U201" s="345">
        <v>0.30026052749763699</v>
      </c>
      <c r="V201" s="345">
        <v>0.30667061023821485</v>
      </c>
      <c r="W201" s="345">
        <v>0.30651764800389414</v>
      </c>
      <c r="X201" s="345">
        <v>0.30395451068991042</v>
      </c>
      <c r="Y201" s="380">
        <v>0.29834696033611313</v>
      </c>
      <c r="Z201" s="296">
        <f t="shared" si="106"/>
        <v>5.4606046139292611E-2</v>
      </c>
      <c r="AA201" s="298">
        <f t="shared" si="107"/>
        <v>2.2827798182204064E-2</v>
      </c>
      <c r="AB201" s="948">
        <f t="array" ref="AB201">IF(AND($AD$175=TRUE,SUM(B201:L201)&gt;0),SUMPRODUCT((((TRANSPOSE(Cls3CentDailyRng)&lt;INDEX(CDRANGE_CLS3,$A201-$A$180+1,AD$176))*TRANSPOSE(Cls3CentDailyRng)+(TRANSPOSE(Cls3CentDailyRng)&gt;INDEX(CDRANGE_CLS3,$A201-$A$180+1,AD$176))*INDEX(CDRANGE_CLS3,$A201-$A$180+1,AD$176))/TRANSPOSE(Cls3CentDailyRng)),B201:L201,TRANSPOSE(Cls3CentVMTShr))/SUMPRODUCT(B201:L201,TRANSPOSE(Cls3CentVMTShr)),0)</f>
        <v>0</v>
      </c>
      <c r="AC201" s="949">
        <f t="array" ref="AC201">IF(AND($AD$175=TRUE,SUM(O201:Y201)&gt;0),SUMPRODUCT((((TRANSPOSE(Cls3NCentDailyRng)&lt;INDEX(CDRANGE_CLS3,$A201-$A$180+1,AD$176))*TRANSPOSE(Cls3NCentDailyRng)+(TRANSPOSE(Cls3NCentDailyRng)&gt;INDEX(CDRANGE_CLS3,$A201-$A$180+1,AD$176))*INDEX(CDRANGE_CLS3,$A201-$A$180+1,AD$176))/TRANSPOSE(Cls3NCentDailyRng)),O201:Y201,TRANSPOSE(Cls3NCentVMTShr))/SUMPRODUCT(O201:Y201,TRANSPOSE(Cls3NCentVMTShr)),0)</f>
        <v>0</v>
      </c>
      <c r="AD201" s="1226">
        <f t="shared" si="108"/>
        <v>0</v>
      </c>
      <c r="AE201" s="1230">
        <f t="shared" si="111"/>
        <v>3.6699689098743299E-2</v>
      </c>
      <c r="AF201" s="1231">
        <f t="shared" si="112"/>
        <v>5.4606046139292611E-2</v>
      </c>
      <c r="AG201" s="1231">
        <f t="shared" si="113"/>
        <v>9.1305735238035909E-2</v>
      </c>
      <c r="AH201" s="1172">
        <f t="shared" si="109"/>
        <v>0.40194286813491464</v>
      </c>
      <c r="AI201" s="1232">
        <f t="shared" si="110"/>
        <v>0.59805713186508536</v>
      </c>
      <c r="AJ201" s="227"/>
      <c r="AK201" s="227"/>
      <c r="AL201" s="227"/>
      <c r="AM201" s="227"/>
    </row>
    <row r="202" spans="1:39" x14ac:dyDescent="0.2">
      <c r="A202" s="330">
        <v>2029</v>
      </c>
      <c r="B202" s="344">
        <v>0</v>
      </c>
      <c r="C202" s="345">
        <v>2.3351942735075033E-2</v>
      </c>
      <c r="D202" s="345">
        <v>0.15795717288259289</v>
      </c>
      <c r="E202" s="345">
        <v>0.24957493336201977</v>
      </c>
      <c r="F202" s="345">
        <v>0.28400130246331673</v>
      </c>
      <c r="G202" s="345">
        <v>0.29532124606991372</v>
      </c>
      <c r="H202" s="345">
        <v>0.31369540411898306</v>
      </c>
      <c r="I202" s="345">
        <v>0.31540559028221171</v>
      </c>
      <c r="J202" s="345">
        <v>0.31379645256624417</v>
      </c>
      <c r="K202" s="345">
        <v>0.30680333690284051</v>
      </c>
      <c r="L202" s="380">
        <v>0.30680333690284051</v>
      </c>
      <c r="M202" s="296">
        <f t="shared" si="104"/>
        <v>4.0791115405691247E-2</v>
      </c>
      <c r="N202" s="298">
        <f t="shared" si="105"/>
        <v>1.869607115467882E-2</v>
      </c>
      <c r="O202" s="344">
        <v>0</v>
      </c>
      <c r="P202" s="345">
        <v>2.8719956247262014E-2</v>
      </c>
      <c r="Q202" s="345">
        <v>0.17406547225219651</v>
      </c>
      <c r="R202" s="345">
        <v>0.25903535611168144</v>
      </c>
      <c r="S202" s="345">
        <v>0.28828734524609911</v>
      </c>
      <c r="T202" s="345">
        <v>0.30145689339108717</v>
      </c>
      <c r="U202" s="345">
        <v>0.31335862102972539</v>
      </c>
      <c r="V202" s="345">
        <v>0.31301717759244602</v>
      </c>
      <c r="W202" s="345">
        <v>0.30857558296681192</v>
      </c>
      <c r="X202" s="345">
        <v>0.30427464548448468</v>
      </c>
      <c r="Y202" s="380">
        <v>0.29395147243730235</v>
      </c>
      <c r="Z202" s="296">
        <f t="shared" si="106"/>
        <v>5.9929974997115054E-2</v>
      </c>
      <c r="AA202" s="298">
        <f t="shared" si="107"/>
        <v>2.6330380840736838E-2</v>
      </c>
      <c r="AB202" s="948">
        <f t="array" ref="AB202">IF(AND($AD$175=TRUE,SUM(B202:L202)&gt;0),SUMPRODUCT((((TRANSPOSE(Cls3CentDailyRng)&lt;INDEX(CDRANGE_CLS3,$A202-$A$180+1,AD$176))*TRANSPOSE(Cls3CentDailyRng)+(TRANSPOSE(Cls3CentDailyRng)&gt;INDEX(CDRANGE_CLS3,$A202-$A$180+1,AD$176))*INDEX(CDRANGE_CLS3,$A202-$A$180+1,AD$176))/TRANSPOSE(Cls3CentDailyRng)),B202:L202,TRANSPOSE(Cls3CentVMTShr))/SUMPRODUCT(B202:L202,TRANSPOSE(Cls3CentVMTShr)),0)</f>
        <v>0</v>
      </c>
      <c r="AC202" s="949">
        <f t="array" ref="AC202">IF(AND($AD$175=TRUE,SUM(O202:Y202)&gt;0),SUMPRODUCT((((TRANSPOSE(Cls3NCentDailyRng)&lt;INDEX(CDRANGE_CLS3,$A202-$A$180+1,AD$176))*TRANSPOSE(Cls3NCentDailyRng)+(TRANSPOSE(Cls3NCentDailyRng)&gt;INDEX(CDRANGE_CLS3,$A202-$A$180+1,AD$176))*INDEX(CDRANGE_CLS3,$A202-$A$180+1,AD$176))/TRANSPOSE(Cls3NCentDailyRng)),O202:Y202,TRANSPOSE(Cls3NCentVMTShr))/SUMPRODUCT(O202:Y202,TRANSPOSE(Cls3NCentVMTShr)),0)</f>
        <v>0</v>
      </c>
      <c r="AD202" s="1226">
        <f t="shared" si="108"/>
        <v>0</v>
      </c>
      <c r="AE202" s="1230">
        <f t="shared" si="111"/>
        <v>4.0791115405691247E-2</v>
      </c>
      <c r="AF202" s="1231">
        <f t="shared" si="112"/>
        <v>5.9929974997115054E-2</v>
      </c>
      <c r="AG202" s="1231">
        <f t="shared" si="113"/>
        <v>0.1007210904028063</v>
      </c>
      <c r="AH202" s="1172">
        <f t="shared" si="109"/>
        <v>0.40499080423532352</v>
      </c>
      <c r="AI202" s="1232">
        <f t="shared" si="110"/>
        <v>0.59500919576467648</v>
      </c>
      <c r="AJ202" s="227"/>
      <c r="AK202" s="227"/>
      <c r="AL202" s="227"/>
      <c r="AM202" s="227"/>
    </row>
    <row r="203" spans="1:39" ht="15" thickBot="1" x14ac:dyDescent="0.25">
      <c r="A203" s="328">
        <v>2030</v>
      </c>
      <c r="B203" s="346">
        <v>0</v>
      </c>
      <c r="C203" s="347">
        <v>3.1680719450423368E-2</v>
      </c>
      <c r="D203" s="347">
        <v>0.1795905130684162</v>
      </c>
      <c r="E203" s="347">
        <v>0.2621949697431834</v>
      </c>
      <c r="F203" s="347">
        <v>0.29179607304471156</v>
      </c>
      <c r="G203" s="347">
        <v>0.30267315934148281</v>
      </c>
      <c r="H203" s="347">
        <v>0.31231673862175818</v>
      </c>
      <c r="I203" s="347">
        <v>0.31154596334642332</v>
      </c>
      <c r="J203" s="347">
        <v>0.30494408354213781</v>
      </c>
      <c r="K203" s="347">
        <v>0.29429039468378987</v>
      </c>
      <c r="L203" s="381">
        <v>0.29429039468378987</v>
      </c>
      <c r="M203" s="310">
        <f t="shared" si="104"/>
        <v>4.4643745677311032E-2</v>
      </c>
      <c r="N203" s="312">
        <f t="shared" si="105"/>
        <v>2.1236945783557091E-2</v>
      </c>
      <c r="O203" s="346">
        <v>0</v>
      </c>
      <c r="P203" s="347">
        <v>4.3598790422806205E-2</v>
      </c>
      <c r="Q203" s="347">
        <v>0.19614808288771912</v>
      </c>
      <c r="R203" s="347">
        <v>0.26736960242918928</v>
      </c>
      <c r="S203" s="347">
        <v>0.2958238675822803</v>
      </c>
      <c r="T203" s="347">
        <v>0.3079346696246042</v>
      </c>
      <c r="U203" s="347">
        <v>0.31060033205335297</v>
      </c>
      <c r="V203" s="347">
        <v>0.30638041055284143</v>
      </c>
      <c r="W203" s="347">
        <v>0.29807586410854831</v>
      </c>
      <c r="X203" s="347">
        <v>0.29232278627525138</v>
      </c>
      <c r="Y203" s="381">
        <v>0.2827334532513463</v>
      </c>
      <c r="Z203" s="310">
        <f t="shared" si="106"/>
        <v>6.6245424207980977E-2</v>
      </c>
      <c r="AA203" s="312">
        <f t="shared" si="107"/>
        <v>3.1371020783190137E-2</v>
      </c>
      <c r="AB203" s="948">
        <f t="array" ref="AB203">IF(AND($AD$175=TRUE,SUM(B203:L203)&gt;0),SUMPRODUCT((((TRANSPOSE(Cls3CentDailyRng)&lt;INDEX(CDRANGE_CLS3,$A203-$A$180+1,AD$176))*TRANSPOSE(Cls3CentDailyRng)+(TRANSPOSE(Cls3CentDailyRng)&gt;INDEX(CDRANGE_CLS3,$A203-$A$180+1,AD$176))*INDEX(CDRANGE_CLS3,$A203-$A$180+1,AD$176))/TRANSPOSE(Cls3CentDailyRng)),B203:L203,TRANSPOSE(Cls3CentVMTShr))/SUMPRODUCT(B203:L203,TRANSPOSE(Cls3CentVMTShr)),0)</f>
        <v>0</v>
      </c>
      <c r="AC203" s="949">
        <f t="array" ref="AC203">IF(AND($AD$175=TRUE,SUM(O203:Y203)&gt;0),SUMPRODUCT((((TRANSPOSE(Cls3NCentDailyRng)&lt;INDEX(CDRANGE_CLS3,$A203-$A$180+1,AD$176))*TRANSPOSE(Cls3NCentDailyRng)+(TRANSPOSE(Cls3NCentDailyRng)&gt;INDEX(CDRANGE_CLS3,$A203-$A$180+1,AD$176))*INDEX(CDRANGE_CLS3,$A203-$A$180+1,AD$176))/TRANSPOSE(Cls3NCentDailyRng)),O203:Y203,TRANSPOSE(Cls3NCentVMTShr))/SUMPRODUCT(O203:Y203,TRANSPOSE(Cls3NCentVMTShr)),0)</f>
        <v>0</v>
      </c>
      <c r="AD203" s="1226">
        <f t="shared" si="108"/>
        <v>0</v>
      </c>
      <c r="AE203" s="1230">
        <f t="shared" si="111"/>
        <v>4.4643745677311032E-2</v>
      </c>
      <c r="AF203" s="1231">
        <f t="shared" si="112"/>
        <v>6.6245424207980977E-2</v>
      </c>
      <c r="AG203" s="1231">
        <f t="shared" si="113"/>
        <v>0.11088916988529202</v>
      </c>
      <c r="AH203" s="1172">
        <f t="shared" si="109"/>
        <v>0.402597888716204</v>
      </c>
      <c r="AI203" s="1232">
        <f t="shared" si="110"/>
        <v>0.59740211128379594</v>
      </c>
      <c r="AJ203" s="227"/>
      <c r="AK203" s="227"/>
      <c r="AL203" s="227"/>
      <c r="AM203" s="227"/>
    </row>
    <row r="204" spans="1:39" x14ac:dyDescent="0.2">
      <c r="A204" s="329">
        <v>2031</v>
      </c>
      <c r="B204" s="342">
        <v>0</v>
      </c>
      <c r="C204" s="343">
        <v>3.5419929817577848E-2</v>
      </c>
      <c r="D204" s="343">
        <v>0.18014777902448575</v>
      </c>
      <c r="E204" s="343">
        <v>0.26302679896467152</v>
      </c>
      <c r="F204" s="343">
        <v>0.29273026320361795</v>
      </c>
      <c r="G204" s="343">
        <v>0.30327669567717735</v>
      </c>
      <c r="H204" s="343">
        <v>0.30716276757699174</v>
      </c>
      <c r="I204" s="343">
        <v>0.30357520282289169</v>
      </c>
      <c r="J204" s="343">
        <v>0.29679770188622479</v>
      </c>
      <c r="K204" s="343">
        <v>0.28602842158987035</v>
      </c>
      <c r="L204" s="379">
        <v>0.28602842158987035</v>
      </c>
      <c r="M204" s="282">
        <f t="shared" si="104"/>
        <v>4.5206928040596776E-2</v>
      </c>
      <c r="N204" s="284">
        <f t="shared" si="105"/>
        <v>2.1795571661547226E-2</v>
      </c>
      <c r="O204" s="342">
        <v>0</v>
      </c>
      <c r="P204" s="343">
        <v>4.2588892950448737E-2</v>
      </c>
      <c r="Q204" s="343">
        <v>0.19676015522811088</v>
      </c>
      <c r="R204" s="343">
        <v>0.26822015120753495</v>
      </c>
      <c r="S204" s="343">
        <v>0.29972386691453101</v>
      </c>
      <c r="T204" s="343">
        <v>0.30670262002659943</v>
      </c>
      <c r="U204" s="343">
        <v>0.30494384729159452</v>
      </c>
      <c r="V204" s="343">
        <v>0.29865668826605818</v>
      </c>
      <c r="W204" s="343">
        <v>0.29024677824571132</v>
      </c>
      <c r="X204" s="343">
        <v>0.28389744697779096</v>
      </c>
      <c r="Y204" s="379">
        <v>0.27613969684666456</v>
      </c>
      <c r="Z204" s="282">
        <f t="shared" si="106"/>
        <v>6.5816900951486915E-2</v>
      </c>
      <c r="AA204" s="284">
        <f t="shared" si="107"/>
        <v>3.1118737157126552E-2</v>
      </c>
      <c r="AB204" s="948">
        <f t="array" ref="AB204">IF(AND($AD$175=TRUE,SUM(B204:L204)&gt;0),SUMPRODUCT((((TRANSPOSE(Cls3CentDailyRng)&lt;INDEX(CDRANGE_CLS3,$A204-$A$180+1,AD$176))*TRANSPOSE(Cls3CentDailyRng)+(TRANSPOSE(Cls3CentDailyRng)&gt;INDEX(CDRANGE_CLS3,$A204-$A$180+1,AD$176))*INDEX(CDRANGE_CLS3,$A204-$A$180+1,AD$176))/TRANSPOSE(Cls3CentDailyRng)),B204:L204,TRANSPOSE(Cls3CentVMTShr))/SUMPRODUCT(B204:L204,TRANSPOSE(Cls3CentVMTShr)),0)</f>
        <v>0</v>
      </c>
      <c r="AC204" s="949">
        <f t="array" ref="AC204">IF(AND($AD$175=TRUE,SUM(O204:Y204)&gt;0),SUMPRODUCT((((TRANSPOSE(Cls3NCentDailyRng)&lt;INDEX(CDRANGE_CLS3,$A204-$A$180+1,AD$176))*TRANSPOSE(Cls3NCentDailyRng)+(TRANSPOSE(Cls3NCentDailyRng)&gt;INDEX(CDRANGE_CLS3,$A204-$A$180+1,AD$176))*INDEX(CDRANGE_CLS3,$A204-$A$180+1,AD$176))/TRANSPOSE(Cls3NCentDailyRng)),O204:Y204,TRANSPOSE(Cls3NCentVMTShr))/SUMPRODUCT(O204:Y204,TRANSPOSE(Cls3NCentVMTShr)),0)</f>
        <v>0</v>
      </c>
      <c r="AD204" s="1226">
        <f t="shared" si="108"/>
        <v>0</v>
      </c>
      <c r="AE204" s="1230">
        <f t="shared" si="111"/>
        <v>4.5206928040596776E-2</v>
      </c>
      <c r="AF204" s="1231">
        <f t="shared" si="112"/>
        <v>6.5816900951486915E-2</v>
      </c>
      <c r="AG204" s="1231">
        <f t="shared" si="113"/>
        <v>0.11102382899208368</v>
      </c>
      <c r="AH204" s="1172">
        <f t="shared" si="109"/>
        <v>0.40718220990036436</v>
      </c>
      <c r="AI204" s="1232">
        <f t="shared" si="110"/>
        <v>0.59281779009963576</v>
      </c>
      <c r="AJ204" s="227"/>
      <c r="AK204" s="227"/>
      <c r="AL204" s="227"/>
      <c r="AM204" s="227"/>
    </row>
    <row r="205" spans="1:39" x14ac:dyDescent="0.2">
      <c r="A205" s="330">
        <v>2032</v>
      </c>
      <c r="B205" s="344">
        <v>0</v>
      </c>
      <c r="C205" s="345">
        <v>3.5426234790087142E-2</v>
      </c>
      <c r="D205" s="345">
        <v>0.18021819681369769</v>
      </c>
      <c r="E205" s="345">
        <v>0.26314835485418087</v>
      </c>
      <c r="F205" s="345">
        <v>0.29278291760110148</v>
      </c>
      <c r="G205" s="345">
        <v>0.30204030904098961</v>
      </c>
      <c r="H205" s="345">
        <v>0.30067456629487588</v>
      </c>
      <c r="I205" s="345">
        <v>0.29628825313967511</v>
      </c>
      <c r="J205" s="345">
        <v>0.28799127205171754</v>
      </c>
      <c r="K205" s="345">
        <v>0.27856920453933348</v>
      </c>
      <c r="L205" s="380">
        <v>0.27856920453933348</v>
      </c>
      <c r="M205" s="296">
        <f t="shared" si="104"/>
        <v>4.5096474317566512E-2</v>
      </c>
      <c r="N205" s="298">
        <f t="shared" si="105"/>
        <v>2.1779205990625369E-2</v>
      </c>
      <c r="O205" s="344">
        <v>0</v>
      </c>
      <c r="P205" s="345">
        <v>4.3829797452055036E-2</v>
      </c>
      <c r="Q205" s="345">
        <v>0.19684058846835123</v>
      </c>
      <c r="R205" s="345">
        <v>0.2763031078082484</v>
      </c>
      <c r="S205" s="345">
        <v>0.29913878214171219</v>
      </c>
      <c r="T205" s="345">
        <v>0.30284021346446582</v>
      </c>
      <c r="U205" s="345">
        <v>0.29654584562687769</v>
      </c>
      <c r="V205" s="345">
        <v>0.29010778126808795</v>
      </c>
      <c r="W205" s="345">
        <v>0.28073858142684527</v>
      </c>
      <c r="X205" s="345">
        <v>0.27642420602432893</v>
      </c>
      <c r="Y205" s="380">
        <v>0.26897981988135972</v>
      </c>
      <c r="Z205" s="296">
        <f t="shared" si="106"/>
        <v>6.6203826347966052E-2</v>
      </c>
      <c r="AA205" s="298">
        <f t="shared" si="107"/>
        <v>3.1537374567318387E-2</v>
      </c>
      <c r="AB205" s="948">
        <f t="array" ref="AB205">IF(AND($AD$175=TRUE,SUM(B205:L205)&gt;0),SUMPRODUCT((((TRANSPOSE(Cls3CentDailyRng)&lt;INDEX(CDRANGE_CLS3,$A205-$A$180+1,AD$176))*TRANSPOSE(Cls3CentDailyRng)+(TRANSPOSE(Cls3CentDailyRng)&gt;INDEX(CDRANGE_CLS3,$A205-$A$180+1,AD$176))*INDEX(CDRANGE_CLS3,$A205-$A$180+1,AD$176))/TRANSPOSE(Cls3CentDailyRng)),B205:L205,TRANSPOSE(Cls3CentVMTShr))/SUMPRODUCT(B205:L205,TRANSPOSE(Cls3CentVMTShr)),0)</f>
        <v>0</v>
      </c>
      <c r="AC205" s="949">
        <f t="array" ref="AC205">IF(AND($AD$175=TRUE,SUM(O205:Y205)&gt;0),SUMPRODUCT((((TRANSPOSE(Cls3NCentDailyRng)&lt;INDEX(CDRANGE_CLS3,$A205-$A$180+1,AD$176))*TRANSPOSE(Cls3NCentDailyRng)+(TRANSPOSE(Cls3NCentDailyRng)&gt;INDEX(CDRANGE_CLS3,$A205-$A$180+1,AD$176))*INDEX(CDRANGE_CLS3,$A205-$A$180+1,AD$176))/TRANSPOSE(Cls3NCentDailyRng)),O205:Y205,TRANSPOSE(Cls3NCentVMTShr))/SUMPRODUCT(O205:Y205,TRANSPOSE(Cls3NCentVMTShr)),0)</f>
        <v>0</v>
      </c>
      <c r="AD205" s="1226">
        <f t="shared" si="108"/>
        <v>0</v>
      </c>
      <c r="AE205" s="1230">
        <f t="shared" si="111"/>
        <v>4.5096474317566512E-2</v>
      </c>
      <c r="AF205" s="1231">
        <f t="shared" si="112"/>
        <v>6.6203826347966052E-2</v>
      </c>
      <c r="AG205" s="1231">
        <f t="shared" si="113"/>
        <v>0.11130030066553256</v>
      </c>
      <c r="AH205" s="1172">
        <f t="shared" si="109"/>
        <v>0.40517836922188993</v>
      </c>
      <c r="AI205" s="1232">
        <f t="shared" si="110"/>
        <v>0.59482163077811012</v>
      </c>
      <c r="AJ205" s="227"/>
      <c r="AK205" s="227"/>
      <c r="AL205" s="227"/>
      <c r="AM205" s="227"/>
    </row>
    <row r="206" spans="1:39" x14ac:dyDescent="0.2">
      <c r="A206" s="330">
        <v>2033</v>
      </c>
      <c r="B206" s="344">
        <v>0</v>
      </c>
      <c r="C206" s="345">
        <v>3.942139903755372E-2</v>
      </c>
      <c r="D206" s="345">
        <v>0.17670178473838172</v>
      </c>
      <c r="E206" s="345">
        <v>0.27141632397617282</v>
      </c>
      <c r="F206" s="345">
        <v>0.29181180801619983</v>
      </c>
      <c r="G206" s="345">
        <v>0.29968343015475885</v>
      </c>
      <c r="H206" s="345">
        <v>0.29018378213037477</v>
      </c>
      <c r="I206" s="345">
        <v>0.28442020689311137</v>
      </c>
      <c r="J206" s="345">
        <v>0.27805666587274208</v>
      </c>
      <c r="K206" s="345">
        <v>0.27082222178008053</v>
      </c>
      <c r="L206" s="380">
        <v>0.27082222178008053</v>
      </c>
      <c r="M206" s="296">
        <f t="shared" si="104"/>
        <v>4.5554232098195951E-2</v>
      </c>
      <c r="N206" s="298">
        <f t="shared" si="105"/>
        <v>2.2268443014553933E-2</v>
      </c>
      <c r="O206" s="344">
        <v>0</v>
      </c>
      <c r="P206" s="345">
        <v>4.7184407636874176E-2</v>
      </c>
      <c r="Q206" s="345">
        <v>0.19672035825186104</v>
      </c>
      <c r="R206" s="345">
        <v>0.28008437360841393</v>
      </c>
      <c r="S206" s="345">
        <v>0.29632148714804635</v>
      </c>
      <c r="T206" s="345">
        <v>0.29510297613084946</v>
      </c>
      <c r="U206" s="345">
        <v>0.29147506449644583</v>
      </c>
      <c r="V206" s="345">
        <v>0.28028019142914079</v>
      </c>
      <c r="W206" s="345">
        <v>0.272921258984962</v>
      </c>
      <c r="X206" s="345">
        <v>0.26878711782759201</v>
      </c>
      <c r="Y206" s="380">
        <v>0.26382941330231968</v>
      </c>
      <c r="Z206" s="296">
        <f t="shared" si="106"/>
        <v>6.6860149584180184E-2</v>
      </c>
      <c r="AA206" s="298">
        <f t="shared" si="107"/>
        <v>3.2379307214754995E-2</v>
      </c>
      <c r="AB206" s="948">
        <f t="array" ref="AB206">IF(AND($AD$175=TRUE,SUM(B206:L206)&gt;0),SUMPRODUCT((((TRANSPOSE(Cls3CentDailyRng)&lt;INDEX(CDRANGE_CLS3,$A206-$A$180+1,AD$176))*TRANSPOSE(Cls3CentDailyRng)+(TRANSPOSE(Cls3CentDailyRng)&gt;INDEX(CDRANGE_CLS3,$A206-$A$180+1,AD$176))*INDEX(CDRANGE_CLS3,$A206-$A$180+1,AD$176))/TRANSPOSE(Cls3CentDailyRng)),B206:L206,TRANSPOSE(Cls3CentVMTShr))/SUMPRODUCT(B206:L206,TRANSPOSE(Cls3CentVMTShr)),0)</f>
        <v>0</v>
      </c>
      <c r="AC206" s="949">
        <f t="array" ref="AC206">IF(AND($AD$175=TRUE,SUM(O206:Y206)&gt;0),SUMPRODUCT((((TRANSPOSE(Cls3NCentDailyRng)&lt;INDEX(CDRANGE_CLS3,$A206-$A$180+1,AD$176))*TRANSPOSE(Cls3NCentDailyRng)+(TRANSPOSE(Cls3NCentDailyRng)&gt;INDEX(CDRANGE_CLS3,$A206-$A$180+1,AD$176))*INDEX(CDRANGE_CLS3,$A206-$A$180+1,AD$176))/TRANSPOSE(Cls3NCentDailyRng)),O206:Y206,TRANSPOSE(Cls3NCentVMTShr))/SUMPRODUCT(O206:Y206,TRANSPOSE(Cls3NCentVMTShr)),0)</f>
        <v>0</v>
      </c>
      <c r="AD206" s="1226">
        <f>AB206*AH206+AC206*AI206</f>
        <v>0</v>
      </c>
      <c r="AE206" s="1230">
        <f t="shared" si="111"/>
        <v>4.5554232098195951E-2</v>
      </c>
      <c r="AF206" s="1231">
        <f t="shared" si="112"/>
        <v>6.6860149584180184E-2</v>
      </c>
      <c r="AG206" s="1231">
        <f t="shared" si="113"/>
        <v>0.11241438168237614</v>
      </c>
      <c r="AH206" s="1172">
        <f t="shared" si="109"/>
        <v>0.40523491226334574</v>
      </c>
      <c r="AI206" s="1232">
        <f t="shared" si="110"/>
        <v>0.59476508773665426</v>
      </c>
      <c r="AJ206" s="227"/>
      <c r="AK206" s="227"/>
      <c r="AL206" s="227"/>
      <c r="AM206" s="227"/>
    </row>
    <row r="207" spans="1:39" x14ac:dyDescent="0.2">
      <c r="A207" s="330">
        <v>2034</v>
      </c>
      <c r="B207" s="344">
        <v>0</v>
      </c>
      <c r="C207" s="345">
        <v>3.9372402007088879E-2</v>
      </c>
      <c r="D207" s="345">
        <v>0.18593624769910902</v>
      </c>
      <c r="E207" s="345">
        <v>0.26789199946003972</v>
      </c>
      <c r="F207" s="345">
        <v>0.28924410904614917</v>
      </c>
      <c r="G207" s="345">
        <v>0.29345812215956019</v>
      </c>
      <c r="H207" s="345">
        <v>0.2807236500467799</v>
      </c>
      <c r="I207" s="345">
        <v>0.27655083956875964</v>
      </c>
      <c r="J207" s="345">
        <v>0.27008019787485055</v>
      </c>
      <c r="K207" s="345">
        <v>0.26528471735066206</v>
      </c>
      <c r="L207" s="380">
        <v>0.26528471735066206</v>
      </c>
      <c r="M207" s="296">
        <f t="shared" si="104"/>
        <v>4.5991585274495719E-2</v>
      </c>
      <c r="N207" s="298">
        <f t="shared" si="105"/>
        <v>2.262064232036862E-2</v>
      </c>
      <c r="O207" s="344">
        <v>0</v>
      </c>
      <c r="P207" s="345">
        <v>4.7126689886378789E-2</v>
      </c>
      <c r="Q207" s="345">
        <v>0.20712093072792845</v>
      </c>
      <c r="R207" s="345">
        <v>0.27901895620992723</v>
      </c>
      <c r="S207" s="345">
        <v>0.29046672253041433</v>
      </c>
      <c r="T207" s="345">
        <v>0.29122561620631315</v>
      </c>
      <c r="U207" s="345">
        <v>0.28173129425365495</v>
      </c>
      <c r="V207" s="345">
        <v>0.27226431021849173</v>
      </c>
      <c r="W207" s="345">
        <v>0.26727584460123394</v>
      </c>
      <c r="X207" s="345">
        <v>0.26338555641353262</v>
      </c>
      <c r="Y207" s="380">
        <v>0.2589973552856536</v>
      </c>
      <c r="Z207" s="296">
        <f t="shared" si="106"/>
        <v>6.7125332856769956E-2</v>
      </c>
      <c r="AA207" s="298">
        <f t="shared" si="107"/>
        <v>3.2709086344708163E-2</v>
      </c>
      <c r="AB207" s="948">
        <f t="array" ref="AB207">IF(AND($AD$175=TRUE,SUM(B207:L207)&gt;0),SUMPRODUCT((((TRANSPOSE(Cls3CentDailyRng)&lt;INDEX(CDRANGE_CLS3,$A207-$A$180+1,AD$176))*TRANSPOSE(Cls3CentDailyRng)+(TRANSPOSE(Cls3CentDailyRng)&gt;INDEX(CDRANGE_CLS3,$A207-$A$180+1,AD$176))*INDEX(CDRANGE_CLS3,$A207-$A$180+1,AD$176))/TRANSPOSE(Cls3CentDailyRng)),B207:L207,TRANSPOSE(Cls3CentVMTShr))/SUMPRODUCT(B207:L207,TRANSPOSE(Cls3CentVMTShr)),0)</f>
        <v>0</v>
      </c>
      <c r="AC207" s="949">
        <f t="array" ref="AC207">IF(AND($AD$175=TRUE,SUM(O207:Y207)&gt;0),SUMPRODUCT((((TRANSPOSE(Cls3NCentDailyRng)&lt;INDEX(CDRANGE_CLS3,$A207-$A$180+1,AD$176))*TRANSPOSE(Cls3NCentDailyRng)+(TRANSPOSE(Cls3NCentDailyRng)&gt;INDEX(CDRANGE_CLS3,$A207-$A$180+1,AD$176))*INDEX(CDRANGE_CLS3,$A207-$A$180+1,AD$176))/TRANSPOSE(Cls3NCentDailyRng)),O207:Y207,TRANSPOSE(Cls3NCentVMTShr))/SUMPRODUCT(O207:Y207,TRANSPOSE(Cls3NCentVMTShr)),0)</f>
        <v>0</v>
      </c>
      <c r="AD207" s="1226">
        <f t="shared" ref="AD207:AD223" si="114">AB207*AH207+AC207*AI207</f>
        <v>0</v>
      </c>
      <c r="AE207" s="1230">
        <f t="shared" si="111"/>
        <v>4.5991585274495719E-2</v>
      </c>
      <c r="AF207" s="1231">
        <f t="shared" si="112"/>
        <v>6.7125332856769956E-2</v>
      </c>
      <c r="AG207" s="1231">
        <f t="shared" si="113"/>
        <v>0.11311691813126568</v>
      </c>
      <c r="AH207" s="1172">
        <f t="shared" si="109"/>
        <v>0.40658449712292488</v>
      </c>
      <c r="AI207" s="1232">
        <f t="shared" si="110"/>
        <v>0.59341550287707512</v>
      </c>
      <c r="AJ207" s="227"/>
      <c r="AK207" s="227"/>
      <c r="AL207" s="227"/>
      <c r="AM207" s="227"/>
    </row>
    <row r="208" spans="1:39" ht="15" thickBot="1" x14ac:dyDescent="0.25">
      <c r="A208" s="328">
        <v>2035</v>
      </c>
      <c r="B208" s="346">
        <v>0</v>
      </c>
      <c r="C208" s="347">
        <v>4.2450175555197874E-2</v>
      </c>
      <c r="D208" s="347">
        <v>0.18571736840880801</v>
      </c>
      <c r="E208" s="347">
        <v>0.26684127845948707</v>
      </c>
      <c r="F208" s="347">
        <v>0.28036817512921314</v>
      </c>
      <c r="G208" s="347">
        <v>0.28742308453854604</v>
      </c>
      <c r="H208" s="347">
        <v>0.27364090046770317</v>
      </c>
      <c r="I208" s="347">
        <v>0.26626974419582705</v>
      </c>
      <c r="J208" s="347">
        <v>0.26440429730871129</v>
      </c>
      <c r="K208" s="347">
        <v>0.25895134996845331</v>
      </c>
      <c r="L208" s="381">
        <v>0.25895134996845331</v>
      </c>
      <c r="M208" s="310">
        <f t="shared" si="104"/>
        <v>4.606990919864036E-2</v>
      </c>
      <c r="N208" s="312">
        <f t="shared" si="105"/>
        <v>2.294322991596618E-2</v>
      </c>
      <c r="O208" s="346">
        <v>0</v>
      </c>
      <c r="P208" s="347">
        <v>5.1889859111965989E-2</v>
      </c>
      <c r="Q208" s="347">
        <v>0.20687952681995897</v>
      </c>
      <c r="R208" s="347">
        <v>0.2724604058803835</v>
      </c>
      <c r="S208" s="347">
        <v>0.28100777417345585</v>
      </c>
      <c r="T208" s="347">
        <v>0.28023231697535889</v>
      </c>
      <c r="U208" s="347">
        <v>0.27135384504093518</v>
      </c>
      <c r="V208" s="347">
        <v>0.26440429730871129</v>
      </c>
      <c r="W208" s="347">
        <v>0.2600244169080097</v>
      </c>
      <c r="X208" s="347">
        <v>0.25832436465676029</v>
      </c>
      <c r="Y208" s="381">
        <v>0.2559597122921855</v>
      </c>
      <c r="Z208" s="310">
        <f t="shared" si="106"/>
        <v>6.7325844574075172E-2</v>
      </c>
      <c r="AA208" s="312">
        <f t="shared" si="107"/>
        <v>3.3613226397325245E-2</v>
      </c>
      <c r="AB208" s="948">
        <f t="array" ref="AB208">IF(AND($AD$175=TRUE,SUM(B208:L208)&gt;0),SUMPRODUCT((((TRANSPOSE(Cls3CentDailyRng)&lt;INDEX(CDRANGE_CLS3,$A208-$A$180+1,AD$176))*TRANSPOSE(Cls3CentDailyRng)+(TRANSPOSE(Cls3CentDailyRng)&gt;INDEX(CDRANGE_CLS3,$A208-$A$180+1,AD$176))*INDEX(CDRANGE_CLS3,$A208-$A$180+1,AD$176))/TRANSPOSE(Cls3CentDailyRng)),B208:L208,TRANSPOSE(Cls3CentVMTShr))/SUMPRODUCT(B208:L208,TRANSPOSE(Cls3CentVMTShr)),0)</f>
        <v>0</v>
      </c>
      <c r="AC208" s="949">
        <f t="array" ref="AC208">IF(AND($AD$175=TRUE,SUM(O208:Y208)&gt;0),SUMPRODUCT((((TRANSPOSE(Cls3NCentDailyRng)&lt;INDEX(CDRANGE_CLS3,$A208-$A$180+1,AD$176))*TRANSPOSE(Cls3NCentDailyRng)+(TRANSPOSE(Cls3NCentDailyRng)&gt;INDEX(CDRANGE_CLS3,$A208-$A$180+1,AD$176))*INDEX(CDRANGE_CLS3,$A208-$A$180+1,AD$176))/TRANSPOSE(Cls3NCentDailyRng)),O208:Y208,TRANSPOSE(Cls3NCentVMTShr))/SUMPRODUCT(O208:Y208,TRANSPOSE(Cls3NCentVMTShr)),0)</f>
        <v>0</v>
      </c>
      <c r="AD208" s="1226">
        <f t="shared" si="114"/>
        <v>0</v>
      </c>
      <c r="AE208" s="1230">
        <f t="shared" si="111"/>
        <v>4.606990919864036E-2</v>
      </c>
      <c r="AF208" s="1231">
        <f t="shared" si="112"/>
        <v>6.7325844574075172E-2</v>
      </c>
      <c r="AG208" s="1231">
        <f t="shared" si="113"/>
        <v>0.11339575377271553</v>
      </c>
      <c r="AH208" s="1172">
        <f t="shared" si="109"/>
        <v>0.40627543506594133</v>
      </c>
      <c r="AI208" s="1232">
        <f t="shared" si="110"/>
        <v>0.59372456493405867</v>
      </c>
      <c r="AJ208" s="227"/>
      <c r="AK208" s="227"/>
      <c r="AL208" s="227"/>
      <c r="AM208" s="227"/>
    </row>
    <row r="209" spans="1:39" x14ac:dyDescent="0.2">
      <c r="A209" s="329">
        <v>2036</v>
      </c>
      <c r="B209" s="342">
        <v>0</v>
      </c>
      <c r="C209" s="343">
        <v>3.9299183938832236E-2</v>
      </c>
      <c r="D209" s="343">
        <v>0.18025518118389722</v>
      </c>
      <c r="E209" s="343">
        <v>0.2656423302611684</v>
      </c>
      <c r="F209" s="343">
        <v>0.27676263303228077</v>
      </c>
      <c r="G209" s="343">
        <v>0.27791234235721479</v>
      </c>
      <c r="H209" s="343">
        <v>0.26784607979835184</v>
      </c>
      <c r="I209" s="343">
        <v>0.26592053842230889</v>
      </c>
      <c r="J209" s="343">
        <v>0.26185402190725054</v>
      </c>
      <c r="K209" s="343">
        <v>0.25798337756155409</v>
      </c>
      <c r="L209" s="379">
        <v>0.25798337756155409</v>
      </c>
      <c r="M209" s="282">
        <f t="shared" si="104"/>
        <v>4.4885170043338127E-2</v>
      </c>
      <c r="N209" s="284">
        <f t="shared" si="105"/>
        <v>2.2155970165734139E-2</v>
      </c>
      <c r="O209" s="342">
        <v>0</v>
      </c>
      <c r="P209" s="343">
        <v>4.7076062889733282E-2</v>
      </c>
      <c r="Q209" s="343">
        <v>0.19698477592534233</v>
      </c>
      <c r="R209" s="343">
        <v>0.27033740417423163</v>
      </c>
      <c r="S209" s="343">
        <v>0.27732068774802521</v>
      </c>
      <c r="T209" s="343">
        <v>0.27088142181525304</v>
      </c>
      <c r="U209" s="343">
        <v>0.26560632918862503</v>
      </c>
      <c r="V209" s="343">
        <v>0.26405723140738263</v>
      </c>
      <c r="W209" s="343">
        <v>0.25968176502236057</v>
      </c>
      <c r="X209" s="343">
        <v>0.25798337756155409</v>
      </c>
      <c r="Y209" s="379">
        <v>0.25436012162902916</v>
      </c>
      <c r="Z209" s="282">
        <f t="shared" si="106"/>
        <v>6.4785788621663315E-2</v>
      </c>
      <c r="AA209" s="284">
        <f t="shared" si="107"/>
        <v>3.1801589352249832E-2</v>
      </c>
      <c r="AB209" s="948">
        <f t="array" ref="AB209">IF(AND($AD$175=TRUE,SUM(B209:L209)&gt;0),SUMPRODUCT((((TRANSPOSE(Cls3CentDailyRng)&lt;INDEX(CDRANGE_CLS3,$A209-$A$180+1,AD$176))*TRANSPOSE(Cls3CentDailyRng)+(TRANSPOSE(Cls3CentDailyRng)&gt;INDEX(CDRANGE_CLS3,$A209-$A$180+1,AD$176))*INDEX(CDRANGE_CLS3,$A209-$A$180+1,AD$176))/TRANSPOSE(Cls3CentDailyRng)),B209:L209,TRANSPOSE(Cls3CentVMTShr))/SUMPRODUCT(B209:L209,TRANSPOSE(Cls3CentVMTShr)),0)</f>
        <v>0</v>
      </c>
      <c r="AC209" s="949">
        <f t="array" ref="AC209">IF(AND($AD$175=TRUE,SUM(O209:Y209)&gt;0),SUMPRODUCT((((TRANSPOSE(Cls3NCentDailyRng)&lt;INDEX(CDRANGE_CLS3,$A209-$A$180+1,AD$176))*TRANSPOSE(Cls3NCentDailyRng)+(TRANSPOSE(Cls3NCentDailyRng)&gt;INDEX(CDRANGE_CLS3,$A209-$A$180+1,AD$176))*INDEX(CDRANGE_CLS3,$A209-$A$180+1,AD$176))/TRANSPOSE(Cls3NCentDailyRng)),O209:Y209,TRANSPOSE(Cls3NCentVMTShr))/SUMPRODUCT(O209:Y209,TRANSPOSE(Cls3NCentVMTShr)),0)</f>
        <v>0</v>
      </c>
      <c r="AD209" s="1226">
        <f t="shared" si="114"/>
        <v>0</v>
      </c>
      <c r="AE209" s="1230">
        <f t="shared" si="111"/>
        <v>4.4885170043338127E-2</v>
      </c>
      <c r="AF209" s="1231">
        <f t="shared" si="112"/>
        <v>6.4785788621663315E-2</v>
      </c>
      <c r="AG209" s="1231">
        <f t="shared" si="113"/>
        <v>0.10967095866500144</v>
      </c>
      <c r="AH209" s="1172">
        <f t="shared" si="109"/>
        <v>0.4092712472810911</v>
      </c>
      <c r="AI209" s="1232">
        <f t="shared" si="110"/>
        <v>0.5907287527189089</v>
      </c>
      <c r="AJ209" s="227"/>
      <c r="AK209" s="227"/>
      <c r="AL209" s="227"/>
      <c r="AM209" s="227"/>
    </row>
    <row r="210" spans="1:39" x14ac:dyDescent="0.2">
      <c r="A210" s="330">
        <v>2037</v>
      </c>
      <c r="B210" s="344">
        <v>0</v>
      </c>
      <c r="C210" s="345">
        <v>3.9299598836963025E-2</v>
      </c>
      <c r="D210" s="345">
        <v>0.18025708421419559</v>
      </c>
      <c r="E210" s="345">
        <v>0.26481611468873889</v>
      </c>
      <c r="F210" s="345">
        <v>0.27711507100219407</v>
      </c>
      <c r="G210" s="345">
        <v>0.27425102259415463</v>
      </c>
      <c r="H210" s="345">
        <v>0.26785667238781224</v>
      </c>
      <c r="I210" s="345">
        <v>0.26378121042117147</v>
      </c>
      <c r="J210" s="345">
        <v>0.25994798842157307</v>
      </c>
      <c r="K210" s="345">
        <v>0.25799589255053973</v>
      </c>
      <c r="L210" s="380">
        <v>0.25799589255053973</v>
      </c>
      <c r="M210" s="296">
        <f t="shared" si="104"/>
        <v>4.4853743761257149E-2</v>
      </c>
      <c r="N210" s="298">
        <f t="shared" si="105"/>
        <v>2.2143545537840561E-2</v>
      </c>
      <c r="O210" s="344">
        <v>0</v>
      </c>
      <c r="P210" s="345">
        <v>4.7076559891669208E-2</v>
      </c>
      <c r="Q210" s="345">
        <v>0.20659928435349509</v>
      </c>
      <c r="R210" s="345">
        <v>0.26800252012227593</v>
      </c>
      <c r="S210" s="345">
        <v>0.2755409052559108</v>
      </c>
      <c r="T210" s="345">
        <v>0.27472696165752031</v>
      </c>
      <c r="U210" s="345">
        <v>0.26875448840520921</v>
      </c>
      <c r="V210" s="345">
        <v>0.26205416634371159</v>
      </c>
      <c r="W210" s="345">
        <v>0.25969410823211436</v>
      </c>
      <c r="X210" s="345">
        <v>0.25643087318975827</v>
      </c>
      <c r="Y210" s="380">
        <v>0.25437307420053457</v>
      </c>
      <c r="Z210" s="296">
        <f t="shared" si="106"/>
        <v>6.54853597193817E-2</v>
      </c>
      <c r="AA210" s="298">
        <f t="shared" si="107"/>
        <v>3.2203395571187995E-2</v>
      </c>
      <c r="AB210" s="948">
        <f t="array" ref="AB210">IF(AND($AD$175=TRUE,SUM(B210:L210)&gt;0),SUMPRODUCT((((TRANSPOSE(Cls3CentDailyRng)&lt;INDEX(CDRANGE_CLS3,$A210-$A$180+1,AD$176))*TRANSPOSE(Cls3CentDailyRng)+(TRANSPOSE(Cls3CentDailyRng)&gt;INDEX(CDRANGE_CLS3,$A210-$A$180+1,AD$176))*INDEX(CDRANGE_CLS3,$A210-$A$180+1,AD$176))/TRANSPOSE(Cls3CentDailyRng)),B210:L210,TRANSPOSE(Cls3CentVMTShr))/SUMPRODUCT(B210:L210,TRANSPOSE(Cls3CentVMTShr)),0)</f>
        <v>0</v>
      </c>
      <c r="AC210" s="949">
        <f t="array" ref="AC210">IF(AND($AD$175=TRUE,SUM(O210:Y210)&gt;0),SUMPRODUCT((((TRANSPOSE(Cls3NCentDailyRng)&lt;INDEX(CDRANGE_CLS3,$A210-$A$180+1,AD$176))*TRANSPOSE(Cls3NCentDailyRng)+(TRANSPOSE(Cls3NCentDailyRng)&gt;INDEX(CDRANGE_CLS3,$A210-$A$180+1,AD$176))*INDEX(CDRANGE_CLS3,$A210-$A$180+1,AD$176))/TRANSPOSE(Cls3NCentDailyRng)),O210:Y210,TRANSPOSE(Cls3NCentVMTShr))/SUMPRODUCT(O210:Y210,TRANSPOSE(Cls3NCentVMTShr)),0)</f>
        <v>0</v>
      </c>
      <c r="AD210" s="1226">
        <f t="shared" si="114"/>
        <v>0</v>
      </c>
      <c r="AE210" s="1230">
        <f t="shared" si="111"/>
        <v>4.4853743761257149E-2</v>
      </c>
      <c r="AF210" s="1231">
        <f t="shared" si="112"/>
        <v>6.54853597193817E-2</v>
      </c>
      <c r="AG210" s="1231">
        <f t="shared" si="113"/>
        <v>0.11033910348063886</v>
      </c>
      <c r="AH210" s="1172">
        <f t="shared" si="109"/>
        <v>0.40650814032694776</v>
      </c>
      <c r="AI210" s="1232">
        <f t="shared" si="110"/>
        <v>0.59349185967305218</v>
      </c>
      <c r="AJ210" s="227"/>
      <c r="AK210" s="227"/>
      <c r="AL210" s="227"/>
      <c r="AM210" s="227"/>
    </row>
    <row r="211" spans="1:39" x14ac:dyDescent="0.2">
      <c r="A211" s="330">
        <v>2038</v>
      </c>
      <c r="B211" s="344">
        <v>0</v>
      </c>
      <c r="C211" s="345">
        <v>4.2470431402658354E-2</v>
      </c>
      <c r="D211" s="345">
        <v>0.18649656586943986</v>
      </c>
      <c r="E211" s="345">
        <v>0.26317162285288026</v>
      </c>
      <c r="F211" s="345">
        <v>0.27418220101158186</v>
      </c>
      <c r="G211" s="345">
        <v>0.2774237451723307</v>
      </c>
      <c r="H211" s="345">
        <v>0.26876364633993205</v>
      </c>
      <c r="I211" s="345">
        <v>0.26170774664048652</v>
      </c>
      <c r="J211" s="345">
        <v>0.2599583615556374</v>
      </c>
      <c r="K211" s="345">
        <v>0.25644183767744727</v>
      </c>
      <c r="L211" s="380">
        <v>0.25644183767744727</v>
      </c>
      <c r="M211" s="296">
        <f t="shared" si="104"/>
        <v>4.5759495998198112E-2</v>
      </c>
      <c r="N211" s="298">
        <f t="shared" si="105"/>
        <v>2.2863769159103674E-2</v>
      </c>
      <c r="O211" s="344">
        <v>0</v>
      </c>
      <c r="P211" s="345">
        <v>5.1956857253269956E-2</v>
      </c>
      <c r="Q211" s="345">
        <v>0.20654462931369097</v>
      </c>
      <c r="R211" s="345">
        <v>0.26608270387870342</v>
      </c>
      <c r="S211" s="345">
        <v>0.26982058405630088</v>
      </c>
      <c r="T211" s="345">
        <v>0.27117027491853113</v>
      </c>
      <c r="U211" s="345">
        <v>0.26654921810194415</v>
      </c>
      <c r="V211" s="345">
        <v>0.2620643403339149</v>
      </c>
      <c r="W211" s="345">
        <v>0.25800669112067875</v>
      </c>
      <c r="X211" s="345">
        <v>0.25644183767744727</v>
      </c>
      <c r="Y211" s="380">
        <v>0.25438433483700146</v>
      </c>
      <c r="Z211" s="296">
        <f t="shared" si="106"/>
        <v>6.6502142977010473E-2</v>
      </c>
      <c r="AA211" s="298">
        <f t="shared" si="107"/>
        <v>3.3358319147452187E-2</v>
      </c>
      <c r="AB211" s="948">
        <f t="array" ref="AB211">IF(AND($AD$175=TRUE,SUM(B211:L211)&gt;0),SUMPRODUCT((((TRANSPOSE(Cls3CentDailyRng)&lt;INDEX(CDRANGE_CLS3,$A211-$A$180+1,AD$176))*TRANSPOSE(Cls3CentDailyRng)+(TRANSPOSE(Cls3CentDailyRng)&gt;INDEX(CDRANGE_CLS3,$A211-$A$180+1,AD$176))*INDEX(CDRANGE_CLS3,$A211-$A$180+1,AD$176))/TRANSPOSE(Cls3CentDailyRng)),B211:L211,TRANSPOSE(Cls3CentVMTShr))/SUMPRODUCT(B211:L211,TRANSPOSE(Cls3CentVMTShr)),0)</f>
        <v>0</v>
      </c>
      <c r="AC211" s="949">
        <f t="array" ref="AC211">IF(AND($AD$175=TRUE,SUM(O211:Y211)&gt;0),SUMPRODUCT((((TRANSPOSE(Cls3NCentDailyRng)&lt;INDEX(CDRANGE_CLS3,$A211-$A$180+1,AD$176))*TRANSPOSE(Cls3NCentDailyRng)+(TRANSPOSE(Cls3NCentDailyRng)&gt;INDEX(CDRANGE_CLS3,$A211-$A$180+1,AD$176))*INDEX(CDRANGE_CLS3,$A211-$A$180+1,AD$176))/TRANSPOSE(Cls3NCentDailyRng)),O211:Y211,TRANSPOSE(Cls3NCentVMTShr))/SUMPRODUCT(O211:Y211,TRANSPOSE(Cls3NCentVMTShr)),0)</f>
        <v>0</v>
      </c>
      <c r="AD211" s="1226">
        <f t="shared" si="114"/>
        <v>0</v>
      </c>
      <c r="AE211" s="1230">
        <f t="shared" si="111"/>
        <v>4.5759495998198112E-2</v>
      </c>
      <c r="AF211" s="1231">
        <f t="shared" si="112"/>
        <v>6.6502142977010473E-2</v>
      </c>
      <c r="AG211" s="1231">
        <f t="shared" si="113"/>
        <v>0.11226163897520858</v>
      </c>
      <c r="AH211" s="1172">
        <f t="shared" si="109"/>
        <v>0.40761471519495152</v>
      </c>
      <c r="AI211" s="1232">
        <f t="shared" si="110"/>
        <v>0.5923852848050486</v>
      </c>
      <c r="AJ211" s="227"/>
      <c r="AK211" s="227"/>
      <c r="AL211" s="227"/>
      <c r="AM211" s="227"/>
    </row>
    <row r="212" spans="1:39" x14ac:dyDescent="0.2">
      <c r="A212" s="330">
        <v>2039</v>
      </c>
      <c r="B212" s="344">
        <v>0</v>
      </c>
      <c r="C212" s="345">
        <v>4.2470492084389494E-2</v>
      </c>
      <c r="D212" s="345">
        <v>0.18649683233563991</v>
      </c>
      <c r="E212" s="345">
        <v>0.26455882599827718</v>
      </c>
      <c r="F212" s="345">
        <v>0.27733629516442704</v>
      </c>
      <c r="G212" s="345">
        <v>0.27312072814714539</v>
      </c>
      <c r="H212" s="345">
        <v>0.26655798866271097</v>
      </c>
      <c r="I212" s="345">
        <v>0.26408817118497535</v>
      </c>
      <c r="J212" s="345">
        <v>0.25815721285326887</v>
      </c>
      <c r="K212" s="345">
        <v>0.25707621233611061</v>
      </c>
      <c r="L212" s="380">
        <v>0.25707621233611061</v>
      </c>
      <c r="M212" s="296">
        <f t="shared" si="104"/>
        <v>4.5856341697128614E-2</v>
      </c>
      <c r="N212" s="298">
        <f t="shared" si="105"/>
        <v>2.2901934790401E-2</v>
      </c>
      <c r="O212" s="344">
        <v>0</v>
      </c>
      <c r="P212" s="345">
        <v>5.0584926210416561E-2</v>
      </c>
      <c r="Q212" s="345">
        <v>0.206336299188391</v>
      </c>
      <c r="R212" s="345">
        <v>0.26241643986301033</v>
      </c>
      <c r="S212" s="345">
        <v>0.26580756211000983</v>
      </c>
      <c r="T212" s="345">
        <v>0.26889727786404305</v>
      </c>
      <c r="U212" s="345">
        <v>0.26439821636051503</v>
      </c>
      <c r="V212" s="345">
        <v>0.26015327636841012</v>
      </c>
      <c r="W212" s="345">
        <v>0.25801685479511188</v>
      </c>
      <c r="X212" s="345">
        <v>0.25565560068486476</v>
      </c>
      <c r="Y212" s="380">
        <v>0.25330832224075756</v>
      </c>
      <c r="Z212" s="296">
        <f t="shared" si="106"/>
        <v>6.5720533874120968E-2</v>
      </c>
      <c r="AA212" s="298">
        <f t="shared" si="107"/>
        <v>3.2870817056835727E-2</v>
      </c>
      <c r="AB212" s="948">
        <f t="array" ref="AB212">IF(AND($AD$175=TRUE,SUM(B212:L212)&gt;0),SUMPRODUCT((((TRANSPOSE(Cls3CentDailyRng)&lt;INDEX(CDRANGE_CLS3,$A212-$A$180+1,AD$176))*TRANSPOSE(Cls3CentDailyRng)+(TRANSPOSE(Cls3CentDailyRng)&gt;INDEX(CDRANGE_CLS3,$A212-$A$180+1,AD$176))*INDEX(CDRANGE_CLS3,$A212-$A$180+1,AD$176))/TRANSPOSE(Cls3CentDailyRng)),B212:L212,TRANSPOSE(Cls3CentVMTShr))/SUMPRODUCT(B212:L212,TRANSPOSE(Cls3CentVMTShr)),0)</f>
        <v>0</v>
      </c>
      <c r="AC212" s="949">
        <f t="array" ref="AC212">IF(AND($AD$175=TRUE,SUM(O212:Y212)&gt;0),SUMPRODUCT((((TRANSPOSE(Cls3NCentDailyRng)&lt;INDEX(CDRANGE_CLS3,$A212-$A$180+1,AD$176))*TRANSPOSE(Cls3NCentDailyRng)+(TRANSPOSE(Cls3NCentDailyRng)&gt;INDEX(CDRANGE_CLS3,$A212-$A$180+1,AD$176))*INDEX(CDRANGE_CLS3,$A212-$A$180+1,AD$176))/TRANSPOSE(Cls3NCentDailyRng)),O212:Y212,TRANSPOSE(Cls3NCentVMTShr))/SUMPRODUCT(O212:Y212,TRANSPOSE(Cls3NCentVMTShr)),0)</f>
        <v>0</v>
      </c>
      <c r="AD212" s="1226">
        <f t="shared" si="114"/>
        <v>0</v>
      </c>
      <c r="AE212" s="1230">
        <f t="shared" si="111"/>
        <v>4.5856341697128614E-2</v>
      </c>
      <c r="AF212" s="1231">
        <f t="shared" si="112"/>
        <v>6.5720533874120968E-2</v>
      </c>
      <c r="AG212" s="1231">
        <f t="shared" si="113"/>
        <v>0.11157687557124958</v>
      </c>
      <c r="AH212" s="1172">
        <f t="shared" si="109"/>
        <v>0.41098427843900465</v>
      </c>
      <c r="AI212" s="1232">
        <f t="shared" si="110"/>
        <v>0.58901572156099535</v>
      </c>
      <c r="AJ212" s="227"/>
      <c r="AK212" s="227"/>
      <c r="AL212" s="227"/>
      <c r="AM212" s="227"/>
    </row>
    <row r="213" spans="1:39" ht="15" thickBot="1" x14ac:dyDescent="0.25">
      <c r="A213" s="328">
        <v>2040</v>
      </c>
      <c r="B213" s="346">
        <v>0</v>
      </c>
      <c r="C213" s="347">
        <v>4.2470514407994472E-2</v>
      </c>
      <c r="D213" s="347">
        <v>0.18645244091239482</v>
      </c>
      <c r="E213" s="347">
        <v>0.26094954137622445</v>
      </c>
      <c r="F213" s="347">
        <v>0.27175257991683904</v>
      </c>
      <c r="G213" s="347">
        <v>0.27091061210881989</v>
      </c>
      <c r="H213" s="347">
        <v>0.26440702008256195</v>
      </c>
      <c r="I213" s="347">
        <v>0.26208317300704981</v>
      </c>
      <c r="J213" s="347">
        <v>0.25816692798958174</v>
      </c>
      <c r="K213" s="347">
        <v>0.255665883962723</v>
      </c>
      <c r="L213" s="381">
        <v>0.255665883962723</v>
      </c>
      <c r="M213" s="310">
        <f t="shared" si="104"/>
        <v>4.5533194055410078E-2</v>
      </c>
      <c r="N213" s="312">
        <f t="shared" si="105"/>
        <v>2.2792462606194917E-2</v>
      </c>
      <c r="O213" s="346">
        <v>0</v>
      </c>
      <c r="P213" s="347">
        <v>5.0584952799181029E-2</v>
      </c>
      <c r="Q213" s="347">
        <v>0.20568305134531348</v>
      </c>
      <c r="R213" s="347">
        <v>0.25701606433100205</v>
      </c>
      <c r="S213" s="347">
        <v>0.26371967627418108</v>
      </c>
      <c r="T213" s="347">
        <v>0.26662884140636273</v>
      </c>
      <c r="U213" s="347">
        <v>0.26231499071766018</v>
      </c>
      <c r="V213" s="347">
        <v>0.25834922729184645</v>
      </c>
      <c r="W213" s="347">
        <v>0.25646228498926255</v>
      </c>
      <c r="X213" s="347">
        <v>0.255665883962723</v>
      </c>
      <c r="Y213" s="381">
        <v>0.25331885365167267</v>
      </c>
      <c r="Z213" s="310">
        <f t="shared" si="106"/>
        <v>6.5199440280390861E-2</v>
      </c>
      <c r="AA213" s="312">
        <f t="shared" si="107"/>
        <v>3.2684300102754471E-2</v>
      </c>
      <c r="AB213" s="948">
        <f t="array" ref="AB213">IF(AND($AD$175=TRUE,SUM(B213:L213)&gt;0),SUMPRODUCT((((TRANSPOSE(Cls3CentDailyRng)&lt;INDEX(CDRANGE_CLS3,$A213-$A$180+1,AD$176))*TRANSPOSE(Cls3CentDailyRng)+(TRANSPOSE(Cls3CentDailyRng)&gt;INDEX(CDRANGE_CLS3,$A213-$A$180+1,AD$176))*INDEX(CDRANGE_CLS3,$A213-$A$180+1,AD$176))/TRANSPOSE(Cls3CentDailyRng)),B213:L213,TRANSPOSE(Cls3CentVMTShr))/SUMPRODUCT(B213:L213,TRANSPOSE(Cls3CentVMTShr)),0)</f>
        <v>0</v>
      </c>
      <c r="AC213" s="949">
        <f t="array" ref="AC213">IF(AND($AD$175=TRUE,SUM(O213:Y213)&gt;0),SUMPRODUCT((((TRANSPOSE(Cls3NCentDailyRng)&lt;INDEX(CDRANGE_CLS3,$A213-$A$180+1,AD$176))*TRANSPOSE(Cls3NCentDailyRng)+(TRANSPOSE(Cls3NCentDailyRng)&gt;INDEX(CDRANGE_CLS3,$A213-$A$180+1,AD$176))*INDEX(CDRANGE_CLS3,$A213-$A$180+1,AD$176))/TRANSPOSE(Cls3NCentDailyRng)),O213:Y213,TRANSPOSE(Cls3NCentVMTShr))/SUMPRODUCT(O213:Y213,TRANSPOSE(Cls3NCentVMTShr)),0)</f>
        <v>0</v>
      </c>
      <c r="AD213" s="1226">
        <f t="shared" si="114"/>
        <v>0</v>
      </c>
      <c r="AE213" s="1230">
        <f t="shared" si="111"/>
        <v>4.5533194055410078E-2</v>
      </c>
      <c r="AF213" s="1231">
        <f t="shared" si="112"/>
        <v>6.5199440280390861E-2</v>
      </c>
      <c r="AG213" s="1231">
        <f t="shared" si="113"/>
        <v>0.11073263433580094</v>
      </c>
      <c r="AH213" s="1172">
        <f t="shared" si="109"/>
        <v>0.4111994113436237</v>
      </c>
      <c r="AI213" s="1232">
        <f t="shared" si="110"/>
        <v>0.5888005886563763</v>
      </c>
      <c r="AJ213" s="227"/>
      <c r="AK213" s="227"/>
      <c r="AL213" s="227"/>
      <c r="AM213" s="227"/>
    </row>
    <row r="214" spans="1:39" x14ac:dyDescent="0.2">
      <c r="A214" s="329">
        <v>2041</v>
      </c>
      <c r="B214" s="342">
        <v>0</v>
      </c>
      <c r="C214" s="343">
        <v>4.2470522620395704E-2</v>
      </c>
      <c r="D214" s="343">
        <v>0.1859336749335242</v>
      </c>
      <c r="E214" s="343">
        <v>0.25313243365233579</v>
      </c>
      <c r="F214" s="343">
        <v>0.26556126619617459</v>
      </c>
      <c r="G214" s="343">
        <v>0.26414058371889726</v>
      </c>
      <c r="H214" s="343">
        <v>0.26232396233386385</v>
      </c>
      <c r="I214" s="343">
        <v>0.26017224508412046</v>
      </c>
      <c r="J214" s="343">
        <v>0.25803665921383662</v>
      </c>
      <c r="K214" s="343">
        <v>0.2556760876678002</v>
      </c>
      <c r="L214" s="379">
        <v>0.2556760876678002</v>
      </c>
      <c r="M214" s="282">
        <f t="shared" si="104"/>
        <v>4.4968231769936362E-2</v>
      </c>
      <c r="N214" s="284">
        <f t="shared" si="105"/>
        <v>2.2581598175983136E-2</v>
      </c>
      <c r="O214" s="342">
        <v>0</v>
      </c>
      <c r="P214" s="343">
        <v>5.2049372796923947E-2</v>
      </c>
      <c r="Q214" s="343">
        <v>0.19987098272946272</v>
      </c>
      <c r="R214" s="343">
        <v>0.24508859439323094</v>
      </c>
      <c r="S214" s="343">
        <v>0.25720845835824185</v>
      </c>
      <c r="T214" s="343">
        <v>0.26214677541316322</v>
      </c>
      <c r="U214" s="343">
        <v>0.26031278435037164</v>
      </c>
      <c r="V214" s="343">
        <v>0.2583588769846869</v>
      </c>
      <c r="W214" s="343">
        <v>0.25647231893216998</v>
      </c>
      <c r="X214" s="343">
        <v>0.2556760876678002</v>
      </c>
      <c r="Y214" s="379">
        <v>0.25332930642982765</v>
      </c>
      <c r="Z214" s="282">
        <f t="shared" si="106"/>
        <v>6.4199971867980404E-2</v>
      </c>
      <c r="AA214" s="284">
        <f t="shared" si="107"/>
        <v>3.246358866395449E-2</v>
      </c>
      <c r="AB214" s="948">
        <f t="array" ref="AB214">IF(AND($AD$175=TRUE,SUM(B214:L214)&gt;0),SUMPRODUCT((((TRANSPOSE(Cls3CentDailyRng)&lt;INDEX(CDRANGE_CLS3,$A214-$A$180+1,AD$176))*TRANSPOSE(Cls3CentDailyRng)+(TRANSPOSE(Cls3CentDailyRng)&gt;INDEX(CDRANGE_CLS3,$A214-$A$180+1,AD$176))*INDEX(CDRANGE_CLS3,$A214-$A$180+1,AD$176))/TRANSPOSE(Cls3CentDailyRng)),B214:L214,TRANSPOSE(Cls3CentVMTShr))/SUMPRODUCT(B214:L214,TRANSPOSE(Cls3CentVMTShr)),0)</f>
        <v>0</v>
      </c>
      <c r="AC214" s="949">
        <f t="array" ref="AC214">IF(AND($AD$175=TRUE,SUM(O214:Y214)&gt;0),SUMPRODUCT((((TRANSPOSE(Cls3NCentDailyRng)&lt;INDEX(CDRANGE_CLS3,$A214-$A$180+1,AD$176))*TRANSPOSE(Cls3NCentDailyRng)+(TRANSPOSE(Cls3NCentDailyRng)&gt;INDEX(CDRANGE_CLS3,$A214-$A$180+1,AD$176))*INDEX(CDRANGE_CLS3,$A214-$A$180+1,AD$176))/TRANSPOSE(Cls3NCentDailyRng)),O214:Y214,TRANSPOSE(Cls3NCentVMTShr))/SUMPRODUCT(O214:Y214,TRANSPOSE(Cls3NCentVMTShr)),0)</f>
        <v>0</v>
      </c>
      <c r="AD214" s="1226">
        <f t="shared" si="114"/>
        <v>0</v>
      </c>
      <c r="AE214" s="1230">
        <f t="shared" si="111"/>
        <v>4.4968231769936362E-2</v>
      </c>
      <c r="AF214" s="1231">
        <f t="shared" si="112"/>
        <v>6.4199971867980404E-2</v>
      </c>
      <c r="AG214" s="1231">
        <f t="shared" si="113"/>
        <v>0.10916820363791677</v>
      </c>
      <c r="AH214" s="1172">
        <f t="shared" si="109"/>
        <v>0.41191693434000781</v>
      </c>
      <c r="AI214" s="1232">
        <f t="shared" si="110"/>
        <v>0.58808306565999224</v>
      </c>
      <c r="AJ214" s="227"/>
      <c r="AK214" s="227"/>
      <c r="AL214" s="227"/>
      <c r="AM214" s="227"/>
    </row>
    <row r="215" spans="1:39" x14ac:dyDescent="0.2">
      <c r="A215" s="330">
        <v>2042</v>
      </c>
      <c r="B215" s="344">
        <v>0</v>
      </c>
      <c r="C215" s="345">
        <v>4.7076847191097893E-2</v>
      </c>
      <c r="D215" s="345">
        <v>0.19138165658480297</v>
      </c>
      <c r="E215" s="345">
        <v>0.23543508724036763</v>
      </c>
      <c r="F215" s="345">
        <v>0.25896110922590637</v>
      </c>
      <c r="G215" s="345">
        <v>0.25963554635832164</v>
      </c>
      <c r="H215" s="345">
        <v>0.25840472131816983</v>
      </c>
      <c r="I215" s="345">
        <v>0.25836850012345286</v>
      </c>
      <c r="J215" s="345">
        <v>0.25648232678837812</v>
      </c>
      <c r="K215" s="345">
        <v>0.25442603765827243</v>
      </c>
      <c r="L215" s="380">
        <v>0.25442603765827243</v>
      </c>
      <c r="M215" s="296">
        <f t="shared" si="104"/>
        <v>4.5140369127766942E-2</v>
      </c>
      <c r="N215" s="298">
        <f t="shared" si="105"/>
        <v>2.3144549648648993E-2</v>
      </c>
      <c r="O215" s="344">
        <v>0</v>
      </c>
      <c r="P215" s="345">
        <v>5.7274927936774071E-2</v>
      </c>
      <c r="Q215" s="345">
        <v>0.20411083097237551</v>
      </c>
      <c r="R215" s="345">
        <v>0.22637176097979639</v>
      </c>
      <c r="S215" s="345">
        <v>0.25608503615038142</v>
      </c>
      <c r="T215" s="345">
        <v>0.25783156253466699</v>
      </c>
      <c r="U215" s="345">
        <v>0.25840472131816983</v>
      </c>
      <c r="V215" s="345">
        <v>0.25667515673130459</v>
      </c>
      <c r="W215" s="345">
        <v>0.25506442862362266</v>
      </c>
      <c r="X215" s="345">
        <v>0.25442603765827243</v>
      </c>
      <c r="Y215" s="380">
        <v>0.2524425202837316</v>
      </c>
      <c r="Z215" s="296">
        <f t="shared" si="106"/>
        <v>6.470324313701363E-2</v>
      </c>
      <c r="AA215" s="298">
        <f t="shared" si="107"/>
        <v>3.354066663828862E-2</v>
      </c>
      <c r="AB215" s="948">
        <f t="array" ref="AB215">IF(AND($AD$175=TRUE,SUM(B215:L215)&gt;0),SUMPRODUCT((((TRANSPOSE(Cls3CentDailyRng)&lt;INDEX(CDRANGE_CLS3,$A215-$A$180+1,AD$176))*TRANSPOSE(Cls3CentDailyRng)+(TRANSPOSE(Cls3CentDailyRng)&gt;INDEX(CDRANGE_CLS3,$A215-$A$180+1,AD$176))*INDEX(CDRANGE_CLS3,$A215-$A$180+1,AD$176))/TRANSPOSE(Cls3CentDailyRng)),B215:L215,TRANSPOSE(Cls3CentVMTShr))/SUMPRODUCT(B215:L215,TRANSPOSE(Cls3CentVMTShr)),0)</f>
        <v>0</v>
      </c>
      <c r="AC215" s="949">
        <f t="array" ref="AC215">IF(AND($AD$175=TRUE,SUM(O215:Y215)&gt;0),SUMPRODUCT((((TRANSPOSE(Cls3NCentDailyRng)&lt;INDEX(CDRANGE_CLS3,$A215-$A$180+1,AD$176))*TRANSPOSE(Cls3NCentDailyRng)+(TRANSPOSE(Cls3NCentDailyRng)&gt;INDEX(CDRANGE_CLS3,$A215-$A$180+1,AD$176))*INDEX(CDRANGE_CLS3,$A215-$A$180+1,AD$176))/TRANSPOSE(Cls3NCentDailyRng)),O215:Y215,TRANSPOSE(Cls3NCentVMTShr))/SUMPRODUCT(O215:Y215,TRANSPOSE(Cls3NCentVMTShr)),0)</f>
        <v>0</v>
      </c>
      <c r="AD215" s="1226">
        <f t="shared" si="114"/>
        <v>0</v>
      </c>
      <c r="AE215" s="1230">
        <f t="shared" si="111"/>
        <v>4.5140369127766942E-2</v>
      </c>
      <c r="AF215" s="1231">
        <f t="shared" si="112"/>
        <v>6.470324313701363E-2</v>
      </c>
      <c r="AG215" s="1231">
        <f t="shared" si="113"/>
        <v>0.10984361226478057</v>
      </c>
      <c r="AH215" s="1172">
        <f t="shared" si="109"/>
        <v>0.41095124420121071</v>
      </c>
      <c r="AI215" s="1232">
        <f t="shared" si="110"/>
        <v>0.58904875579878935</v>
      </c>
      <c r="AJ215" s="227"/>
      <c r="AK215" s="227"/>
      <c r="AL215" s="227"/>
      <c r="AM215" s="227"/>
    </row>
    <row r="216" spans="1:39" x14ac:dyDescent="0.2">
      <c r="A216" s="330">
        <v>2043</v>
      </c>
      <c r="B216" s="344">
        <v>0</v>
      </c>
      <c r="C216" s="345">
        <v>4.6957401374591548E-2</v>
      </c>
      <c r="D216" s="345">
        <v>0.17921452793301837</v>
      </c>
      <c r="E216" s="345">
        <v>0.21999821898441307</v>
      </c>
      <c r="F216" s="345">
        <v>0.25221526575316555</v>
      </c>
      <c r="G216" s="345">
        <v>0.2552481323641369</v>
      </c>
      <c r="H216" s="345">
        <v>0.25660382897703282</v>
      </c>
      <c r="I216" s="345">
        <v>0.25668495614809889</v>
      </c>
      <c r="J216" s="345">
        <v>0.25507457720687726</v>
      </c>
      <c r="K216" s="345">
        <v>0.25335014814324375</v>
      </c>
      <c r="L216" s="380">
        <v>0.25335014814324375</v>
      </c>
      <c r="M216" s="296">
        <f t="shared" si="104"/>
        <v>4.3164449999062042E-2</v>
      </c>
      <c r="N216" s="298">
        <f t="shared" si="105"/>
        <v>2.2188217775067749E-2</v>
      </c>
      <c r="O216" s="344">
        <v>0</v>
      </c>
      <c r="P216" s="345">
        <v>5.5308589512195715E-2</v>
      </c>
      <c r="Q216" s="345">
        <v>0.1876046894052032</v>
      </c>
      <c r="R216" s="345">
        <v>0.2167255602140481</v>
      </c>
      <c r="S216" s="345">
        <v>0.25165514391486993</v>
      </c>
      <c r="T216" s="345">
        <v>0.2557730159235192</v>
      </c>
      <c r="U216" s="345">
        <v>0.25660382897703282</v>
      </c>
      <c r="V216" s="345">
        <v>0.25512464289312203</v>
      </c>
      <c r="W216" s="345">
        <v>0.25381649372077014</v>
      </c>
      <c r="X216" s="345">
        <v>0.25335014814324375</v>
      </c>
      <c r="Y216" s="380">
        <v>0.25245302841960754</v>
      </c>
      <c r="Z216" s="296">
        <f t="shared" si="106"/>
        <v>6.2044174073287328E-2</v>
      </c>
      <c r="AA216" s="298">
        <f t="shared" si="107"/>
        <v>3.2006507595082383E-2</v>
      </c>
      <c r="AB216" s="948">
        <f t="array" ref="AB216">IF(AND($AD$175=TRUE,SUM(B216:L216)&gt;0),SUMPRODUCT((((TRANSPOSE(Cls3CentDailyRng)&lt;INDEX(CDRANGE_CLS3,$A216-$A$180+1,AD$176))*TRANSPOSE(Cls3CentDailyRng)+(TRANSPOSE(Cls3CentDailyRng)&gt;INDEX(CDRANGE_CLS3,$A216-$A$180+1,AD$176))*INDEX(CDRANGE_CLS3,$A216-$A$180+1,AD$176))/TRANSPOSE(Cls3CentDailyRng)),B216:L216,TRANSPOSE(Cls3CentVMTShr))/SUMPRODUCT(B216:L216,TRANSPOSE(Cls3CentVMTShr)),0)</f>
        <v>0</v>
      </c>
      <c r="AC216" s="949">
        <f t="array" ref="AC216">IF(AND($AD$175=TRUE,SUM(O216:Y216)&gt;0),SUMPRODUCT((((TRANSPOSE(Cls3NCentDailyRng)&lt;INDEX(CDRANGE_CLS3,$A216-$A$180+1,AD$176))*TRANSPOSE(Cls3NCentDailyRng)+(TRANSPOSE(Cls3NCentDailyRng)&gt;INDEX(CDRANGE_CLS3,$A216-$A$180+1,AD$176))*INDEX(CDRANGE_CLS3,$A216-$A$180+1,AD$176))/TRANSPOSE(Cls3NCentDailyRng)),O216:Y216,TRANSPOSE(Cls3NCentVMTShr))/SUMPRODUCT(O216:Y216,TRANSPOSE(Cls3NCentVMTShr)),0)</f>
        <v>0</v>
      </c>
      <c r="AD216" s="1226">
        <f t="shared" si="114"/>
        <v>0</v>
      </c>
      <c r="AE216" s="1230">
        <f t="shared" si="111"/>
        <v>4.3164449999062042E-2</v>
      </c>
      <c r="AF216" s="1231">
        <f t="shared" si="112"/>
        <v>6.2044174073287328E-2</v>
      </c>
      <c r="AG216" s="1231">
        <f t="shared" si="113"/>
        <v>0.10520862407234938</v>
      </c>
      <c r="AH216" s="1172">
        <f t="shared" si="109"/>
        <v>0.41027482660907072</v>
      </c>
      <c r="AI216" s="1232">
        <f t="shared" si="110"/>
        <v>0.58972517339092922</v>
      </c>
      <c r="AJ216" s="227"/>
      <c r="AK216" s="227"/>
      <c r="AL216" s="227"/>
      <c r="AM216" s="227"/>
    </row>
    <row r="217" spans="1:39" x14ac:dyDescent="0.2">
      <c r="A217" s="330">
        <v>2044</v>
      </c>
      <c r="B217" s="344">
        <v>0</v>
      </c>
      <c r="C217" s="345">
        <v>5.0579928549446297E-2</v>
      </c>
      <c r="D217" s="345">
        <v>0.16527005163925437</v>
      </c>
      <c r="E217" s="345">
        <v>0.20517174662672757</v>
      </c>
      <c r="F217" s="345">
        <v>0.24779119896756469</v>
      </c>
      <c r="G217" s="345">
        <v>0.25107938214651587</v>
      </c>
      <c r="H217" s="345">
        <v>0.25492308639851602</v>
      </c>
      <c r="I217" s="345">
        <v>0.25513462174634155</v>
      </c>
      <c r="J217" s="345">
        <v>0.25382678510070678</v>
      </c>
      <c r="K217" s="345">
        <v>0.25336057094326375</v>
      </c>
      <c r="L217" s="380">
        <v>0.25336057094326375</v>
      </c>
      <c r="M217" s="296">
        <f t="shared" si="104"/>
        <v>4.1675942539482445E-2</v>
      </c>
      <c r="N217" s="298">
        <f t="shared" si="105"/>
        <v>2.1697867733258065E-2</v>
      </c>
      <c r="O217" s="344">
        <v>0</v>
      </c>
      <c r="P217" s="345">
        <v>5.826946778105168E-2</v>
      </c>
      <c r="Q217" s="345">
        <v>0.17190584318520469</v>
      </c>
      <c r="R217" s="345">
        <v>0.2062846362953675</v>
      </c>
      <c r="S217" s="345">
        <v>0.24739435097738849</v>
      </c>
      <c r="T217" s="345">
        <v>0.25190114993857038</v>
      </c>
      <c r="U217" s="345">
        <v>0.25492308639851602</v>
      </c>
      <c r="V217" s="345">
        <v>0.2535454108121234</v>
      </c>
      <c r="W217" s="345">
        <v>0.25274245122206068</v>
      </c>
      <c r="X217" s="345">
        <v>0.25336057094326375</v>
      </c>
      <c r="Y217" s="380">
        <v>0.25177315473668382</v>
      </c>
      <c r="Z217" s="296">
        <f t="shared" si="106"/>
        <v>6.0721093411345545E-2</v>
      </c>
      <c r="AA217" s="298">
        <f t="shared" si="107"/>
        <v>3.1750300782012686E-2</v>
      </c>
      <c r="AB217" s="948">
        <f t="array" ref="AB217">IF(AND($AD$175=TRUE,SUM(B217:L217)&gt;0),SUMPRODUCT((((TRANSPOSE(Cls3CentDailyRng)&lt;INDEX(CDRANGE_CLS3,$A217-$A$180+1,AD$176))*TRANSPOSE(Cls3CentDailyRng)+(TRANSPOSE(Cls3CentDailyRng)&gt;INDEX(CDRANGE_CLS3,$A217-$A$180+1,AD$176))*INDEX(CDRANGE_CLS3,$A217-$A$180+1,AD$176))/TRANSPOSE(Cls3CentDailyRng)),B217:L217,TRANSPOSE(Cls3CentVMTShr))/SUMPRODUCT(B217:L217,TRANSPOSE(Cls3CentVMTShr)),0)</f>
        <v>0</v>
      </c>
      <c r="AC217" s="949">
        <f t="array" ref="AC217">IF(AND($AD$175=TRUE,SUM(O217:Y217)&gt;0),SUMPRODUCT((((TRANSPOSE(Cls3NCentDailyRng)&lt;INDEX(CDRANGE_CLS3,$A217-$A$180+1,AD$176))*TRANSPOSE(Cls3NCentDailyRng)+(TRANSPOSE(Cls3NCentDailyRng)&gt;INDEX(CDRANGE_CLS3,$A217-$A$180+1,AD$176))*INDEX(CDRANGE_CLS3,$A217-$A$180+1,AD$176))/TRANSPOSE(Cls3NCentDailyRng)),O217:Y217,TRANSPOSE(Cls3NCentVMTShr))/SUMPRODUCT(O217:Y217,TRANSPOSE(Cls3NCentVMTShr)),0)</f>
        <v>0</v>
      </c>
      <c r="AD217" s="1226">
        <f t="shared" si="114"/>
        <v>0</v>
      </c>
      <c r="AE217" s="1230">
        <f t="shared" si="111"/>
        <v>4.1675942539482445E-2</v>
      </c>
      <c r="AF217" s="1231">
        <f t="shared" si="112"/>
        <v>6.0721093411345545E-2</v>
      </c>
      <c r="AG217" s="1231">
        <f t="shared" si="113"/>
        <v>0.102397035950828</v>
      </c>
      <c r="AH217" s="1172">
        <f t="shared" si="109"/>
        <v>0.40700340739839008</v>
      </c>
      <c r="AI217" s="1232">
        <f t="shared" si="110"/>
        <v>0.59299659260160986</v>
      </c>
      <c r="AJ217" s="227"/>
      <c r="AK217" s="227"/>
      <c r="AL217" s="227"/>
      <c r="AM217" s="227"/>
    </row>
    <row r="218" spans="1:39" ht="15" thickBot="1" x14ac:dyDescent="0.25">
      <c r="A218" s="328">
        <v>2045</v>
      </c>
      <c r="B218" s="346">
        <v>0</v>
      </c>
      <c r="C218" s="347">
        <v>5.2199884945926679E-2</v>
      </c>
      <c r="D218" s="347">
        <v>0.14976080844845777</v>
      </c>
      <c r="E218" s="347">
        <v>0.19240386079864846</v>
      </c>
      <c r="F218" s="347">
        <v>0.24199301280167232</v>
      </c>
      <c r="G218" s="347">
        <v>0.24911345816666558</v>
      </c>
      <c r="H218" s="347">
        <v>0.25282585872294905</v>
      </c>
      <c r="I218" s="347">
        <v>0.25373055364911951</v>
      </c>
      <c r="J218" s="347">
        <v>0.25383708037309011</v>
      </c>
      <c r="K218" s="347">
        <v>0.25247406586913312</v>
      </c>
      <c r="L218" s="381">
        <v>0.25247406586913312</v>
      </c>
      <c r="M218" s="310">
        <f t="shared" si="104"/>
        <v>3.9802775305379692E-2</v>
      </c>
      <c r="N218" s="312">
        <f t="shared" si="105"/>
        <v>2.0870177184121853E-2</v>
      </c>
      <c r="O218" s="346">
        <v>0</v>
      </c>
      <c r="P218" s="347">
        <v>5.5030860209476666E-2</v>
      </c>
      <c r="Q218" s="347">
        <v>0.15729235957476553</v>
      </c>
      <c r="R218" s="347">
        <v>0.19552178162784031</v>
      </c>
      <c r="S218" s="347">
        <v>0.24555488296765982</v>
      </c>
      <c r="T218" s="347">
        <v>0.25012256172859854</v>
      </c>
      <c r="U218" s="347">
        <v>0.25282585872294905</v>
      </c>
      <c r="V218" s="347">
        <v>0.25230271191317472</v>
      </c>
      <c r="W218" s="347">
        <v>0.25275286125384344</v>
      </c>
      <c r="X218" s="347">
        <v>0.25247406586913312</v>
      </c>
      <c r="Y218" s="381">
        <v>0.25178374717259655</v>
      </c>
      <c r="Z218" s="310">
        <f t="shared" si="106"/>
        <v>5.7860179193179907E-2</v>
      </c>
      <c r="AA218" s="312">
        <f t="shared" si="107"/>
        <v>2.9967390342824425E-2</v>
      </c>
      <c r="AB218" s="948">
        <f t="array" ref="AB218">IF(AND($AD$175=TRUE,SUM(B218:L218)&gt;0),SUMPRODUCT((((TRANSPOSE(Cls3CentDailyRng)&lt;INDEX(CDRANGE_CLS3,$A218-$A$180+1,AD$176))*TRANSPOSE(Cls3CentDailyRng)+(TRANSPOSE(Cls3CentDailyRng)&gt;INDEX(CDRANGE_CLS3,$A218-$A$180+1,AD$176))*INDEX(CDRANGE_CLS3,$A218-$A$180+1,AD$176))/TRANSPOSE(Cls3CentDailyRng)),B218:L218,TRANSPOSE(Cls3CentVMTShr))/SUMPRODUCT(B218:L218,TRANSPOSE(Cls3CentVMTShr)),0)</f>
        <v>0</v>
      </c>
      <c r="AC218" s="949">
        <f t="array" ref="AC218">IF(AND($AD$175=TRUE,SUM(O218:Y218)&gt;0),SUMPRODUCT((((TRANSPOSE(Cls3NCentDailyRng)&lt;INDEX(CDRANGE_CLS3,$A218-$A$180+1,AD$176))*TRANSPOSE(Cls3NCentDailyRng)+(TRANSPOSE(Cls3NCentDailyRng)&gt;INDEX(CDRANGE_CLS3,$A218-$A$180+1,AD$176))*INDEX(CDRANGE_CLS3,$A218-$A$180+1,AD$176))/TRANSPOSE(Cls3NCentDailyRng)),O218:Y218,TRANSPOSE(Cls3NCentVMTShr))/SUMPRODUCT(O218:Y218,TRANSPOSE(Cls3NCentVMTShr)),0)</f>
        <v>0</v>
      </c>
      <c r="AD218" s="1226">
        <f t="shared" si="114"/>
        <v>0</v>
      </c>
      <c r="AE218" s="1230">
        <f t="shared" si="111"/>
        <v>3.9802775305379692E-2</v>
      </c>
      <c r="AF218" s="1231">
        <f t="shared" si="112"/>
        <v>5.7860179193179907E-2</v>
      </c>
      <c r="AG218" s="1231">
        <f t="shared" si="113"/>
        <v>9.7662954498559607E-2</v>
      </c>
      <c r="AH218" s="1172">
        <f t="shared" si="109"/>
        <v>0.40755243899534832</v>
      </c>
      <c r="AI218" s="1232">
        <f t="shared" si="110"/>
        <v>0.59244756100465157</v>
      </c>
      <c r="AJ218" s="227"/>
      <c r="AK218" s="227"/>
      <c r="AL218" s="227"/>
      <c r="AM218" s="227"/>
    </row>
    <row r="219" spans="1:39" x14ac:dyDescent="0.2">
      <c r="A219" s="329">
        <v>2046</v>
      </c>
      <c r="B219" s="342">
        <v>0</v>
      </c>
      <c r="C219" s="343">
        <v>4.8859314951439504E-2</v>
      </c>
      <c r="D219" s="343">
        <v>0.14282884394970594</v>
      </c>
      <c r="E219" s="343">
        <v>0.18790901371992086</v>
      </c>
      <c r="F219" s="343">
        <v>0.2399917692191646</v>
      </c>
      <c r="G219" s="343">
        <v>0.24724072863155508</v>
      </c>
      <c r="H219" s="343">
        <v>0.25283578628353176</v>
      </c>
      <c r="I219" s="343">
        <v>0.25374069441325725</v>
      </c>
      <c r="J219" s="343">
        <v>0.25276327622839334</v>
      </c>
      <c r="K219" s="343">
        <v>0.25248459162767639</v>
      </c>
      <c r="L219" s="379">
        <v>0.25248459162767639</v>
      </c>
      <c r="M219" s="282">
        <f t="shared" si="104"/>
        <v>3.843614624303153E-2</v>
      </c>
      <c r="N219" s="284">
        <f t="shared" si="105"/>
        <v>1.9953068188375899E-2</v>
      </c>
      <c r="O219" s="342">
        <v>0</v>
      </c>
      <c r="P219" s="343">
        <v>5.0989039097359433E-2</v>
      </c>
      <c r="Q219" s="343">
        <v>0.15139646780840954</v>
      </c>
      <c r="R219" s="343">
        <v>0.19112821354033394</v>
      </c>
      <c r="S219" s="343">
        <v>0.24556387938907839</v>
      </c>
      <c r="T219" s="343">
        <v>0.2484629293674169</v>
      </c>
      <c r="U219" s="343">
        <v>0.25143035852237916</v>
      </c>
      <c r="V219" s="343">
        <v>0.25231297104472866</v>
      </c>
      <c r="W219" s="343">
        <v>0.25276327622839334</v>
      </c>
      <c r="X219" s="343">
        <v>0.25248459162767639</v>
      </c>
      <c r="Y219" s="379">
        <v>0.25179434466869771</v>
      </c>
      <c r="Z219" s="282">
        <f t="shared" si="106"/>
        <v>5.5966838779783944E-2</v>
      </c>
      <c r="AA219" s="284">
        <f t="shared" si="107"/>
        <v>2.8547314765504296E-2</v>
      </c>
      <c r="AB219" s="948">
        <f t="array" ref="AB219">IF(AND($AD$175=TRUE,SUM(B219:L219)&gt;0),SUMPRODUCT((((TRANSPOSE(Cls3CentDailyRng)&lt;INDEX(CDRANGE_CLS3,$A219-$A$180+1,AD$176))*TRANSPOSE(Cls3CentDailyRng)+(TRANSPOSE(Cls3CentDailyRng)&gt;INDEX(CDRANGE_CLS3,$A219-$A$180+1,AD$176))*INDEX(CDRANGE_CLS3,$A219-$A$180+1,AD$176))/TRANSPOSE(Cls3CentDailyRng)),B219:L219,TRANSPOSE(Cls3CentVMTShr))/SUMPRODUCT(B219:L219,TRANSPOSE(Cls3CentVMTShr)),0)</f>
        <v>0</v>
      </c>
      <c r="AC219" s="949">
        <f t="array" ref="AC219">IF(AND($AD$175=TRUE,SUM(O219:Y219)&gt;0),SUMPRODUCT((((TRANSPOSE(Cls3NCentDailyRng)&lt;INDEX(CDRANGE_CLS3,$A219-$A$180+1,AD$176))*TRANSPOSE(Cls3NCentDailyRng)+(TRANSPOSE(Cls3NCentDailyRng)&gt;INDEX(CDRANGE_CLS3,$A219-$A$180+1,AD$176))*INDEX(CDRANGE_CLS3,$A219-$A$180+1,AD$176))/TRANSPOSE(Cls3NCentDailyRng)),O219:Y219,TRANSPOSE(Cls3NCentVMTShr))/SUMPRODUCT(O219:Y219,TRANSPOSE(Cls3NCentVMTShr)),0)</f>
        <v>0</v>
      </c>
      <c r="AD219" s="1226">
        <f t="shared" si="114"/>
        <v>0</v>
      </c>
      <c r="AE219" s="1230">
        <f t="shared" si="111"/>
        <v>3.843614624303153E-2</v>
      </c>
      <c r="AF219" s="1231">
        <f t="shared" si="112"/>
        <v>5.5966838779783944E-2</v>
      </c>
      <c r="AG219" s="1231">
        <f t="shared" si="113"/>
        <v>9.4402985022815467E-2</v>
      </c>
      <c r="AH219" s="1172">
        <f t="shared" si="109"/>
        <v>0.40714969165161696</v>
      </c>
      <c r="AI219" s="1232">
        <f t="shared" si="110"/>
        <v>0.59285030834838315</v>
      </c>
      <c r="AJ219" s="227"/>
      <c r="AK219" s="227"/>
      <c r="AL219" s="227"/>
      <c r="AM219" s="227"/>
    </row>
    <row r="220" spans="1:39" x14ac:dyDescent="0.2">
      <c r="A220" s="330">
        <v>2047</v>
      </c>
      <c r="B220" s="344">
        <v>0</v>
      </c>
      <c r="C220" s="345">
        <v>4.5749744885784538E-2</v>
      </c>
      <c r="D220" s="345">
        <v>0.14467382181168667</v>
      </c>
      <c r="E220" s="345">
        <v>0.18499730766476616</v>
      </c>
      <c r="F220" s="345">
        <v>0.23806991652759682</v>
      </c>
      <c r="G220" s="345">
        <v>0.24547384736325359</v>
      </c>
      <c r="H220" s="345">
        <v>0.25144043646780462</v>
      </c>
      <c r="I220" s="345">
        <v>0.25249633117489362</v>
      </c>
      <c r="J220" s="345">
        <v>0.25277368927519217</v>
      </c>
      <c r="K220" s="345">
        <v>0.2524951154520208</v>
      </c>
      <c r="L220" s="380">
        <v>0.2524951154520208</v>
      </c>
      <c r="M220" s="296">
        <f t="shared" si="104"/>
        <v>3.7938413197876907E-2</v>
      </c>
      <c r="N220" s="298">
        <f t="shared" si="105"/>
        <v>1.9538922326275184E-2</v>
      </c>
      <c r="O220" s="344">
        <v>0</v>
      </c>
      <c r="P220" s="345">
        <v>5.1548934991979684E-2</v>
      </c>
      <c r="Q220" s="345">
        <v>0.14548276083260528</v>
      </c>
      <c r="R220" s="345">
        <v>0.18968790226927662</v>
      </c>
      <c r="S220" s="345">
        <v>0.24369602525136919</v>
      </c>
      <c r="T220" s="345">
        <v>0.2484726053846604</v>
      </c>
      <c r="U220" s="345">
        <v>0.25144043646780462</v>
      </c>
      <c r="V220" s="345">
        <v>0.2512435636771726</v>
      </c>
      <c r="W220" s="345">
        <v>0.25187838808101154</v>
      </c>
      <c r="X220" s="345">
        <v>0.2524951154520208</v>
      </c>
      <c r="Y220" s="380">
        <v>0.25180494022901728</v>
      </c>
      <c r="Z220" s="296">
        <f t="shared" si="106"/>
        <v>5.5480416501410716E-2</v>
      </c>
      <c r="AA220" s="298">
        <f t="shared" si="107"/>
        <v>2.8368612334089428E-2</v>
      </c>
      <c r="AB220" s="948">
        <f t="array" ref="AB220">IF(AND($AD$175=TRUE,SUM(B220:L220)&gt;0),SUMPRODUCT((((TRANSPOSE(Cls3CentDailyRng)&lt;INDEX(CDRANGE_CLS3,$A220-$A$180+1,AD$176))*TRANSPOSE(Cls3CentDailyRng)+(TRANSPOSE(Cls3CentDailyRng)&gt;INDEX(CDRANGE_CLS3,$A220-$A$180+1,AD$176))*INDEX(CDRANGE_CLS3,$A220-$A$180+1,AD$176))/TRANSPOSE(Cls3CentDailyRng)),B220:L220,TRANSPOSE(Cls3CentVMTShr))/SUMPRODUCT(B220:L220,TRANSPOSE(Cls3CentVMTShr)),0)</f>
        <v>0</v>
      </c>
      <c r="AC220" s="949">
        <f t="array" ref="AC220">IF(AND($AD$175=TRUE,SUM(O220:Y220)&gt;0),SUMPRODUCT((((TRANSPOSE(Cls3NCentDailyRng)&lt;INDEX(CDRANGE_CLS3,$A220-$A$180+1,AD$176))*TRANSPOSE(Cls3NCentDailyRng)+(TRANSPOSE(Cls3NCentDailyRng)&gt;INDEX(CDRANGE_CLS3,$A220-$A$180+1,AD$176))*INDEX(CDRANGE_CLS3,$A220-$A$180+1,AD$176))/TRANSPOSE(Cls3NCentDailyRng)),O220:Y220,TRANSPOSE(Cls3NCentVMTShr))/SUMPRODUCT(O220:Y220,TRANSPOSE(Cls3NCentVMTShr)),0)</f>
        <v>0</v>
      </c>
      <c r="AD220" s="1226">
        <f t="shared" si="114"/>
        <v>0</v>
      </c>
      <c r="AE220" s="1230">
        <f t="shared" si="111"/>
        <v>3.7938413197876907E-2</v>
      </c>
      <c r="AF220" s="1231">
        <f t="shared" si="112"/>
        <v>5.5480416501410716E-2</v>
      </c>
      <c r="AG220" s="1231">
        <f t="shared" si="113"/>
        <v>9.3418829699287623E-2</v>
      </c>
      <c r="AH220" s="1172">
        <f t="shared" si="109"/>
        <v>0.40611098768845111</v>
      </c>
      <c r="AI220" s="1232">
        <f t="shared" si="110"/>
        <v>0.59388901231154889</v>
      </c>
      <c r="AJ220" s="227"/>
      <c r="AK220" s="227"/>
      <c r="AL220" s="227"/>
      <c r="AM220" s="227"/>
    </row>
    <row r="221" spans="1:39" x14ac:dyDescent="0.2">
      <c r="A221" s="330">
        <v>2048</v>
      </c>
      <c r="B221" s="344">
        <v>0</v>
      </c>
      <c r="C221" s="345">
        <v>4.2830701284294587E-2</v>
      </c>
      <c r="D221" s="345">
        <v>0.14040348044227779</v>
      </c>
      <c r="E221" s="345">
        <v>0.18221728615376998</v>
      </c>
      <c r="F221" s="345">
        <v>0.23807874173248214</v>
      </c>
      <c r="G221" s="345">
        <v>0.24548328864544774</v>
      </c>
      <c r="H221" s="345">
        <v>0.25145052659060152</v>
      </c>
      <c r="I221" s="345">
        <v>0.25250661675304797</v>
      </c>
      <c r="J221" s="345">
        <v>0.25278411492752112</v>
      </c>
      <c r="K221" s="345">
        <v>0.25250565202620701</v>
      </c>
      <c r="L221" s="380">
        <v>0.25250565202620701</v>
      </c>
      <c r="M221" s="296">
        <f t="shared" si="104"/>
        <v>3.6993139884460097E-2</v>
      </c>
      <c r="N221" s="298">
        <f t="shared" si="105"/>
        <v>1.8860223308969158E-2</v>
      </c>
      <c r="O221" s="344">
        <v>0</v>
      </c>
      <c r="P221" s="345">
        <v>4.9732504831262465E-2</v>
      </c>
      <c r="Q221" s="345">
        <v>0.14973151063521328</v>
      </c>
      <c r="R221" s="345">
        <v>0.18699420364586888</v>
      </c>
      <c r="S221" s="345">
        <v>0.24370524359918075</v>
      </c>
      <c r="T221" s="345">
        <v>0.24694481524758577</v>
      </c>
      <c r="U221" s="345">
        <v>0.25145052659060152</v>
      </c>
      <c r="V221" s="345">
        <v>0.25125394764239256</v>
      </c>
      <c r="W221" s="345">
        <v>0.25188890767421229</v>
      </c>
      <c r="X221" s="345">
        <v>0.25250565202620701</v>
      </c>
      <c r="Y221" s="380">
        <v>0.25135525071662551</v>
      </c>
      <c r="Z221" s="296">
        <f t="shared" si="106"/>
        <v>5.5169883334444919E-2</v>
      </c>
      <c r="AA221" s="298">
        <f t="shared" si="107"/>
        <v>2.8036048340231406E-2</v>
      </c>
      <c r="AB221" s="948">
        <f t="array" ref="AB221">IF(AND($AD$175=TRUE,SUM(B221:L221)&gt;0),SUMPRODUCT((((TRANSPOSE(Cls3CentDailyRng)&lt;INDEX(CDRANGE_CLS3,$A221-$A$180+1,AD$176))*TRANSPOSE(Cls3CentDailyRng)+(TRANSPOSE(Cls3CentDailyRng)&gt;INDEX(CDRANGE_CLS3,$A221-$A$180+1,AD$176))*INDEX(CDRANGE_CLS3,$A221-$A$180+1,AD$176))/TRANSPOSE(Cls3CentDailyRng)),B221:L221,TRANSPOSE(Cls3CentVMTShr))/SUMPRODUCT(B221:L221,TRANSPOSE(Cls3CentVMTShr)),0)</f>
        <v>0</v>
      </c>
      <c r="AC221" s="949">
        <f t="array" ref="AC221">IF(AND($AD$175=TRUE,SUM(O221:Y221)&gt;0),SUMPRODUCT((((TRANSPOSE(Cls3NCentDailyRng)&lt;INDEX(CDRANGE_CLS3,$A221-$A$180+1,AD$176))*TRANSPOSE(Cls3NCentDailyRng)+(TRANSPOSE(Cls3NCentDailyRng)&gt;INDEX(CDRANGE_CLS3,$A221-$A$180+1,AD$176))*INDEX(CDRANGE_CLS3,$A221-$A$180+1,AD$176))/TRANSPOSE(Cls3NCentDailyRng)),O221:Y221,TRANSPOSE(Cls3NCentVMTShr))/SUMPRODUCT(O221:Y221,TRANSPOSE(Cls3NCentVMTShr)),0)</f>
        <v>0</v>
      </c>
      <c r="AD221" s="1226">
        <f t="shared" si="114"/>
        <v>0</v>
      </c>
      <c r="AE221" s="1230">
        <f t="shared" si="111"/>
        <v>3.6993139884460097E-2</v>
      </c>
      <c r="AF221" s="1231">
        <f t="shared" si="112"/>
        <v>5.5169883334444919E-2</v>
      </c>
      <c r="AG221" s="1231">
        <f t="shared" si="113"/>
        <v>9.2163023218905016E-2</v>
      </c>
      <c r="AH221" s="1172">
        <f t="shared" si="109"/>
        <v>0.40138809028208883</v>
      </c>
      <c r="AI221" s="1232">
        <f t="shared" si="110"/>
        <v>0.59861190971791112</v>
      </c>
      <c r="AJ221" s="227"/>
      <c r="AK221" s="227"/>
      <c r="AL221" s="227"/>
      <c r="AM221" s="227"/>
    </row>
    <row r="222" spans="1:39" x14ac:dyDescent="0.2">
      <c r="A222" s="330">
        <v>2049</v>
      </c>
      <c r="B222" s="344">
        <v>0</v>
      </c>
      <c r="C222" s="345">
        <v>4.5494181358829031E-2</v>
      </c>
      <c r="D222" s="345">
        <v>0.13892104030571006</v>
      </c>
      <c r="E222" s="345">
        <v>0.1820708164863119</v>
      </c>
      <c r="F222" s="345">
        <v>0.24157289744663496</v>
      </c>
      <c r="G222" s="345">
        <v>0.24527689528463542</v>
      </c>
      <c r="H222" s="345">
        <v>0.25146062201606006</v>
      </c>
      <c r="I222" s="345">
        <v>0.25251690774906282</v>
      </c>
      <c r="J222" s="345">
        <v>0.25279454608212432</v>
      </c>
      <c r="K222" s="345">
        <v>0.25182616265761093</v>
      </c>
      <c r="L222" s="380">
        <v>0.25182616265761093</v>
      </c>
      <c r="M222" s="296">
        <f t="shared" si="104"/>
        <v>3.7326391977260669E-2</v>
      </c>
      <c r="N222" s="298">
        <f t="shared" si="105"/>
        <v>1.9181770646618374E-2</v>
      </c>
      <c r="O222" s="344">
        <v>0</v>
      </c>
      <c r="P222" s="345">
        <v>5.2434066959903478E-2</v>
      </c>
      <c r="Q222" s="345">
        <v>0.14825469285237219</v>
      </c>
      <c r="R222" s="345">
        <v>0.18571963503546407</v>
      </c>
      <c r="S222" s="345">
        <v>0.24194348358140361</v>
      </c>
      <c r="T222" s="345">
        <v>0.24695467576796362</v>
      </c>
      <c r="U222" s="345">
        <v>0.25021394194598112</v>
      </c>
      <c r="V222" s="345">
        <v>0.25279454608212432</v>
      </c>
      <c r="W222" s="345">
        <v>0.25189943283020527</v>
      </c>
      <c r="X222" s="345">
        <v>0.25182616265761093</v>
      </c>
      <c r="Y222" s="380">
        <v>0.25136591237530354</v>
      </c>
      <c r="Z222" s="296">
        <f t="shared" si="106"/>
        <v>5.5676789932342506E-2</v>
      </c>
      <c r="AA222" s="298">
        <f t="shared" si="107"/>
        <v>2.8621612512575591E-2</v>
      </c>
      <c r="AB222" s="948">
        <f t="array" ref="AB222">IF(AND($AD$175=TRUE,SUM(B222:L222)&gt;0),SUMPRODUCT((((TRANSPOSE(Cls3CentDailyRng)&lt;INDEX(CDRANGE_CLS3,$A222-$A$180+1,AD$176))*TRANSPOSE(Cls3CentDailyRng)+(TRANSPOSE(Cls3CentDailyRng)&gt;INDEX(CDRANGE_CLS3,$A222-$A$180+1,AD$176))*INDEX(CDRANGE_CLS3,$A222-$A$180+1,AD$176))/TRANSPOSE(Cls3CentDailyRng)),B222:L222,TRANSPOSE(Cls3CentVMTShr))/SUMPRODUCT(B222:L222,TRANSPOSE(Cls3CentVMTShr)),0)</f>
        <v>0</v>
      </c>
      <c r="AC222" s="949">
        <f t="array" ref="AC222">IF(AND($AD$175=TRUE,SUM(O222:Y222)&gt;0),SUMPRODUCT((((TRANSPOSE(Cls3NCentDailyRng)&lt;INDEX(CDRANGE_CLS3,$A222-$A$180+1,AD$176))*TRANSPOSE(Cls3NCentDailyRng)+(TRANSPOSE(Cls3NCentDailyRng)&gt;INDEX(CDRANGE_CLS3,$A222-$A$180+1,AD$176))*INDEX(CDRANGE_CLS3,$A222-$A$180+1,AD$176))/TRANSPOSE(Cls3NCentDailyRng)),O222:Y222,TRANSPOSE(Cls3NCentVMTShr))/SUMPRODUCT(O222:Y222,TRANSPOSE(Cls3NCentVMTShr)),0)</f>
        <v>0</v>
      </c>
      <c r="AD222" s="1226">
        <f t="shared" si="114"/>
        <v>0</v>
      </c>
      <c r="AE222" s="1230">
        <f t="shared" si="111"/>
        <v>3.7326391977260669E-2</v>
      </c>
      <c r="AF222" s="1231">
        <f t="shared" si="112"/>
        <v>5.5676789932342506E-2</v>
      </c>
      <c r="AG222" s="1231">
        <f t="shared" si="113"/>
        <v>9.3003181909603175E-2</v>
      </c>
      <c r="AH222" s="1172">
        <f t="shared" si="109"/>
        <v>0.40134532185727806</v>
      </c>
      <c r="AI222" s="1232">
        <f t="shared" si="110"/>
        <v>0.59865467814272189</v>
      </c>
      <c r="AJ222" s="227"/>
      <c r="AK222" s="227"/>
      <c r="AL222" s="227"/>
      <c r="AM222" s="227"/>
    </row>
    <row r="223" spans="1:39" ht="15" thickBot="1" x14ac:dyDescent="0.25">
      <c r="A223" s="328">
        <v>2050</v>
      </c>
      <c r="B223" s="346">
        <v>0</v>
      </c>
      <c r="C223" s="347">
        <v>4.665673546300219E-2</v>
      </c>
      <c r="D223" s="347">
        <v>0.13748869960328286</v>
      </c>
      <c r="E223" s="347">
        <v>0.18072961033756579</v>
      </c>
      <c r="F223" s="347">
        <v>0.24158207584841609</v>
      </c>
      <c r="G223" s="347">
        <v>0.24956769715629426</v>
      </c>
      <c r="H223" s="347">
        <v>0.25022417619602672</v>
      </c>
      <c r="I223" s="347">
        <v>0.25252720416084939</v>
      </c>
      <c r="J223" s="347">
        <v>0.25280498273690144</v>
      </c>
      <c r="K223" s="347">
        <v>0.25183678229605644</v>
      </c>
      <c r="L223" s="381">
        <v>0.25183678229605644</v>
      </c>
      <c r="M223" s="310">
        <f t="shared" si="104"/>
        <v>3.7297069842180487E-2</v>
      </c>
      <c r="N223" s="312">
        <f t="shared" si="105"/>
        <v>1.9246920328067747E-2</v>
      </c>
      <c r="O223" s="346">
        <v>0</v>
      </c>
      <c r="P223" s="347">
        <v>5.3034149757559067E-2</v>
      </c>
      <c r="Q223" s="347">
        <v>0.14549505668329804</v>
      </c>
      <c r="R223" s="347">
        <v>0.18431027488251647</v>
      </c>
      <c r="S223" s="347">
        <v>0.24195290873643041</v>
      </c>
      <c r="T223" s="347">
        <v>0.25062373661444831</v>
      </c>
      <c r="U223" s="347">
        <v>0.25022417619602672</v>
      </c>
      <c r="V223" s="347">
        <v>0.25280498273690144</v>
      </c>
      <c r="W223" s="347">
        <v>0.25252674188558955</v>
      </c>
      <c r="X223" s="347">
        <v>0.25183678229605644</v>
      </c>
      <c r="Y223" s="381">
        <v>0.25137657968027127</v>
      </c>
      <c r="Z223" s="310">
        <f t="shared" si="106"/>
        <v>5.5562913341180985E-2</v>
      </c>
      <c r="AA223" s="312">
        <f t="shared" si="107"/>
        <v>2.862463311092758E-2</v>
      </c>
      <c r="AB223" s="950">
        <f t="array" ref="AB223">IF(AND($AD$175=TRUE,SUM(B223:L223)&gt;0),SUMPRODUCT((((TRANSPOSE(Cls3CentDailyRng)&lt;INDEX(CDRANGE_CLS3,$A223-$A$180+1,AD$176))*TRANSPOSE(Cls3CentDailyRng)+(TRANSPOSE(Cls3CentDailyRng)&gt;INDEX(CDRANGE_CLS3,$A223-$A$180+1,AD$176))*INDEX(CDRANGE_CLS3,$A223-$A$180+1,AD$176))/TRANSPOSE(Cls3CentDailyRng)),B223:L223,TRANSPOSE(Cls3CentVMTShr))/SUMPRODUCT(B223:L223,TRANSPOSE(Cls3CentVMTShr)),0)</f>
        <v>0</v>
      </c>
      <c r="AC223" s="951">
        <f t="array" ref="AC223">IF(AND($AD$175=TRUE,SUM(O223:Y223)&gt;0),SUMPRODUCT((((TRANSPOSE(Cls3NCentDailyRng)&lt;INDEX(CDRANGE_CLS3,$A223-$A$180+1,AD$176))*TRANSPOSE(Cls3NCentDailyRng)+(TRANSPOSE(Cls3NCentDailyRng)&gt;INDEX(CDRANGE_CLS3,$A223-$A$180+1,AD$176))*INDEX(CDRANGE_CLS3,$A223-$A$180+1,AD$176))/TRANSPOSE(Cls3NCentDailyRng)),O223:Y223,TRANSPOSE(Cls3NCentVMTShr))/SUMPRODUCT(O223:Y223,TRANSPOSE(Cls3NCentVMTShr)),0)</f>
        <v>0</v>
      </c>
      <c r="AD223" s="1227">
        <f t="shared" si="114"/>
        <v>0</v>
      </c>
      <c r="AE223" s="1233">
        <f t="shared" si="111"/>
        <v>3.7297069842180487E-2</v>
      </c>
      <c r="AF223" s="1234">
        <f t="shared" si="112"/>
        <v>5.5562913341180985E-2</v>
      </c>
      <c r="AG223" s="1234">
        <f t="shared" si="113"/>
        <v>9.2859983183361472E-2</v>
      </c>
      <c r="AH223" s="1235">
        <f t="shared" si="109"/>
        <v>0.40164846647165153</v>
      </c>
      <c r="AI223" s="1236">
        <f t="shared" si="110"/>
        <v>0.59835153352834847</v>
      </c>
      <c r="AJ223" s="227"/>
      <c r="AK223" s="227"/>
      <c r="AL223" s="227"/>
      <c r="AM223" s="227"/>
    </row>
    <row r="224" spans="1:39" x14ac:dyDescent="0.2">
      <c r="B224" s="227" t="s">
        <v>240</v>
      </c>
      <c r="U224" s="227" t="s">
        <v>240</v>
      </c>
      <c r="AI224" s="227"/>
    </row>
    <row r="225" spans="1:35" x14ac:dyDescent="0.2">
      <c r="AI225" s="227"/>
    </row>
    <row r="226" spans="1:35" ht="15" thickBot="1" x14ac:dyDescent="0.25">
      <c r="AI226" s="227"/>
    </row>
    <row r="227" spans="1:35" ht="15" x14ac:dyDescent="0.2">
      <c r="A227" s="333"/>
      <c r="B227" s="613" t="s">
        <v>216</v>
      </c>
      <c r="C227" s="614"/>
      <c r="D227" s="614"/>
      <c r="E227" s="614"/>
      <c r="F227" s="614"/>
      <c r="G227" s="614"/>
      <c r="H227" s="614"/>
      <c r="I227" s="614"/>
      <c r="J227" s="614"/>
      <c r="K227" s="614"/>
      <c r="L227" s="614"/>
      <c r="M227" s="614"/>
      <c r="N227" s="615"/>
      <c r="O227" s="613" t="s">
        <v>217</v>
      </c>
      <c r="P227" s="614"/>
      <c r="Q227" s="614"/>
      <c r="R227" s="614"/>
      <c r="S227" s="614"/>
      <c r="T227" s="614"/>
      <c r="U227" s="614"/>
      <c r="V227" s="614"/>
      <c r="W227" s="614"/>
      <c r="X227" s="614"/>
      <c r="Y227" s="614"/>
      <c r="Z227" s="614"/>
      <c r="AA227" s="615"/>
    </row>
    <row r="228" spans="1:35" x14ac:dyDescent="0.2">
      <c r="A228" s="324"/>
      <c r="B228" s="616" t="s">
        <v>121</v>
      </c>
      <c r="C228" s="617"/>
      <c r="D228" s="617"/>
      <c r="E228" s="617"/>
      <c r="F228" s="617"/>
      <c r="G228" s="617"/>
      <c r="H228" s="617"/>
      <c r="I228" s="617"/>
      <c r="J228" s="617"/>
      <c r="K228" s="617"/>
      <c r="L228" s="617"/>
      <c r="M228" s="382"/>
      <c r="N228" s="325"/>
      <c r="O228" s="616" t="s">
        <v>121</v>
      </c>
      <c r="P228" s="617"/>
      <c r="Q228" s="617"/>
      <c r="R228" s="617"/>
      <c r="S228" s="617"/>
      <c r="T228" s="617"/>
      <c r="U228" s="617"/>
      <c r="V228" s="617"/>
      <c r="W228" s="617"/>
      <c r="X228" s="617"/>
      <c r="Y228" s="617"/>
      <c r="Z228" s="382"/>
      <c r="AA228" s="325"/>
      <c r="AC228" s="954" t="s">
        <v>267</v>
      </c>
      <c r="AD228" s="234" t="b">
        <f>INDEX(TECH_OPT_FUEL2_Cls3,MATCH(RIGHT(O227),TECH_OPT_ROWS_Cls3,0))&lt;&gt;"N/A"</f>
        <v>1</v>
      </c>
    </row>
    <row r="229" spans="1:35" ht="15" thickBot="1" x14ac:dyDescent="0.25">
      <c r="A229" s="331"/>
      <c r="B229" s="338" t="s">
        <v>28</v>
      </c>
      <c r="C229" s="339" t="s">
        <v>29</v>
      </c>
      <c r="D229" s="339" t="s">
        <v>30</v>
      </c>
      <c r="E229" s="339" t="s">
        <v>31</v>
      </c>
      <c r="F229" s="339" t="s">
        <v>32</v>
      </c>
      <c r="G229" s="339" t="s">
        <v>33</v>
      </c>
      <c r="H229" s="339" t="s">
        <v>34</v>
      </c>
      <c r="I229" s="339" t="s">
        <v>35</v>
      </c>
      <c r="J229" s="339" t="s">
        <v>36</v>
      </c>
      <c r="K229" s="339" t="s">
        <v>37</v>
      </c>
      <c r="L229" s="377" t="s">
        <v>38</v>
      </c>
      <c r="M229" s="383" t="s">
        <v>122</v>
      </c>
      <c r="N229" s="332" t="s">
        <v>123</v>
      </c>
      <c r="O229" s="338" t="s">
        <v>28</v>
      </c>
      <c r="P229" s="339" t="s">
        <v>29</v>
      </c>
      <c r="Q229" s="339" t="s">
        <v>30</v>
      </c>
      <c r="R229" s="339" t="s">
        <v>31</v>
      </c>
      <c r="S229" s="339" t="s">
        <v>32</v>
      </c>
      <c r="T229" s="339" t="s">
        <v>33</v>
      </c>
      <c r="U229" s="339" t="s">
        <v>34</v>
      </c>
      <c r="V229" s="339" t="s">
        <v>35</v>
      </c>
      <c r="W229" s="339" t="s">
        <v>36</v>
      </c>
      <c r="X229" s="339" t="s">
        <v>37</v>
      </c>
      <c r="Y229" s="377" t="s">
        <v>38</v>
      </c>
      <c r="Z229" s="383" t="s">
        <v>122</v>
      </c>
      <c r="AA229" s="332" t="s">
        <v>123</v>
      </c>
      <c r="AB229" s="936"/>
      <c r="AC229" s="954" t="s">
        <v>268</v>
      </c>
      <c r="AD229" s="234">
        <f>MATCH(RIGHT(O227),TECH_OPT_ROWS_Cls3,0)</f>
        <v>5</v>
      </c>
    </row>
    <row r="230" spans="1:35" ht="16" thickTop="1" thickBot="1" x14ac:dyDescent="0.25">
      <c r="A230" s="348" t="s">
        <v>124</v>
      </c>
      <c r="B230" s="340">
        <f t="array" ref="B230:L230">TRANSPOSE(Cls3CentTruckShr)</f>
        <v>0.16490316390132354</v>
      </c>
      <c r="C230" s="341">
        <v>0.14150050624583405</v>
      </c>
      <c r="D230" s="341">
        <v>5.0842757108027201E-2</v>
      </c>
      <c r="E230" s="341">
        <v>1.7493235097392132E-2</v>
      </c>
      <c r="F230" s="341">
        <v>6.5645600537602268E-3</v>
      </c>
      <c r="G230" s="341">
        <v>1.3068268788829179E-4</v>
      </c>
      <c r="H230" s="341">
        <v>2.9863696966199553E-3</v>
      </c>
      <c r="I230" s="341">
        <v>0</v>
      </c>
      <c r="J230" s="341">
        <v>0</v>
      </c>
      <c r="K230" s="341">
        <v>5.0573390409248292E-4</v>
      </c>
      <c r="L230" s="378">
        <v>0</v>
      </c>
      <c r="M230" s="384"/>
      <c r="N230" s="336"/>
      <c r="O230" s="340">
        <f t="array" ref="O230:Y230">TRANSPOSE(Cls3NCentTruckShr)</f>
        <v>0.27324001996593789</v>
      </c>
      <c r="P230" s="341">
        <v>0.25610450783680394</v>
      </c>
      <c r="Q230" s="341">
        <v>4.6572125423937315E-2</v>
      </c>
      <c r="R230" s="341">
        <v>2.2779497082922668E-2</v>
      </c>
      <c r="S230" s="341">
        <v>5.0811779544371336E-3</v>
      </c>
      <c r="T230" s="341">
        <v>2.5955840495899339E-3</v>
      </c>
      <c r="U230" s="341">
        <v>4.3441677754441459E-3</v>
      </c>
      <c r="V230" s="341">
        <v>3.7558983870508854E-3</v>
      </c>
      <c r="W230" s="341">
        <v>4.897828379299261E-4</v>
      </c>
      <c r="X230" s="341">
        <v>0</v>
      </c>
      <c r="Y230" s="1209">
        <v>1.1022999100839563E-4</v>
      </c>
      <c r="Z230" s="1214"/>
      <c r="AA230" s="1215"/>
      <c r="AI230" s="227"/>
    </row>
    <row r="231" spans="1:35" x14ac:dyDescent="0.2">
      <c r="A231" s="331" t="s">
        <v>125</v>
      </c>
      <c r="B231" s="923">
        <f t="array" ref="B231:L231">TRANSPOSE(Cls3CentVMTShr)</f>
        <v>7.4407503791532936E-2</v>
      </c>
      <c r="C231" s="924">
        <v>0.15052192967997111</v>
      </c>
      <c r="D231" s="924">
        <v>8.9028098283245441E-2</v>
      </c>
      <c r="E231" s="924">
        <v>4.5356257743642811E-2</v>
      </c>
      <c r="F231" s="924">
        <v>2.1016507050137231E-2</v>
      </c>
      <c r="G231" s="924">
        <v>4.9007047894213725E-4</v>
      </c>
      <c r="H231" s="924">
        <v>1.4797621296467818E-2</v>
      </c>
      <c r="I231" s="924">
        <v>0</v>
      </c>
      <c r="J231" s="924">
        <v>0</v>
      </c>
      <c r="K231" s="924">
        <v>3.7103078033661591E-3</v>
      </c>
      <c r="L231" s="1210">
        <v>0</v>
      </c>
      <c r="M231" s="1211"/>
      <c r="N231" s="1212"/>
      <c r="O231" s="923">
        <f t="array" ref="O231:Y231">TRANSPOSE(Cls3NCentVMTShr)</f>
        <v>0.11481596497083862</v>
      </c>
      <c r="P231" s="924">
        <v>0.26987209279577573</v>
      </c>
      <c r="Q231" s="924">
        <v>8.3836105982992667E-2</v>
      </c>
      <c r="R231" s="924">
        <v>5.9842896537765707E-2</v>
      </c>
      <c r="S231" s="924">
        <v>1.6413649143963899E-2</v>
      </c>
      <c r="T231" s="924">
        <v>1.0165768727376887E-2</v>
      </c>
      <c r="U231" s="924">
        <v>2.0700108148562976E-2</v>
      </c>
      <c r="V231" s="924">
        <v>2.0956833812228508E-2</v>
      </c>
      <c r="W231" s="924">
        <v>3.1584958359553582E-3</v>
      </c>
      <c r="X231" s="924">
        <v>0</v>
      </c>
      <c r="Y231" s="925">
        <v>9.0978791723388369E-4</v>
      </c>
      <c r="Z231" s="1211"/>
      <c r="AA231" s="1212"/>
      <c r="AB231" s="1568" t="str">
        <f>"% of miles on f2 for Tech "&amp; RIGHT(O226)&amp;" adopters"</f>
        <v>% of miles on f2 for Tech  adopters</v>
      </c>
      <c r="AC231" s="1569"/>
      <c r="AD231" s="1570"/>
      <c r="AE231" s="1237" t="s">
        <v>298</v>
      </c>
      <c r="AF231" s="1238"/>
      <c r="AG231" s="1238"/>
      <c r="AH231" s="1228" t="s">
        <v>297</v>
      </c>
      <c r="AI231" s="1229"/>
    </row>
    <row r="232" spans="1:35" ht="15" thickBot="1" x14ac:dyDescent="0.25">
      <c r="A232" s="942" t="s">
        <v>266</v>
      </c>
      <c r="B232" s="933">
        <f t="array" ref="B232:L232">TRANSPOSE(Cls3CentVMT/OPDAYS_Cls3)</f>
        <v>49.202805162026571</v>
      </c>
      <c r="C232" s="934">
        <v>115.99623692884222</v>
      </c>
      <c r="D232" s="934">
        <v>190.94140758026836</v>
      </c>
      <c r="E232" s="934">
        <v>282.72824571583544</v>
      </c>
      <c r="F232" s="934">
        <v>349.10577157713089</v>
      </c>
      <c r="G232" s="934">
        <v>408.92399999999998</v>
      </c>
      <c r="H232" s="934">
        <v>540.31926836851005</v>
      </c>
      <c r="I232" s="934">
        <v>600</v>
      </c>
      <c r="J232" s="934">
        <v>680</v>
      </c>
      <c r="K232" s="934">
        <v>800.00000000000011</v>
      </c>
      <c r="L232" s="935">
        <v>800</v>
      </c>
      <c r="M232" s="931"/>
      <c r="N232" s="932"/>
      <c r="O232" s="933">
        <f t="array" ref="O232:Y232">TRANSPOSE(Cls3NCentVMT/OPDAYS_Cls3)</f>
        <v>45.820527909508108</v>
      </c>
      <c r="P232" s="934">
        <v>114.90604343518244</v>
      </c>
      <c r="Q232" s="934">
        <v>196.29405935940918</v>
      </c>
      <c r="R232" s="934">
        <v>286.46435582159182</v>
      </c>
      <c r="S232" s="934">
        <v>352.24339419308075</v>
      </c>
      <c r="T232" s="934">
        <v>427.07804424634116</v>
      </c>
      <c r="U232" s="934">
        <v>519.59880241076587</v>
      </c>
      <c r="V232" s="934">
        <v>608.4346682070543</v>
      </c>
      <c r="W232" s="934">
        <v>703.2</v>
      </c>
      <c r="X232" s="934">
        <v>760</v>
      </c>
      <c r="Y232" s="1213">
        <v>900</v>
      </c>
      <c r="Z232" s="943"/>
      <c r="AA232" s="932"/>
      <c r="AB232" s="945" t="s">
        <v>186</v>
      </c>
      <c r="AC232" s="946" t="s">
        <v>15</v>
      </c>
      <c r="AD232" s="947" t="s">
        <v>18</v>
      </c>
      <c r="AE232" s="330" t="s">
        <v>186</v>
      </c>
      <c r="AF232" s="1239" t="s">
        <v>15</v>
      </c>
      <c r="AG232" s="1239" t="s">
        <v>18</v>
      </c>
      <c r="AH232" s="1240" t="s">
        <v>186</v>
      </c>
      <c r="AI232" s="1241" t="s">
        <v>15</v>
      </c>
    </row>
    <row r="233" spans="1:35" ht="15" thickTop="1" x14ac:dyDescent="0.2">
      <c r="A233" s="326">
        <v>2007</v>
      </c>
      <c r="B233" s="342">
        <v>0</v>
      </c>
      <c r="C233" s="343">
        <v>0</v>
      </c>
      <c r="D233" s="343">
        <v>0</v>
      </c>
      <c r="E233" s="343">
        <v>0</v>
      </c>
      <c r="F233" s="343">
        <v>0</v>
      </c>
      <c r="G233" s="343">
        <v>0</v>
      </c>
      <c r="H233" s="343">
        <v>0</v>
      </c>
      <c r="I233" s="343">
        <v>0</v>
      </c>
      <c r="J233" s="343">
        <v>0</v>
      </c>
      <c r="K233" s="343">
        <v>0</v>
      </c>
      <c r="L233" s="379">
        <v>0</v>
      </c>
      <c r="M233" s="387">
        <f>SUMPRODUCT(B233:L233,$B$231:$L$231)</f>
        <v>0</v>
      </c>
      <c r="N233" s="284">
        <f>SUMPRODUCT(B233:L233,$B$230:$L$230)</f>
        <v>0</v>
      </c>
      <c r="O233" s="342">
        <v>0</v>
      </c>
      <c r="P233" s="343">
        <v>0</v>
      </c>
      <c r="Q233" s="343">
        <v>0</v>
      </c>
      <c r="R233" s="343">
        <v>0</v>
      </c>
      <c r="S233" s="343">
        <v>0</v>
      </c>
      <c r="T233" s="343">
        <v>0</v>
      </c>
      <c r="U233" s="343">
        <v>0</v>
      </c>
      <c r="V233" s="343">
        <v>0</v>
      </c>
      <c r="W233" s="343">
        <v>0</v>
      </c>
      <c r="X233" s="343">
        <v>0</v>
      </c>
      <c r="Y233" s="379">
        <v>0</v>
      </c>
      <c r="Z233" s="387">
        <f>SUMPRODUCT(O233:Y233,$O$231:$Y$231)</f>
        <v>0</v>
      </c>
      <c r="AA233" s="284">
        <f>SUMPRODUCT(O233:Y233,$O$230:$Y$230)</f>
        <v>0</v>
      </c>
      <c r="AB233" s="948">
        <f t="array" ref="AB233">IF(AND($AD$228=TRUE,SUM(B233:L233)&gt;0),SUMPRODUCT((((TRANSPOSE(Cls3CentDailyRng)&lt;INDEX(CDRANGE_CLS3,$A233-$A$233+1,AD$229))*TRANSPOSE(Cls3CentDailyRng)+(TRANSPOSE(Cls3CentDailyRng)&gt;INDEX(CDRANGE_CLS3,$A233-$A$233+1,AD$229))*INDEX(CDRANGE_CLS3,$A233-$A$233+1,AD$229))/TRANSPOSE(Cls3CentDailyRng)),B233:L233,TRANSPOSE(Cls3CentVMTShr))/SUMPRODUCT(B233:L233,TRANSPOSE(Cls3CentVMTShr)),0)</f>
        <v>0</v>
      </c>
      <c r="AC233" s="949">
        <f t="array" ref="AC233">IF(AND($AD$228=TRUE,SUM(O233:Y233)&gt;0),SUMPRODUCT((((TRANSPOSE(Cls3NCentDailyRng)&lt;INDEX(CDRANGE_CLS3,$A233-$A$233+1,AD$229))*TRANSPOSE(Cls3NCentDailyRng)+(TRANSPOSE(Cls3NCentDailyRng)&gt;INDEX(CDRANGE_CLS3,$A233-$A$233+1,AD$229))*INDEX(CDRANGE_CLS3,$A233-$A$233+1,AD$229))/TRANSPOSE(Cls3NCentDailyRng)),O233:Y233,TRANSPOSE(Cls3NCentVMTShr))/SUMPRODUCT(O233:Y233,TRANSPOSE(Cls3NCentVMTShr)),0)</f>
        <v>0</v>
      </c>
      <c r="AD233" s="1226">
        <f>AB233*AH233+AC233*AI233</f>
        <v>0</v>
      </c>
      <c r="AE233" s="1230">
        <f t="shared" ref="AE233:AE247" si="115">SUMPRODUCT($B$74:$L$74,B233:L233)</f>
        <v>0</v>
      </c>
      <c r="AF233" s="1231">
        <f t="shared" ref="AF233:AF247" si="116">SUMPRODUCT($O$74:$Y$74,O233:Y233)</f>
        <v>0</v>
      </c>
      <c r="AG233" s="1231">
        <f t="shared" ref="AG233:AG247" si="117">SUM(AE233:AF233)</f>
        <v>0</v>
      </c>
      <c r="AH233" s="1172">
        <f>IF(AG233&gt;0,AE233/AG233,0)</f>
        <v>0</v>
      </c>
      <c r="AI233" s="1232">
        <f>IF(AG233&gt;0,AF233/AG233,0)</f>
        <v>0</v>
      </c>
    </row>
    <row r="234" spans="1:35" x14ac:dyDescent="0.2">
      <c r="A234" s="327">
        <v>2008</v>
      </c>
      <c r="B234" s="344">
        <v>0</v>
      </c>
      <c r="C234" s="345">
        <v>0</v>
      </c>
      <c r="D234" s="345">
        <v>0</v>
      </c>
      <c r="E234" s="345">
        <v>0</v>
      </c>
      <c r="F234" s="345">
        <v>0</v>
      </c>
      <c r="G234" s="345">
        <v>0</v>
      </c>
      <c r="H234" s="345">
        <v>0</v>
      </c>
      <c r="I234" s="345">
        <v>0</v>
      </c>
      <c r="J234" s="345">
        <v>0</v>
      </c>
      <c r="K234" s="345">
        <v>0</v>
      </c>
      <c r="L234" s="380">
        <v>0</v>
      </c>
      <c r="M234" s="296">
        <f t="shared" ref="M234:M276" si="118">SUMPRODUCT(B234:L234,$B$231:$L$231)</f>
        <v>0</v>
      </c>
      <c r="N234" s="298">
        <f t="shared" ref="N234:N276" si="119">SUMPRODUCT(B234:L234,$B$230:$L$230)</f>
        <v>0</v>
      </c>
      <c r="O234" s="344">
        <v>0</v>
      </c>
      <c r="P234" s="345">
        <v>0</v>
      </c>
      <c r="Q234" s="345">
        <v>0</v>
      </c>
      <c r="R234" s="345">
        <v>0</v>
      </c>
      <c r="S234" s="345">
        <v>0</v>
      </c>
      <c r="T234" s="345">
        <v>0</v>
      </c>
      <c r="U234" s="345">
        <v>0</v>
      </c>
      <c r="V234" s="345">
        <v>0</v>
      </c>
      <c r="W234" s="345">
        <v>0</v>
      </c>
      <c r="X234" s="345">
        <v>0</v>
      </c>
      <c r="Y234" s="380">
        <v>0</v>
      </c>
      <c r="Z234" s="296">
        <f t="shared" ref="Z234:Z276" si="120">SUMPRODUCT(O234:Y234,$O$231:$Y$231)</f>
        <v>0</v>
      </c>
      <c r="AA234" s="298">
        <f t="shared" ref="AA234:AA276" si="121">SUMPRODUCT(O234:Y234,$O$230:$Y$230)</f>
        <v>0</v>
      </c>
      <c r="AB234" s="948">
        <f t="array" ref="AB234">IF(AND($AD$228=TRUE,SUM(B234:L234)&gt;0),SUMPRODUCT((((TRANSPOSE(Cls3CentDailyRng)&lt;INDEX(CDRANGE_CLS3,$A234-$A$233+1,AD$229))*TRANSPOSE(Cls3CentDailyRng)+(TRANSPOSE(Cls3CentDailyRng)&gt;INDEX(CDRANGE_CLS3,$A234-$A$233+1,AD$229))*INDEX(CDRANGE_CLS3,$A234-$A$233+1,AD$229))/TRANSPOSE(Cls3CentDailyRng)),B234:L234,TRANSPOSE(Cls3CentVMTShr))/SUMPRODUCT(B234:L234,TRANSPOSE(Cls3CentVMTShr)),0)</f>
        <v>0</v>
      </c>
      <c r="AC234" s="949">
        <f t="array" ref="AC234">IF(AND($AD$228=TRUE,SUM(O234:Y234)&gt;0),SUMPRODUCT((((TRANSPOSE(Cls3NCentDailyRng)&lt;INDEX(CDRANGE_CLS3,$A234-$A$233+1,AD$229))*TRANSPOSE(Cls3NCentDailyRng)+(TRANSPOSE(Cls3NCentDailyRng)&gt;INDEX(CDRANGE_CLS3,$A234-$A$233+1,AD$229))*INDEX(CDRANGE_CLS3,$A234-$A$233+1,AD$229))/TRANSPOSE(Cls3NCentDailyRng)),O234:Y234,TRANSPOSE(Cls3NCentVMTShr))/SUMPRODUCT(O234:Y234,TRANSPOSE(Cls3NCentVMTShr)),0)</f>
        <v>0</v>
      </c>
      <c r="AD234" s="1226">
        <f t="shared" ref="AD234:AD258" si="122">AB234*AH234+AC234*AI234</f>
        <v>0</v>
      </c>
      <c r="AE234" s="1230">
        <f t="shared" si="115"/>
        <v>0</v>
      </c>
      <c r="AF234" s="1231">
        <f t="shared" si="116"/>
        <v>0</v>
      </c>
      <c r="AG234" s="1231">
        <f t="shared" si="117"/>
        <v>0</v>
      </c>
      <c r="AH234" s="1172">
        <f t="shared" ref="AH234:AH276" si="123">IF(AG234&gt;0,AE234/AG234,0)</f>
        <v>0</v>
      </c>
      <c r="AI234" s="1232">
        <f t="shared" ref="AI234:AI276" si="124">IF(AG234&gt;0,AF234/AG234,0)</f>
        <v>0</v>
      </c>
    </row>
    <row r="235" spans="1:35" x14ac:dyDescent="0.2">
      <c r="A235" s="327">
        <v>2009</v>
      </c>
      <c r="B235" s="344">
        <v>0</v>
      </c>
      <c r="C235" s="345">
        <v>0</v>
      </c>
      <c r="D235" s="345">
        <v>0</v>
      </c>
      <c r="E235" s="345">
        <v>0</v>
      </c>
      <c r="F235" s="345">
        <v>0</v>
      </c>
      <c r="G235" s="345">
        <v>0</v>
      </c>
      <c r="H235" s="345">
        <v>0</v>
      </c>
      <c r="I235" s="345">
        <v>0</v>
      </c>
      <c r="J235" s="345">
        <v>0</v>
      </c>
      <c r="K235" s="345">
        <v>0</v>
      </c>
      <c r="L235" s="380">
        <v>0</v>
      </c>
      <c r="M235" s="296">
        <f t="shared" si="118"/>
        <v>0</v>
      </c>
      <c r="N235" s="298">
        <f t="shared" si="119"/>
        <v>0</v>
      </c>
      <c r="O235" s="344">
        <v>0</v>
      </c>
      <c r="P235" s="345">
        <v>0</v>
      </c>
      <c r="Q235" s="345">
        <v>0</v>
      </c>
      <c r="R235" s="345">
        <v>0</v>
      </c>
      <c r="S235" s="345">
        <v>0</v>
      </c>
      <c r="T235" s="345">
        <v>0</v>
      </c>
      <c r="U235" s="345">
        <v>0</v>
      </c>
      <c r="V235" s="345">
        <v>0</v>
      </c>
      <c r="W235" s="345">
        <v>0</v>
      </c>
      <c r="X235" s="345">
        <v>0</v>
      </c>
      <c r="Y235" s="380">
        <v>0</v>
      </c>
      <c r="Z235" s="296">
        <f t="shared" si="120"/>
        <v>0</v>
      </c>
      <c r="AA235" s="298">
        <f t="shared" si="121"/>
        <v>0</v>
      </c>
      <c r="AB235" s="948">
        <f t="array" ref="AB235">IF(AND($AD$228=TRUE,SUM(B235:L235)&gt;0),SUMPRODUCT((((TRANSPOSE(Cls3CentDailyRng)&lt;INDEX(CDRANGE_CLS3,$A235-$A$233+1,AD$229))*TRANSPOSE(Cls3CentDailyRng)+(TRANSPOSE(Cls3CentDailyRng)&gt;INDEX(CDRANGE_CLS3,$A235-$A$233+1,AD$229))*INDEX(CDRANGE_CLS3,$A235-$A$233+1,AD$229))/TRANSPOSE(Cls3CentDailyRng)),B235:L235,TRANSPOSE(Cls3CentVMTShr))/SUMPRODUCT(B235:L235,TRANSPOSE(Cls3CentVMTShr)),0)</f>
        <v>0</v>
      </c>
      <c r="AC235" s="949">
        <f t="array" ref="AC235">IF(AND($AD$228=TRUE,SUM(O235:Y235)&gt;0),SUMPRODUCT((((TRANSPOSE(Cls3NCentDailyRng)&lt;INDEX(CDRANGE_CLS3,$A235-$A$233+1,AD$229))*TRANSPOSE(Cls3NCentDailyRng)+(TRANSPOSE(Cls3NCentDailyRng)&gt;INDEX(CDRANGE_CLS3,$A235-$A$233+1,AD$229))*INDEX(CDRANGE_CLS3,$A235-$A$233+1,AD$229))/TRANSPOSE(Cls3NCentDailyRng)),O235:Y235,TRANSPOSE(Cls3NCentVMTShr))/SUMPRODUCT(O235:Y235,TRANSPOSE(Cls3NCentVMTShr)),0)</f>
        <v>0</v>
      </c>
      <c r="AD235" s="1226">
        <f t="shared" si="122"/>
        <v>0</v>
      </c>
      <c r="AE235" s="1230">
        <f t="shared" si="115"/>
        <v>0</v>
      </c>
      <c r="AF235" s="1231">
        <f t="shared" si="116"/>
        <v>0</v>
      </c>
      <c r="AG235" s="1231">
        <f t="shared" si="117"/>
        <v>0</v>
      </c>
      <c r="AH235" s="1172">
        <f t="shared" si="123"/>
        <v>0</v>
      </c>
      <c r="AI235" s="1232">
        <f t="shared" si="124"/>
        <v>0</v>
      </c>
    </row>
    <row r="236" spans="1:35" ht="15" thickBot="1" x14ac:dyDescent="0.25">
      <c r="A236" s="328">
        <v>2010</v>
      </c>
      <c r="B236" s="346">
        <v>0</v>
      </c>
      <c r="C236" s="347">
        <v>0</v>
      </c>
      <c r="D236" s="347">
        <v>0</v>
      </c>
      <c r="E236" s="347">
        <v>0</v>
      </c>
      <c r="F236" s="347">
        <v>0</v>
      </c>
      <c r="G236" s="347">
        <v>0</v>
      </c>
      <c r="H236" s="347">
        <v>0</v>
      </c>
      <c r="I236" s="347">
        <v>0</v>
      </c>
      <c r="J236" s="347">
        <v>0</v>
      </c>
      <c r="K236" s="347">
        <v>0</v>
      </c>
      <c r="L236" s="381">
        <v>0</v>
      </c>
      <c r="M236" s="310">
        <f t="shared" si="118"/>
        <v>0</v>
      </c>
      <c r="N236" s="312">
        <f t="shared" si="119"/>
        <v>0</v>
      </c>
      <c r="O236" s="346">
        <v>0</v>
      </c>
      <c r="P236" s="347">
        <v>0</v>
      </c>
      <c r="Q236" s="347">
        <v>0</v>
      </c>
      <c r="R236" s="347">
        <v>0</v>
      </c>
      <c r="S236" s="347">
        <v>0</v>
      </c>
      <c r="T236" s="347">
        <v>0</v>
      </c>
      <c r="U236" s="347">
        <v>0</v>
      </c>
      <c r="V236" s="347">
        <v>0</v>
      </c>
      <c r="W236" s="347">
        <v>0</v>
      </c>
      <c r="X236" s="347">
        <v>0</v>
      </c>
      <c r="Y236" s="381">
        <v>0</v>
      </c>
      <c r="Z236" s="310">
        <f t="shared" si="120"/>
        <v>0</v>
      </c>
      <c r="AA236" s="312">
        <f t="shared" si="121"/>
        <v>0</v>
      </c>
      <c r="AB236" s="948">
        <f t="array" ref="AB236">IF(AND($AD$228=TRUE,SUM(B236:L236)&gt;0),SUMPRODUCT((((TRANSPOSE(Cls3CentDailyRng)&lt;INDEX(CDRANGE_CLS3,$A236-$A$233+1,AD$229))*TRANSPOSE(Cls3CentDailyRng)+(TRANSPOSE(Cls3CentDailyRng)&gt;INDEX(CDRANGE_CLS3,$A236-$A$233+1,AD$229))*INDEX(CDRANGE_CLS3,$A236-$A$233+1,AD$229))/TRANSPOSE(Cls3CentDailyRng)),B236:L236,TRANSPOSE(Cls3CentVMTShr))/SUMPRODUCT(B236:L236,TRANSPOSE(Cls3CentVMTShr)),0)</f>
        <v>0</v>
      </c>
      <c r="AC236" s="949">
        <f t="array" ref="AC236">IF(AND($AD$228=TRUE,SUM(O236:Y236)&gt;0),SUMPRODUCT((((TRANSPOSE(Cls3NCentDailyRng)&lt;INDEX(CDRANGE_CLS3,$A236-$A$233+1,AD$229))*TRANSPOSE(Cls3NCentDailyRng)+(TRANSPOSE(Cls3NCentDailyRng)&gt;INDEX(CDRANGE_CLS3,$A236-$A$233+1,AD$229))*INDEX(CDRANGE_CLS3,$A236-$A$233+1,AD$229))/TRANSPOSE(Cls3NCentDailyRng)),O236:Y236,TRANSPOSE(Cls3NCentVMTShr))/SUMPRODUCT(O236:Y236,TRANSPOSE(Cls3NCentVMTShr)),0)</f>
        <v>0</v>
      </c>
      <c r="AD236" s="1226">
        <f t="shared" si="122"/>
        <v>0</v>
      </c>
      <c r="AE236" s="1230">
        <f t="shared" si="115"/>
        <v>0</v>
      </c>
      <c r="AF236" s="1231">
        <f t="shared" si="116"/>
        <v>0</v>
      </c>
      <c r="AG236" s="1231">
        <f t="shared" si="117"/>
        <v>0</v>
      </c>
      <c r="AH236" s="1172">
        <f t="shared" si="123"/>
        <v>0</v>
      </c>
      <c r="AI236" s="1232">
        <f t="shared" si="124"/>
        <v>0</v>
      </c>
    </row>
    <row r="237" spans="1:35" x14ac:dyDescent="0.2">
      <c r="A237" s="329">
        <v>2011</v>
      </c>
      <c r="B237" s="342">
        <v>0</v>
      </c>
      <c r="C237" s="343">
        <v>0</v>
      </c>
      <c r="D237" s="343">
        <v>0</v>
      </c>
      <c r="E237" s="343">
        <v>0</v>
      </c>
      <c r="F237" s="343">
        <v>0</v>
      </c>
      <c r="G237" s="343">
        <v>0</v>
      </c>
      <c r="H237" s="343">
        <v>0</v>
      </c>
      <c r="I237" s="343">
        <v>0</v>
      </c>
      <c r="J237" s="343">
        <v>0</v>
      </c>
      <c r="K237" s="343">
        <v>0</v>
      </c>
      <c r="L237" s="379">
        <v>0</v>
      </c>
      <c r="M237" s="282">
        <f t="shared" si="118"/>
        <v>0</v>
      </c>
      <c r="N237" s="284">
        <f t="shared" si="119"/>
        <v>0</v>
      </c>
      <c r="O237" s="342">
        <v>0</v>
      </c>
      <c r="P237" s="343">
        <v>0</v>
      </c>
      <c r="Q237" s="343">
        <v>0</v>
      </c>
      <c r="R237" s="343">
        <v>0</v>
      </c>
      <c r="S237" s="343">
        <v>0</v>
      </c>
      <c r="T237" s="343">
        <v>0</v>
      </c>
      <c r="U237" s="343">
        <v>0</v>
      </c>
      <c r="V237" s="343">
        <v>0</v>
      </c>
      <c r="W237" s="343">
        <v>0</v>
      </c>
      <c r="X237" s="343">
        <v>0</v>
      </c>
      <c r="Y237" s="379">
        <v>0</v>
      </c>
      <c r="Z237" s="282">
        <f t="shared" si="120"/>
        <v>0</v>
      </c>
      <c r="AA237" s="284">
        <f t="shared" si="121"/>
        <v>0</v>
      </c>
      <c r="AB237" s="948">
        <f t="array" ref="AB237">IF(AND($AD$228=TRUE,SUM(B237:L237)&gt;0),SUMPRODUCT((((TRANSPOSE(Cls3CentDailyRng)&lt;INDEX(CDRANGE_CLS3,$A237-$A$233+1,AD$229))*TRANSPOSE(Cls3CentDailyRng)+(TRANSPOSE(Cls3CentDailyRng)&gt;INDEX(CDRANGE_CLS3,$A237-$A$233+1,AD$229))*INDEX(CDRANGE_CLS3,$A237-$A$233+1,AD$229))/TRANSPOSE(Cls3CentDailyRng)),B237:L237,TRANSPOSE(Cls3CentVMTShr))/SUMPRODUCT(B237:L237,TRANSPOSE(Cls3CentVMTShr)),0)</f>
        <v>0</v>
      </c>
      <c r="AC237" s="949">
        <f t="array" ref="AC237">IF(AND($AD$228=TRUE,SUM(O237:Y237)&gt;0),SUMPRODUCT((((TRANSPOSE(Cls3NCentDailyRng)&lt;INDEX(CDRANGE_CLS3,$A237-$A$233+1,AD$229))*TRANSPOSE(Cls3NCentDailyRng)+(TRANSPOSE(Cls3NCentDailyRng)&gt;INDEX(CDRANGE_CLS3,$A237-$A$233+1,AD$229))*INDEX(CDRANGE_CLS3,$A237-$A$233+1,AD$229))/TRANSPOSE(Cls3NCentDailyRng)),O237:Y237,TRANSPOSE(Cls3NCentVMTShr))/SUMPRODUCT(O237:Y237,TRANSPOSE(Cls3NCentVMTShr)),0)</f>
        <v>0</v>
      </c>
      <c r="AD237" s="1226">
        <f t="shared" si="122"/>
        <v>0</v>
      </c>
      <c r="AE237" s="1230">
        <f t="shared" si="115"/>
        <v>0</v>
      </c>
      <c r="AF237" s="1231">
        <f t="shared" si="116"/>
        <v>0</v>
      </c>
      <c r="AG237" s="1231">
        <f t="shared" si="117"/>
        <v>0</v>
      </c>
      <c r="AH237" s="1172">
        <f t="shared" si="123"/>
        <v>0</v>
      </c>
      <c r="AI237" s="1232">
        <f t="shared" si="124"/>
        <v>0</v>
      </c>
    </row>
    <row r="238" spans="1:35" x14ac:dyDescent="0.2">
      <c r="A238" s="330">
        <v>2012</v>
      </c>
      <c r="B238" s="344">
        <v>0</v>
      </c>
      <c r="C238" s="345">
        <v>0</v>
      </c>
      <c r="D238" s="345">
        <v>0</v>
      </c>
      <c r="E238" s="345">
        <v>0</v>
      </c>
      <c r="F238" s="345">
        <v>0</v>
      </c>
      <c r="G238" s="345">
        <v>0</v>
      </c>
      <c r="H238" s="345">
        <v>0</v>
      </c>
      <c r="I238" s="345">
        <v>0</v>
      </c>
      <c r="J238" s="345">
        <v>0</v>
      </c>
      <c r="K238" s="345">
        <v>0</v>
      </c>
      <c r="L238" s="380">
        <v>0</v>
      </c>
      <c r="M238" s="296">
        <f t="shared" si="118"/>
        <v>0</v>
      </c>
      <c r="N238" s="298">
        <f t="shared" si="119"/>
        <v>0</v>
      </c>
      <c r="O238" s="344">
        <v>0</v>
      </c>
      <c r="P238" s="345">
        <v>0</v>
      </c>
      <c r="Q238" s="345">
        <v>0</v>
      </c>
      <c r="R238" s="345">
        <v>0</v>
      </c>
      <c r="S238" s="345">
        <v>0</v>
      </c>
      <c r="T238" s="345">
        <v>0</v>
      </c>
      <c r="U238" s="345">
        <v>0</v>
      </c>
      <c r="V238" s="345">
        <v>0</v>
      </c>
      <c r="W238" s="345">
        <v>0</v>
      </c>
      <c r="X238" s="345">
        <v>0</v>
      </c>
      <c r="Y238" s="380">
        <v>0</v>
      </c>
      <c r="Z238" s="296">
        <f t="shared" si="120"/>
        <v>0</v>
      </c>
      <c r="AA238" s="298">
        <f t="shared" si="121"/>
        <v>0</v>
      </c>
      <c r="AB238" s="948">
        <f t="array" ref="AB238">IF(AND($AD$228=TRUE,SUM(B238:L238)&gt;0),SUMPRODUCT((((TRANSPOSE(Cls3CentDailyRng)&lt;INDEX(CDRANGE_CLS3,$A238-$A$233+1,AD$229))*TRANSPOSE(Cls3CentDailyRng)+(TRANSPOSE(Cls3CentDailyRng)&gt;INDEX(CDRANGE_CLS3,$A238-$A$233+1,AD$229))*INDEX(CDRANGE_CLS3,$A238-$A$233+1,AD$229))/TRANSPOSE(Cls3CentDailyRng)),B238:L238,TRANSPOSE(Cls3CentVMTShr))/SUMPRODUCT(B238:L238,TRANSPOSE(Cls3CentVMTShr)),0)</f>
        <v>0</v>
      </c>
      <c r="AC238" s="949">
        <f t="array" ref="AC238">IF(AND($AD$228=TRUE,SUM(O238:Y238)&gt;0),SUMPRODUCT((((TRANSPOSE(Cls3NCentDailyRng)&lt;INDEX(CDRANGE_CLS3,$A238-$A$233+1,AD$229))*TRANSPOSE(Cls3NCentDailyRng)+(TRANSPOSE(Cls3NCentDailyRng)&gt;INDEX(CDRANGE_CLS3,$A238-$A$233+1,AD$229))*INDEX(CDRANGE_CLS3,$A238-$A$233+1,AD$229))/TRANSPOSE(Cls3NCentDailyRng)),O238:Y238,TRANSPOSE(Cls3NCentVMTShr))/SUMPRODUCT(O238:Y238,TRANSPOSE(Cls3NCentVMTShr)),0)</f>
        <v>0</v>
      </c>
      <c r="AD238" s="1226">
        <f t="shared" si="122"/>
        <v>0</v>
      </c>
      <c r="AE238" s="1230">
        <f t="shared" si="115"/>
        <v>0</v>
      </c>
      <c r="AF238" s="1231">
        <f t="shared" si="116"/>
        <v>0</v>
      </c>
      <c r="AG238" s="1231">
        <f t="shared" si="117"/>
        <v>0</v>
      </c>
      <c r="AH238" s="1172">
        <f t="shared" si="123"/>
        <v>0</v>
      </c>
      <c r="AI238" s="1232">
        <f t="shared" si="124"/>
        <v>0</v>
      </c>
    </row>
    <row r="239" spans="1:35" x14ac:dyDescent="0.2">
      <c r="A239" s="330">
        <v>2013</v>
      </c>
      <c r="B239" s="344">
        <v>0</v>
      </c>
      <c r="C239" s="345">
        <v>0</v>
      </c>
      <c r="D239" s="345">
        <v>0</v>
      </c>
      <c r="E239" s="345">
        <v>0</v>
      </c>
      <c r="F239" s="345">
        <v>0</v>
      </c>
      <c r="G239" s="345">
        <v>0</v>
      </c>
      <c r="H239" s="345">
        <v>0</v>
      </c>
      <c r="I239" s="345">
        <v>0</v>
      </c>
      <c r="J239" s="345">
        <v>0</v>
      </c>
      <c r="K239" s="345">
        <v>0</v>
      </c>
      <c r="L239" s="380">
        <v>0</v>
      </c>
      <c r="M239" s="296">
        <f t="shared" si="118"/>
        <v>0</v>
      </c>
      <c r="N239" s="298">
        <f t="shared" si="119"/>
        <v>0</v>
      </c>
      <c r="O239" s="344">
        <v>0</v>
      </c>
      <c r="P239" s="345">
        <v>0</v>
      </c>
      <c r="Q239" s="345">
        <v>0</v>
      </c>
      <c r="R239" s="345">
        <v>0</v>
      </c>
      <c r="S239" s="345">
        <v>0</v>
      </c>
      <c r="T239" s="345">
        <v>0</v>
      </c>
      <c r="U239" s="345">
        <v>0</v>
      </c>
      <c r="V239" s="345">
        <v>0</v>
      </c>
      <c r="W239" s="345">
        <v>0</v>
      </c>
      <c r="X239" s="345">
        <v>0</v>
      </c>
      <c r="Y239" s="380">
        <v>0</v>
      </c>
      <c r="Z239" s="296">
        <f t="shared" si="120"/>
        <v>0</v>
      </c>
      <c r="AA239" s="298">
        <f t="shared" si="121"/>
        <v>0</v>
      </c>
      <c r="AB239" s="948">
        <f t="array" ref="AB239">IF(AND($AD$228=TRUE,SUM(B239:L239)&gt;0),SUMPRODUCT((((TRANSPOSE(Cls3CentDailyRng)&lt;INDEX(CDRANGE_CLS3,$A239-$A$233+1,AD$229))*TRANSPOSE(Cls3CentDailyRng)+(TRANSPOSE(Cls3CentDailyRng)&gt;INDEX(CDRANGE_CLS3,$A239-$A$233+1,AD$229))*INDEX(CDRANGE_CLS3,$A239-$A$233+1,AD$229))/TRANSPOSE(Cls3CentDailyRng)),B239:L239,TRANSPOSE(Cls3CentVMTShr))/SUMPRODUCT(B239:L239,TRANSPOSE(Cls3CentVMTShr)),0)</f>
        <v>0</v>
      </c>
      <c r="AC239" s="949">
        <f t="array" ref="AC239">IF(AND($AD$228=TRUE,SUM(O239:Y239)&gt;0),SUMPRODUCT((((TRANSPOSE(Cls3NCentDailyRng)&lt;INDEX(CDRANGE_CLS3,$A239-$A$233+1,AD$229))*TRANSPOSE(Cls3NCentDailyRng)+(TRANSPOSE(Cls3NCentDailyRng)&gt;INDEX(CDRANGE_CLS3,$A239-$A$233+1,AD$229))*INDEX(CDRANGE_CLS3,$A239-$A$233+1,AD$229))/TRANSPOSE(Cls3NCentDailyRng)),O239:Y239,TRANSPOSE(Cls3NCentVMTShr))/SUMPRODUCT(O239:Y239,TRANSPOSE(Cls3NCentVMTShr)),0)</f>
        <v>0</v>
      </c>
      <c r="AD239" s="1226">
        <f t="shared" si="122"/>
        <v>0</v>
      </c>
      <c r="AE239" s="1230">
        <f t="shared" si="115"/>
        <v>0</v>
      </c>
      <c r="AF239" s="1231">
        <f t="shared" si="116"/>
        <v>0</v>
      </c>
      <c r="AG239" s="1231">
        <f t="shared" si="117"/>
        <v>0</v>
      </c>
      <c r="AH239" s="1172">
        <f t="shared" si="123"/>
        <v>0</v>
      </c>
      <c r="AI239" s="1232">
        <f t="shared" si="124"/>
        <v>0</v>
      </c>
    </row>
    <row r="240" spans="1:35" x14ac:dyDescent="0.2">
      <c r="A240" s="330">
        <v>2014</v>
      </c>
      <c r="B240" s="344">
        <v>0</v>
      </c>
      <c r="C240" s="345">
        <v>0</v>
      </c>
      <c r="D240" s="345">
        <v>0</v>
      </c>
      <c r="E240" s="345">
        <v>0</v>
      </c>
      <c r="F240" s="345">
        <v>0</v>
      </c>
      <c r="G240" s="345">
        <v>0</v>
      </c>
      <c r="H240" s="345">
        <v>0</v>
      </c>
      <c r="I240" s="345">
        <v>0</v>
      </c>
      <c r="J240" s="345">
        <v>0</v>
      </c>
      <c r="K240" s="345">
        <v>0</v>
      </c>
      <c r="L240" s="380">
        <v>0</v>
      </c>
      <c r="M240" s="296">
        <f t="shared" si="118"/>
        <v>0</v>
      </c>
      <c r="N240" s="298">
        <f t="shared" si="119"/>
        <v>0</v>
      </c>
      <c r="O240" s="344">
        <v>0</v>
      </c>
      <c r="P240" s="345">
        <v>0</v>
      </c>
      <c r="Q240" s="345">
        <v>0</v>
      </c>
      <c r="R240" s="345">
        <v>0</v>
      </c>
      <c r="S240" s="345">
        <v>0</v>
      </c>
      <c r="T240" s="345">
        <v>0</v>
      </c>
      <c r="U240" s="345">
        <v>0</v>
      </c>
      <c r="V240" s="345">
        <v>0</v>
      </c>
      <c r="W240" s="345">
        <v>0</v>
      </c>
      <c r="X240" s="345">
        <v>0</v>
      </c>
      <c r="Y240" s="380">
        <v>0</v>
      </c>
      <c r="Z240" s="296">
        <f t="shared" si="120"/>
        <v>0</v>
      </c>
      <c r="AA240" s="298">
        <f t="shared" si="121"/>
        <v>0</v>
      </c>
      <c r="AB240" s="948">
        <f t="array" ref="AB240">IF(AND($AD$228=TRUE,SUM(B240:L240)&gt;0),SUMPRODUCT((((TRANSPOSE(Cls3CentDailyRng)&lt;INDEX(CDRANGE_CLS3,$A240-$A$233+1,AD$229))*TRANSPOSE(Cls3CentDailyRng)+(TRANSPOSE(Cls3CentDailyRng)&gt;INDEX(CDRANGE_CLS3,$A240-$A$233+1,AD$229))*INDEX(CDRANGE_CLS3,$A240-$A$233+1,AD$229))/TRANSPOSE(Cls3CentDailyRng)),B240:L240,TRANSPOSE(Cls3CentVMTShr))/SUMPRODUCT(B240:L240,TRANSPOSE(Cls3CentVMTShr)),0)</f>
        <v>0</v>
      </c>
      <c r="AC240" s="949">
        <f t="array" ref="AC240">IF(AND($AD$228=TRUE,SUM(O240:Y240)&gt;0),SUMPRODUCT((((TRANSPOSE(Cls3NCentDailyRng)&lt;INDEX(CDRANGE_CLS3,$A240-$A$233+1,AD$229))*TRANSPOSE(Cls3NCentDailyRng)+(TRANSPOSE(Cls3NCentDailyRng)&gt;INDEX(CDRANGE_CLS3,$A240-$A$233+1,AD$229))*INDEX(CDRANGE_CLS3,$A240-$A$233+1,AD$229))/TRANSPOSE(Cls3NCentDailyRng)),O240:Y240,TRANSPOSE(Cls3NCentVMTShr))/SUMPRODUCT(O240:Y240,TRANSPOSE(Cls3NCentVMTShr)),0)</f>
        <v>0</v>
      </c>
      <c r="AD240" s="1226">
        <f t="shared" si="122"/>
        <v>0</v>
      </c>
      <c r="AE240" s="1230">
        <f t="shared" si="115"/>
        <v>0</v>
      </c>
      <c r="AF240" s="1231">
        <f t="shared" si="116"/>
        <v>0</v>
      </c>
      <c r="AG240" s="1231">
        <f t="shared" si="117"/>
        <v>0</v>
      </c>
      <c r="AH240" s="1172">
        <f t="shared" si="123"/>
        <v>0</v>
      </c>
      <c r="AI240" s="1232">
        <f t="shared" si="124"/>
        <v>0</v>
      </c>
    </row>
    <row r="241" spans="1:35" ht="15" thickBot="1" x14ac:dyDescent="0.25">
      <c r="A241" s="328">
        <v>2015</v>
      </c>
      <c r="B241" s="346">
        <v>0</v>
      </c>
      <c r="C241" s="347">
        <v>0</v>
      </c>
      <c r="D241" s="347">
        <v>0</v>
      </c>
      <c r="E241" s="347">
        <v>0</v>
      </c>
      <c r="F241" s="347">
        <v>0</v>
      </c>
      <c r="G241" s="347">
        <v>0</v>
      </c>
      <c r="H241" s="347">
        <v>0</v>
      </c>
      <c r="I241" s="347">
        <v>0</v>
      </c>
      <c r="J241" s="347">
        <v>0</v>
      </c>
      <c r="K241" s="347">
        <v>0</v>
      </c>
      <c r="L241" s="381">
        <v>0</v>
      </c>
      <c r="M241" s="310">
        <f t="shared" si="118"/>
        <v>0</v>
      </c>
      <c r="N241" s="312">
        <f t="shared" si="119"/>
        <v>0</v>
      </c>
      <c r="O241" s="346">
        <v>0</v>
      </c>
      <c r="P241" s="347">
        <v>0</v>
      </c>
      <c r="Q241" s="347">
        <v>0</v>
      </c>
      <c r="R241" s="347">
        <v>0</v>
      </c>
      <c r="S241" s="347">
        <v>0</v>
      </c>
      <c r="T241" s="347">
        <v>0</v>
      </c>
      <c r="U241" s="347">
        <v>0</v>
      </c>
      <c r="V241" s="347">
        <v>0</v>
      </c>
      <c r="W241" s="347">
        <v>0</v>
      </c>
      <c r="X241" s="347">
        <v>0</v>
      </c>
      <c r="Y241" s="381">
        <v>0</v>
      </c>
      <c r="Z241" s="310">
        <f t="shared" si="120"/>
        <v>0</v>
      </c>
      <c r="AA241" s="312">
        <f t="shared" si="121"/>
        <v>0</v>
      </c>
      <c r="AB241" s="948">
        <f t="array" ref="AB241">IF(AND($AD$228=TRUE,SUM(B241:L241)&gt;0),SUMPRODUCT((((TRANSPOSE(Cls3CentDailyRng)&lt;INDEX(CDRANGE_CLS3,$A241-$A$233+1,AD$229))*TRANSPOSE(Cls3CentDailyRng)+(TRANSPOSE(Cls3CentDailyRng)&gt;INDEX(CDRANGE_CLS3,$A241-$A$233+1,AD$229))*INDEX(CDRANGE_CLS3,$A241-$A$233+1,AD$229))/TRANSPOSE(Cls3CentDailyRng)),B241:L241,TRANSPOSE(Cls3CentVMTShr))/SUMPRODUCT(B241:L241,TRANSPOSE(Cls3CentVMTShr)),0)</f>
        <v>0</v>
      </c>
      <c r="AC241" s="949">
        <f t="array" ref="AC241">IF(AND($AD$228=TRUE,SUM(O241:Y241)&gt;0),SUMPRODUCT((((TRANSPOSE(Cls3NCentDailyRng)&lt;INDEX(CDRANGE_CLS3,$A241-$A$233+1,AD$229))*TRANSPOSE(Cls3NCentDailyRng)+(TRANSPOSE(Cls3NCentDailyRng)&gt;INDEX(CDRANGE_CLS3,$A241-$A$233+1,AD$229))*INDEX(CDRANGE_CLS3,$A241-$A$233+1,AD$229))/TRANSPOSE(Cls3NCentDailyRng)),O241:Y241,TRANSPOSE(Cls3NCentVMTShr))/SUMPRODUCT(O241:Y241,TRANSPOSE(Cls3NCentVMTShr)),0)</f>
        <v>0</v>
      </c>
      <c r="AD241" s="1226">
        <f t="shared" si="122"/>
        <v>0</v>
      </c>
      <c r="AE241" s="1230">
        <f t="shared" si="115"/>
        <v>0</v>
      </c>
      <c r="AF241" s="1231">
        <f t="shared" si="116"/>
        <v>0</v>
      </c>
      <c r="AG241" s="1231">
        <f t="shared" si="117"/>
        <v>0</v>
      </c>
      <c r="AH241" s="1172">
        <f t="shared" si="123"/>
        <v>0</v>
      </c>
      <c r="AI241" s="1232">
        <f t="shared" si="124"/>
        <v>0</v>
      </c>
    </row>
    <row r="242" spans="1:35" x14ac:dyDescent="0.2">
      <c r="A242" s="329">
        <v>2016</v>
      </c>
      <c r="B242" s="342">
        <v>0</v>
      </c>
      <c r="C242" s="343">
        <v>0</v>
      </c>
      <c r="D242" s="343">
        <v>0</v>
      </c>
      <c r="E242" s="343">
        <v>0</v>
      </c>
      <c r="F242" s="343">
        <v>0</v>
      </c>
      <c r="G242" s="343">
        <v>0</v>
      </c>
      <c r="H242" s="343">
        <v>0</v>
      </c>
      <c r="I242" s="343">
        <v>0</v>
      </c>
      <c r="J242" s="343">
        <v>0</v>
      </c>
      <c r="K242" s="343">
        <v>0</v>
      </c>
      <c r="L242" s="379">
        <v>0</v>
      </c>
      <c r="M242" s="282">
        <f t="shared" si="118"/>
        <v>0</v>
      </c>
      <c r="N242" s="284">
        <f t="shared" si="119"/>
        <v>0</v>
      </c>
      <c r="O242" s="342">
        <v>0</v>
      </c>
      <c r="P242" s="343">
        <v>0</v>
      </c>
      <c r="Q242" s="343">
        <v>0</v>
      </c>
      <c r="R242" s="343">
        <v>0</v>
      </c>
      <c r="S242" s="343">
        <v>0</v>
      </c>
      <c r="T242" s="343">
        <v>0</v>
      </c>
      <c r="U242" s="343">
        <v>0</v>
      </c>
      <c r="V242" s="343">
        <v>0</v>
      </c>
      <c r="W242" s="343">
        <v>0</v>
      </c>
      <c r="X242" s="343">
        <v>0</v>
      </c>
      <c r="Y242" s="379">
        <v>0</v>
      </c>
      <c r="Z242" s="282">
        <f t="shared" si="120"/>
        <v>0</v>
      </c>
      <c r="AA242" s="284">
        <f t="shared" si="121"/>
        <v>0</v>
      </c>
      <c r="AB242" s="948">
        <f t="array" ref="AB242">IF(AND($AD$228=TRUE,SUM(B242:L242)&gt;0),SUMPRODUCT((((TRANSPOSE(Cls3CentDailyRng)&lt;INDEX(CDRANGE_CLS3,$A242-$A$233+1,AD$229))*TRANSPOSE(Cls3CentDailyRng)+(TRANSPOSE(Cls3CentDailyRng)&gt;INDEX(CDRANGE_CLS3,$A242-$A$233+1,AD$229))*INDEX(CDRANGE_CLS3,$A242-$A$233+1,AD$229))/TRANSPOSE(Cls3CentDailyRng)),B242:L242,TRANSPOSE(Cls3CentVMTShr))/SUMPRODUCT(B242:L242,TRANSPOSE(Cls3CentVMTShr)),0)</f>
        <v>0</v>
      </c>
      <c r="AC242" s="949">
        <f t="array" ref="AC242">IF(AND($AD$228=TRUE,SUM(O242:Y242)&gt;0),SUMPRODUCT((((TRANSPOSE(Cls3NCentDailyRng)&lt;INDEX(CDRANGE_CLS3,$A242-$A$233+1,AD$229))*TRANSPOSE(Cls3NCentDailyRng)+(TRANSPOSE(Cls3NCentDailyRng)&gt;INDEX(CDRANGE_CLS3,$A242-$A$233+1,AD$229))*INDEX(CDRANGE_CLS3,$A242-$A$233+1,AD$229))/TRANSPOSE(Cls3NCentDailyRng)),O242:Y242,TRANSPOSE(Cls3NCentVMTShr))/SUMPRODUCT(O242:Y242,TRANSPOSE(Cls3NCentVMTShr)),0)</f>
        <v>0</v>
      </c>
      <c r="AD242" s="1226">
        <f t="shared" si="122"/>
        <v>0</v>
      </c>
      <c r="AE242" s="1230">
        <f t="shared" si="115"/>
        <v>0</v>
      </c>
      <c r="AF242" s="1231">
        <f t="shared" si="116"/>
        <v>0</v>
      </c>
      <c r="AG242" s="1231">
        <f t="shared" si="117"/>
        <v>0</v>
      </c>
      <c r="AH242" s="1172">
        <f t="shared" si="123"/>
        <v>0</v>
      </c>
      <c r="AI242" s="1232">
        <f t="shared" si="124"/>
        <v>0</v>
      </c>
    </row>
    <row r="243" spans="1:35" x14ac:dyDescent="0.2">
      <c r="A243" s="330">
        <v>2017</v>
      </c>
      <c r="B243" s="344">
        <v>0</v>
      </c>
      <c r="C243" s="345">
        <v>0</v>
      </c>
      <c r="D243" s="345">
        <v>0</v>
      </c>
      <c r="E243" s="345">
        <v>0</v>
      </c>
      <c r="F243" s="345">
        <v>0</v>
      </c>
      <c r="G243" s="345">
        <v>0</v>
      </c>
      <c r="H243" s="345">
        <v>0</v>
      </c>
      <c r="I243" s="345">
        <v>0</v>
      </c>
      <c r="J243" s="345">
        <v>0</v>
      </c>
      <c r="K243" s="345">
        <v>0</v>
      </c>
      <c r="L243" s="380">
        <v>0</v>
      </c>
      <c r="M243" s="296">
        <f t="shared" si="118"/>
        <v>0</v>
      </c>
      <c r="N243" s="298">
        <f t="shared" si="119"/>
        <v>0</v>
      </c>
      <c r="O243" s="344">
        <v>0</v>
      </c>
      <c r="P243" s="345">
        <v>0</v>
      </c>
      <c r="Q243" s="345">
        <v>0</v>
      </c>
      <c r="R243" s="345">
        <v>0</v>
      </c>
      <c r="S243" s="345">
        <v>0</v>
      </c>
      <c r="T243" s="345">
        <v>0</v>
      </c>
      <c r="U243" s="345">
        <v>0</v>
      </c>
      <c r="V243" s="345">
        <v>0</v>
      </c>
      <c r="W243" s="345">
        <v>0</v>
      </c>
      <c r="X243" s="345">
        <v>0</v>
      </c>
      <c r="Y243" s="380">
        <v>0</v>
      </c>
      <c r="Z243" s="296">
        <f t="shared" si="120"/>
        <v>0</v>
      </c>
      <c r="AA243" s="298">
        <f t="shared" si="121"/>
        <v>0</v>
      </c>
      <c r="AB243" s="948">
        <f t="array" ref="AB243">IF(AND($AD$228=TRUE,SUM(B243:L243)&gt;0),SUMPRODUCT((((TRANSPOSE(Cls3CentDailyRng)&lt;INDEX(CDRANGE_CLS3,$A243-$A$233+1,AD$229))*TRANSPOSE(Cls3CentDailyRng)+(TRANSPOSE(Cls3CentDailyRng)&gt;INDEX(CDRANGE_CLS3,$A243-$A$233+1,AD$229))*INDEX(CDRANGE_CLS3,$A243-$A$233+1,AD$229))/TRANSPOSE(Cls3CentDailyRng)),B243:L243,TRANSPOSE(Cls3CentVMTShr))/SUMPRODUCT(B243:L243,TRANSPOSE(Cls3CentVMTShr)),0)</f>
        <v>0</v>
      </c>
      <c r="AC243" s="949">
        <f t="array" ref="AC243">IF(AND($AD$228=TRUE,SUM(O243:Y243)&gt;0),SUMPRODUCT((((TRANSPOSE(Cls3NCentDailyRng)&lt;INDEX(CDRANGE_CLS3,$A243-$A$233+1,AD$229))*TRANSPOSE(Cls3NCentDailyRng)+(TRANSPOSE(Cls3NCentDailyRng)&gt;INDEX(CDRANGE_CLS3,$A243-$A$233+1,AD$229))*INDEX(CDRANGE_CLS3,$A243-$A$233+1,AD$229))/TRANSPOSE(Cls3NCentDailyRng)),O243:Y243,TRANSPOSE(Cls3NCentVMTShr))/SUMPRODUCT(O243:Y243,TRANSPOSE(Cls3NCentVMTShr)),0)</f>
        <v>0</v>
      </c>
      <c r="AD243" s="1226">
        <f t="shared" si="122"/>
        <v>0</v>
      </c>
      <c r="AE243" s="1230">
        <f t="shared" si="115"/>
        <v>0</v>
      </c>
      <c r="AF243" s="1231">
        <f t="shared" si="116"/>
        <v>0</v>
      </c>
      <c r="AG243" s="1231">
        <f t="shared" si="117"/>
        <v>0</v>
      </c>
      <c r="AH243" s="1172">
        <f t="shared" si="123"/>
        <v>0</v>
      </c>
      <c r="AI243" s="1232">
        <f t="shared" si="124"/>
        <v>0</v>
      </c>
    </row>
    <row r="244" spans="1:35" x14ac:dyDescent="0.2">
      <c r="A244" s="330">
        <v>2018</v>
      </c>
      <c r="B244" s="344">
        <v>0</v>
      </c>
      <c r="C244" s="345">
        <v>0</v>
      </c>
      <c r="D244" s="345">
        <v>0</v>
      </c>
      <c r="E244" s="345">
        <v>0</v>
      </c>
      <c r="F244" s="345">
        <v>0</v>
      </c>
      <c r="G244" s="345">
        <v>0</v>
      </c>
      <c r="H244" s="345">
        <v>0</v>
      </c>
      <c r="I244" s="345">
        <v>0</v>
      </c>
      <c r="J244" s="345">
        <v>0</v>
      </c>
      <c r="K244" s="345">
        <v>0</v>
      </c>
      <c r="L244" s="380">
        <v>0</v>
      </c>
      <c r="M244" s="296">
        <f t="shared" si="118"/>
        <v>0</v>
      </c>
      <c r="N244" s="298">
        <f t="shared" si="119"/>
        <v>0</v>
      </c>
      <c r="O244" s="344">
        <v>0</v>
      </c>
      <c r="P244" s="345">
        <v>0</v>
      </c>
      <c r="Q244" s="345">
        <v>0</v>
      </c>
      <c r="R244" s="345">
        <v>0</v>
      </c>
      <c r="S244" s="345">
        <v>0</v>
      </c>
      <c r="T244" s="345">
        <v>0</v>
      </c>
      <c r="U244" s="345">
        <v>0</v>
      </c>
      <c r="V244" s="345">
        <v>0</v>
      </c>
      <c r="W244" s="345">
        <v>0</v>
      </c>
      <c r="X244" s="345">
        <v>0</v>
      </c>
      <c r="Y244" s="380">
        <v>0</v>
      </c>
      <c r="Z244" s="296">
        <f t="shared" si="120"/>
        <v>0</v>
      </c>
      <c r="AA244" s="298">
        <f t="shared" si="121"/>
        <v>0</v>
      </c>
      <c r="AB244" s="948">
        <f t="array" ref="AB244">IF(AND($AD$228=TRUE,SUM(B244:L244)&gt;0),SUMPRODUCT((((TRANSPOSE(Cls3CentDailyRng)&lt;INDEX(CDRANGE_CLS3,$A244-$A$233+1,AD$229))*TRANSPOSE(Cls3CentDailyRng)+(TRANSPOSE(Cls3CentDailyRng)&gt;INDEX(CDRANGE_CLS3,$A244-$A$233+1,AD$229))*INDEX(CDRANGE_CLS3,$A244-$A$233+1,AD$229))/TRANSPOSE(Cls3CentDailyRng)),B244:L244,TRANSPOSE(Cls3CentVMTShr))/SUMPRODUCT(B244:L244,TRANSPOSE(Cls3CentVMTShr)),0)</f>
        <v>0</v>
      </c>
      <c r="AC244" s="949">
        <f t="array" ref="AC244">IF(AND($AD$228=TRUE,SUM(O244:Y244)&gt;0),SUMPRODUCT((((TRANSPOSE(Cls3NCentDailyRng)&lt;INDEX(CDRANGE_CLS3,$A244-$A$233+1,AD$229))*TRANSPOSE(Cls3NCentDailyRng)+(TRANSPOSE(Cls3NCentDailyRng)&gt;INDEX(CDRANGE_CLS3,$A244-$A$233+1,AD$229))*INDEX(CDRANGE_CLS3,$A244-$A$233+1,AD$229))/TRANSPOSE(Cls3NCentDailyRng)),O244:Y244,TRANSPOSE(Cls3NCentVMTShr))/SUMPRODUCT(O244:Y244,TRANSPOSE(Cls3NCentVMTShr)),0)</f>
        <v>0</v>
      </c>
      <c r="AD244" s="1226">
        <f t="shared" si="122"/>
        <v>0</v>
      </c>
      <c r="AE244" s="1230">
        <f t="shared" si="115"/>
        <v>0</v>
      </c>
      <c r="AF244" s="1231">
        <f t="shared" si="116"/>
        <v>0</v>
      </c>
      <c r="AG244" s="1231">
        <f t="shared" si="117"/>
        <v>0</v>
      </c>
      <c r="AH244" s="1172">
        <f t="shared" si="123"/>
        <v>0</v>
      </c>
      <c r="AI244" s="1232">
        <f t="shared" si="124"/>
        <v>0</v>
      </c>
    </row>
    <row r="245" spans="1:35" x14ac:dyDescent="0.2">
      <c r="A245" s="330">
        <v>2019</v>
      </c>
      <c r="B245" s="344">
        <v>0</v>
      </c>
      <c r="C245" s="345">
        <v>0</v>
      </c>
      <c r="D245" s="345">
        <v>0</v>
      </c>
      <c r="E245" s="345">
        <v>0</v>
      </c>
      <c r="F245" s="345">
        <v>0</v>
      </c>
      <c r="G245" s="345">
        <v>0</v>
      </c>
      <c r="H245" s="345">
        <v>0</v>
      </c>
      <c r="I245" s="345">
        <v>0</v>
      </c>
      <c r="J245" s="345">
        <v>0</v>
      </c>
      <c r="K245" s="345">
        <v>0</v>
      </c>
      <c r="L245" s="380">
        <v>0</v>
      </c>
      <c r="M245" s="296">
        <f t="shared" si="118"/>
        <v>0</v>
      </c>
      <c r="N245" s="298">
        <f t="shared" si="119"/>
        <v>0</v>
      </c>
      <c r="O245" s="344">
        <v>0</v>
      </c>
      <c r="P245" s="345">
        <v>0</v>
      </c>
      <c r="Q245" s="345">
        <v>0</v>
      </c>
      <c r="R245" s="345">
        <v>0</v>
      </c>
      <c r="S245" s="345">
        <v>0</v>
      </c>
      <c r="T245" s="345">
        <v>0</v>
      </c>
      <c r="U245" s="345">
        <v>0</v>
      </c>
      <c r="V245" s="345">
        <v>0</v>
      </c>
      <c r="W245" s="345">
        <v>0</v>
      </c>
      <c r="X245" s="345">
        <v>0</v>
      </c>
      <c r="Y245" s="380">
        <v>0</v>
      </c>
      <c r="Z245" s="296">
        <f t="shared" si="120"/>
        <v>0</v>
      </c>
      <c r="AA245" s="298">
        <f t="shared" si="121"/>
        <v>0</v>
      </c>
      <c r="AB245" s="948">
        <f t="array" ref="AB245">IF(AND($AD$228=TRUE,SUM(B245:L245)&gt;0),SUMPRODUCT((((TRANSPOSE(Cls3CentDailyRng)&lt;INDEX(CDRANGE_CLS3,$A245-$A$233+1,AD$229))*TRANSPOSE(Cls3CentDailyRng)+(TRANSPOSE(Cls3CentDailyRng)&gt;INDEX(CDRANGE_CLS3,$A245-$A$233+1,AD$229))*INDEX(CDRANGE_CLS3,$A245-$A$233+1,AD$229))/TRANSPOSE(Cls3CentDailyRng)),B245:L245,TRANSPOSE(Cls3CentVMTShr))/SUMPRODUCT(B245:L245,TRANSPOSE(Cls3CentVMTShr)),0)</f>
        <v>0</v>
      </c>
      <c r="AC245" s="949">
        <f t="array" ref="AC245">IF(AND($AD$228=TRUE,SUM(O245:Y245)&gt;0),SUMPRODUCT((((TRANSPOSE(Cls3NCentDailyRng)&lt;INDEX(CDRANGE_CLS3,$A245-$A$233+1,AD$229))*TRANSPOSE(Cls3NCentDailyRng)+(TRANSPOSE(Cls3NCentDailyRng)&gt;INDEX(CDRANGE_CLS3,$A245-$A$233+1,AD$229))*INDEX(CDRANGE_CLS3,$A245-$A$233+1,AD$229))/TRANSPOSE(Cls3NCentDailyRng)),O245:Y245,TRANSPOSE(Cls3NCentVMTShr))/SUMPRODUCT(O245:Y245,TRANSPOSE(Cls3NCentVMTShr)),0)</f>
        <v>0</v>
      </c>
      <c r="AD245" s="1226">
        <f t="shared" si="122"/>
        <v>0</v>
      </c>
      <c r="AE245" s="1230">
        <f t="shared" si="115"/>
        <v>0</v>
      </c>
      <c r="AF245" s="1231">
        <f t="shared" si="116"/>
        <v>0</v>
      </c>
      <c r="AG245" s="1231">
        <f t="shared" si="117"/>
        <v>0</v>
      </c>
      <c r="AH245" s="1172">
        <f t="shared" si="123"/>
        <v>0</v>
      </c>
      <c r="AI245" s="1232">
        <f t="shared" si="124"/>
        <v>0</v>
      </c>
    </row>
    <row r="246" spans="1:35" ht="15" thickBot="1" x14ac:dyDescent="0.25">
      <c r="A246" s="328">
        <v>2020</v>
      </c>
      <c r="B246" s="346">
        <v>0</v>
      </c>
      <c r="C246" s="347">
        <v>0</v>
      </c>
      <c r="D246" s="347">
        <v>0</v>
      </c>
      <c r="E246" s="347">
        <v>0</v>
      </c>
      <c r="F246" s="347">
        <v>0</v>
      </c>
      <c r="G246" s="347">
        <v>0</v>
      </c>
      <c r="H246" s="347">
        <v>0</v>
      </c>
      <c r="I246" s="347">
        <v>0</v>
      </c>
      <c r="J246" s="347">
        <v>0</v>
      </c>
      <c r="K246" s="347">
        <v>0</v>
      </c>
      <c r="L246" s="381">
        <v>0</v>
      </c>
      <c r="M246" s="310">
        <f t="shared" si="118"/>
        <v>0</v>
      </c>
      <c r="N246" s="312">
        <f t="shared" si="119"/>
        <v>0</v>
      </c>
      <c r="O246" s="346">
        <v>0</v>
      </c>
      <c r="P246" s="347">
        <v>0</v>
      </c>
      <c r="Q246" s="347">
        <v>0</v>
      </c>
      <c r="R246" s="347">
        <v>0</v>
      </c>
      <c r="S246" s="347">
        <v>0</v>
      </c>
      <c r="T246" s="347">
        <v>0</v>
      </c>
      <c r="U246" s="347">
        <v>0</v>
      </c>
      <c r="V246" s="347">
        <v>0</v>
      </c>
      <c r="W246" s="347">
        <v>0</v>
      </c>
      <c r="X246" s="347">
        <v>0</v>
      </c>
      <c r="Y246" s="381">
        <v>0</v>
      </c>
      <c r="Z246" s="310">
        <f t="shared" si="120"/>
        <v>0</v>
      </c>
      <c r="AA246" s="312">
        <f t="shared" si="121"/>
        <v>0</v>
      </c>
      <c r="AB246" s="948">
        <f t="array" ref="AB246">IF(AND($AD$228=TRUE,SUM(B246:L246)&gt;0),SUMPRODUCT((((TRANSPOSE(Cls3CentDailyRng)&lt;INDEX(CDRANGE_CLS3,$A246-$A$233+1,AD$229))*TRANSPOSE(Cls3CentDailyRng)+(TRANSPOSE(Cls3CentDailyRng)&gt;INDEX(CDRANGE_CLS3,$A246-$A$233+1,AD$229))*INDEX(CDRANGE_CLS3,$A246-$A$233+1,AD$229))/TRANSPOSE(Cls3CentDailyRng)),B246:L246,TRANSPOSE(Cls3CentVMTShr))/SUMPRODUCT(B246:L246,TRANSPOSE(Cls3CentVMTShr)),0)</f>
        <v>0</v>
      </c>
      <c r="AC246" s="949">
        <f t="array" ref="AC246">IF(AND($AD$228=TRUE,SUM(O246:Y246)&gt;0),SUMPRODUCT((((TRANSPOSE(Cls3NCentDailyRng)&lt;INDEX(CDRANGE_CLS3,$A246-$A$233+1,AD$229))*TRANSPOSE(Cls3NCentDailyRng)+(TRANSPOSE(Cls3NCentDailyRng)&gt;INDEX(CDRANGE_CLS3,$A246-$A$233+1,AD$229))*INDEX(CDRANGE_CLS3,$A246-$A$233+1,AD$229))/TRANSPOSE(Cls3NCentDailyRng)),O246:Y246,TRANSPOSE(Cls3NCentVMTShr))/SUMPRODUCT(O246:Y246,TRANSPOSE(Cls3NCentVMTShr)),0)</f>
        <v>0</v>
      </c>
      <c r="AD246" s="1226">
        <f t="shared" si="122"/>
        <v>0</v>
      </c>
      <c r="AE246" s="1230">
        <f t="shared" si="115"/>
        <v>0</v>
      </c>
      <c r="AF246" s="1231">
        <f t="shared" si="116"/>
        <v>0</v>
      </c>
      <c r="AG246" s="1231">
        <f t="shared" si="117"/>
        <v>0</v>
      </c>
      <c r="AH246" s="1172">
        <f t="shared" si="123"/>
        <v>0</v>
      </c>
      <c r="AI246" s="1232">
        <f t="shared" si="124"/>
        <v>0</v>
      </c>
    </row>
    <row r="247" spans="1:35" x14ac:dyDescent="0.2">
      <c r="A247" s="329">
        <v>2021</v>
      </c>
      <c r="B247" s="342">
        <v>0</v>
      </c>
      <c r="C247" s="343">
        <v>0</v>
      </c>
      <c r="D247" s="343">
        <v>0</v>
      </c>
      <c r="E247" s="343">
        <v>0</v>
      </c>
      <c r="F247" s="343">
        <v>0</v>
      </c>
      <c r="G247" s="343">
        <v>0</v>
      </c>
      <c r="H247" s="343">
        <v>0</v>
      </c>
      <c r="I247" s="343">
        <v>0</v>
      </c>
      <c r="J247" s="343">
        <v>0</v>
      </c>
      <c r="K247" s="343">
        <v>0</v>
      </c>
      <c r="L247" s="379">
        <v>0</v>
      </c>
      <c r="M247" s="282">
        <f t="shared" si="118"/>
        <v>0</v>
      </c>
      <c r="N247" s="284">
        <f t="shared" si="119"/>
        <v>0</v>
      </c>
      <c r="O247" s="342">
        <v>0</v>
      </c>
      <c r="P247" s="343">
        <v>0</v>
      </c>
      <c r="Q247" s="343">
        <v>0</v>
      </c>
      <c r="R247" s="343">
        <v>0</v>
      </c>
      <c r="S247" s="343">
        <v>0</v>
      </c>
      <c r="T247" s="343">
        <v>0</v>
      </c>
      <c r="U247" s="343">
        <v>0</v>
      </c>
      <c r="V247" s="343">
        <v>0</v>
      </c>
      <c r="W247" s="343">
        <v>0</v>
      </c>
      <c r="X247" s="343">
        <v>0</v>
      </c>
      <c r="Y247" s="379">
        <v>0</v>
      </c>
      <c r="Z247" s="282">
        <f t="shared" si="120"/>
        <v>0</v>
      </c>
      <c r="AA247" s="284">
        <f t="shared" si="121"/>
        <v>0</v>
      </c>
      <c r="AB247" s="948">
        <f t="array" ref="AB247">IF(AND($AD$228=TRUE,SUM(B247:L247)&gt;0),SUMPRODUCT((((TRANSPOSE(Cls3CentDailyRng)&lt;INDEX(CDRANGE_CLS3,$A247-$A$233+1,AD$229))*TRANSPOSE(Cls3CentDailyRng)+(TRANSPOSE(Cls3CentDailyRng)&gt;INDEX(CDRANGE_CLS3,$A247-$A$233+1,AD$229))*INDEX(CDRANGE_CLS3,$A247-$A$233+1,AD$229))/TRANSPOSE(Cls3CentDailyRng)),B247:L247,TRANSPOSE(Cls3CentVMTShr))/SUMPRODUCT(B247:L247,TRANSPOSE(Cls3CentVMTShr)),0)</f>
        <v>0</v>
      </c>
      <c r="AC247" s="949">
        <f t="array" ref="AC247">IF(AND($AD$228=TRUE,SUM(O247:Y247)&gt;0),SUMPRODUCT((((TRANSPOSE(Cls3NCentDailyRng)&lt;INDEX(CDRANGE_CLS3,$A247-$A$233+1,AD$229))*TRANSPOSE(Cls3NCentDailyRng)+(TRANSPOSE(Cls3NCentDailyRng)&gt;INDEX(CDRANGE_CLS3,$A247-$A$233+1,AD$229))*INDEX(CDRANGE_CLS3,$A247-$A$233+1,AD$229))/TRANSPOSE(Cls3NCentDailyRng)),O247:Y247,TRANSPOSE(Cls3NCentVMTShr))/SUMPRODUCT(O247:Y247,TRANSPOSE(Cls3NCentVMTShr)),0)</f>
        <v>0</v>
      </c>
      <c r="AD247" s="1226">
        <f t="shared" si="122"/>
        <v>0</v>
      </c>
      <c r="AE247" s="1230">
        <f t="shared" si="115"/>
        <v>0</v>
      </c>
      <c r="AF247" s="1231">
        <f t="shared" si="116"/>
        <v>0</v>
      </c>
      <c r="AG247" s="1231">
        <f t="shared" si="117"/>
        <v>0</v>
      </c>
      <c r="AH247" s="1172">
        <f t="shared" si="123"/>
        <v>0</v>
      </c>
      <c r="AI247" s="1232">
        <f t="shared" si="124"/>
        <v>0</v>
      </c>
    </row>
    <row r="248" spans="1:35" x14ac:dyDescent="0.2">
      <c r="A248" s="330">
        <v>2022</v>
      </c>
      <c r="B248" s="344">
        <v>0</v>
      </c>
      <c r="C248" s="345">
        <v>0</v>
      </c>
      <c r="D248" s="345">
        <v>0</v>
      </c>
      <c r="E248" s="345">
        <v>0</v>
      </c>
      <c r="F248" s="345">
        <v>0</v>
      </c>
      <c r="G248" s="345">
        <v>0</v>
      </c>
      <c r="H248" s="345">
        <v>0</v>
      </c>
      <c r="I248" s="345">
        <v>0</v>
      </c>
      <c r="J248" s="345">
        <v>0</v>
      </c>
      <c r="K248" s="345">
        <v>0</v>
      </c>
      <c r="L248" s="380">
        <v>0</v>
      </c>
      <c r="M248" s="296">
        <f t="shared" si="118"/>
        <v>0</v>
      </c>
      <c r="N248" s="298">
        <f t="shared" si="119"/>
        <v>0</v>
      </c>
      <c r="O248" s="344">
        <v>0</v>
      </c>
      <c r="P248" s="345">
        <v>0</v>
      </c>
      <c r="Q248" s="345">
        <v>0</v>
      </c>
      <c r="R248" s="345">
        <v>0</v>
      </c>
      <c r="S248" s="345">
        <v>0</v>
      </c>
      <c r="T248" s="345">
        <v>0</v>
      </c>
      <c r="U248" s="345">
        <v>0</v>
      </c>
      <c r="V248" s="345">
        <v>0</v>
      </c>
      <c r="W248" s="345">
        <v>0</v>
      </c>
      <c r="X248" s="345">
        <v>0</v>
      </c>
      <c r="Y248" s="380">
        <v>0</v>
      </c>
      <c r="Z248" s="296">
        <f t="shared" si="120"/>
        <v>0</v>
      </c>
      <c r="AA248" s="298">
        <f t="shared" si="121"/>
        <v>0</v>
      </c>
      <c r="AB248" s="948">
        <f t="array" ref="AB248">IF(AND($AD$228=TRUE,SUM(B248:L248)&gt;0),SUMPRODUCT((((TRANSPOSE(Cls3CentDailyRng)&lt;INDEX(CDRANGE_CLS3,$A248-$A$233+1,AD$229))*TRANSPOSE(Cls3CentDailyRng)+(TRANSPOSE(Cls3CentDailyRng)&gt;INDEX(CDRANGE_CLS3,$A248-$A$233+1,AD$229))*INDEX(CDRANGE_CLS3,$A248-$A$233+1,AD$229))/TRANSPOSE(Cls3CentDailyRng)),B248:L248,TRANSPOSE(Cls3CentVMTShr))/SUMPRODUCT(B248:L248,TRANSPOSE(Cls3CentVMTShr)),0)</f>
        <v>0</v>
      </c>
      <c r="AC248" s="949">
        <f t="array" ref="AC248">IF(AND($AD$228=TRUE,SUM(O248:Y248)&gt;0),SUMPRODUCT((((TRANSPOSE(Cls3NCentDailyRng)&lt;INDEX(CDRANGE_CLS3,$A248-$A$233+1,AD$229))*TRANSPOSE(Cls3NCentDailyRng)+(TRANSPOSE(Cls3NCentDailyRng)&gt;INDEX(CDRANGE_CLS3,$A248-$A$233+1,AD$229))*INDEX(CDRANGE_CLS3,$A248-$A$233+1,AD$229))/TRANSPOSE(Cls3NCentDailyRng)),O248:Y248,TRANSPOSE(Cls3NCentVMTShr))/SUMPRODUCT(O248:Y248,TRANSPOSE(Cls3NCentVMTShr)),0)</f>
        <v>0</v>
      </c>
      <c r="AD248" s="1226">
        <f t="shared" si="122"/>
        <v>0</v>
      </c>
      <c r="AE248" s="1230">
        <f>SUMPRODUCT($B$74:$L$74,B248:L248)</f>
        <v>0</v>
      </c>
      <c r="AF248" s="1231">
        <f>SUMPRODUCT($O$74:$Y$74,O248:Y248)</f>
        <v>0</v>
      </c>
      <c r="AG248" s="1231">
        <f>SUM(AE248:AF248)</f>
        <v>0</v>
      </c>
      <c r="AH248" s="1172">
        <f t="shared" si="123"/>
        <v>0</v>
      </c>
      <c r="AI248" s="1232">
        <f t="shared" si="124"/>
        <v>0</v>
      </c>
    </row>
    <row r="249" spans="1:35" x14ac:dyDescent="0.2">
      <c r="A249" s="330">
        <v>2023</v>
      </c>
      <c r="B249" s="344">
        <v>0</v>
      </c>
      <c r="C249" s="345">
        <v>0</v>
      </c>
      <c r="D249" s="345">
        <v>0</v>
      </c>
      <c r="E249" s="345">
        <v>0</v>
      </c>
      <c r="F249" s="345">
        <v>0</v>
      </c>
      <c r="G249" s="345">
        <v>0</v>
      </c>
      <c r="H249" s="345">
        <v>0</v>
      </c>
      <c r="I249" s="345">
        <v>0</v>
      </c>
      <c r="J249" s="345">
        <v>0</v>
      </c>
      <c r="K249" s="345">
        <v>0</v>
      </c>
      <c r="L249" s="380">
        <v>0</v>
      </c>
      <c r="M249" s="296">
        <f t="shared" si="118"/>
        <v>0</v>
      </c>
      <c r="N249" s="298">
        <f t="shared" si="119"/>
        <v>0</v>
      </c>
      <c r="O249" s="344">
        <v>0</v>
      </c>
      <c r="P249" s="345">
        <v>0</v>
      </c>
      <c r="Q249" s="345">
        <v>0</v>
      </c>
      <c r="R249" s="345">
        <v>0</v>
      </c>
      <c r="S249" s="345">
        <v>0</v>
      </c>
      <c r="T249" s="345">
        <v>0</v>
      </c>
      <c r="U249" s="345">
        <v>0</v>
      </c>
      <c r="V249" s="345">
        <v>0</v>
      </c>
      <c r="W249" s="345">
        <v>0</v>
      </c>
      <c r="X249" s="345">
        <v>0</v>
      </c>
      <c r="Y249" s="380">
        <v>0</v>
      </c>
      <c r="Z249" s="296">
        <f t="shared" si="120"/>
        <v>0</v>
      </c>
      <c r="AA249" s="298">
        <f t="shared" si="121"/>
        <v>0</v>
      </c>
      <c r="AB249" s="948">
        <f t="array" ref="AB249">IF(AND($AD$228=TRUE,SUM(B249:L249)&gt;0),SUMPRODUCT((((TRANSPOSE(Cls3CentDailyRng)&lt;INDEX(CDRANGE_CLS3,$A249-$A$233+1,AD$229))*TRANSPOSE(Cls3CentDailyRng)+(TRANSPOSE(Cls3CentDailyRng)&gt;INDEX(CDRANGE_CLS3,$A249-$A$233+1,AD$229))*INDEX(CDRANGE_CLS3,$A249-$A$233+1,AD$229))/TRANSPOSE(Cls3CentDailyRng)),B249:L249,TRANSPOSE(Cls3CentVMTShr))/SUMPRODUCT(B249:L249,TRANSPOSE(Cls3CentVMTShr)),0)</f>
        <v>0</v>
      </c>
      <c r="AC249" s="949">
        <f t="array" ref="AC249">IF(AND($AD$228=TRUE,SUM(O249:Y249)&gt;0),SUMPRODUCT((((TRANSPOSE(Cls3NCentDailyRng)&lt;INDEX(CDRANGE_CLS3,$A249-$A$233+1,AD$229))*TRANSPOSE(Cls3NCentDailyRng)+(TRANSPOSE(Cls3NCentDailyRng)&gt;INDEX(CDRANGE_CLS3,$A249-$A$233+1,AD$229))*INDEX(CDRANGE_CLS3,$A249-$A$233+1,AD$229))/TRANSPOSE(Cls3NCentDailyRng)),O249:Y249,TRANSPOSE(Cls3NCentVMTShr))/SUMPRODUCT(O249:Y249,TRANSPOSE(Cls3NCentVMTShr)),0)</f>
        <v>0</v>
      </c>
      <c r="AD249" s="1226">
        <f t="shared" si="122"/>
        <v>0</v>
      </c>
      <c r="AE249" s="1230">
        <f t="shared" ref="AE249:AE276" si="125">SUMPRODUCT($B$74:$L$74,B249:L249)</f>
        <v>0</v>
      </c>
      <c r="AF249" s="1231">
        <f t="shared" ref="AF249:AF276" si="126">SUMPRODUCT($O$74:$Y$74,O249:Y249)</f>
        <v>0</v>
      </c>
      <c r="AG249" s="1231">
        <f t="shared" ref="AG249:AG276" si="127">SUM(AE249:AF249)</f>
        <v>0</v>
      </c>
      <c r="AH249" s="1172">
        <f t="shared" si="123"/>
        <v>0</v>
      </c>
      <c r="AI249" s="1232">
        <f t="shared" si="124"/>
        <v>0</v>
      </c>
    </row>
    <row r="250" spans="1:35" x14ac:dyDescent="0.2">
      <c r="A250" s="330">
        <v>2024</v>
      </c>
      <c r="B250" s="344">
        <v>0</v>
      </c>
      <c r="C250" s="345">
        <v>0</v>
      </c>
      <c r="D250" s="345">
        <v>0</v>
      </c>
      <c r="E250" s="345">
        <v>0</v>
      </c>
      <c r="F250" s="345">
        <v>0</v>
      </c>
      <c r="G250" s="345">
        <v>0</v>
      </c>
      <c r="H250" s="345">
        <v>0</v>
      </c>
      <c r="I250" s="345">
        <v>0</v>
      </c>
      <c r="J250" s="345">
        <v>0</v>
      </c>
      <c r="K250" s="345">
        <v>0</v>
      </c>
      <c r="L250" s="380">
        <v>0</v>
      </c>
      <c r="M250" s="296">
        <f t="shared" si="118"/>
        <v>0</v>
      </c>
      <c r="N250" s="298">
        <f t="shared" si="119"/>
        <v>0</v>
      </c>
      <c r="O250" s="344">
        <v>0</v>
      </c>
      <c r="P250" s="345">
        <v>0</v>
      </c>
      <c r="Q250" s="345">
        <v>0</v>
      </c>
      <c r="R250" s="345">
        <v>0</v>
      </c>
      <c r="S250" s="345">
        <v>0</v>
      </c>
      <c r="T250" s="345">
        <v>0</v>
      </c>
      <c r="U250" s="345">
        <v>0</v>
      </c>
      <c r="V250" s="345">
        <v>0</v>
      </c>
      <c r="W250" s="345">
        <v>0</v>
      </c>
      <c r="X250" s="345">
        <v>0</v>
      </c>
      <c r="Y250" s="380">
        <v>0</v>
      </c>
      <c r="Z250" s="296">
        <f t="shared" si="120"/>
        <v>0</v>
      </c>
      <c r="AA250" s="298">
        <f t="shared" si="121"/>
        <v>0</v>
      </c>
      <c r="AB250" s="948">
        <f t="array" ref="AB250">IF(AND($AD$228=TRUE,SUM(B250:L250)&gt;0),SUMPRODUCT((((TRANSPOSE(Cls3CentDailyRng)&lt;INDEX(CDRANGE_CLS3,$A250-$A$233+1,AD$229))*TRANSPOSE(Cls3CentDailyRng)+(TRANSPOSE(Cls3CentDailyRng)&gt;INDEX(CDRANGE_CLS3,$A250-$A$233+1,AD$229))*INDEX(CDRANGE_CLS3,$A250-$A$233+1,AD$229))/TRANSPOSE(Cls3CentDailyRng)),B250:L250,TRANSPOSE(Cls3CentVMTShr))/SUMPRODUCT(B250:L250,TRANSPOSE(Cls3CentVMTShr)),0)</f>
        <v>0</v>
      </c>
      <c r="AC250" s="949">
        <f t="array" ref="AC250">IF(AND($AD$228=TRUE,SUM(O250:Y250)&gt;0),SUMPRODUCT((((TRANSPOSE(Cls3NCentDailyRng)&lt;INDEX(CDRANGE_CLS3,$A250-$A$233+1,AD$229))*TRANSPOSE(Cls3NCentDailyRng)+(TRANSPOSE(Cls3NCentDailyRng)&gt;INDEX(CDRANGE_CLS3,$A250-$A$233+1,AD$229))*INDEX(CDRANGE_CLS3,$A250-$A$233+1,AD$229))/TRANSPOSE(Cls3NCentDailyRng)),O250:Y250,TRANSPOSE(Cls3NCentVMTShr))/SUMPRODUCT(O250:Y250,TRANSPOSE(Cls3NCentVMTShr)),0)</f>
        <v>0</v>
      </c>
      <c r="AD250" s="1226">
        <f t="shared" si="122"/>
        <v>0</v>
      </c>
      <c r="AE250" s="1230">
        <f t="shared" si="125"/>
        <v>0</v>
      </c>
      <c r="AF250" s="1231">
        <f t="shared" si="126"/>
        <v>0</v>
      </c>
      <c r="AG250" s="1231">
        <f t="shared" si="127"/>
        <v>0</v>
      </c>
      <c r="AH250" s="1172">
        <f t="shared" si="123"/>
        <v>0</v>
      </c>
      <c r="AI250" s="1232">
        <f t="shared" si="124"/>
        <v>0</v>
      </c>
    </row>
    <row r="251" spans="1:35" ht="15" thickBot="1" x14ac:dyDescent="0.25">
      <c r="A251" s="328">
        <v>2025</v>
      </c>
      <c r="B251" s="346">
        <v>0</v>
      </c>
      <c r="C251" s="347">
        <v>0</v>
      </c>
      <c r="D251" s="347">
        <v>0</v>
      </c>
      <c r="E251" s="347">
        <v>0</v>
      </c>
      <c r="F251" s="347">
        <v>0</v>
      </c>
      <c r="G251" s="347">
        <v>0</v>
      </c>
      <c r="H251" s="347">
        <v>0</v>
      </c>
      <c r="I251" s="347">
        <v>0</v>
      </c>
      <c r="J251" s="347">
        <v>0</v>
      </c>
      <c r="K251" s="347">
        <v>0</v>
      </c>
      <c r="L251" s="381">
        <v>0</v>
      </c>
      <c r="M251" s="310">
        <f t="shared" si="118"/>
        <v>0</v>
      </c>
      <c r="N251" s="312">
        <f t="shared" si="119"/>
        <v>0</v>
      </c>
      <c r="O251" s="346">
        <v>0</v>
      </c>
      <c r="P251" s="347">
        <v>0</v>
      </c>
      <c r="Q251" s="347">
        <v>0</v>
      </c>
      <c r="R251" s="347">
        <v>0</v>
      </c>
      <c r="S251" s="347">
        <v>0</v>
      </c>
      <c r="T251" s="347">
        <v>0</v>
      </c>
      <c r="U251" s="347">
        <v>0</v>
      </c>
      <c r="V251" s="347">
        <v>0</v>
      </c>
      <c r="W251" s="347">
        <v>0</v>
      </c>
      <c r="X251" s="347">
        <v>0</v>
      </c>
      <c r="Y251" s="381">
        <v>0</v>
      </c>
      <c r="Z251" s="310">
        <f t="shared" si="120"/>
        <v>0</v>
      </c>
      <c r="AA251" s="312">
        <f t="shared" si="121"/>
        <v>0</v>
      </c>
      <c r="AB251" s="948">
        <f t="array" ref="AB251">IF(AND($AD$228=TRUE,SUM(B251:L251)&gt;0),SUMPRODUCT((((TRANSPOSE(Cls3CentDailyRng)&lt;INDEX(CDRANGE_CLS3,$A251-$A$233+1,AD$229))*TRANSPOSE(Cls3CentDailyRng)+(TRANSPOSE(Cls3CentDailyRng)&gt;INDEX(CDRANGE_CLS3,$A251-$A$233+1,AD$229))*INDEX(CDRANGE_CLS3,$A251-$A$233+1,AD$229))/TRANSPOSE(Cls3CentDailyRng)),B251:L251,TRANSPOSE(Cls3CentVMTShr))/SUMPRODUCT(B251:L251,TRANSPOSE(Cls3CentVMTShr)),0)</f>
        <v>0</v>
      </c>
      <c r="AC251" s="949">
        <f t="array" ref="AC251">IF(AND($AD$228=TRUE,SUM(O251:Y251)&gt;0),SUMPRODUCT((((TRANSPOSE(Cls3NCentDailyRng)&lt;INDEX(CDRANGE_CLS3,$A251-$A$233+1,AD$229))*TRANSPOSE(Cls3NCentDailyRng)+(TRANSPOSE(Cls3NCentDailyRng)&gt;INDEX(CDRANGE_CLS3,$A251-$A$233+1,AD$229))*INDEX(CDRANGE_CLS3,$A251-$A$233+1,AD$229))/TRANSPOSE(Cls3NCentDailyRng)),O251:Y251,TRANSPOSE(Cls3NCentVMTShr))/SUMPRODUCT(O251:Y251,TRANSPOSE(Cls3NCentVMTShr)),0)</f>
        <v>0</v>
      </c>
      <c r="AD251" s="1226">
        <f t="shared" si="122"/>
        <v>0</v>
      </c>
      <c r="AE251" s="1230">
        <f t="shared" si="125"/>
        <v>0</v>
      </c>
      <c r="AF251" s="1231">
        <f t="shared" si="126"/>
        <v>0</v>
      </c>
      <c r="AG251" s="1231">
        <f t="shared" si="127"/>
        <v>0</v>
      </c>
      <c r="AH251" s="1172">
        <f t="shared" si="123"/>
        <v>0</v>
      </c>
      <c r="AI251" s="1232">
        <f t="shared" si="124"/>
        <v>0</v>
      </c>
    </row>
    <row r="252" spans="1:35" x14ac:dyDescent="0.2">
      <c r="A252" s="329">
        <v>2026</v>
      </c>
      <c r="B252" s="342">
        <v>0</v>
      </c>
      <c r="C252" s="343">
        <v>0</v>
      </c>
      <c r="D252" s="343">
        <v>0</v>
      </c>
      <c r="E252" s="343">
        <v>0</v>
      </c>
      <c r="F252" s="343">
        <v>0</v>
      </c>
      <c r="G252" s="343">
        <v>0</v>
      </c>
      <c r="H252" s="343">
        <v>0</v>
      </c>
      <c r="I252" s="343">
        <v>0</v>
      </c>
      <c r="J252" s="343">
        <v>0</v>
      </c>
      <c r="K252" s="343">
        <v>0</v>
      </c>
      <c r="L252" s="379">
        <v>0</v>
      </c>
      <c r="M252" s="282">
        <f t="shared" si="118"/>
        <v>0</v>
      </c>
      <c r="N252" s="284">
        <f t="shared" si="119"/>
        <v>0</v>
      </c>
      <c r="O252" s="342">
        <v>0</v>
      </c>
      <c r="P252" s="343">
        <v>0</v>
      </c>
      <c r="Q252" s="343">
        <v>0</v>
      </c>
      <c r="R252" s="343">
        <v>0</v>
      </c>
      <c r="S252" s="343">
        <v>0</v>
      </c>
      <c r="T252" s="343">
        <v>0</v>
      </c>
      <c r="U252" s="343">
        <v>0</v>
      </c>
      <c r="V252" s="343">
        <v>0</v>
      </c>
      <c r="W252" s="343">
        <v>0</v>
      </c>
      <c r="X252" s="343">
        <v>3.2779937161069097E-5</v>
      </c>
      <c r="Y252" s="379">
        <v>9.8580416606320535E-4</v>
      </c>
      <c r="Z252" s="282">
        <f t="shared" si="120"/>
        <v>8.968727190431292E-7</v>
      </c>
      <c r="AA252" s="284">
        <f t="shared" si="121"/>
        <v>1.0866518436118608E-7</v>
      </c>
      <c r="AB252" s="948">
        <f t="array" ref="AB252">IF(AND($AD$228=TRUE,SUM(B252:L252)&gt;0),SUMPRODUCT((((TRANSPOSE(Cls3CentDailyRng)&lt;INDEX(CDRANGE_CLS3,$A252-$A$233+1,AD$229))*TRANSPOSE(Cls3CentDailyRng)+(TRANSPOSE(Cls3CentDailyRng)&gt;INDEX(CDRANGE_CLS3,$A252-$A$233+1,AD$229))*INDEX(CDRANGE_CLS3,$A252-$A$233+1,AD$229))/TRANSPOSE(Cls3CentDailyRng)),B252:L252,TRANSPOSE(Cls3CentVMTShr))/SUMPRODUCT(B252:L252,TRANSPOSE(Cls3CentVMTShr)),0)</f>
        <v>0</v>
      </c>
      <c r="AC252" s="949">
        <f t="array" ref="AC252">IF(AND($AD$228=TRUE,SUM(O252:Y252)&gt;0),SUMPRODUCT((((TRANSPOSE(Cls3NCentDailyRng)&lt;INDEX(CDRANGE_CLS3,$A252-$A$233+1,AD$229))*TRANSPOSE(Cls3NCentDailyRng)+(TRANSPOSE(Cls3NCentDailyRng)&gt;INDEX(CDRANGE_CLS3,$A252-$A$233+1,AD$229))*INDEX(CDRANGE_CLS3,$A252-$A$233+1,AD$229))/TRANSPOSE(Cls3NCentDailyRng)),O252:Y252,TRANSPOSE(Cls3NCentVMTShr))/SUMPRODUCT(O252:Y252,TRANSPOSE(Cls3NCentVMTShr)),0)</f>
        <v>0.16889843268474264</v>
      </c>
      <c r="AD252" s="1226">
        <f t="shared" si="122"/>
        <v>0.16889843268474264</v>
      </c>
      <c r="AE252" s="1230">
        <f t="shared" si="125"/>
        <v>0</v>
      </c>
      <c r="AF252" s="1231">
        <f t="shared" si="126"/>
        <v>8.968727190431292E-7</v>
      </c>
      <c r="AG252" s="1231">
        <f t="shared" si="127"/>
        <v>8.968727190431292E-7</v>
      </c>
      <c r="AH252" s="1172">
        <f t="shared" si="123"/>
        <v>0</v>
      </c>
      <c r="AI252" s="1232">
        <f t="shared" si="124"/>
        <v>1</v>
      </c>
    </row>
    <row r="253" spans="1:35" x14ac:dyDescent="0.2">
      <c r="A253" s="330">
        <v>2027</v>
      </c>
      <c r="B253" s="344">
        <v>0</v>
      </c>
      <c r="C253" s="345">
        <v>0</v>
      </c>
      <c r="D253" s="345">
        <v>0</v>
      </c>
      <c r="E253" s="345">
        <v>0</v>
      </c>
      <c r="F253" s="345">
        <v>0</v>
      </c>
      <c r="G253" s="345">
        <v>0</v>
      </c>
      <c r="H253" s="345">
        <v>0</v>
      </c>
      <c r="I253" s="345">
        <v>0</v>
      </c>
      <c r="J253" s="345">
        <v>0</v>
      </c>
      <c r="K253" s="345">
        <v>7.4389376944895532E-4</v>
      </c>
      <c r="L253" s="380">
        <v>7.4389376944895532E-4</v>
      </c>
      <c r="M253" s="296">
        <f t="shared" si="118"/>
        <v>2.7600748576619256E-6</v>
      </c>
      <c r="N253" s="298">
        <f t="shared" si="119"/>
        <v>3.7621230025349355E-7</v>
      </c>
      <c r="O253" s="344">
        <v>0</v>
      </c>
      <c r="P253" s="345">
        <v>0</v>
      </c>
      <c r="Q253" s="345">
        <v>0</v>
      </c>
      <c r="R253" s="345">
        <v>0</v>
      </c>
      <c r="S253" s="345">
        <v>0</v>
      </c>
      <c r="T253" s="345">
        <v>0</v>
      </c>
      <c r="U253" s="345">
        <v>0</v>
      </c>
      <c r="V253" s="345">
        <v>0</v>
      </c>
      <c r="W253" s="345">
        <v>3.3018456833693E-4</v>
      </c>
      <c r="X253" s="345">
        <v>1.3764062729460839E-3</v>
      </c>
      <c r="Y253" s="380">
        <v>8.9825106295280104E-3</v>
      </c>
      <c r="Z253" s="296">
        <f t="shared" si="120"/>
        <v>9.2150662213584214E-6</v>
      </c>
      <c r="AA253" s="298">
        <f t="shared" si="121"/>
        <v>1.1518608008464199E-6</v>
      </c>
      <c r="AB253" s="948">
        <f t="array" ref="AB253">IF(AND($AD$228=TRUE,SUM(B253:L253)&gt;0),SUMPRODUCT((((TRANSPOSE(Cls3CentDailyRng)&lt;INDEX(CDRANGE_CLS3,$A253-$A$233+1,AD$229))*TRANSPOSE(Cls3CentDailyRng)+(TRANSPOSE(Cls3CentDailyRng)&gt;INDEX(CDRANGE_CLS3,$A253-$A$233+1,AD$229))*INDEX(CDRANGE_CLS3,$A253-$A$233+1,AD$229))/TRANSPOSE(Cls3CentDailyRng)),B253:L253,TRANSPOSE(Cls3CentVMTShr))/SUMPRODUCT(B253:L253,TRANSPOSE(Cls3CentVMTShr)),0)</f>
        <v>0.19082792372201707</v>
      </c>
      <c r="AC253" s="949">
        <f t="array" ref="AC253">IF(AND($AD$228=TRUE,SUM(O253:Y253)&gt;0),SUMPRODUCT((((TRANSPOSE(Cls3NCentDailyRng)&lt;INDEX(CDRANGE_CLS3,$A253-$A$233+1,AD$229))*TRANSPOSE(Cls3NCentDailyRng)+(TRANSPOSE(Cls3NCentDailyRng)&gt;INDEX(CDRANGE_CLS3,$A253-$A$233+1,AD$229))*INDEX(CDRANGE_CLS3,$A253-$A$233+1,AD$229))/TRANSPOSE(Cls3NCentDailyRng)),O253:Y253,TRANSPOSE(Cls3NCentVMTShr))/SUMPRODUCT(O253:Y253,TRANSPOSE(Cls3NCentVMTShr)),0)</f>
        <v>0.1749972942499585</v>
      </c>
      <c r="AD253" s="1226">
        <f t="shared" si="122"/>
        <v>0.17864599634862016</v>
      </c>
      <c r="AE253" s="1230">
        <f t="shared" si="125"/>
        <v>2.7600748576619256E-6</v>
      </c>
      <c r="AF253" s="1231">
        <f t="shared" si="126"/>
        <v>9.2150662213584214E-6</v>
      </c>
      <c r="AG253" s="1231">
        <f t="shared" si="127"/>
        <v>1.1975141079020346E-5</v>
      </c>
      <c r="AH253" s="1172">
        <f t="shared" si="123"/>
        <v>0.23048370281811492</v>
      </c>
      <c r="AI253" s="1232">
        <f t="shared" si="124"/>
        <v>0.76951629718188519</v>
      </c>
    </row>
    <row r="254" spans="1:35" x14ac:dyDescent="0.2">
      <c r="A254" s="330">
        <v>2028</v>
      </c>
      <c r="B254" s="344">
        <v>0</v>
      </c>
      <c r="C254" s="345">
        <v>0</v>
      </c>
      <c r="D254" s="345">
        <v>0</v>
      </c>
      <c r="E254" s="345">
        <v>0</v>
      </c>
      <c r="F254" s="345">
        <v>0</v>
      </c>
      <c r="G254" s="345">
        <v>0</v>
      </c>
      <c r="H254" s="345">
        <v>0</v>
      </c>
      <c r="I254" s="345">
        <v>1.197702072547327E-4</v>
      </c>
      <c r="J254" s="345">
        <v>1.6988872247276614E-3</v>
      </c>
      <c r="K254" s="345">
        <v>1.1028911045293473E-2</v>
      </c>
      <c r="L254" s="380">
        <v>1.1028911045293473E-2</v>
      </c>
      <c r="M254" s="296">
        <f t="shared" si="118"/>
        <v>4.0920654713983597E-5</v>
      </c>
      <c r="N254" s="298">
        <f t="shared" si="119"/>
        <v>5.5776942408249748E-6</v>
      </c>
      <c r="O254" s="344">
        <v>0</v>
      </c>
      <c r="P254" s="345">
        <v>0</v>
      </c>
      <c r="Q254" s="345">
        <v>0</v>
      </c>
      <c r="R254" s="345">
        <v>0</v>
      </c>
      <c r="S254" s="345">
        <v>0</v>
      </c>
      <c r="T254" s="345">
        <v>0</v>
      </c>
      <c r="U254" s="345">
        <v>0</v>
      </c>
      <c r="V254" s="345">
        <v>1.0773008341057422E-3</v>
      </c>
      <c r="W254" s="345">
        <v>6.7695852195807909E-3</v>
      </c>
      <c r="X254" s="345">
        <v>1.3940020458341883E-2</v>
      </c>
      <c r="Y254" s="380">
        <v>3.8151473732686493E-2</v>
      </c>
      <c r="Z254" s="296">
        <f t="shared" si="120"/>
        <v>7.8668271099984122E-5</v>
      </c>
      <c r="AA254" s="298">
        <f t="shared" si="121"/>
        <v>1.1567295732152166E-5</v>
      </c>
      <c r="AB254" s="948">
        <f t="array" ref="AB254">IF(AND($AD$228=TRUE,SUM(B254:L254)&gt;0),SUMPRODUCT((((TRANSPOSE(Cls3CentDailyRng)&lt;INDEX(CDRANGE_CLS3,$A254-$A$233+1,AD$229))*TRANSPOSE(Cls3CentDailyRng)+(TRANSPOSE(Cls3CentDailyRng)&gt;INDEX(CDRANGE_CLS3,$A254-$A$233+1,AD$229))*INDEX(CDRANGE_CLS3,$A254-$A$233+1,AD$229))/TRANSPOSE(Cls3CentDailyRng)),B254:L254,TRANSPOSE(Cls3CentVMTShr))/SUMPRODUCT(B254:L254,TRANSPOSE(Cls3CentVMTShr)),0)</f>
        <v>0.19164511067369877</v>
      </c>
      <c r="AC254" s="949">
        <f t="array" ref="AC254">IF(AND($AD$228=TRUE,SUM(O254:Y254)&gt;0),SUMPRODUCT((((TRANSPOSE(Cls3NCentDailyRng)&lt;INDEX(CDRANGE_CLS3,$A254-$A$233+1,AD$229))*TRANSPOSE(Cls3NCentDailyRng)+(TRANSPOSE(Cls3NCentDailyRng)&gt;INDEX(CDRANGE_CLS3,$A254-$A$233+1,AD$229))*INDEX(CDRANGE_CLS3,$A254-$A$233+1,AD$229))/TRANSPOSE(Cls3NCentDailyRng)),O254:Y254,TRANSPOSE(Cls3NCentVMTShr))/SUMPRODUCT(O254:Y254,TRANSPOSE(Cls3NCentVMTShr)),0)</f>
        <v>0.2067368274543317</v>
      </c>
      <c r="AD254" s="1226">
        <f t="shared" si="122"/>
        <v>0.20157277963620687</v>
      </c>
      <c r="AE254" s="1230">
        <f t="shared" si="125"/>
        <v>4.0920654713983597E-5</v>
      </c>
      <c r="AF254" s="1231">
        <f t="shared" si="126"/>
        <v>7.8668271099984122E-5</v>
      </c>
      <c r="AG254" s="1231">
        <f t="shared" si="127"/>
        <v>1.1958892581396772E-4</v>
      </c>
      <c r="AH254" s="1172">
        <f t="shared" si="123"/>
        <v>0.34217762585843176</v>
      </c>
      <c r="AI254" s="1232">
        <f t="shared" si="124"/>
        <v>0.6578223741415683</v>
      </c>
    </row>
    <row r="255" spans="1:35" x14ac:dyDescent="0.2">
      <c r="A255" s="330">
        <v>2029</v>
      </c>
      <c r="B255" s="344">
        <v>0</v>
      </c>
      <c r="C255" s="345">
        <v>0</v>
      </c>
      <c r="D255" s="345">
        <v>0</v>
      </c>
      <c r="E255" s="345">
        <v>0</v>
      </c>
      <c r="F255" s="345">
        <v>0</v>
      </c>
      <c r="G255" s="345">
        <v>0</v>
      </c>
      <c r="H255" s="345">
        <v>6.5986313430162408E-4</v>
      </c>
      <c r="I255" s="345">
        <v>4.0400205082580781E-3</v>
      </c>
      <c r="J255" s="345">
        <v>1.4332003486482765E-2</v>
      </c>
      <c r="K255" s="345">
        <v>4.0111526450987284E-2</v>
      </c>
      <c r="L255" s="380">
        <v>4.0111526450987284E-2</v>
      </c>
      <c r="M255" s="296">
        <f t="shared" si="118"/>
        <v>1.5859051436492195E-4</v>
      </c>
      <c r="N255" s="298">
        <f t="shared" si="119"/>
        <v>2.2256354139361728E-5</v>
      </c>
      <c r="O255" s="344">
        <v>0</v>
      </c>
      <c r="P255" s="345">
        <v>0</v>
      </c>
      <c r="Q255" s="345">
        <v>0</v>
      </c>
      <c r="R255" s="345">
        <v>0</v>
      </c>
      <c r="S255" s="345">
        <v>0</v>
      </c>
      <c r="T255" s="345">
        <v>0</v>
      </c>
      <c r="U255" s="345">
        <v>1.7027281040400504E-3</v>
      </c>
      <c r="V255" s="345">
        <v>1.139432565061326E-2</v>
      </c>
      <c r="W255" s="345">
        <v>3.0319098148837827E-2</v>
      </c>
      <c r="X255" s="345">
        <v>4.782098401741295E-2</v>
      </c>
      <c r="Y255" s="380">
        <v>8.1265183981874017E-2</v>
      </c>
      <c r="Z255" s="296">
        <f t="shared" si="120"/>
        <v>4.437324726950648E-4</v>
      </c>
      <c r="AA255" s="298">
        <f t="shared" si="121"/>
        <v>7.4000500327016115E-5</v>
      </c>
      <c r="AB255" s="948">
        <f t="array" ref="AB255">IF(AND($AD$228=TRUE,SUM(B255:L255)&gt;0),SUMPRODUCT((((TRANSPOSE(Cls3CentDailyRng)&lt;INDEX(CDRANGE_CLS3,$A255-$A$233+1,AD$229))*TRANSPOSE(Cls3CentDailyRng)+(TRANSPOSE(Cls3CentDailyRng)&gt;INDEX(CDRANGE_CLS3,$A255-$A$233+1,AD$229))*INDEX(CDRANGE_CLS3,$A255-$A$233+1,AD$229))/TRANSPOSE(Cls3CentDailyRng)),B255:L255,TRANSPOSE(Cls3CentVMTShr))/SUMPRODUCT(B255:L255,TRANSPOSE(Cls3CentVMTShr)),0)</f>
        <v>0.19815742580887349</v>
      </c>
      <c r="AC255" s="949">
        <f t="array" ref="AC255">IF(AND($AD$228=TRUE,SUM(O255:Y255)&gt;0),SUMPRODUCT((((TRANSPOSE(Cls3NCentDailyRng)&lt;INDEX(CDRANGE_CLS3,$A255-$A$233+1,AD$229))*TRANSPOSE(Cls3NCentDailyRng)+(TRANSPOSE(Cls3NCentDailyRng)&gt;INDEX(CDRANGE_CLS3,$A255-$A$233+1,AD$229))*INDEX(CDRANGE_CLS3,$A255-$A$233+1,AD$229))/TRANSPOSE(Cls3NCentDailyRng)),O255:Y255,TRANSPOSE(Cls3NCentVMTShr))/SUMPRODUCT(O255:Y255,TRANSPOSE(Cls3NCentVMTShr)),0)</f>
        <v>0.23547617929666845</v>
      </c>
      <c r="AD255" s="1226">
        <f t="shared" si="122"/>
        <v>0.22565022139993335</v>
      </c>
      <c r="AE255" s="1230">
        <f t="shared" si="125"/>
        <v>1.5859051436492195E-4</v>
      </c>
      <c r="AF255" s="1231">
        <f t="shared" si="126"/>
        <v>4.437324726950648E-4</v>
      </c>
      <c r="AG255" s="1231">
        <f t="shared" si="127"/>
        <v>6.0232298705998678E-4</v>
      </c>
      <c r="AH255" s="1172">
        <f t="shared" si="123"/>
        <v>0.26329812703815592</v>
      </c>
      <c r="AI255" s="1232">
        <f t="shared" si="124"/>
        <v>0.73670187296184397</v>
      </c>
    </row>
    <row r="256" spans="1:35" ht="15" thickBot="1" x14ac:dyDescent="0.25">
      <c r="A256" s="328">
        <v>2030</v>
      </c>
      <c r="B256" s="346">
        <v>0</v>
      </c>
      <c r="C256" s="347">
        <v>0</v>
      </c>
      <c r="D256" s="347">
        <v>0</v>
      </c>
      <c r="E256" s="347">
        <v>0</v>
      </c>
      <c r="F256" s="347">
        <v>0</v>
      </c>
      <c r="G256" s="347">
        <v>9.0335374390242585E-5</v>
      </c>
      <c r="H256" s="347">
        <v>1.2727958240574162E-2</v>
      </c>
      <c r="I256" s="347">
        <v>2.7743890902743561E-2</v>
      </c>
      <c r="J256" s="347">
        <v>5.3231949098103332E-2</v>
      </c>
      <c r="K256" s="347">
        <v>8.9927856606654338E-2</v>
      </c>
      <c r="L256" s="381">
        <v>8.9927856606654338E-2</v>
      </c>
      <c r="M256" s="310">
        <f t="shared" si="118"/>
        <v>5.220478047291287E-4</v>
      </c>
      <c r="N256" s="312">
        <f t="shared" si="119"/>
        <v>8.3501760067383908E-5</v>
      </c>
      <c r="O256" s="346">
        <v>0</v>
      </c>
      <c r="P256" s="347">
        <v>0</v>
      </c>
      <c r="Q256" s="347">
        <v>0</v>
      </c>
      <c r="R256" s="347">
        <v>0</v>
      </c>
      <c r="S256" s="347">
        <v>0</v>
      </c>
      <c r="T256" s="347">
        <v>2.2372082610077684E-3</v>
      </c>
      <c r="U256" s="347">
        <v>1.8059723729747547E-2</v>
      </c>
      <c r="V256" s="347">
        <v>4.8837916096470362E-2</v>
      </c>
      <c r="W256" s="347">
        <v>7.8397788295693244E-2</v>
      </c>
      <c r="X256" s="347">
        <v>9.5920946713601324E-2</v>
      </c>
      <c r="Y256" s="381">
        <v>0.1270219211613495</v>
      </c>
      <c r="Z256" s="310">
        <f t="shared" si="120"/>
        <v>1.7832513644611019E-3</v>
      </c>
      <c r="AA256" s="312">
        <f t="shared" si="121"/>
        <v>3.2009109869811418E-4</v>
      </c>
      <c r="AB256" s="948">
        <f t="array" ref="AB256">IF(AND($AD$228=TRUE,SUM(B256:L256)&gt;0),SUMPRODUCT((((TRANSPOSE(Cls3CentDailyRng)&lt;INDEX(CDRANGE_CLS3,$A256-$A$233+1,AD$229))*TRANSPOSE(Cls3CentDailyRng)+(TRANSPOSE(Cls3CentDailyRng)&gt;INDEX(CDRANGE_CLS3,$A256-$A$233+1,AD$229))*INDEX(CDRANGE_CLS3,$A256-$A$233+1,AD$229))/TRANSPOSE(Cls3CentDailyRng)),B256:L256,TRANSPOSE(Cls3CentVMTShr))/SUMPRODUCT(B256:L256,TRANSPOSE(Cls3CentVMTShr)),0)</f>
        <v>0.22680832170144943</v>
      </c>
      <c r="AC256" s="949">
        <f t="array" ref="AC256">IF(AND($AD$228=TRUE,SUM(O256:Y256)&gt;0),SUMPRODUCT((((TRANSPOSE(Cls3NCentDailyRng)&lt;INDEX(CDRANGE_CLS3,$A256-$A$233+1,AD$229))*TRANSPOSE(Cls3NCentDailyRng)+(TRANSPOSE(Cls3NCentDailyRng)&gt;INDEX(CDRANGE_CLS3,$A256-$A$233+1,AD$229))*INDEX(CDRANGE_CLS3,$A256-$A$233+1,AD$229))/TRANSPOSE(Cls3NCentDailyRng)),O256:Y256,TRANSPOSE(Cls3NCentVMTShr))/SUMPRODUCT(O256:Y256,TRANSPOSE(Cls3NCentVMTShr)),0)</f>
        <v>0.2545274703643538</v>
      </c>
      <c r="AD256" s="1226">
        <f t="shared" si="122"/>
        <v>0.24825031514657239</v>
      </c>
      <c r="AE256" s="1230">
        <f t="shared" si="125"/>
        <v>5.220478047291287E-4</v>
      </c>
      <c r="AF256" s="1231">
        <f t="shared" si="126"/>
        <v>1.7832513644611019E-3</v>
      </c>
      <c r="AG256" s="1231">
        <f t="shared" si="127"/>
        <v>2.3052991691902306E-3</v>
      </c>
      <c r="AH256" s="1172">
        <f t="shared" si="123"/>
        <v>0.22645555583681812</v>
      </c>
      <c r="AI256" s="1232">
        <f t="shared" si="124"/>
        <v>0.77354444416318191</v>
      </c>
    </row>
    <row r="257" spans="1:35" x14ac:dyDescent="0.2">
      <c r="A257" s="329">
        <v>2031</v>
      </c>
      <c r="B257" s="342">
        <v>0</v>
      </c>
      <c r="C257" s="343">
        <v>0</v>
      </c>
      <c r="D257" s="343">
        <v>0</v>
      </c>
      <c r="E257" s="343">
        <v>0</v>
      </c>
      <c r="F257" s="343">
        <v>0</v>
      </c>
      <c r="G257" s="343">
        <v>1.2640312796108209E-3</v>
      </c>
      <c r="H257" s="343">
        <v>3.1938222304637609E-2</v>
      </c>
      <c r="I257" s="343">
        <v>5.550266315865849E-2</v>
      </c>
      <c r="J257" s="343">
        <v>8.1421428692019251E-2</v>
      </c>
      <c r="K257" s="343">
        <v>0.11840070244432359</v>
      </c>
      <c r="L257" s="379">
        <v>0.11840070244432359</v>
      </c>
      <c r="M257" s="282">
        <f t="shared" si="118"/>
        <v>9.125322331642342E-4</v>
      </c>
      <c r="N257" s="284">
        <f t="shared" si="119"/>
        <v>1.5542377575413586E-4</v>
      </c>
      <c r="O257" s="342">
        <v>0</v>
      </c>
      <c r="P257" s="343">
        <v>0</v>
      </c>
      <c r="Q257" s="343">
        <v>0</v>
      </c>
      <c r="R257" s="343">
        <v>0</v>
      </c>
      <c r="S257" s="343">
        <v>4.7993787939218157E-4</v>
      </c>
      <c r="T257" s="343">
        <v>9.2725444980860522E-3</v>
      </c>
      <c r="U257" s="343">
        <v>3.8838021965744554E-2</v>
      </c>
      <c r="V257" s="343">
        <v>7.5728616481284539E-2</v>
      </c>
      <c r="W257" s="343">
        <v>0.10553909766605771</v>
      </c>
      <c r="X257" s="343">
        <v>0.12489796085302968</v>
      </c>
      <c r="Y257" s="379">
        <v>0.15040273832381634</v>
      </c>
      <c r="Z257" s="282">
        <f t="shared" si="120"/>
        <v>2.963302754795167E-3</v>
      </c>
      <c r="AA257" s="284">
        <f t="shared" si="121"/>
        <v>5.4792432161236075E-4</v>
      </c>
      <c r="AB257" s="948">
        <f t="array" ref="AB257">IF(AND($AD$228=TRUE,SUM(B257:L257)&gt;0),SUMPRODUCT((((TRANSPOSE(Cls3CentDailyRng)&lt;INDEX(CDRANGE_CLS3,$A257-$A$233+1,AD$229))*TRANSPOSE(Cls3CentDailyRng)+(TRANSPOSE(Cls3CentDailyRng)&gt;INDEX(CDRANGE_CLS3,$A257-$A$233+1,AD$229))*INDEX(CDRANGE_CLS3,$A257-$A$233+1,AD$229))/TRANSPOSE(Cls3CentDailyRng)),B257:L257,TRANSPOSE(Cls3CentVMTShr))/SUMPRODUCT(B257:L257,TRANSPOSE(Cls3CentVMTShr)),0)</f>
        <v>0.24252010322971904</v>
      </c>
      <c r="AC257" s="949">
        <f t="array" ref="AC257">IF(AND($AD$228=TRUE,SUM(O257:Y257)&gt;0),SUMPRODUCT((((TRANSPOSE(Cls3NCentDailyRng)&lt;INDEX(CDRANGE_CLS3,$A257-$A$233+1,AD$229))*TRANSPOSE(Cls3NCentDailyRng)+(TRANSPOSE(Cls3NCentDailyRng)&gt;INDEX(CDRANGE_CLS3,$A257-$A$233+1,AD$229))*INDEX(CDRANGE_CLS3,$A257-$A$233+1,AD$229))/TRANSPOSE(Cls3NCentDailyRng)),O257:Y257,TRANSPOSE(Cls3NCentVMTShr))/SUMPRODUCT(O257:Y257,TRANSPOSE(Cls3NCentVMTShr)),0)</f>
        <v>0.26328314491252602</v>
      </c>
      <c r="AD257" s="1226">
        <f t="shared" si="122"/>
        <v>0.25839466414568374</v>
      </c>
      <c r="AE257" s="1230">
        <f t="shared" si="125"/>
        <v>9.125322331642342E-4</v>
      </c>
      <c r="AF257" s="1231">
        <f t="shared" si="126"/>
        <v>2.963302754795167E-3</v>
      </c>
      <c r="AG257" s="1231">
        <f t="shared" si="127"/>
        <v>3.8758349879594012E-3</v>
      </c>
      <c r="AH257" s="1172">
        <f t="shared" si="123"/>
        <v>0.23544145609890263</v>
      </c>
      <c r="AI257" s="1232">
        <f t="shared" si="124"/>
        <v>0.76455854390109734</v>
      </c>
    </row>
    <row r="258" spans="1:35" x14ac:dyDescent="0.2">
      <c r="A258" s="330">
        <v>2032</v>
      </c>
      <c r="B258" s="344">
        <v>0</v>
      </c>
      <c r="C258" s="345">
        <v>0</v>
      </c>
      <c r="D258" s="345">
        <v>0</v>
      </c>
      <c r="E258" s="345">
        <v>0</v>
      </c>
      <c r="F258" s="345">
        <v>2.9718513029363162E-4</v>
      </c>
      <c r="G258" s="345">
        <v>5.6929377811181809E-3</v>
      </c>
      <c r="H258" s="345">
        <v>5.2675668684535458E-2</v>
      </c>
      <c r="I258" s="345">
        <v>7.8537061469029432E-2</v>
      </c>
      <c r="J258" s="345">
        <v>0.10901933926348668</v>
      </c>
      <c r="K258" s="345">
        <v>0.1418095262641568</v>
      </c>
      <c r="L258" s="380">
        <v>0.1418095262641568</v>
      </c>
      <c r="M258" s="296">
        <f t="shared" si="118"/>
        <v>1.3146673227525164E-3</v>
      </c>
      <c r="N258" s="298">
        <f t="shared" si="119"/>
        <v>2.3172176410988138E-4</v>
      </c>
      <c r="O258" s="344">
        <v>0</v>
      </c>
      <c r="P258" s="345">
        <v>0</v>
      </c>
      <c r="Q258" s="345">
        <v>0</v>
      </c>
      <c r="R258" s="345">
        <v>0</v>
      </c>
      <c r="S258" s="345">
        <v>2.8493206015959079E-3</v>
      </c>
      <c r="T258" s="345">
        <v>2.2003487308221371E-2</v>
      </c>
      <c r="U258" s="345">
        <v>6.7740923252008159E-2</v>
      </c>
      <c r="V258" s="345">
        <v>0.10253114480229937</v>
      </c>
      <c r="W258" s="345">
        <v>0.13518829198422247</v>
      </c>
      <c r="X258" s="345">
        <v>0.14835635442468281</v>
      </c>
      <c r="Y258" s="380">
        <v>0.17288412052641058</v>
      </c>
      <c r="Z258" s="296">
        <f t="shared" si="120"/>
        <v>4.405702252662431E-3</v>
      </c>
      <c r="AA258" s="298">
        <f t="shared" si="121"/>
        <v>8.362342233282251E-4</v>
      </c>
      <c r="AB258" s="948">
        <f t="array" ref="AB258">IF(AND($AD$228=TRUE,SUM(B258:L258)&gt;0),SUMPRODUCT((((TRANSPOSE(Cls3CentDailyRng)&lt;INDEX(CDRANGE_CLS3,$A258-$A$233+1,AD$229))*TRANSPOSE(Cls3CentDailyRng)+(TRANSPOSE(Cls3CentDailyRng)&gt;INDEX(CDRANGE_CLS3,$A258-$A$233+1,AD$229))*INDEX(CDRANGE_CLS3,$A258-$A$233+1,AD$229))/TRANSPOSE(Cls3CentDailyRng)),B258:L258,TRANSPOSE(Cls3CentVMTShr))/SUMPRODUCT(B258:L258,TRANSPOSE(Cls3CentVMTShr)),0)</f>
        <v>0.25201527524194872</v>
      </c>
      <c r="AC258" s="949">
        <f t="array" ref="AC258">IF(AND($AD$228=TRUE,SUM(O258:Y258)&gt;0),SUMPRODUCT((((TRANSPOSE(Cls3NCentDailyRng)&lt;INDEX(CDRANGE_CLS3,$A258-$A$233+1,AD$229))*TRANSPOSE(Cls3NCentDailyRng)+(TRANSPOSE(Cls3NCentDailyRng)&gt;INDEX(CDRANGE_CLS3,$A258-$A$233+1,AD$229))*INDEX(CDRANGE_CLS3,$A258-$A$233+1,AD$229))/TRANSPOSE(Cls3NCentDailyRng)),O258:Y258,TRANSPOSE(Cls3NCentVMTShr))/SUMPRODUCT(O258:Y258,TRANSPOSE(Cls3NCentVMTShr)),0)</f>
        <v>0.27138678830289131</v>
      </c>
      <c r="AD258" s="1226">
        <f t="shared" si="122"/>
        <v>0.26693478657857134</v>
      </c>
      <c r="AE258" s="1230">
        <f t="shared" si="125"/>
        <v>1.3146673227525164E-3</v>
      </c>
      <c r="AF258" s="1231">
        <f t="shared" si="126"/>
        <v>4.405702252662431E-3</v>
      </c>
      <c r="AG258" s="1231">
        <f t="shared" si="127"/>
        <v>5.7203695754149478E-3</v>
      </c>
      <c r="AH258" s="1172">
        <f t="shared" si="123"/>
        <v>0.22982209548185567</v>
      </c>
      <c r="AI258" s="1232">
        <f t="shared" si="124"/>
        <v>0.77017790451814427</v>
      </c>
    </row>
    <row r="259" spans="1:35" x14ac:dyDescent="0.2">
      <c r="A259" s="330">
        <v>2033</v>
      </c>
      <c r="B259" s="344">
        <v>0</v>
      </c>
      <c r="C259" s="345">
        <v>0</v>
      </c>
      <c r="D259" s="345">
        <v>0</v>
      </c>
      <c r="E259" s="345">
        <v>0</v>
      </c>
      <c r="F259" s="345">
        <v>2.9599823763449104E-3</v>
      </c>
      <c r="G259" s="345">
        <v>2.0559467654334657E-2</v>
      </c>
      <c r="H259" s="345">
        <v>8.7161088716852783E-2</v>
      </c>
      <c r="I259" s="345">
        <v>0.11233992520596171</v>
      </c>
      <c r="J259" s="345">
        <v>0.13913153210756773</v>
      </c>
      <c r="K259" s="345">
        <v>0.16514151784870484</v>
      </c>
      <c r="L259" s="380">
        <v>0.16514151784870484</v>
      </c>
      <c r="M259" s="296">
        <f t="shared" si="118"/>
        <v>1.974786723594493E-3</v>
      </c>
      <c r="N259" s="298">
        <f t="shared" si="119"/>
        <v>3.6593064718000554E-4</v>
      </c>
      <c r="O259" s="344">
        <v>0</v>
      </c>
      <c r="P259" s="345">
        <v>0</v>
      </c>
      <c r="Q259" s="345">
        <v>0</v>
      </c>
      <c r="R259" s="345">
        <v>4.4755867449187232E-4</v>
      </c>
      <c r="S259" s="345">
        <v>1.1452389676357528E-2</v>
      </c>
      <c r="T259" s="345">
        <v>4.6042752427494678E-2</v>
      </c>
      <c r="U259" s="345">
        <v>9.2979450649436357E-2</v>
      </c>
      <c r="V259" s="345">
        <v>0.13230796795136532</v>
      </c>
      <c r="W259" s="345">
        <v>0.15872811449070329</v>
      </c>
      <c r="X259" s="345">
        <v>0.17135957939254901</v>
      </c>
      <c r="Y259" s="380">
        <v>0.1882820751209571</v>
      </c>
      <c r="Z259" s="296">
        <f t="shared" si="120"/>
        <v>6.0528983122820909E-3</v>
      </c>
      <c r="AA259" s="298">
        <f t="shared" si="121"/>
        <v>1.1872448798036211E-3</v>
      </c>
      <c r="AB259" s="948">
        <f t="array" ref="AB259">IF(AND($AD$228=TRUE,SUM(B259:L259)&gt;0),SUMPRODUCT((((TRANSPOSE(Cls3CentDailyRng)&lt;INDEX(CDRANGE_CLS3,$A259-$A$233+1,AD$229))*TRANSPOSE(Cls3CentDailyRng)+(TRANSPOSE(Cls3CentDailyRng)&gt;INDEX(CDRANGE_CLS3,$A259-$A$233+1,AD$229))*INDEX(CDRANGE_CLS3,$A259-$A$233+1,AD$229))/TRANSPOSE(Cls3CentDailyRng)),B259:L259,TRANSPOSE(Cls3CentVMTShr))/SUMPRODUCT(B259:L259,TRANSPOSE(Cls3CentVMTShr)),0)</f>
        <v>0.26603849863616064</v>
      </c>
      <c r="AC259" s="949">
        <f t="array" ref="AC259">IF(AND($AD$228=TRUE,SUM(O259:Y259)&gt;0),SUMPRODUCT((((TRANSPOSE(Cls3NCentDailyRng)&lt;INDEX(CDRANGE_CLS3,$A259-$A$233+1,AD$229))*TRANSPOSE(Cls3NCentDailyRng)+(TRANSPOSE(Cls3NCentDailyRng)&gt;INDEX(CDRANGE_CLS3,$A259-$A$233+1,AD$229))*INDEX(CDRANGE_CLS3,$A259-$A$233+1,AD$229))/TRANSPOSE(Cls3NCentDailyRng)),O259:Y259,TRANSPOSE(Cls3NCentVMTShr))/SUMPRODUCT(O259:Y259,TRANSPOSE(Cls3NCentVMTShr)),0)</f>
        <v>0.28160660103419927</v>
      </c>
      <c r="AD259" s="1226">
        <f>AB259*AH259+AC259*AI259</f>
        <v>0.27777689399041144</v>
      </c>
      <c r="AE259" s="1230">
        <f t="shared" si="125"/>
        <v>1.974786723594493E-3</v>
      </c>
      <c r="AF259" s="1231">
        <f t="shared" si="126"/>
        <v>6.0528983122820909E-3</v>
      </c>
      <c r="AG259" s="1231">
        <f t="shared" si="127"/>
        <v>8.0276850358765844E-3</v>
      </c>
      <c r="AH259" s="1172">
        <f t="shared" si="123"/>
        <v>0.24599703585391799</v>
      </c>
      <c r="AI259" s="1232">
        <f t="shared" si="124"/>
        <v>0.75400296414608192</v>
      </c>
    </row>
    <row r="260" spans="1:35" x14ac:dyDescent="0.2">
      <c r="A260" s="330">
        <v>2034</v>
      </c>
      <c r="B260" s="344">
        <v>0</v>
      </c>
      <c r="C260" s="345">
        <v>0</v>
      </c>
      <c r="D260" s="345">
        <v>0</v>
      </c>
      <c r="E260" s="345">
        <v>1.889117359830523E-4</v>
      </c>
      <c r="F260" s="345">
        <v>1.046172775693196E-2</v>
      </c>
      <c r="G260" s="345">
        <v>3.9665268538807058E-2</v>
      </c>
      <c r="H260" s="345">
        <v>0.1159120752197139</v>
      </c>
      <c r="I260" s="345">
        <v>0.13595498831328287</v>
      </c>
      <c r="J260" s="345">
        <v>0.16290770290662973</v>
      </c>
      <c r="K260" s="345">
        <v>0.18138082165535677</v>
      </c>
      <c r="L260" s="380">
        <v>0.18138082165535677</v>
      </c>
      <c r="M260" s="296">
        <f t="shared" si="118"/>
        <v>2.6360777524562589E-3</v>
      </c>
      <c r="N260" s="298">
        <f t="shared" si="119"/>
        <v>5.1505162141689275E-4</v>
      </c>
      <c r="O260" s="344">
        <v>0</v>
      </c>
      <c r="P260" s="345">
        <v>0</v>
      </c>
      <c r="Q260" s="345">
        <v>0</v>
      </c>
      <c r="R260" s="345">
        <v>3.1365155156633322E-3</v>
      </c>
      <c r="S260" s="345">
        <v>2.952248786777651E-2</v>
      </c>
      <c r="T260" s="345">
        <v>7.1935281194262179E-2</v>
      </c>
      <c r="U260" s="345">
        <v>0.12229817639615212</v>
      </c>
      <c r="V260" s="345">
        <v>0.15619771113211522</v>
      </c>
      <c r="W260" s="345">
        <v>0.17529044316846423</v>
      </c>
      <c r="X260" s="345">
        <v>0.18718989734919722</v>
      </c>
      <c r="Y260" s="380">
        <v>0.20235740168900809</v>
      </c>
      <c r="Z260" s="296">
        <f t="shared" si="120"/>
        <v>7.9462987688397064E-3</v>
      </c>
      <c r="AA260" s="298">
        <f t="shared" si="121"/>
        <v>1.6342779625076779E-3</v>
      </c>
      <c r="AB260" s="948">
        <f t="array" ref="AB260">IF(AND($AD$228=TRUE,SUM(B260:L260)&gt;0),SUMPRODUCT((((TRANSPOSE(Cls3CentDailyRng)&lt;INDEX(CDRANGE_CLS3,$A260-$A$233+1,AD$229))*TRANSPOSE(Cls3CentDailyRng)+(TRANSPOSE(Cls3CentDailyRng)&gt;INDEX(CDRANGE_CLS3,$A260-$A$233+1,AD$229))*INDEX(CDRANGE_CLS3,$A260-$A$233+1,AD$229))/TRANSPOSE(Cls3CentDailyRng)),B260:L260,TRANSPOSE(Cls3CentVMTShr))/SUMPRODUCT(B260:L260,TRANSPOSE(Cls3CentVMTShr)),0)</f>
        <v>0.28167032492677624</v>
      </c>
      <c r="AC260" s="949">
        <f t="array" ref="AC260">IF(AND($AD$228=TRUE,SUM(O260:Y260)&gt;0),SUMPRODUCT((((TRANSPOSE(Cls3NCentDailyRng)&lt;INDEX(CDRANGE_CLS3,$A260-$A$233+1,AD$229))*TRANSPOSE(Cls3NCentDailyRng)+(TRANSPOSE(Cls3NCentDailyRng)&gt;INDEX(CDRANGE_CLS3,$A260-$A$233+1,AD$229))*INDEX(CDRANGE_CLS3,$A260-$A$233+1,AD$229))/TRANSPOSE(Cls3NCentDailyRng)),O260:Y260,TRANSPOSE(Cls3NCentVMTShr))/SUMPRODUCT(O260:Y260,TRANSPOSE(Cls3NCentVMTShr)),0)</f>
        <v>0.29648968355462946</v>
      </c>
      <c r="AD260" s="1226">
        <f t="shared" ref="AD260:AD276" si="128">AB260*AH260+AC260*AI260</f>
        <v>0.29279817045207257</v>
      </c>
      <c r="AE260" s="1230">
        <f t="shared" si="125"/>
        <v>2.6360777524562589E-3</v>
      </c>
      <c r="AF260" s="1231">
        <f t="shared" si="126"/>
        <v>7.9462987688397064E-3</v>
      </c>
      <c r="AG260" s="1231">
        <f t="shared" si="127"/>
        <v>1.0582376521295966E-2</v>
      </c>
      <c r="AH260" s="1172">
        <f t="shared" si="123"/>
        <v>0.24910073338927397</v>
      </c>
      <c r="AI260" s="1232">
        <f t="shared" si="124"/>
        <v>0.75089926661072603</v>
      </c>
    </row>
    <row r="261" spans="1:35" ht="15" thickBot="1" x14ac:dyDescent="0.25">
      <c r="A261" s="328">
        <v>2035</v>
      </c>
      <c r="B261" s="346">
        <v>0</v>
      </c>
      <c r="C261" s="347">
        <v>0</v>
      </c>
      <c r="D261" s="347">
        <v>0</v>
      </c>
      <c r="E261" s="347">
        <v>2.7670105732094949E-3</v>
      </c>
      <c r="F261" s="347">
        <v>3.0231320939035043E-2</v>
      </c>
      <c r="G261" s="347">
        <v>7.459844044882713E-2</v>
      </c>
      <c r="H261" s="347">
        <v>0.14641160296624361</v>
      </c>
      <c r="I261" s="347">
        <v>0.16694535286539061</v>
      </c>
      <c r="J261" s="347">
        <v>0.17950497439126806</v>
      </c>
      <c r="K261" s="347">
        <v>0.20168536052102054</v>
      </c>
      <c r="L261" s="381">
        <v>0.20168536052102054</v>
      </c>
      <c r="M261" s="310">
        <f t="shared" si="118"/>
        <v>3.712274728896296E-3</v>
      </c>
      <c r="N261" s="312">
        <f t="shared" si="119"/>
        <v>7.9584631209958338E-4</v>
      </c>
      <c r="O261" s="346">
        <v>0</v>
      </c>
      <c r="P261" s="347">
        <v>0</v>
      </c>
      <c r="Q261" s="347">
        <v>0</v>
      </c>
      <c r="R261" s="347">
        <v>1.4030438929258173E-2</v>
      </c>
      <c r="S261" s="347">
        <v>5.9153067600664341E-2</v>
      </c>
      <c r="T261" s="347">
        <v>0.1053455420209481</v>
      </c>
      <c r="U261" s="347">
        <v>0.15348494630630924</v>
      </c>
      <c r="V261" s="347">
        <v>0.17950497439126806</v>
      </c>
      <c r="W261" s="347">
        <v>0.19665174114820166</v>
      </c>
      <c r="X261" s="347">
        <v>0.20185765282988585</v>
      </c>
      <c r="Y261" s="381">
        <v>0.21082618335718656</v>
      </c>
      <c r="Z261" s="310">
        <f t="shared" si="120"/>
        <v>1.0633399943562631E-2</v>
      </c>
      <c r="AA261" s="312">
        <f t="shared" si="121"/>
        <v>2.3541296319586078E-3</v>
      </c>
      <c r="AB261" s="948">
        <f t="array" ref="AB261">IF(AND($AD$228=TRUE,SUM(B261:L261)&gt;0),SUMPRODUCT((((TRANSPOSE(Cls3CentDailyRng)&lt;INDEX(CDRANGE_CLS3,$A261-$A$233+1,AD$229))*TRANSPOSE(Cls3CentDailyRng)+(TRANSPOSE(Cls3CentDailyRng)&gt;INDEX(CDRANGE_CLS3,$A261-$A$233+1,AD$229))*INDEX(CDRANGE_CLS3,$A261-$A$233+1,AD$229))/TRANSPOSE(Cls3CentDailyRng)),B261:L261,TRANSPOSE(Cls3CentVMTShr))/SUMPRODUCT(B261:L261,TRANSPOSE(Cls3CentVMTShr)),0)</f>
        <v>0.31032231923741443</v>
      </c>
      <c r="AC261" s="949">
        <f t="array" ref="AC261">IF(AND($AD$228=TRUE,SUM(O261:Y261)&gt;0),SUMPRODUCT((((TRANSPOSE(Cls3NCentDailyRng)&lt;INDEX(CDRANGE_CLS3,$A261-$A$233+1,AD$229))*TRANSPOSE(Cls3NCentDailyRng)+(TRANSPOSE(Cls3NCentDailyRng)&gt;INDEX(CDRANGE_CLS3,$A261-$A$233+1,AD$229))*INDEX(CDRANGE_CLS3,$A261-$A$233+1,AD$229))/TRANSPOSE(Cls3NCentDailyRng)),O261:Y261,TRANSPOSE(Cls3NCentVMTShr))/SUMPRODUCT(O261:Y261,TRANSPOSE(Cls3NCentVMTShr)),0)</f>
        <v>0.32046613180092853</v>
      </c>
      <c r="AD261" s="1226">
        <f t="shared" si="128"/>
        <v>0.31784118596227184</v>
      </c>
      <c r="AE261" s="1230">
        <f t="shared" si="125"/>
        <v>3.712274728896296E-3</v>
      </c>
      <c r="AF261" s="1231">
        <f t="shared" si="126"/>
        <v>1.0633399943562631E-2</v>
      </c>
      <c r="AG261" s="1231">
        <f t="shared" si="127"/>
        <v>1.4345674672458926E-2</v>
      </c>
      <c r="AH261" s="1172">
        <f t="shared" si="123"/>
        <v>0.25877310155535488</v>
      </c>
      <c r="AI261" s="1232">
        <f t="shared" si="124"/>
        <v>0.74122689844464518</v>
      </c>
    </row>
    <row r="262" spans="1:35" x14ac:dyDescent="0.2">
      <c r="A262" s="329">
        <v>2036</v>
      </c>
      <c r="B262" s="342">
        <v>0</v>
      </c>
      <c r="C262" s="343">
        <v>0</v>
      </c>
      <c r="D262" s="343">
        <v>0</v>
      </c>
      <c r="E262" s="343">
        <v>5.6839580537636778E-3</v>
      </c>
      <c r="F262" s="343">
        <v>4.0946810109335249E-2</v>
      </c>
      <c r="G262" s="343">
        <v>8.747442420742027E-2</v>
      </c>
      <c r="H262" s="343">
        <v>0.15421470849719529</v>
      </c>
      <c r="I262" s="343">
        <v>0.16700815777536016</v>
      </c>
      <c r="J262" s="343">
        <v>0.18564408789059131</v>
      </c>
      <c r="K262" s="343">
        <v>0.20193186859373699</v>
      </c>
      <c r="L262" s="379">
        <v>0.20193186859373699</v>
      </c>
      <c r="M262" s="282">
        <f t="shared" si="118"/>
        <v>4.1924708652788783E-3</v>
      </c>
      <c r="N262" s="284">
        <f t="shared" si="119"/>
        <v>9.423259258614623E-4</v>
      </c>
      <c r="O262" s="342">
        <v>0</v>
      </c>
      <c r="P262" s="343">
        <v>0</v>
      </c>
      <c r="Q262" s="343">
        <v>0</v>
      </c>
      <c r="R262" s="343">
        <v>2.0028655201120793E-2</v>
      </c>
      <c r="S262" s="343">
        <v>6.9959738580754979E-2</v>
      </c>
      <c r="T262" s="343">
        <v>0.1200579577554937</v>
      </c>
      <c r="U262" s="343">
        <v>0.16122660256021321</v>
      </c>
      <c r="V262" s="343">
        <v>0.17957229572402847</v>
      </c>
      <c r="W262" s="343">
        <v>0.1967244817193142</v>
      </c>
      <c r="X262" s="343">
        <v>0.20193186859373699</v>
      </c>
      <c r="Y262" s="379">
        <v>0.21476095248646659</v>
      </c>
      <c r="Z262" s="282">
        <f t="shared" si="120"/>
        <v>1.1484764020880101E-2</v>
      </c>
      <c r="AA262" s="284">
        <f t="shared" si="121"/>
        <v>2.6182171743436527E-3</v>
      </c>
      <c r="AB262" s="948">
        <f t="array" ref="AB262">IF(AND($AD$228=TRUE,SUM(B262:L262)&gt;0),SUMPRODUCT((((TRANSPOSE(Cls3CentDailyRng)&lt;INDEX(CDRANGE_CLS3,$A262-$A$233+1,AD$229))*TRANSPOSE(Cls3CentDailyRng)+(TRANSPOSE(Cls3CentDailyRng)&gt;INDEX(CDRANGE_CLS3,$A262-$A$233+1,AD$229))*INDEX(CDRANGE_CLS3,$A262-$A$233+1,AD$229))/TRANSPOSE(Cls3CentDailyRng)),B262:L262,TRANSPOSE(Cls3CentVMTShr))/SUMPRODUCT(B262:L262,TRANSPOSE(Cls3CentVMTShr)),0)</f>
        <v>0.32596329805048602</v>
      </c>
      <c r="AC262" s="949">
        <f t="array" ref="AC262">IF(AND($AD$228=TRUE,SUM(O262:Y262)&gt;0),SUMPRODUCT((((TRANSPOSE(Cls3NCentDailyRng)&lt;INDEX(CDRANGE_CLS3,$A262-$A$233+1,AD$229))*TRANSPOSE(Cls3NCentDailyRng)+(TRANSPOSE(Cls3NCentDailyRng)&gt;INDEX(CDRANGE_CLS3,$A262-$A$233+1,AD$229))*INDEX(CDRANGE_CLS3,$A262-$A$233+1,AD$229))/TRANSPOSE(Cls3NCentDailyRng)),O262:Y262,TRANSPOSE(Cls3NCentVMTShr))/SUMPRODUCT(O262:Y262,TRANSPOSE(Cls3NCentVMTShr)),0)</f>
        <v>0.33061397552362704</v>
      </c>
      <c r="AD262" s="1226">
        <f t="shared" si="128"/>
        <v>0.32937027215683201</v>
      </c>
      <c r="AE262" s="1230">
        <f t="shared" si="125"/>
        <v>4.1924708652788783E-3</v>
      </c>
      <c r="AF262" s="1231">
        <f t="shared" si="126"/>
        <v>1.1484764020880101E-2</v>
      </c>
      <c r="AG262" s="1231">
        <f t="shared" si="127"/>
        <v>1.5677234886158978E-2</v>
      </c>
      <c r="AH262" s="1172">
        <f t="shared" si="123"/>
        <v>0.26742412777015301</v>
      </c>
      <c r="AI262" s="1232">
        <f t="shared" si="124"/>
        <v>0.7325758722298471</v>
      </c>
    </row>
    <row r="263" spans="1:35" x14ac:dyDescent="0.2">
      <c r="A263" s="330">
        <v>2037</v>
      </c>
      <c r="B263" s="344">
        <v>0</v>
      </c>
      <c r="C263" s="345">
        <v>0</v>
      </c>
      <c r="D263" s="345">
        <v>0</v>
      </c>
      <c r="E263" s="345">
        <v>8.5192114268127384E-3</v>
      </c>
      <c r="F263" s="345">
        <v>4.9976661435426076E-2</v>
      </c>
      <c r="G263" s="345">
        <v>9.3375054394950058E-2</v>
      </c>
      <c r="H263" s="345">
        <v>0.15419202759274694</v>
      </c>
      <c r="I263" s="345">
        <v>0.17366171756772281</v>
      </c>
      <c r="J263" s="345">
        <v>0.19153079003227669</v>
      </c>
      <c r="K263" s="345">
        <v>0.20190397944261212</v>
      </c>
      <c r="L263" s="380">
        <v>0.20190397944261212</v>
      </c>
      <c r="M263" s="296">
        <f t="shared" si="118"/>
        <v>4.51329590598423E-3</v>
      </c>
      <c r="N263" s="298">
        <f t="shared" si="119"/>
        <v>1.0518899531416575E-3</v>
      </c>
      <c r="O263" s="344">
        <v>0</v>
      </c>
      <c r="P263" s="345">
        <v>0</v>
      </c>
      <c r="Q263" s="345">
        <v>0</v>
      </c>
      <c r="R263" s="345">
        <v>2.7945388246909675E-2</v>
      </c>
      <c r="S263" s="345">
        <v>7.5743114361268959E-2</v>
      </c>
      <c r="T263" s="345">
        <v>0.12709384105484914</v>
      </c>
      <c r="U263" s="345">
        <v>0.16050758135678694</v>
      </c>
      <c r="V263" s="345">
        <v>0.18575131216979249</v>
      </c>
      <c r="W263" s="345">
        <v>0.19669711925655564</v>
      </c>
      <c r="X263" s="345">
        <v>0.20670244944172594</v>
      </c>
      <c r="Y263" s="380">
        <v>0.21473180925475699</v>
      </c>
      <c r="Z263" s="296">
        <f t="shared" si="120"/>
        <v>1.2239471586519581E-2</v>
      </c>
      <c r="AA263" s="298">
        <f t="shared" si="121"/>
        <v>2.8662725546888235E-3</v>
      </c>
      <c r="AB263" s="948">
        <f t="array" ref="AB263">IF(AND($AD$228=TRUE,SUM(B263:L263)&gt;0),SUMPRODUCT((((TRANSPOSE(Cls3CentDailyRng)&lt;INDEX(CDRANGE_CLS3,$A263-$A$233+1,AD$229))*TRANSPOSE(Cls3CentDailyRng)+(TRANSPOSE(Cls3CentDailyRng)&gt;INDEX(CDRANGE_CLS3,$A263-$A$233+1,AD$229))*INDEX(CDRANGE_CLS3,$A263-$A$233+1,AD$229))/TRANSPOSE(Cls3CentDailyRng)),B263:L263,TRANSPOSE(Cls3CentVMTShr))/SUMPRODUCT(B263:L263,TRANSPOSE(Cls3CentVMTShr)),0)</f>
        <v>0.33863067581097489</v>
      </c>
      <c r="AC263" s="949">
        <f t="array" ref="AC263">IF(AND($AD$228=TRUE,SUM(O263:Y263)&gt;0),SUMPRODUCT((((TRANSPOSE(Cls3NCentDailyRng)&lt;INDEX(CDRANGE_CLS3,$A263-$A$233+1,AD$229))*TRANSPOSE(Cls3NCentDailyRng)+(TRANSPOSE(Cls3NCentDailyRng)&gt;INDEX(CDRANGE_CLS3,$A263-$A$233+1,AD$229))*INDEX(CDRANGE_CLS3,$A263-$A$233+1,AD$229))/TRANSPOSE(Cls3NCentDailyRng)),O263:Y263,TRANSPOSE(Cls3NCentVMTShr))/SUMPRODUCT(O263:Y263,TRANSPOSE(Cls3NCentVMTShr)),0)</f>
        <v>0.34025507785424097</v>
      </c>
      <c r="AD263" s="1226">
        <f t="shared" si="128"/>
        <v>0.33981745421415727</v>
      </c>
      <c r="AE263" s="1230">
        <f t="shared" si="125"/>
        <v>4.51329590598423E-3</v>
      </c>
      <c r="AF263" s="1231">
        <f t="shared" si="126"/>
        <v>1.2239471586519581E-2</v>
      </c>
      <c r="AG263" s="1231">
        <f t="shared" si="127"/>
        <v>1.675276749250381E-2</v>
      </c>
      <c r="AH263" s="1172">
        <f t="shared" si="123"/>
        <v>0.26940598966730411</v>
      </c>
      <c r="AI263" s="1232">
        <f t="shared" si="124"/>
        <v>0.73059401033269589</v>
      </c>
    </row>
    <row r="264" spans="1:35" x14ac:dyDescent="0.2">
      <c r="A264" s="330">
        <v>2038</v>
      </c>
      <c r="B264" s="344">
        <v>0</v>
      </c>
      <c r="C264" s="345">
        <v>0</v>
      </c>
      <c r="D264" s="345">
        <v>0</v>
      </c>
      <c r="E264" s="345">
        <v>1.4146814384793009E-2</v>
      </c>
      <c r="F264" s="345">
        <v>5.9712535524643562E-2</v>
      </c>
      <c r="G264" s="345">
        <v>9.9267044281689351E-2</v>
      </c>
      <c r="H264" s="345">
        <v>0.1604830777287744</v>
      </c>
      <c r="I264" s="345">
        <v>0.18010412950415625</v>
      </c>
      <c r="J264" s="345">
        <v>0.19150266655667855</v>
      </c>
      <c r="K264" s="345">
        <v>0.20667268792847224</v>
      </c>
      <c r="L264" s="380">
        <v>0.20667268792847224</v>
      </c>
      <c r="M264" s="296">
        <f t="shared" si="118"/>
        <v>5.086830426743366E-3</v>
      </c>
      <c r="N264" s="298">
        <f t="shared" si="119"/>
        <v>1.2362157449764943E-3</v>
      </c>
      <c r="O264" s="344">
        <v>0</v>
      </c>
      <c r="P264" s="345">
        <v>0</v>
      </c>
      <c r="Q264" s="345">
        <v>2.1669495495906703E-4</v>
      </c>
      <c r="R264" s="345">
        <v>3.4450291671630502E-2</v>
      </c>
      <c r="S264" s="345">
        <v>8.744387676146359E-2</v>
      </c>
      <c r="T264" s="345">
        <v>0.13365053525398754</v>
      </c>
      <c r="U264" s="345">
        <v>0.16734049900242001</v>
      </c>
      <c r="V264" s="345">
        <v>0.18572383662978642</v>
      </c>
      <c r="W264" s="345">
        <v>0.20187472664535613</v>
      </c>
      <c r="X264" s="345">
        <v>0.20667268792847224</v>
      </c>
      <c r="Y264" s="380">
        <v>0.21470121586734903</v>
      </c>
      <c r="Z264" s="296">
        <f t="shared" si="120"/>
        <v>1.3062808707754036E-2</v>
      </c>
      <c r="AA264" s="298">
        <f t="shared" si="121"/>
        <v>3.1331277109811167E-3</v>
      </c>
      <c r="AB264" s="948">
        <f t="array" ref="AB264">IF(AND($AD$228=TRUE,SUM(B264:L264)&gt;0),SUMPRODUCT((((TRANSPOSE(Cls3CentDailyRng)&lt;INDEX(CDRANGE_CLS3,$A264-$A$233+1,AD$229))*TRANSPOSE(Cls3CentDailyRng)+(TRANSPOSE(Cls3CentDailyRng)&gt;INDEX(CDRANGE_CLS3,$A264-$A$233+1,AD$229))*INDEX(CDRANGE_CLS3,$A264-$A$233+1,AD$229))/TRANSPOSE(Cls3CentDailyRng)),B264:L264,TRANSPOSE(Cls3CentVMTShr))/SUMPRODUCT(B264:L264,TRANSPOSE(Cls3CentVMTShr)),0)</f>
        <v>0.35375898118321814</v>
      </c>
      <c r="AC264" s="949">
        <f t="array" ref="AC264">IF(AND($AD$228=TRUE,SUM(O264:Y264)&gt;0),SUMPRODUCT((((TRANSPOSE(Cls3NCentDailyRng)&lt;INDEX(CDRANGE_CLS3,$A264-$A$233+1,AD$229))*TRANSPOSE(Cls3NCentDailyRng)+(TRANSPOSE(Cls3NCentDailyRng)&gt;INDEX(CDRANGE_CLS3,$A264-$A$233+1,AD$229))*INDEX(CDRANGE_CLS3,$A264-$A$233+1,AD$229))/TRANSPOSE(Cls3NCentDailyRng)),O264:Y264,TRANSPOSE(Cls3NCentVMTShr))/SUMPRODUCT(O264:Y264,TRANSPOSE(Cls3NCentVMTShr)),0)</f>
        <v>0.34914191918166632</v>
      </c>
      <c r="AD264" s="1226">
        <f t="shared" si="128"/>
        <v>0.35043595105181041</v>
      </c>
      <c r="AE264" s="1230">
        <f t="shared" si="125"/>
        <v>5.086830426743366E-3</v>
      </c>
      <c r="AF264" s="1231">
        <f t="shared" si="126"/>
        <v>1.3062808707754036E-2</v>
      </c>
      <c r="AG264" s="1231">
        <f t="shared" si="127"/>
        <v>1.8149639134497401E-2</v>
      </c>
      <c r="AH264" s="1172">
        <f t="shared" si="123"/>
        <v>0.2802717116879046</v>
      </c>
      <c r="AI264" s="1232">
        <f t="shared" si="124"/>
        <v>0.71972828831209545</v>
      </c>
    </row>
    <row r="265" spans="1:35" x14ac:dyDescent="0.2">
      <c r="A265" s="330">
        <v>2039</v>
      </c>
      <c r="B265" s="344">
        <v>0</v>
      </c>
      <c r="C265" s="345">
        <v>0</v>
      </c>
      <c r="D265" s="345">
        <v>0</v>
      </c>
      <c r="E265" s="345">
        <v>2.2939532272219142E-2</v>
      </c>
      <c r="F265" s="345">
        <v>6.9924498624081649E-2</v>
      </c>
      <c r="G265" s="345">
        <v>0.11295236905420995</v>
      </c>
      <c r="H265" s="345">
        <v>0.16731475766172096</v>
      </c>
      <c r="I265" s="345">
        <v>0.17949277027409777</v>
      </c>
      <c r="J265" s="345">
        <v>0.19705694936307133</v>
      </c>
      <c r="K265" s="345">
        <v>0.20646733228524408</v>
      </c>
      <c r="L265" s="380">
        <v>0.20646733228524408</v>
      </c>
      <c r="M265" s="296">
        <f t="shared" si="118"/>
        <v>5.8072924534743218E-3</v>
      </c>
      <c r="N265" s="298">
        <f t="shared" si="119"/>
        <v>1.4791523728028076E-3</v>
      </c>
      <c r="O265" s="344">
        <v>0</v>
      </c>
      <c r="P265" s="345">
        <v>0</v>
      </c>
      <c r="Q265" s="345">
        <v>1.0318795163008938E-3</v>
      </c>
      <c r="R265" s="345">
        <v>4.620972541903437E-2</v>
      </c>
      <c r="S265" s="345">
        <v>0.10056443753398378</v>
      </c>
      <c r="T265" s="345">
        <v>0.14082595250233312</v>
      </c>
      <c r="U265" s="345">
        <v>0.17400292586570276</v>
      </c>
      <c r="V265" s="345">
        <v>0.19161046883739247</v>
      </c>
      <c r="W265" s="345">
        <v>0.20184498275272852</v>
      </c>
      <c r="X265" s="345">
        <v>0.21081343139302708</v>
      </c>
      <c r="Y265" s="380">
        <v>0.21799449649460217</v>
      </c>
      <c r="Z265" s="296">
        <f t="shared" si="120"/>
        <v>1.4387349467936385E-2</v>
      </c>
      <c r="AA265" s="298">
        <f t="shared" si="121"/>
        <v>3.575659620812759E-3</v>
      </c>
      <c r="AB265" s="948">
        <f t="array" ref="AB265">IF(AND($AD$228=TRUE,SUM(B265:L265)&gt;0),SUMPRODUCT((((TRANSPOSE(Cls3CentDailyRng)&lt;INDEX(CDRANGE_CLS3,$A265-$A$233+1,AD$229))*TRANSPOSE(Cls3CentDailyRng)+(TRANSPOSE(Cls3CentDailyRng)&gt;INDEX(CDRANGE_CLS3,$A265-$A$233+1,AD$229))*INDEX(CDRANGE_CLS3,$A265-$A$233+1,AD$229))/TRANSPOSE(Cls3CentDailyRng)),B265:L265,TRANSPOSE(Cls3CentVMTShr))/SUMPRODUCT(B265:L265,TRANSPOSE(Cls3CentVMTShr)),0)</f>
        <v>0.37145724770774574</v>
      </c>
      <c r="AC265" s="949">
        <f t="array" ref="AC265">IF(AND($AD$228=TRUE,SUM(O265:Y265)&gt;0),SUMPRODUCT((((TRANSPOSE(Cls3NCentDailyRng)&lt;INDEX(CDRANGE_CLS3,$A265-$A$233+1,AD$229))*TRANSPOSE(Cls3NCentDailyRng)+(TRANSPOSE(Cls3NCentDailyRng)&gt;INDEX(CDRANGE_CLS3,$A265-$A$233+1,AD$229))*INDEX(CDRANGE_CLS3,$A265-$A$233+1,AD$229))/TRANSPOSE(Cls3NCentDailyRng)),O265:Y265,TRANSPOSE(Cls3NCentVMTShr))/SUMPRODUCT(O265:Y265,TRANSPOSE(Cls3NCentVMTShr)),0)</f>
        <v>0.36244740684851984</v>
      </c>
      <c r="AD265" s="1226">
        <f t="shared" si="128"/>
        <v>0.36503833076944925</v>
      </c>
      <c r="AE265" s="1230">
        <f t="shared" si="125"/>
        <v>5.8072924534743218E-3</v>
      </c>
      <c r="AF265" s="1231">
        <f t="shared" si="126"/>
        <v>1.4387349467936385E-2</v>
      </c>
      <c r="AG265" s="1231">
        <f t="shared" si="127"/>
        <v>2.0194641921410707E-2</v>
      </c>
      <c r="AH265" s="1172">
        <f t="shared" si="123"/>
        <v>0.28756600270873484</v>
      </c>
      <c r="AI265" s="1232">
        <f t="shared" si="124"/>
        <v>0.71243399729126511</v>
      </c>
    </row>
    <row r="266" spans="1:35" ht="15" thickBot="1" x14ac:dyDescent="0.25">
      <c r="A266" s="328">
        <v>2040</v>
      </c>
      <c r="B266" s="346">
        <v>0</v>
      </c>
      <c r="C266" s="347">
        <v>0</v>
      </c>
      <c r="D266" s="347">
        <v>1.8526540408436473E-4</v>
      </c>
      <c r="E266" s="347">
        <v>3.5208789355945222E-2</v>
      </c>
      <c r="F266" s="347">
        <v>8.8037092802701222E-2</v>
      </c>
      <c r="G266" s="347">
        <v>0.11998122256373932</v>
      </c>
      <c r="H266" s="347">
        <v>0.17397618519763172</v>
      </c>
      <c r="I266" s="347">
        <v>0.18566778078715659</v>
      </c>
      <c r="J266" s="347">
        <v>0.19702751993279299</v>
      </c>
      <c r="K266" s="347">
        <v>0.21078249352037887</v>
      </c>
      <c r="L266" s="381">
        <v>0.21078249352037887</v>
      </c>
      <c r="M266" s="310">
        <f t="shared" si="118"/>
        <v>6.8789658219209618E-3</v>
      </c>
      <c r="N266" s="312">
        <f t="shared" si="119"/>
        <v>1.8450963457311946E-3</v>
      </c>
      <c r="O266" s="346">
        <v>0</v>
      </c>
      <c r="P266" s="347">
        <v>0</v>
      </c>
      <c r="Q266" s="347">
        <v>3.5848107366099153E-3</v>
      </c>
      <c r="R266" s="347">
        <v>6.0277202732133481E-2</v>
      </c>
      <c r="S266" s="347">
        <v>0.10739056162972289</v>
      </c>
      <c r="T266" s="347">
        <v>0.14798608195259214</v>
      </c>
      <c r="U266" s="347">
        <v>0.18045457380642418</v>
      </c>
      <c r="V266" s="347">
        <v>0.19716664689103813</v>
      </c>
      <c r="W266" s="347">
        <v>0.20661193552862772</v>
      </c>
      <c r="X266" s="347">
        <v>0.21078249352037887</v>
      </c>
      <c r="Y266" s="381">
        <v>0.21796279950467101</v>
      </c>
      <c r="Z266" s="310">
        <f t="shared" si="120"/>
        <v>1.5893062968819902E-2</v>
      </c>
      <c r="AA266" s="312">
        <f t="shared" si="121"/>
        <v>4.1195013402575021E-3</v>
      </c>
      <c r="AB266" s="948">
        <f t="array" ref="AB266">IF(AND($AD$228=TRUE,SUM(B266:L266)&gt;0),SUMPRODUCT((((TRANSPOSE(Cls3CentDailyRng)&lt;INDEX(CDRANGE_CLS3,$A266-$A$233+1,AD$229))*TRANSPOSE(Cls3CentDailyRng)+(TRANSPOSE(Cls3CentDailyRng)&gt;INDEX(CDRANGE_CLS3,$A266-$A$233+1,AD$229))*INDEX(CDRANGE_CLS3,$A266-$A$233+1,AD$229))/TRANSPOSE(Cls3CentDailyRng)),B266:L266,TRANSPOSE(Cls3CentVMTShr))/SUMPRODUCT(B266:L266,TRANSPOSE(Cls3CentVMTShr)),0)</f>
        <v>0.39189810829749411</v>
      </c>
      <c r="AC266" s="949">
        <f t="array" ref="AC266">IF(AND($AD$228=TRUE,SUM(O266:Y266)&gt;0),SUMPRODUCT((((TRANSPOSE(Cls3NCentDailyRng)&lt;INDEX(CDRANGE_CLS3,$A266-$A$233+1,AD$229))*TRANSPOSE(Cls3NCentDailyRng)+(TRANSPOSE(Cls3NCentDailyRng)&gt;INDEX(CDRANGE_CLS3,$A266-$A$233+1,AD$229))*INDEX(CDRANGE_CLS3,$A266-$A$233+1,AD$229))/TRANSPOSE(Cls3NCentDailyRng)),O266:Y266,TRANSPOSE(Cls3NCentVMTShr))/SUMPRODUCT(O266:Y266,TRANSPOSE(Cls3NCentVMTShr)),0)</f>
        <v>0.37871657631729927</v>
      </c>
      <c r="AD266" s="1226">
        <f t="shared" si="128"/>
        <v>0.3826984484994207</v>
      </c>
      <c r="AE266" s="1230">
        <f t="shared" si="125"/>
        <v>6.8789658219209618E-3</v>
      </c>
      <c r="AF266" s="1231">
        <f t="shared" si="126"/>
        <v>1.5893062968819902E-2</v>
      </c>
      <c r="AG266" s="1231">
        <f t="shared" si="127"/>
        <v>2.2772028790740865E-2</v>
      </c>
      <c r="AH266" s="1172">
        <f t="shared" si="123"/>
        <v>0.3020796207985631</v>
      </c>
      <c r="AI266" s="1232">
        <f t="shared" si="124"/>
        <v>0.6979203792014369</v>
      </c>
    </row>
    <row r="267" spans="1:35" x14ac:dyDescent="0.2">
      <c r="A267" s="329">
        <v>2041</v>
      </c>
      <c r="B267" s="342">
        <v>0</v>
      </c>
      <c r="C267" s="343">
        <v>0</v>
      </c>
      <c r="D267" s="343">
        <v>2.3456892331992548E-3</v>
      </c>
      <c r="E267" s="343">
        <v>5.637056062466702E-2</v>
      </c>
      <c r="F267" s="343">
        <v>0.108120252407818</v>
      </c>
      <c r="G267" s="343">
        <v>0.14151061911015034</v>
      </c>
      <c r="H267" s="343">
        <v>0.18042698336528287</v>
      </c>
      <c r="I267" s="343">
        <v>0.19155276755313524</v>
      </c>
      <c r="J267" s="343">
        <v>0.20178497479894228</v>
      </c>
      <c r="K267" s="343">
        <v>0.21075146917119078</v>
      </c>
      <c r="L267" s="379">
        <v>0.21075146917119078</v>
      </c>
      <c r="M267" s="282">
        <f t="shared" si="118"/>
        <v>8.5590931444557948E-3</v>
      </c>
      <c r="N267" s="284">
        <f t="shared" si="119"/>
        <v>2.4790254944142523E-3</v>
      </c>
      <c r="O267" s="342">
        <v>0</v>
      </c>
      <c r="P267" s="343">
        <v>0</v>
      </c>
      <c r="Q267" s="343">
        <v>1.2072306413567081E-2</v>
      </c>
      <c r="R267" s="343">
        <v>8.1470425726557869E-2</v>
      </c>
      <c r="S267" s="343">
        <v>0.12867690496802794</v>
      </c>
      <c r="T267" s="343">
        <v>0.16213251107450144</v>
      </c>
      <c r="U267" s="343">
        <v>0.1866549994520082</v>
      </c>
      <c r="V267" s="343">
        <v>0.19713712216427348</v>
      </c>
      <c r="W267" s="343">
        <v>0.20658136268914332</v>
      </c>
      <c r="X267" s="343">
        <v>0.21075146917119078</v>
      </c>
      <c r="Y267" s="379">
        <v>0.21793101316237928</v>
      </c>
      <c r="Z267" s="282">
        <f t="shared" si="120"/>
        <v>1.8493686558387266E-2</v>
      </c>
      <c r="AA267" s="284">
        <f t="shared" si="121"/>
        <v>5.1692372786773929E-3</v>
      </c>
      <c r="AB267" s="948">
        <f t="array" ref="AB267">IF(AND($AD$228=TRUE,SUM(B267:L267)&gt;0),SUMPRODUCT((((TRANSPOSE(Cls3CentDailyRng)&lt;INDEX(CDRANGE_CLS3,$A267-$A$233+1,AD$229))*TRANSPOSE(Cls3CentDailyRng)+(TRANSPOSE(Cls3CentDailyRng)&gt;INDEX(CDRANGE_CLS3,$A267-$A$233+1,AD$229))*INDEX(CDRANGE_CLS3,$A267-$A$233+1,AD$229))/TRANSPOSE(Cls3CentDailyRng)),B267:L267,TRANSPOSE(Cls3CentVMTShr))/SUMPRODUCT(B267:L267,TRANSPOSE(Cls3CentVMTShr)),0)</f>
        <v>0.42397149832715086</v>
      </c>
      <c r="AC267" s="949">
        <f t="array" ref="AC267">IF(AND($AD$228=TRUE,SUM(O267:Y267)&gt;0),SUMPRODUCT((((TRANSPOSE(Cls3NCentDailyRng)&lt;INDEX(CDRANGE_CLS3,$A267-$A$233+1,AD$229))*TRANSPOSE(Cls3NCentDailyRng)+(TRANSPOSE(Cls3NCentDailyRng)&gt;INDEX(CDRANGE_CLS3,$A267-$A$233+1,AD$229))*INDEX(CDRANGE_CLS3,$A267-$A$233+1,AD$229))/TRANSPOSE(Cls3NCentDailyRng)),O267:Y267,TRANSPOSE(Cls3NCentVMTShr))/SUMPRODUCT(O267:Y267,TRANSPOSE(Cls3NCentVMTShr)),0)</f>
        <v>0.40915361853967447</v>
      </c>
      <c r="AD267" s="1226">
        <f t="shared" si="128"/>
        <v>0.41384177312849962</v>
      </c>
      <c r="AE267" s="1230">
        <f t="shared" si="125"/>
        <v>8.5590931444557948E-3</v>
      </c>
      <c r="AF267" s="1231">
        <f t="shared" si="126"/>
        <v>1.8493686558387266E-2</v>
      </c>
      <c r="AG267" s="1231">
        <f t="shared" si="127"/>
        <v>2.7052779702843061E-2</v>
      </c>
      <c r="AH267" s="1172">
        <f t="shared" si="123"/>
        <v>0.31638497923214498</v>
      </c>
      <c r="AI267" s="1232">
        <f t="shared" si="124"/>
        <v>0.68361502076785507</v>
      </c>
    </row>
    <row r="268" spans="1:35" x14ac:dyDescent="0.2">
      <c r="A268" s="330">
        <v>2042</v>
      </c>
      <c r="B268" s="344">
        <v>0</v>
      </c>
      <c r="C268" s="345">
        <v>0</v>
      </c>
      <c r="D268" s="345">
        <v>1.585150269747785E-2</v>
      </c>
      <c r="E268" s="345">
        <v>8.1573174791747236E-2</v>
      </c>
      <c r="F268" s="345">
        <v>0.1295294720777429</v>
      </c>
      <c r="G268" s="345">
        <v>0.15583705142012944</v>
      </c>
      <c r="H268" s="345">
        <v>0.19256377002743422</v>
      </c>
      <c r="I268" s="345">
        <v>0.19710755786502196</v>
      </c>
      <c r="J268" s="345">
        <v>0.20655074846450722</v>
      </c>
      <c r="K268" s="345">
        <v>0.21457583705508146</v>
      </c>
      <c r="L268" s="380">
        <v>0.21457583705508146</v>
      </c>
      <c r="M268" s="296">
        <f t="shared" si="118"/>
        <v>1.155533942938412E-2</v>
      </c>
      <c r="N268" s="298">
        <f t="shared" si="119"/>
        <v>3.7871669119307729E-3</v>
      </c>
      <c r="O268" s="344">
        <v>0</v>
      </c>
      <c r="P268" s="345">
        <v>2.5507693416105767E-4</v>
      </c>
      <c r="Q268" s="345">
        <v>3.7483330452446964E-2</v>
      </c>
      <c r="R268" s="345">
        <v>0.10256715704443138</v>
      </c>
      <c r="S268" s="345">
        <v>0.14928252198361536</v>
      </c>
      <c r="T268" s="345">
        <v>0.17575219963875288</v>
      </c>
      <c r="U268" s="345">
        <v>0.19256377002743422</v>
      </c>
      <c r="V268" s="345">
        <v>0.20232229059531415</v>
      </c>
      <c r="W268" s="345">
        <v>0.21089813353582068</v>
      </c>
      <c r="X268" s="345">
        <v>0.21457583705508146</v>
      </c>
      <c r="Y268" s="380">
        <v>0.22064404231315041</v>
      </c>
      <c r="Z268" s="296">
        <f t="shared" si="120"/>
        <v>2.2679123177524095E-2</v>
      </c>
      <c r="AA268" s="298">
        <f t="shared" si="121"/>
        <v>7.0861908068081316E-3</v>
      </c>
      <c r="AB268" s="948">
        <f t="array" ref="AB268">IF(AND($AD$228=TRUE,SUM(B268:L268)&gt;0),SUMPRODUCT((((TRANSPOSE(Cls3CentDailyRng)&lt;INDEX(CDRANGE_CLS3,$A268-$A$233+1,AD$229))*TRANSPOSE(Cls3CentDailyRng)+(TRANSPOSE(Cls3CentDailyRng)&gt;INDEX(CDRANGE_CLS3,$A268-$A$233+1,AD$229))*INDEX(CDRANGE_CLS3,$A268-$A$233+1,AD$229))/TRANSPOSE(Cls3CentDailyRng)),B268:L268,TRANSPOSE(Cls3CentVMTShr))/SUMPRODUCT(B268:L268,TRANSPOSE(Cls3CentVMTShr)),0)</f>
        <v>0.48063989747157554</v>
      </c>
      <c r="AC268" s="949">
        <f t="array" ref="AC268">IF(AND($AD$228=TRUE,SUM(O268:Y268)&gt;0),SUMPRODUCT((((TRANSPOSE(Cls3NCentDailyRng)&lt;INDEX(CDRANGE_CLS3,$A268-$A$233+1,AD$229))*TRANSPOSE(Cls3NCentDailyRng)+(TRANSPOSE(Cls3NCentDailyRng)&gt;INDEX(CDRANGE_CLS3,$A268-$A$233+1,AD$229))*INDEX(CDRANGE_CLS3,$A268-$A$233+1,AD$229))/TRANSPOSE(Cls3NCentDailyRng)),O268:Y268,TRANSPOSE(Cls3NCentVMTShr))/SUMPRODUCT(O268:Y268,TRANSPOSE(Cls3NCentVMTShr)),0)</f>
        <v>0.45703170777540181</v>
      </c>
      <c r="AD268" s="1226">
        <f t="shared" si="128"/>
        <v>0.46500030504491263</v>
      </c>
      <c r="AE268" s="1230">
        <f t="shared" si="125"/>
        <v>1.155533942938412E-2</v>
      </c>
      <c r="AF268" s="1231">
        <f t="shared" si="126"/>
        <v>2.2679123177524095E-2</v>
      </c>
      <c r="AG268" s="1231">
        <f t="shared" si="127"/>
        <v>3.4234462606908211E-2</v>
      </c>
      <c r="AH268" s="1172">
        <f t="shared" si="123"/>
        <v>0.33753529483043077</v>
      </c>
      <c r="AI268" s="1232">
        <f t="shared" si="124"/>
        <v>0.66246470516956935</v>
      </c>
    </row>
    <row r="269" spans="1:35" x14ac:dyDescent="0.2">
      <c r="A269" s="330">
        <v>2043</v>
      </c>
      <c r="B269" s="344">
        <v>0</v>
      </c>
      <c r="C269" s="345">
        <v>1.0712250356200667E-3</v>
      </c>
      <c r="D269" s="345">
        <v>4.5856656006218639E-2</v>
      </c>
      <c r="E269" s="345">
        <v>0.10701793293754293</v>
      </c>
      <c r="F269" s="345">
        <v>0.1514112163494889</v>
      </c>
      <c r="G269" s="345">
        <v>0.16978938831722529</v>
      </c>
      <c r="H269" s="345">
        <v>0.19814062041745176</v>
      </c>
      <c r="I269" s="345">
        <v>0.2022921387982663</v>
      </c>
      <c r="J269" s="345">
        <v>0.21086704318204291</v>
      </c>
      <c r="K269" s="345">
        <v>0.2178673484062105</v>
      </c>
      <c r="L269" s="380">
        <v>0.2178673484062105</v>
      </c>
      <c r="M269" s="296">
        <f t="shared" si="118"/>
        <v>1.6103415136858409E-2</v>
      </c>
      <c r="N269" s="298">
        <f t="shared" si="119"/>
        <v>6.0731881738145775E-3</v>
      </c>
      <c r="O269" s="344">
        <v>0</v>
      </c>
      <c r="P269" s="345">
        <v>3.6443566540780938E-3</v>
      </c>
      <c r="Q269" s="345">
        <v>6.8354860411580329E-2</v>
      </c>
      <c r="R269" s="345">
        <v>0.11605841035295264</v>
      </c>
      <c r="S269" s="345">
        <v>0.1634716205659773</v>
      </c>
      <c r="T269" s="345">
        <v>0.18224938329335652</v>
      </c>
      <c r="U269" s="345">
        <v>0.19814062041745176</v>
      </c>
      <c r="V269" s="345">
        <v>0.2070971987984791</v>
      </c>
      <c r="W269" s="345">
        <v>0.21472442412936305</v>
      </c>
      <c r="X269" s="345">
        <v>0.2178673484062105</v>
      </c>
      <c r="Y269" s="380">
        <v>0.22061192059597845</v>
      </c>
      <c r="Z269" s="296">
        <f t="shared" si="120"/>
        <v>2.7515807937078834E-2</v>
      </c>
      <c r="AA269" s="298">
        <f t="shared" si="121"/>
        <v>9.8322700277023757E-3</v>
      </c>
      <c r="AB269" s="948">
        <f t="array" ref="AB269">IF(AND($AD$228=TRUE,SUM(B269:L269)&gt;0),SUMPRODUCT((((TRANSPOSE(Cls3CentDailyRng)&lt;INDEX(CDRANGE_CLS3,$A269-$A$233+1,AD$229))*TRANSPOSE(Cls3CentDailyRng)+(TRANSPOSE(Cls3CentDailyRng)&gt;INDEX(CDRANGE_CLS3,$A269-$A$233+1,AD$229))*INDEX(CDRANGE_CLS3,$A269-$A$233+1,AD$229))/TRANSPOSE(Cls3CentDailyRng)),B269:L269,TRANSPOSE(Cls3CentVMTShr))/SUMPRODUCT(B269:L269,TRANSPOSE(Cls3CentVMTShr)),0)</f>
        <v>0.55028564274496439</v>
      </c>
      <c r="AC269" s="949">
        <f t="array" ref="AC269">IF(AND($AD$228=TRUE,SUM(O269:Y269)&gt;0),SUMPRODUCT((((TRANSPOSE(Cls3NCentDailyRng)&lt;INDEX(CDRANGE_CLS3,$A269-$A$233+1,AD$229))*TRANSPOSE(Cls3NCentDailyRng)+(TRANSPOSE(Cls3NCentDailyRng)&gt;INDEX(CDRANGE_CLS3,$A269-$A$233+1,AD$229))*INDEX(CDRANGE_CLS3,$A269-$A$233+1,AD$229))/TRANSPOSE(Cls3NCentDailyRng)),O269:Y269,TRANSPOSE(Cls3NCentVMTShr))/SUMPRODUCT(O269:Y269,TRANSPOSE(Cls3NCentVMTShr)),0)</f>
        <v>0.51091121065704481</v>
      </c>
      <c r="AD269" s="1226">
        <f t="shared" si="128"/>
        <v>0.52544752701038822</v>
      </c>
      <c r="AE269" s="1230">
        <f t="shared" si="125"/>
        <v>1.6103415136858409E-2</v>
      </c>
      <c r="AF269" s="1231">
        <f t="shared" si="126"/>
        <v>2.7515807937078834E-2</v>
      </c>
      <c r="AG269" s="1231">
        <f t="shared" si="127"/>
        <v>4.3619223073937244E-2</v>
      </c>
      <c r="AH269" s="1172">
        <f t="shared" si="123"/>
        <v>0.36918161310581205</v>
      </c>
      <c r="AI269" s="1232">
        <f t="shared" si="124"/>
        <v>0.6308183868941879</v>
      </c>
    </row>
    <row r="270" spans="1:35" x14ac:dyDescent="0.2">
      <c r="A270" s="330">
        <v>2044</v>
      </c>
      <c r="B270" s="344">
        <v>0</v>
      </c>
      <c r="C270" s="345">
        <v>8.9053556909744636E-3</v>
      </c>
      <c r="D270" s="345">
        <v>7.4488870706852783E-2</v>
      </c>
      <c r="E270" s="345">
        <v>0.12167474519062972</v>
      </c>
      <c r="F270" s="345">
        <v>0.1657617196115293</v>
      </c>
      <c r="G270" s="345">
        <v>0.18304634148711177</v>
      </c>
      <c r="H270" s="345">
        <v>0.20334538654182144</v>
      </c>
      <c r="I270" s="345">
        <v>0.20706647799575206</v>
      </c>
      <c r="J270" s="345">
        <v>0.21469287952443686</v>
      </c>
      <c r="K270" s="345">
        <v>0.21783547133282316</v>
      </c>
      <c r="L270" s="380">
        <v>0.21783547133282316</v>
      </c>
      <c r="M270" s="296">
        <f t="shared" si="118"/>
        <v>2.0881467557813536E-2</v>
      </c>
      <c r="N270" s="298">
        <f t="shared" si="119"/>
        <v>9.0053218568078765E-3</v>
      </c>
      <c r="O270" s="344">
        <v>0</v>
      </c>
      <c r="P270" s="345">
        <v>1.6129902913042306E-2</v>
      </c>
      <c r="Q270" s="345">
        <v>9.512475954364788E-2</v>
      </c>
      <c r="R270" s="345">
        <v>0.13258240422331194</v>
      </c>
      <c r="S270" s="345">
        <v>0.17711907315800832</v>
      </c>
      <c r="T270" s="345">
        <v>0.19446972535510573</v>
      </c>
      <c r="U270" s="345">
        <v>0.20334538654182144</v>
      </c>
      <c r="V270" s="345">
        <v>0.21127575707684401</v>
      </c>
      <c r="W270" s="345">
        <v>0.21801753078185498</v>
      </c>
      <c r="X270" s="345">
        <v>0.21783547133282316</v>
      </c>
      <c r="Y270" s="380">
        <v>0.22269187818619993</v>
      </c>
      <c r="Z270" s="296">
        <f t="shared" si="120"/>
        <v>3.4674272018782287E-2</v>
      </c>
      <c r="AA270" s="298">
        <f t="shared" si="121"/>
        <v>1.4794224936144247E-2</v>
      </c>
      <c r="AB270" s="948">
        <f t="array" ref="AB270">IF(AND($AD$228=TRUE,SUM(B270:L270)&gt;0),SUMPRODUCT((((TRANSPOSE(Cls3CentDailyRng)&lt;INDEX(CDRANGE_CLS3,$A270-$A$233+1,AD$229))*TRANSPOSE(Cls3CentDailyRng)+(TRANSPOSE(Cls3CentDailyRng)&gt;INDEX(CDRANGE_CLS3,$A270-$A$233+1,AD$229))*INDEX(CDRANGE_CLS3,$A270-$A$233+1,AD$229))/TRANSPOSE(Cls3CentDailyRng)),B270:L270,TRANSPOSE(Cls3CentVMTShr))/SUMPRODUCT(B270:L270,TRANSPOSE(Cls3CentVMTShr)),0)</f>
        <v>0.61015870818363982</v>
      </c>
      <c r="AC270" s="949">
        <f t="array" ref="AC270">IF(AND($AD$228=TRUE,SUM(O270:Y270)&gt;0),SUMPRODUCT((((TRANSPOSE(Cls3NCentDailyRng)&lt;INDEX(CDRANGE_CLS3,$A270-$A$233+1,AD$229))*TRANSPOSE(Cls3NCentDailyRng)+(TRANSPOSE(Cls3NCentDailyRng)&gt;INDEX(CDRANGE_CLS3,$A270-$A$233+1,AD$229))*INDEX(CDRANGE_CLS3,$A270-$A$233+1,AD$229))/TRANSPOSE(Cls3NCentDailyRng)),O270:Y270,TRANSPOSE(Cls3NCentVMTShr))/SUMPRODUCT(O270:Y270,TRANSPOSE(Cls3NCentVMTShr)),0)</f>
        <v>0.57820470605916485</v>
      </c>
      <c r="AD270" s="1226">
        <f t="shared" si="128"/>
        <v>0.59021510253286469</v>
      </c>
      <c r="AE270" s="1230">
        <f t="shared" si="125"/>
        <v>2.0881467557813536E-2</v>
      </c>
      <c r="AF270" s="1231">
        <f t="shared" si="126"/>
        <v>3.4674272018782287E-2</v>
      </c>
      <c r="AG270" s="1231">
        <f t="shared" si="127"/>
        <v>5.555573957659582E-2</v>
      </c>
      <c r="AH270" s="1172">
        <f t="shared" si="123"/>
        <v>0.37586517103284772</v>
      </c>
      <c r="AI270" s="1232">
        <f t="shared" si="124"/>
        <v>0.62413482896715233</v>
      </c>
    </row>
    <row r="271" spans="1:35" ht="15" thickBot="1" x14ac:dyDescent="0.25">
      <c r="A271" s="328">
        <v>2045</v>
      </c>
      <c r="B271" s="346">
        <v>0</v>
      </c>
      <c r="C271" s="347">
        <v>2.6408605604817646E-2</v>
      </c>
      <c r="D271" s="347">
        <v>0.10126710210554994</v>
      </c>
      <c r="E271" s="347">
        <v>0.13586198712319209</v>
      </c>
      <c r="F271" s="347">
        <v>0.17841860417505298</v>
      </c>
      <c r="G271" s="347">
        <v>0.18929813319705666</v>
      </c>
      <c r="H271" s="347">
        <v>0.20768656593215065</v>
      </c>
      <c r="I271" s="347">
        <v>0.21139037700520616</v>
      </c>
      <c r="J271" s="347">
        <v>0.21466131694236021</v>
      </c>
      <c r="K271" s="347">
        <v>0.22054757347850831</v>
      </c>
      <c r="L271" s="381">
        <v>0.22054757347850831</v>
      </c>
      <c r="M271" s="310">
        <f t="shared" si="118"/>
        <v>2.6886954913667806E-2</v>
      </c>
      <c r="N271" s="312">
        <f t="shared" si="119"/>
        <v>1.3189940302201279E-2</v>
      </c>
      <c r="O271" s="346">
        <v>0</v>
      </c>
      <c r="P271" s="347">
        <v>3.96361210287638E-2</v>
      </c>
      <c r="Q271" s="347">
        <v>0.11628686772676605</v>
      </c>
      <c r="R271" s="347">
        <v>0.14003151523412832</v>
      </c>
      <c r="S271" s="347">
        <v>0.19158046688720701</v>
      </c>
      <c r="T271" s="347">
        <v>0.20008328559274327</v>
      </c>
      <c r="U271" s="347">
        <v>0.20768656593215065</v>
      </c>
      <c r="V271" s="347">
        <v>0.21510694792482216</v>
      </c>
      <c r="W271" s="347">
        <v>0.21798561633861338</v>
      </c>
      <c r="X271" s="347">
        <v>0.22054757347850831</v>
      </c>
      <c r="Y271" s="381">
        <v>0.22265947610050382</v>
      </c>
      <c r="Z271" s="310">
        <f t="shared" si="120"/>
        <v>4.3702322049398896E-2</v>
      </c>
      <c r="AA271" s="312">
        <f t="shared" si="121"/>
        <v>2.2090805271590599E-2</v>
      </c>
      <c r="AB271" s="948">
        <f t="array" ref="AB271">IF(AND($AD$228=TRUE,SUM(B271:L271)&gt;0),SUMPRODUCT((((TRANSPOSE(Cls3CentDailyRng)&lt;INDEX(CDRANGE_CLS3,$A271-$A$233+1,AD$229))*TRANSPOSE(Cls3CentDailyRng)+(TRANSPOSE(Cls3CentDailyRng)&gt;INDEX(CDRANGE_CLS3,$A271-$A$233+1,AD$229))*INDEX(CDRANGE_CLS3,$A271-$A$233+1,AD$229))/TRANSPOSE(Cls3CentDailyRng)),B271:L271,TRANSPOSE(Cls3CentVMTShr))/SUMPRODUCT(B271:L271,TRANSPOSE(Cls3CentVMTShr)),0)</f>
        <v>0.66631704424875526</v>
      </c>
      <c r="AC271" s="949">
        <f t="array" ref="AC271">IF(AND($AD$228=TRUE,SUM(O271:Y271)&gt;0),SUMPRODUCT((((TRANSPOSE(Cls3NCentDailyRng)&lt;INDEX(CDRANGE_CLS3,$A271-$A$233+1,AD$229))*TRANSPOSE(Cls3NCentDailyRng)+(TRANSPOSE(Cls3NCentDailyRng)&gt;INDEX(CDRANGE_CLS3,$A271-$A$233+1,AD$229))*INDEX(CDRANGE_CLS3,$A271-$A$233+1,AD$229))/TRANSPOSE(Cls3NCentDailyRng)),O271:Y271,TRANSPOSE(Cls3NCentVMTShr))/SUMPRODUCT(O271:Y271,TRANSPOSE(Cls3NCentVMTShr)),0)</f>
        <v>0.64765214222727041</v>
      </c>
      <c r="AD271" s="1226">
        <f t="shared" si="128"/>
        <v>0.65476147101926618</v>
      </c>
      <c r="AE271" s="1230">
        <f t="shared" si="125"/>
        <v>2.6886954913667806E-2</v>
      </c>
      <c r="AF271" s="1231">
        <f t="shared" si="126"/>
        <v>4.3702322049398896E-2</v>
      </c>
      <c r="AG271" s="1231">
        <f t="shared" si="127"/>
        <v>7.0589276963066702E-2</v>
      </c>
      <c r="AH271" s="1172">
        <f t="shared" si="123"/>
        <v>0.38089290711584195</v>
      </c>
      <c r="AI271" s="1232">
        <f t="shared" si="124"/>
        <v>0.61910709288415811</v>
      </c>
    </row>
    <row r="272" spans="1:35" x14ac:dyDescent="0.2">
      <c r="A272" s="329">
        <v>2046</v>
      </c>
      <c r="B272" s="342">
        <v>0</v>
      </c>
      <c r="C272" s="343">
        <v>3.9165036926380868E-2</v>
      </c>
      <c r="D272" s="343">
        <v>0.11162588946825421</v>
      </c>
      <c r="E272" s="343">
        <v>0.139864679636892</v>
      </c>
      <c r="F272" s="343">
        <v>0.18496097329741043</v>
      </c>
      <c r="G272" s="343">
        <v>0.19525355726571614</v>
      </c>
      <c r="H272" s="343">
        <v>0.20765573998997897</v>
      </c>
      <c r="I272" s="343">
        <v>0.21135914932592273</v>
      </c>
      <c r="J272" s="343">
        <v>0.21795368451751493</v>
      </c>
      <c r="K272" s="343">
        <v>0.22051537315696387</v>
      </c>
      <c r="L272" s="379">
        <v>0.22051537315696387</v>
      </c>
      <c r="M272" s="282">
        <f t="shared" si="118"/>
        <v>3.0050688565349117E-2</v>
      </c>
      <c r="N272" s="284">
        <f t="shared" si="119"/>
        <v>1.5635288846441577E-2</v>
      </c>
      <c r="O272" s="342">
        <v>0</v>
      </c>
      <c r="P272" s="343">
        <v>5.6113754478137788E-2</v>
      </c>
      <c r="Q272" s="343">
        <v>0.12739617554840679</v>
      </c>
      <c r="R272" s="343">
        <v>0.15086702817529196</v>
      </c>
      <c r="S272" s="343">
        <v>0.19155152787232238</v>
      </c>
      <c r="T272" s="343">
        <v>0.20532139672853672</v>
      </c>
      <c r="U272" s="343">
        <v>0.21201989898074372</v>
      </c>
      <c r="V272" s="343">
        <v>0.21507532075657892</v>
      </c>
      <c r="W272" s="343">
        <v>0.21795368451751493</v>
      </c>
      <c r="X272" s="343">
        <v>0.22051537315696387</v>
      </c>
      <c r="Y272" s="379">
        <v>0.22262705631114368</v>
      </c>
      <c r="Z272" s="282">
        <f t="shared" si="120"/>
        <v>4.9870646797829633E-2</v>
      </c>
      <c r="AA272" s="284">
        <f t="shared" si="121"/>
        <v>2.7107148726633886E-2</v>
      </c>
      <c r="AB272" s="948">
        <f t="array" ref="AB272">IF(AND($AD$228=TRUE,SUM(B272:L272)&gt;0),SUMPRODUCT((((TRANSPOSE(Cls3CentDailyRng)&lt;INDEX(CDRANGE_CLS3,$A272-$A$233+1,AD$229))*TRANSPOSE(Cls3CentDailyRng)+(TRANSPOSE(Cls3CentDailyRng)&gt;INDEX(CDRANGE_CLS3,$A272-$A$233+1,AD$229))*INDEX(CDRANGE_CLS3,$A272-$A$233+1,AD$229))/TRANSPOSE(Cls3CentDailyRng)),B272:L272,TRANSPOSE(Cls3CentVMTShr))/SUMPRODUCT(B272:L272,TRANSPOSE(Cls3CentVMTShr)),0)</f>
        <v>0.69239667733582666</v>
      </c>
      <c r="AC272" s="949">
        <f t="array" ref="AC272">IF(AND($AD$228=TRUE,SUM(O272:Y272)&gt;0),SUMPRODUCT((((TRANSPOSE(Cls3NCentDailyRng)&lt;INDEX(CDRANGE_CLS3,$A272-$A$233+1,AD$229))*TRANSPOSE(Cls3NCentDailyRng)+(TRANSPOSE(Cls3NCentDailyRng)&gt;INDEX(CDRANGE_CLS3,$A272-$A$233+1,AD$229))*INDEX(CDRANGE_CLS3,$A272-$A$233+1,AD$229))/TRANSPOSE(Cls3NCentDailyRng)),O272:Y272,TRANSPOSE(Cls3NCentVMTShr))/SUMPRODUCT(O272:Y272,TRANSPOSE(Cls3NCentVMTShr)),0)</f>
        <v>0.68095517178291776</v>
      </c>
      <c r="AD272" s="1226">
        <f t="shared" si="128"/>
        <v>0.68525721601837453</v>
      </c>
      <c r="AE272" s="1230">
        <f t="shared" si="125"/>
        <v>3.0050688565349117E-2</v>
      </c>
      <c r="AF272" s="1231">
        <f t="shared" si="126"/>
        <v>4.9870646797829633E-2</v>
      </c>
      <c r="AG272" s="1231">
        <f t="shared" si="127"/>
        <v>7.9921335363178747E-2</v>
      </c>
      <c r="AH272" s="1172">
        <f t="shared" si="123"/>
        <v>0.3760033341384087</v>
      </c>
      <c r="AI272" s="1232">
        <f t="shared" si="124"/>
        <v>0.6239966658615913</v>
      </c>
    </row>
    <row r="273" spans="1:35" x14ac:dyDescent="0.2">
      <c r="A273" s="330">
        <v>2047</v>
      </c>
      <c r="B273" s="344">
        <v>0</v>
      </c>
      <c r="C273" s="345">
        <v>5.0570419156280591E-2</v>
      </c>
      <c r="D273" s="345">
        <v>0.12139795086700124</v>
      </c>
      <c r="E273" s="345">
        <v>0.14474689708557417</v>
      </c>
      <c r="F273" s="345">
        <v>0.19124380033018748</v>
      </c>
      <c r="G273" s="345">
        <v>0.20087237449209891</v>
      </c>
      <c r="H273" s="345">
        <v>0.21198860476744238</v>
      </c>
      <c r="I273" s="345">
        <v>0.21519122599599208</v>
      </c>
      <c r="J273" s="345">
        <v>0.21792175731334371</v>
      </c>
      <c r="K273" s="345">
        <v>0.22048317745903798</v>
      </c>
      <c r="L273" s="380">
        <v>0.22048317745903798</v>
      </c>
      <c r="M273" s="296">
        <f t="shared" si="118"/>
        <v>3.3057669194166604E-2</v>
      </c>
      <c r="N273" s="298">
        <f t="shared" si="119"/>
        <v>1.7886302058784151E-2</v>
      </c>
      <c r="O273" s="344">
        <v>0</v>
      </c>
      <c r="P273" s="345">
        <v>6.2266446151943607E-2</v>
      </c>
      <c r="Q273" s="345">
        <v>0.1300826690587624</v>
      </c>
      <c r="R273" s="345">
        <v>0.14970201803494884</v>
      </c>
      <c r="S273" s="345">
        <v>0.19756016672697121</v>
      </c>
      <c r="T273" s="345">
        <v>0.20529085741008016</v>
      </c>
      <c r="U273" s="345">
        <v>0.21198860476744238</v>
      </c>
      <c r="V273" s="345">
        <v>0.21837225773951782</v>
      </c>
      <c r="W273" s="345">
        <v>0.22066681978867408</v>
      </c>
      <c r="X273" s="345">
        <v>0.22048317745903798</v>
      </c>
      <c r="Y273" s="380">
        <v>0.22259464115024372</v>
      </c>
      <c r="Z273" s="296">
        <f t="shared" si="120"/>
        <v>5.1861892886249726E-2</v>
      </c>
      <c r="AA273" s="298">
        <f t="shared" si="121"/>
        <v>2.882548215011678E-2</v>
      </c>
      <c r="AB273" s="948">
        <f t="array" ref="AB273">IF(AND($AD$228=TRUE,SUM(B273:L273)&gt;0),SUMPRODUCT((((TRANSPOSE(Cls3CentDailyRng)&lt;INDEX(CDRANGE_CLS3,$A273-$A$233+1,AD$229))*TRANSPOSE(Cls3CentDailyRng)+(TRANSPOSE(Cls3CentDailyRng)&gt;INDEX(CDRANGE_CLS3,$A273-$A$233+1,AD$229))*INDEX(CDRANGE_CLS3,$A273-$A$233+1,AD$229))/TRANSPOSE(Cls3CentDailyRng)),B273:L273,TRANSPOSE(Cls3CentVMTShr))/SUMPRODUCT(B273:L273,TRANSPOSE(Cls3CentVMTShr)),0)</f>
        <v>0.71070323752847264</v>
      </c>
      <c r="AC273" s="949">
        <f t="array" ref="AC273">IF(AND($AD$228=TRUE,SUM(O273:Y273)&gt;0),SUMPRODUCT((((TRANSPOSE(Cls3NCentDailyRng)&lt;INDEX(CDRANGE_CLS3,$A273-$A$233+1,AD$229))*TRANSPOSE(Cls3NCentDailyRng)+(TRANSPOSE(Cls3NCentDailyRng)&gt;INDEX(CDRANGE_CLS3,$A273-$A$233+1,AD$229))*INDEX(CDRANGE_CLS3,$A273-$A$233+1,AD$229))/TRANSPOSE(Cls3NCentDailyRng)),O273:Y273,TRANSPOSE(Cls3NCentVMTShr))/SUMPRODUCT(O273:Y273,TRANSPOSE(Cls3NCentVMTShr)),0)</f>
        <v>0.69156272761918036</v>
      </c>
      <c r="AD273" s="1226">
        <f t="shared" si="128"/>
        <v>0.69901378635391409</v>
      </c>
      <c r="AE273" s="1230">
        <f t="shared" si="125"/>
        <v>3.3057669194166604E-2</v>
      </c>
      <c r="AF273" s="1231">
        <f t="shared" si="126"/>
        <v>5.1861892886249726E-2</v>
      </c>
      <c r="AG273" s="1231">
        <f t="shared" si="127"/>
        <v>8.491956208041633E-2</v>
      </c>
      <c r="AH273" s="1172">
        <f t="shared" si="123"/>
        <v>0.38928214399954114</v>
      </c>
      <c r="AI273" s="1232">
        <f t="shared" si="124"/>
        <v>0.6107178560004588</v>
      </c>
    </row>
    <row r="274" spans="1:35" x14ac:dyDescent="0.2">
      <c r="A274" s="330">
        <v>2048</v>
      </c>
      <c r="B274" s="344">
        <v>0</v>
      </c>
      <c r="C274" s="345">
        <v>5.7979771715084699E-2</v>
      </c>
      <c r="D274" s="345">
        <v>0.12551746442848752</v>
      </c>
      <c r="E274" s="345">
        <v>0.1494539134449859</v>
      </c>
      <c r="F274" s="345">
        <v>0.19121494940104691</v>
      </c>
      <c r="G274" s="345">
        <v>0.20084235049445773</v>
      </c>
      <c r="H274" s="345">
        <v>0.21195727274075338</v>
      </c>
      <c r="I274" s="345">
        <v>0.21515955106148069</v>
      </c>
      <c r="J274" s="345">
        <v>0.2178897914596456</v>
      </c>
      <c r="K274" s="345">
        <v>0.22045094275532454</v>
      </c>
      <c r="L274" s="380">
        <v>0.22045094275532454</v>
      </c>
      <c r="M274" s="296">
        <f t="shared" si="118"/>
        <v>3.4751980044660506E-2</v>
      </c>
      <c r="N274" s="298">
        <f t="shared" si="119"/>
        <v>1.9226214379529871E-2</v>
      </c>
      <c r="O274" s="344">
        <v>0</v>
      </c>
      <c r="P274" s="345">
        <v>6.6085434692962977E-2</v>
      </c>
      <c r="Q274" s="345">
        <v>0.13385650769323754</v>
      </c>
      <c r="R274" s="345">
        <v>0.15426326046274258</v>
      </c>
      <c r="S274" s="345">
        <v>0.19753051252554416</v>
      </c>
      <c r="T274" s="345">
        <v>0.21011284856165163</v>
      </c>
      <c r="U274" s="345">
        <v>0.21195727274075338</v>
      </c>
      <c r="V274" s="345">
        <v>0.21834024442073785</v>
      </c>
      <c r="W274" s="345">
        <v>0.22063456590502151</v>
      </c>
      <c r="X274" s="345">
        <v>0.22045094275532454</v>
      </c>
      <c r="Y274" s="380">
        <v>0.22397038320252904</v>
      </c>
      <c r="Z274" s="296">
        <f t="shared" si="120"/>
        <v>5.3530236009381629E-2</v>
      </c>
      <c r="AA274" s="298">
        <f t="shared" si="121"/>
        <v>3.0095445530969905E-2</v>
      </c>
      <c r="AB274" s="948">
        <f t="array" ref="AB274">IF(AND($AD$228=TRUE,SUM(B274:L274)&gt;0),SUMPRODUCT((((TRANSPOSE(Cls3CentDailyRng)&lt;INDEX(CDRANGE_CLS3,$A274-$A$233+1,AD$229))*TRANSPOSE(Cls3CentDailyRng)+(TRANSPOSE(Cls3CentDailyRng)&gt;INDEX(CDRANGE_CLS3,$A274-$A$233+1,AD$229))*INDEX(CDRANGE_CLS3,$A274-$A$233+1,AD$229))/TRANSPOSE(Cls3CentDailyRng)),B274:L274,TRANSPOSE(Cls3CentVMTShr))/SUMPRODUCT(B274:L274,TRANSPOSE(Cls3CentVMTShr)),0)</f>
        <v>0.72142101786794299</v>
      </c>
      <c r="AC274" s="949">
        <f t="array" ref="AC274">IF(AND($AD$228=TRUE,SUM(O274:Y274)&gt;0),SUMPRODUCT((((TRANSPOSE(Cls3NCentDailyRng)&lt;INDEX(CDRANGE_CLS3,$A274-$A$233+1,AD$229))*TRANSPOSE(Cls3NCentDailyRng)+(TRANSPOSE(Cls3NCentDailyRng)&gt;INDEX(CDRANGE_CLS3,$A274-$A$233+1,AD$229))*INDEX(CDRANGE_CLS3,$A274-$A$233+1,AD$229))/TRANSPOSE(Cls3NCentDailyRng)),O274:Y274,TRANSPOSE(Cls3NCentVMTShr))/SUMPRODUCT(O274:Y274,TRANSPOSE(Cls3NCentVMTShr)),0)</f>
        <v>0.69800155971264777</v>
      </c>
      <c r="AD274" s="1226">
        <f t="shared" si="128"/>
        <v>0.70722054603681717</v>
      </c>
      <c r="AE274" s="1230">
        <f t="shared" si="125"/>
        <v>3.4751980044660506E-2</v>
      </c>
      <c r="AF274" s="1231">
        <f t="shared" si="126"/>
        <v>5.3530236009381629E-2</v>
      </c>
      <c r="AG274" s="1231">
        <f t="shared" si="127"/>
        <v>8.8282216054042129E-2</v>
      </c>
      <c r="AH274" s="1172">
        <f t="shared" si="123"/>
        <v>0.39364643976978347</v>
      </c>
      <c r="AI274" s="1232">
        <f t="shared" si="124"/>
        <v>0.60635356023021658</v>
      </c>
    </row>
    <row r="275" spans="1:35" x14ac:dyDescent="0.2">
      <c r="A275" s="330">
        <v>2049</v>
      </c>
      <c r="B275" s="344">
        <v>0</v>
      </c>
      <c r="C275" s="345">
        <v>6.1006916306077963E-2</v>
      </c>
      <c r="D275" s="345">
        <v>0.12416884397311628</v>
      </c>
      <c r="E275" s="345">
        <v>0.14930569867788021</v>
      </c>
      <c r="F275" s="345">
        <v>0.19576536222192178</v>
      </c>
      <c r="G275" s="345">
        <v>0.20730248788804478</v>
      </c>
      <c r="H275" s="345">
        <v>0.21192592424814621</v>
      </c>
      <c r="I275" s="345">
        <v>0.21512785944240631</v>
      </c>
      <c r="J275" s="345">
        <v>0.21785780873555033</v>
      </c>
      <c r="K275" s="345">
        <v>0.22252971504753652</v>
      </c>
      <c r="L275" s="380">
        <v>0.22252971504753652</v>
      </c>
      <c r="M275" s="296">
        <f t="shared" si="118"/>
        <v>3.5186892815984111E-2</v>
      </c>
      <c r="N275" s="298">
        <f t="shared" si="119"/>
        <v>1.9615069907414975E-2</v>
      </c>
      <c r="O275" s="344">
        <v>0</v>
      </c>
      <c r="P275" s="345">
        <v>6.9013482981292798E-2</v>
      </c>
      <c r="Q275" s="345">
        <v>0.13251134446271368</v>
      </c>
      <c r="R275" s="345">
        <v>0.15318297864437158</v>
      </c>
      <c r="S275" s="345">
        <v>0.20319786067745352</v>
      </c>
      <c r="T275" s="345">
        <v>0.21008172691682747</v>
      </c>
      <c r="U275" s="345">
        <v>0.21579713711787077</v>
      </c>
      <c r="V275" s="345">
        <v>0.21785780873555033</v>
      </c>
      <c r="W275" s="345">
        <v>0.22060229496541892</v>
      </c>
      <c r="X275" s="345">
        <v>0.22252971504753652</v>
      </c>
      <c r="Y275" s="380">
        <v>0.22393776582590302</v>
      </c>
      <c r="Z275" s="296">
        <f t="shared" si="120"/>
        <v>5.4304963258090776E-2</v>
      </c>
      <c r="AA275" s="298">
        <f t="shared" si="121"/>
        <v>3.0801642169713556E-2</v>
      </c>
      <c r="AB275" s="948">
        <f t="array" ref="AB275">IF(AND($AD$228=TRUE,SUM(B275:L275)&gt;0),SUMPRODUCT((((TRANSPOSE(Cls3CentDailyRng)&lt;INDEX(CDRANGE_CLS3,$A275-$A$233+1,AD$229))*TRANSPOSE(Cls3CentDailyRng)+(TRANSPOSE(Cls3CentDailyRng)&gt;INDEX(CDRANGE_CLS3,$A275-$A$233+1,AD$229))*INDEX(CDRANGE_CLS3,$A275-$A$233+1,AD$229))/TRANSPOSE(Cls3CentDailyRng)),B275:L275,TRANSPOSE(Cls3CentVMTShr))/SUMPRODUCT(B275:L275,TRANSPOSE(Cls3CentVMTShr)),0)</f>
        <v>0.72463694738574502</v>
      </c>
      <c r="AC275" s="949">
        <f t="array" ref="AC275">IF(AND($AD$228=TRUE,SUM(O275:Y275)&gt;0),SUMPRODUCT((((TRANSPOSE(Cls3NCentDailyRng)&lt;INDEX(CDRANGE_CLS3,$A275-$A$233+1,AD$229))*TRANSPOSE(Cls3NCentDailyRng)+(TRANSPOSE(Cls3NCentDailyRng)&gt;INDEX(CDRANGE_CLS3,$A275-$A$233+1,AD$229))*INDEX(CDRANGE_CLS3,$A275-$A$233+1,AD$229))/TRANSPOSE(Cls3NCentDailyRng)),O275:Y275,TRANSPOSE(Cls3NCentVMTShr))/SUMPRODUCT(O275:Y275,TRANSPOSE(Cls3NCentVMTShr)),0)</f>
        <v>0.70205808146547233</v>
      </c>
      <c r="AD275" s="1226">
        <f t="shared" si="128"/>
        <v>0.71093576229472566</v>
      </c>
      <c r="AE275" s="1230">
        <f t="shared" si="125"/>
        <v>3.5186892815984111E-2</v>
      </c>
      <c r="AF275" s="1231">
        <f t="shared" si="126"/>
        <v>5.4304963258090776E-2</v>
      </c>
      <c r="AG275" s="1231">
        <f t="shared" si="127"/>
        <v>8.9491856074074894E-2</v>
      </c>
      <c r="AH275" s="1172">
        <f t="shared" si="123"/>
        <v>0.39318541775308519</v>
      </c>
      <c r="AI275" s="1232">
        <f t="shared" si="124"/>
        <v>0.60681458224691476</v>
      </c>
    </row>
    <row r="276" spans="1:35" ht="15" thickBot="1" x14ac:dyDescent="0.25">
      <c r="A276" s="328">
        <v>2050</v>
      </c>
      <c r="B276" s="346">
        <v>0</v>
      </c>
      <c r="C276" s="347">
        <v>6.2554108992053034E-2</v>
      </c>
      <c r="D276" s="347">
        <v>0.13058060068439165</v>
      </c>
      <c r="E276" s="347">
        <v>0.1481779669839475</v>
      </c>
      <c r="F276" s="347">
        <v>0.19573596353502304</v>
      </c>
      <c r="G276" s="347">
        <v>0.20607933654182609</v>
      </c>
      <c r="H276" s="347">
        <v>0.21576535754471546</v>
      </c>
      <c r="I276" s="347">
        <v>0.21509615114520145</v>
      </c>
      <c r="J276" s="347">
        <v>0.21782580914749777</v>
      </c>
      <c r="K276" s="347">
        <v>0.22249722622405513</v>
      </c>
      <c r="L276" s="381">
        <v>0.22249722622405513</v>
      </c>
      <c r="M276" s="310">
        <f t="shared" si="118"/>
        <v>3.5994932710251677E-2</v>
      </c>
      <c r="N276" s="312">
        <f t="shared" si="119"/>
        <v>2.0151358871596952E-2</v>
      </c>
      <c r="O276" s="346">
        <v>0</v>
      </c>
      <c r="P276" s="347">
        <v>7.6427616119708761E-2</v>
      </c>
      <c r="Q276" s="347">
        <v>0.13745053878025862</v>
      </c>
      <c r="R276" s="347">
        <v>0.15845323696836236</v>
      </c>
      <c r="S276" s="347">
        <v>0.20316754120466285</v>
      </c>
      <c r="T276" s="347">
        <v>0.20901548864330835</v>
      </c>
      <c r="U276" s="347">
        <v>0.21576535754471546</v>
      </c>
      <c r="V276" s="347">
        <v>0.21782580914749777</v>
      </c>
      <c r="W276" s="347">
        <v>0.22038642222364699</v>
      </c>
      <c r="X276" s="347">
        <v>0.22249722622405513</v>
      </c>
      <c r="Y276" s="381">
        <v>0.22390513117549576</v>
      </c>
      <c r="Z276" s="310">
        <f t="shared" si="120"/>
        <v>5.7021924467005568E-2</v>
      </c>
      <c r="AA276" s="312">
        <f t="shared" si="121"/>
        <v>3.3047228558758981E-2</v>
      </c>
      <c r="AB276" s="950">
        <f t="array" ref="AB276">IF(AND($AD$228=TRUE,SUM(B276:L276)&gt;0),SUMPRODUCT((((TRANSPOSE(Cls3CentDailyRng)&lt;INDEX(CDRANGE_CLS3,$A276-$A$233+1,AD$229))*TRANSPOSE(Cls3CentDailyRng)+(TRANSPOSE(Cls3CentDailyRng)&gt;INDEX(CDRANGE_CLS3,$A276-$A$233+1,AD$229))*INDEX(CDRANGE_CLS3,$A276-$A$233+1,AD$229))/TRANSPOSE(Cls3CentDailyRng)),B276:L276,TRANSPOSE(Cls3CentVMTShr))/SUMPRODUCT(B276:L276,TRANSPOSE(Cls3CentVMTShr)),0)</f>
        <v>0.72878953881593389</v>
      </c>
      <c r="AC276" s="951">
        <f t="array" ref="AC276">IF(AND($AD$228=TRUE,SUM(O276:Y276)&gt;0),SUMPRODUCT((((TRANSPOSE(Cls3NCentDailyRng)&lt;INDEX(CDRANGE_CLS3,$A276-$A$233+1,AD$229))*TRANSPOSE(Cls3NCentDailyRng)+(TRANSPOSE(Cls3NCentDailyRng)&gt;INDEX(CDRANGE_CLS3,$A276-$A$233+1,AD$229))*INDEX(CDRANGE_CLS3,$A276-$A$233+1,AD$229))/TRANSPOSE(Cls3NCentDailyRng)),O276:Y276,TRANSPOSE(Cls3NCentVMTShr))/SUMPRODUCT(O276:Y276,TRANSPOSE(Cls3NCentVMTShr)),0)</f>
        <v>0.71337213555433054</v>
      </c>
      <c r="AD276" s="1227">
        <f t="shared" si="128"/>
        <v>0.71933824115936829</v>
      </c>
      <c r="AE276" s="1233">
        <f t="shared" si="125"/>
        <v>3.5994932710251677E-2</v>
      </c>
      <c r="AF276" s="1234">
        <f t="shared" si="126"/>
        <v>5.7021924467005568E-2</v>
      </c>
      <c r="AG276" s="1234">
        <f t="shared" si="127"/>
        <v>9.3016857177257245E-2</v>
      </c>
      <c r="AH276" s="1235">
        <f t="shared" si="123"/>
        <v>0.38697214464748103</v>
      </c>
      <c r="AI276" s="1236">
        <f t="shared" si="124"/>
        <v>0.61302785535251891</v>
      </c>
    </row>
    <row r="277" spans="1:35" x14ac:dyDescent="0.2">
      <c r="B277" s="227" t="s">
        <v>240</v>
      </c>
      <c r="U277" s="227" t="s">
        <v>240</v>
      </c>
      <c r="AI277" s="227"/>
    </row>
    <row r="278" spans="1:35" x14ac:dyDescent="0.2">
      <c r="AI278" s="227"/>
    </row>
    <row r="279" spans="1:35" ht="15" thickBot="1" x14ac:dyDescent="0.25">
      <c r="AI279" s="227"/>
    </row>
    <row r="280" spans="1:35" ht="15" x14ac:dyDescent="0.2">
      <c r="A280" s="333"/>
      <c r="B280" s="1555" t="s">
        <v>219</v>
      </c>
      <c r="C280" s="1556"/>
      <c r="D280" s="1556"/>
      <c r="E280" s="1556"/>
      <c r="F280" s="1556"/>
      <c r="G280" s="1556"/>
      <c r="H280" s="1556"/>
      <c r="I280" s="1556"/>
      <c r="J280" s="1556"/>
      <c r="K280" s="1556"/>
      <c r="L280" s="1556"/>
      <c r="M280" s="1556"/>
      <c r="N280" s="1557"/>
      <c r="O280" s="1555" t="s">
        <v>218</v>
      </c>
      <c r="P280" s="1556"/>
      <c r="Q280" s="1556"/>
      <c r="R280" s="1556"/>
      <c r="S280" s="1556"/>
      <c r="T280" s="1556"/>
      <c r="U280" s="1556"/>
      <c r="V280" s="1556"/>
      <c r="W280" s="1556"/>
      <c r="X280" s="1556"/>
      <c r="Y280" s="1556"/>
      <c r="Z280" s="1556"/>
      <c r="AA280" s="1557"/>
    </row>
    <row r="281" spans="1:35" x14ac:dyDescent="0.2">
      <c r="A281" s="324"/>
      <c r="B281" s="616" t="s">
        <v>121</v>
      </c>
      <c r="C281" s="617"/>
      <c r="D281" s="617"/>
      <c r="E281" s="617"/>
      <c r="F281" s="617"/>
      <c r="G281" s="617"/>
      <c r="H281" s="617"/>
      <c r="I281" s="617"/>
      <c r="J281" s="617"/>
      <c r="K281" s="617"/>
      <c r="L281" s="617"/>
      <c r="M281" s="382"/>
      <c r="N281" s="325"/>
      <c r="O281" s="616" t="s">
        <v>121</v>
      </c>
      <c r="P281" s="617"/>
      <c r="Q281" s="617"/>
      <c r="R281" s="617"/>
      <c r="S281" s="617"/>
      <c r="T281" s="617"/>
      <c r="U281" s="617"/>
      <c r="V281" s="617"/>
      <c r="W281" s="617"/>
      <c r="X281" s="617"/>
      <c r="Y281" s="617"/>
      <c r="Z281" s="382"/>
      <c r="AA281" s="325"/>
      <c r="AC281" s="954" t="s">
        <v>267</v>
      </c>
      <c r="AD281" s="234" t="b">
        <f>INDEX(TECH_OPT_FUEL2_Cls3,MATCH(RIGHT(O280),TECH_OPT_ROWS_Cls3,0))&lt;&gt;"N/A"</f>
        <v>0</v>
      </c>
    </row>
    <row r="282" spans="1:35" ht="15" thickBot="1" x14ac:dyDescent="0.25">
      <c r="A282" s="331"/>
      <c r="B282" s="338" t="s">
        <v>28</v>
      </c>
      <c r="C282" s="339" t="s">
        <v>29</v>
      </c>
      <c r="D282" s="339" t="s">
        <v>30</v>
      </c>
      <c r="E282" s="339" t="s">
        <v>31</v>
      </c>
      <c r="F282" s="339" t="s">
        <v>32</v>
      </c>
      <c r="G282" s="339" t="s">
        <v>33</v>
      </c>
      <c r="H282" s="339" t="s">
        <v>34</v>
      </c>
      <c r="I282" s="339" t="s">
        <v>35</v>
      </c>
      <c r="J282" s="339" t="s">
        <v>36</v>
      </c>
      <c r="K282" s="339" t="s">
        <v>37</v>
      </c>
      <c r="L282" s="377" t="s">
        <v>38</v>
      </c>
      <c r="M282" s="383" t="s">
        <v>122</v>
      </c>
      <c r="N282" s="332" t="s">
        <v>123</v>
      </c>
      <c r="O282" s="338" t="s">
        <v>28</v>
      </c>
      <c r="P282" s="339" t="s">
        <v>29</v>
      </c>
      <c r="Q282" s="339" t="s">
        <v>30</v>
      </c>
      <c r="R282" s="339" t="s">
        <v>31</v>
      </c>
      <c r="S282" s="339" t="s">
        <v>32</v>
      </c>
      <c r="T282" s="339" t="s">
        <v>33</v>
      </c>
      <c r="U282" s="339" t="s">
        <v>34</v>
      </c>
      <c r="V282" s="339" t="s">
        <v>35</v>
      </c>
      <c r="W282" s="339" t="s">
        <v>36</v>
      </c>
      <c r="X282" s="339" t="s">
        <v>37</v>
      </c>
      <c r="Y282" s="377" t="s">
        <v>38</v>
      </c>
      <c r="Z282" s="383" t="s">
        <v>122</v>
      </c>
      <c r="AA282" s="332" t="s">
        <v>123</v>
      </c>
      <c r="AB282" s="936"/>
      <c r="AC282" s="954" t="s">
        <v>268</v>
      </c>
      <c r="AD282" s="234">
        <f>MATCH(RIGHT(O280),TECH_OPT_ROWS_Cls3,0)</f>
        <v>6</v>
      </c>
    </row>
    <row r="283" spans="1:35" ht="16" thickTop="1" thickBot="1" x14ac:dyDescent="0.25">
      <c r="A283" s="348" t="s">
        <v>124</v>
      </c>
      <c r="B283" s="340">
        <f t="array" ref="B283:L283">TRANSPOSE(Cls3CentTruckShr)</f>
        <v>0.16490316390132354</v>
      </c>
      <c r="C283" s="341">
        <v>0.14150050624583405</v>
      </c>
      <c r="D283" s="341">
        <v>5.0842757108027201E-2</v>
      </c>
      <c r="E283" s="341">
        <v>1.7493235097392132E-2</v>
      </c>
      <c r="F283" s="341">
        <v>6.5645600537602268E-3</v>
      </c>
      <c r="G283" s="341">
        <v>1.3068268788829179E-4</v>
      </c>
      <c r="H283" s="341">
        <v>2.9863696966199553E-3</v>
      </c>
      <c r="I283" s="341">
        <v>0</v>
      </c>
      <c r="J283" s="341">
        <v>0</v>
      </c>
      <c r="K283" s="341">
        <v>5.0573390409248292E-4</v>
      </c>
      <c r="L283" s="378">
        <v>0</v>
      </c>
      <c r="M283" s="384"/>
      <c r="N283" s="336"/>
      <c r="O283" s="340">
        <f t="array" ref="O283:Y283">TRANSPOSE(Cls3NCentTruckShr)</f>
        <v>0.27324001996593789</v>
      </c>
      <c r="P283" s="341">
        <v>0.25610450783680394</v>
      </c>
      <c r="Q283" s="341">
        <v>4.6572125423937315E-2</v>
      </c>
      <c r="R283" s="341">
        <v>2.2779497082922668E-2</v>
      </c>
      <c r="S283" s="341">
        <v>5.0811779544371336E-3</v>
      </c>
      <c r="T283" s="341">
        <v>2.5955840495899339E-3</v>
      </c>
      <c r="U283" s="341">
        <v>4.3441677754441459E-3</v>
      </c>
      <c r="V283" s="341">
        <v>3.7558983870508854E-3</v>
      </c>
      <c r="W283" s="341">
        <v>4.897828379299261E-4</v>
      </c>
      <c r="X283" s="341">
        <v>0</v>
      </c>
      <c r="Y283" s="1209">
        <v>1.1022999100839563E-4</v>
      </c>
      <c r="Z283" s="1214"/>
      <c r="AA283" s="1215"/>
    </row>
    <row r="284" spans="1:35" x14ac:dyDescent="0.2">
      <c r="A284" s="331" t="s">
        <v>125</v>
      </c>
      <c r="B284" s="923">
        <f t="array" ref="B284:L284">TRANSPOSE(Cls3CentVMTShr)</f>
        <v>7.4407503791532936E-2</v>
      </c>
      <c r="C284" s="924">
        <v>0.15052192967997111</v>
      </c>
      <c r="D284" s="924">
        <v>8.9028098283245441E-2</v>
      </c>
      <c r="E284" s="924">
        <v>4.5356257743642811E-2</v>
      </c>
      <c r="F284" s="924">
        <v>2.1016507050137231E-2</v>
      </c>
      <c r="G284" s="924">
        <v>4.9007047894213725E-4</v>
      </c>
      <c r="H284" s="924">
        <v>1.4797621296467818E-2</v>
      </c>
      <c r="I284" s="924">
        <v>0</v>
      </c>
      <c r="J284" s="924">
        <v>0</v>
      </c>
      <c r="K284" s="924">
        <v>3.7103078033661591E-3</v>
      </c>
      <c r="L284" s="1210">
        <v>0</v>
      </c>
      <c r="M284" s="1211"/>
      <c r="N284" s="1212"/>
      <c r="O284" s="923">
        <f t="array" ref="O284:Y284">TRANSPOSE(Cls3NCentVMTShr)</f>
        <v>0.11481596497083862</v>
      </c>
      <c r="P284" s="924">
        <v>0.26987209279577573</v>
      </c>
      <c r="Q284" s="924">
        <v>8.3836105982992667E-2</v>
      </c>
      <c r="R284" s="924">
        <v>5.9842896537765707E-2</v>
      </c>
      <c r="S284" s="924">
        <v>1.6413649143963899E-2</v>
      </c>
      <c r="T284" s="924">
        <v>1.0165768727376887E-2</v>
      </c>
      <c r="U284" s="924">
        <v>2.0700108148562976E-2</v>
      </c>
      <c r="V284" s="924">
        <v>2.0956833812228508E-2</v>
      </c>
      <c r="W284" s="924">
        <v>3.1584958359553582E-3</v>
      </c>
      <c r="X284" s="924">
        <v>0</v>
      </c>
      <c r="Y284" s="925">
        <v>9.0978791723388369E-4</v>
      </c>
      <c r="Z284" s="1211"/>
      <c r="AA284" s="1212"/>
      <c r="AB284" s="1568" t="str">
        <f>"% of miles on f2 for Tech "&amp; RIGHT(O279)&amp;" adopters"</f>
        <v>% of miles on f2 for Tech  adopters</v>
      </c>
      <c r="AC284" s="1569"/>
      <c r="AD284" s="1570"/>
      <c r="AE284" s="1237" t="s">
        <v>298</v>
      </c>
      <c r="AF284" s="1238"/>
      <c r="AG284" s="1238"/>
      <c r="AH284" s="1228" t="s">
        <v>297</v>
      </c>
      <c r="AI284" s="1229"/>
    </row>
    <row r="285" spans="1:35" ht="15" thickBot="1" x14ac:dyDescent="0.25">
      <c r="A285" s="942" t="s">
        <v>266</v>
      </c>
      <c r="B285" s="933">
        <f t="array" ref="B285:L285">TRANSPOSE(Cls3CentVMT/OPDAYS_Cls3)</f>
        <v>49.202805162026571</v>
      </c>
      <c r="C285" s="934">
        <v>115.99623692884222</v>
      </c>
      <c r="D285" s="934">
        <v>190.94140758026836</v>
      </c>
      <c r="E285" s="934">
        <v>282.72824571583544</v>
      </c>
      <c r="F285" s="934">
        <v>349.10577157713089</v>
      </c>
      <c r="G285" s="934">
        <v>408.92399999999998</v>
      </c>
      <c r="H285" s="934">
        <v>540.31926836851005</v>
      </c>
      <c r="I285" s="934">
        <v>600</v>
      </c>
      <c r="J285" s="934">
        <v>680</v>
      </c>
      <c r="K285" s="934">
        <v>800.00000000000011</v>
      </c>
      <c r="L285" s="935">
        <v>800</v>
      </c>
      <c r="M285" s="931"/>
      <c r="N285" s="932"/>
      <c r="O285" s="933">
        <f t="array" ref="O285:Y285">TRANSPOSE(Cls3NCentVMT/OPDAYS_Cls3)</f>
        <v>45.820527909508108</v>
      </c>
      <c r="P285" s="934">
        <v>114.90604343518244</v>
      </c>
      <c r="Q285" s="934">
        <v>196.29405935940918</v>
      </c>
      <c r="R285" s="934">
        <v>286.46435582159182</v>
      </c>
      <c r="S285" s="934">
        <v>352.24339419308075</v>
      </c>
      <c r="T285" s="934">
        <v>427.07804424634116</v>
      </c>
      <c r="U285" s="934">
        <v>519.59880241076587</v>
      </c>
      <c r="V285" s="934">
        <v>608.4346682070543</v>
      </c>
      <c r="W285" s="934">
        <v>703.2</v>
      </c>
      <c r="X285" s="934">
        <v>760</v>
      </c>
      <c r="Y285" s="1213">
        <v>900</v>
      </c>
      <c r="Z285" s="943"/>
      <c r="AA285" s="932"/>
      <c r="AB285" s="945" t="s">
        <v>186</v>
      </c>
      <c r="AC285" s="946" t="s">
        <v>15</v>
      </c>
      <c r="AD285" s="947" t="s">
        <v>18</v>
      </c>
      <c r="AE285" s="330" t="s">
        <v>186</v>
      </c>
      <c r="AF285" s="1239" t="s">
        <v>15</v>
      </c>
      <c r="AG285" s="1239" t="s">
        <v>18</v>
      </c>
      <c r="AH285" s="1240" t="s">
        <v>186</v>
      </c>
      <c r="AI285" s="1241" t="s">
        <v>15</v>
      </c>
    </row>
    <row r="286" spans="1:35" ht="15" thickTop="1" x14ac:dyDescent="0.2">
      <c r="A286" s="326">
        <v>2007</v>
      </c>
      <c r="B286" s="342">
        <v>0</v>
      </c>
      <c r="C286" s="343">
        <v>0</v>
      </c>
      <c r="D286" s="343">
        <v>0</v>
      </c>
      <c r="E286" s="343">
        <v>0</v>
      </c>
      <c r="F286" s="343">
        <v>0</v>
      </c>
      <c r="G286" s="343">
        <v>0</v>
      </c>
      <c r="H286" s="343">
        <v>0</v>
      </c>
      <c r="I286" s="343">
        <v>0</v>
      </c>
      <c r="J286" s="343">
        <v>0</v>
      </c>
      <c r="K286" s="343">
        <v>0</v>
      </c>
      <c r="L286" s="379">
        <v>0</v>
      </c>
      <c r="M286" s="387">
        <f>SUMPRODUCT(B286:L286,$B$284:$L$284)</f>
        <v>0</v>
      </c>
      <c r="N286" s="284">
        <f>SUMPRODUCT(B286:L286,$B$283:$L$283)</f>
        <v>0</v>
      </c>
      <c r="O286" s="342">
        <v>0</v>
      </c>
      <c r="P286" s="343">
        <v>0</v>
      </c>
      <c r="Q286" s="343">
        <v>0</v>
      </c>
      <c r="R286" s="343">
        <v>0</v>
      </c>
      <c r="S286" s="343">
        <v>0</v>
      </c>
      <c r="T286" s="343">
        <v>0</v>
      </c>
      <c r="U286" s="343">
        <v>0</v>
      </c>
      <c r="V286" s="343">
        <v>0</v>
      </c>
      <c r="W286" s="343">
        <v>0</v>
      </c>
      <c r="X286" s="343">
        <v>0</v>
      </c>
      <c r="Y286" s="379">
        <v>0</v>
      </c>
      <c r="Z286" s="387">
        <f>SUMPRODUCT(O286:Y286,$O$284:$Y$284)</f>
        <v>0</v>
      </c>
      <c r="AA286" s="284">
        <f>SUMPRODUCT(O286:Y286,$O$283:$Y$283)</f>
        <v>0</v>
      </c>
      <c r="AB286" s="948">
        <f t="array" ref="AB286">IF(AND($AD$281=TRUE,SUM(B286:L286)&gt;0),SUMPRODUCT((((TRANSPOSE(Cls3CentDailyRng)&lt;INDEX(CDRANGE_CLS3,$A286-$A$286+1,AD$282))*TRANSPOSE(Cls3CentDailyRng)+(TRANSPOSE(Cls3CentDailyRng)&gt;INDEX(CDRANGE_CLS3,$A286-$A$286+1,AD$282))*INDEX(CDRANGE_CLS3,$A286-$A$286+1,AD$282))/TRANSPOSE(Cls3CentDailyRng)),B286:L286,TRANSPOSE(Cls3CentVMTShr))/SUMPRODUCT(B286:L286,TRANSPOSE(Cls3CentVMTShr)),0)</f>
        <v>0</v>
      </c>
      <c r="AC286" s="949">
        <f t="array" ref="AC286">IF(AND($AD$281=TRUE,SUM(O286:Y286)&gt;0),SUMPRODUCT((((TRANSPOSE(Cls3NCentDailyRng)&lt;INDEX(CDRANGE_CLS3,$A286-$A$286+1,AD$282))*TRANSPOSE(Cls3NCentDailyRng)+(TRANSPOSE(Cls3NCentDailyRng)&gt;INDEX(CDRANGE_CLS3,$A286-$A$286+1,AD$282))*INDEX(CDRANGE_CLS3,$A286-$A$286+1,AD$282))/TRANSPOSE(Cls3NCentDailyRng)),O286:Y286,TRANSPOSE(Cls3NCentVMTShr))/SUMPRODUCT(O286:Y286,TRANSPOSE(Cls3NCentVMTShr)),0)</f>
        <v>0</v>
      </c>
      <c r="AD286" s="1226">
        <f>AB286*AH286+AC286*AI286</f>
        <v>0</v>
      </c>
      <c r="AE286" s="1230">
        <f t="shared" ref="AE286:AE300" si="129">SUMPRODUCT($B$74:$L$74,B286:L286)</f>
        <v>0</v>
      </c>
      <c r="AF286" s="1231">
        <f t="shared" ref="AF286:AF300" si="130">SUMPRODUCT($O$74:$Y$74,O286:Y286)</f>
        <v>0</v>
      </c>
      <c r="AG286" s="1231">
        <f t="shared" ref="AG286:AG300" si="131">SUM(AE286:AF286)</f>
        <v>0</v>
      </c>
      <c r="AH286" s="1172">
        <f>IF(AG286&gt;0,AE286/AG286,0)</f>
        <v>0</v>
      </c>
      <c r="AI286" s="1232">
        <f>IF(AG286&gt;0,AF286/AG286,0)</f>
        <v>0</v>
      </c>
    </row>
    <row r="287" spans="1:35" x14ac:dyDescent="0.2">
      <c r="A287" s="327">
        <v>2008</v>
      </c>
      <c r="B287" s="344">
        <v>0</v>
      </c>
      <c r="C287" s="345">
        <v>0</v>
      </c>
      <c r="D287" s="345">
        <v>0</v>
      </c>
      <c r="E287" s="345">
        <v>0</v>
      </c>
      <c r="F287" s="345">
        <v>0</v>
      </c>
      <c r="G287" s="345">
        <v>0</v>
      </c>
      <c r="H287" s="345">
        <v>0</v>
      </c>
      <c r="I287" s="345">
        <v>0</v>
      </c>
      <c r="J287" s="345">
        <v>0</v>
      </c>
      <c r="K287" s="345">
        <v>0</v>
      </c>
      <c r="L287" s="380">
        <v>0</v>
      </c>
      <c r="M287" s="296">
        <f t="shared" ref="M287:M329" si="132">SUMPRODUCT(B287:L287,$B$284:$L$284)</f>
        <v>0</v>
      </c>
      <c r="N287" s="298">
        <f t="shared" ref="N287:N329" si="133">SUMPRODUCT(B287:L287,$B$283:$L$283)</f>
        <v>0</v>
      </c>
      <c r="O287" s="344">
        <v>0</v>
      </c>
      <c r="P287" s="345">
        <v>0</v>
      </c>
      <c r="Q287" s="345">
        <v>0</v>
      </c>
      <c r="R287" s="345">
        <v>0</v>
      </c>
      <c r="S287" s="345">
        <v>0</v>
      </c>
      <c r="T287" s="345">
        <v>0</v>
      </c>
      <c r="U287" s="345">
        <v>0</v>
      </c>
      <c r="V287" s="345">
        <v>0</v>
      </c>
      <c r="W287" s="345">
        <v>0</v>
      </c>
      <c r="X287" s="345">
        <v>0</v>
      </c>
      <c r="Y287" s="380">
        <v>0</v>
      </c>
      <c r="Z287" s="296">
        <f t="shared" ref="Z287:Z329" si="134">SUMPRODUCT(O287:Y287,$O$284:$Y$284)</f>
        <v>0</v>
      </c>
      <c r="AA287" s="298">
        <f t="shared" ref="AA287:AA329" si="135">SUMPRODUCT(O287:Y287,$O$283:$Y$283)</f>
        <v>0</v>
      </c>
      <c r="AB287" s="948">
        <f t="array" ref="AB287">IF(AND($AD$281=TRUE,SUM(B287:L287)&gt;0),SUMPRODUCT((((TRANSPOSE(Cls3CentDailyRng)&lt;INDEX(CDRANGE_CLS3,$A287-$A$286+1,AD$282))*TRANSPOSE(Cls3CentDailyRng)+(TRANSPOSE(Cls3CentDailyRng)&gt;INDEX(CDRANGE_CLS3,$A287-$A$286+1,AD$282))*INDEX(CDRANGE_CLS3,$A287-$A$286+1,AD$282))/TRANSPOSE(Cls3CentDailyRng)),B287:L287,TRANSPOSE(Cls3CentVMTShr))/SUMPRODUCT(B287:L287,TRANSPOSE(Cls3CentVMTShr)),0)</f>
        <v>0</v>
      </c>
      <c r="AC287" s="949">
        <f t="array" ref="AC287">IF(AND($AD$281=TRUE,SUM(O287:Y287)&gt;0),SUMPRODUCT((((TRANSPOSE(Cls3NCentDailyRng)&lt;INDEX(CDRANGE_CLS3,$A287-$A$286+1,AD$282))*TRANSPOSE(Cls3NCentDailyRng)+(TRANSPOSE(Cls3NCentDailyRng)&gt;INDEX(CDRANGE_CLS3,$A287-$A$286+1,AD$282))*INDEX(CDRANGE_CLS3,$A287-$A$286+1,AD$282))/TRANSPOSE(Cls3NCentDailyRng)),O287:Y287,TRANSPOSE(Cls3NCentVMTShr))/SUMPRODUCT(O287:Y287,TRANSPOSE(Cls3NCentVMTShr)),0)</f>
        <v>0</v>
      </c>
      <c r="AD287" s="1226">
        <f t="shared" ref="AD287:AD311" si="136">AB287*AH287+AC287*AI287</f>
        <v>0</v>
      </c>
      <c r="AE287" s="1230">
        <f t="shared" si="129"/>
        <v>0</v>
      </c>
      <c r="AF287" s="1231">
        <f t="shared" si="130"/>
        <v>0</v>
      </c>
      <c r="AG287" s="1231">
        <f t="shared" si="131"/>
        <v>0</v>
      </c>
      <c r="AH287" s="1172">
        <f t="shared" ref="AH287:AH329" si="137">IF(AG287&gt;0,AE287/AG287,0)</f>
        <v>0</v>
      </c>
      <c r="AI287" s="1232">
        <f t="shared" ref="AI287:AI329" si="138">IF(AG287&gt;0,AF287/AG287,0)</f>
        <v>0</v>
      </c>
    </row>
    <row r="288" spans="1:35" x14ac:dyDescent="0.2">
      <c r="A288" s="327">
        <v>2009</v>
      </c>
      <c r="B288" s="344">
        <v>0</v>
      </c>
      <c r="C288" s="345">
        <v>0</v>
      </c>
      <c r="D288" s="345">
        <v>0</v>
      </c>
      <c r="E288" s="345">
        <v>0</v>
      </c>
      <c r="F288" s="345">
        <v>0</v>
      </c>
      <c r="G288" s="345">
        <v>0</v>
      </c>
      <c r="H288" s="345">
        <v>0</v>
      </c>
      <c r="I288" s="345">
        <v>0</v>
      </c>
      <c r="J288" s="345">
        <v>0</v>
      </c>
      <c r="K288" s="345">
        <v>0</v>
      </c>
      <c r="L288" s="380">
        <v>0</v>
      </c>
      <c r="M288" s="296">
        <f t="shared" si="132"/>
        <v>0</v>
      </c>
      <c r="N288" s="298">
        <f t="shared" si="133"/>
        <v>0</v>
      </c>
      <c r="O288" s="344">
        <v>0</v>
      </c>
      <c r="P288" s="345">
        <v>0</v>
      </c>
      <c r="Q288" s="345">
        <v>0</v>
      </c>
      <c r="R288" s="345">
        <v>0</v>
      </c>
      <c r="S288" s="345">
        <v>0</v>
      </c>
      <c r="T288" s="345">
        <v>0</v>
      </c>
      <c r="U288" s="345">
        <v>0</v>
      </c>
      <c r="V288" s="345">
        <v>0</v>
      </c>
      <c r="W288" s="345">
        <v>0</v>
      </c>
      <c r="X288" s="345">
        <v>0</v>
      </c>
      <c r="Y288" s="380">
        <v>0</v>
      </c>
      <c r="Z288" s="296">
        <f t="shared" si="134"/>
        <v>0</v>
      </c>
      <c r="AA288" s="298">
        <f t="shared" si="135"/>
        <v>0</v>
      </c>
      <c r="AB288" s="948">
        <f t="array" ref="AB288">IF(AND($AD$281=TRUE,SUM(B288:L288)&gt;0),SUMPRODUCT((((TRANSPOSE(Cls3CentDailyRng)&lt;INDEX(CDRANGE_CLS3,$A288-$A$286+1,AD$282))*TRANSPOSE(Cls3CentDailyRng)+(TRANSPOSE(Cls3CentDailyRng)&gt;INDEX(CDRANGE_CLS3,$A288-$A$286+1,AD$282))*INDEX(CDRANGE_CLS3,$A288-$A$286+1,AD$282))/TRANSPOSE(Cls3CentDailyRng)),B288:L288,TRANSPOSE(Cls3CentVMTShr))/SUMPRODUCT(B288:L288,TRANSPOSE(Cls3CentVMTShr)),0)</f>
        <v>0</v>
      </c>
      <c r="AC288" s="949">
        <f t="array" ref="AC288">IF(AND($AD$281=TRUE,SUM(O288:Y288)&gt;0),SUMPRODUCT((((TRANSPOSE(Cls3NCentDailyRng)&lt;INDEX(CDRANGE_CLS3,$A288-$A$286+1,AD$282))*TRANSPOSE(Cls3NCentDailyRng)+(TRANSPOSE(Cls3NCentDailyRng)&gt;INDEX(CDRANGE_CLS3,$A288-$A$286+1,AD$282))*INDEX(CDRANGE_CLS3,$A288-$A$286+1,AD$282))/TRANSPOSE(Cls3NCentDailyRng)),O288:Y288,TRANSPOSE(Cls3NCentVMTShr))/SUMPRODUCT(O288:Y288,TRANSPOSE(Cls3NCentVMTShr)),0)</f>
        <v>0</v>
      </c>
      <c r="AD288" s="1226">
        <f t="shared" si="136"/>
        <v>0</v>
      </c>
      <c r="AE288" s="1230">
        <f t="shared" si="129"/>
        <v>0</v>
      </c>
      <c r="AF288" s="1231">
        <f t="shared" si="130"/>
        <v>0</v>
      </c>
      <c r="AG288" s="1231">
        <f t="shared" si="131"/>
        <v>0</v>
      </c>
      <c r="AH288" s="1172">
        <f t="shared" si="137"/>
        <v>0</v>
      </c>
      <c r="AI288" s="1232">
        <f t="shared" si="138"/>
        <v>0</v>
      </c>
    </row>
    <row r="289" spans="1:35" ht="15" thickBot="1" x14ac:dyDescent="0.25">
      <c r="A289" s="328">
        <v>2010</v>
      </c>
      <c r="B289" s="346">
        <v>0</v>
      </c>
      <c r="C289" s="347">
        <v>0</v>
      </c>
      <c r="D289" s="347">
        <v>0</v>
      </c>
      <c r="E289" s="347">
        <v>0</v>
      </c>
      <c r="F289" s="347">
        <v>0</v>
      </c>
      <c r="G289" s="347">
        <v>0</v>
      </c>
      <c r="H289" s="347">
        <v>0</v>
      </c>
      <c r="I289" s="347">
        <v>0</v>
      </c>
      <c r="J289" s="347">
        <v>0</v>
      </c>
      <c r="K289" s="347">
        <v>0</v>
      </c>
      <c r="L289" s="381">
        <v>0</v>
      </c>
      <c r="M289" s="310">
        <f t="shared" si="132"/>
        <v>0</v>
      </c>
      <c r="N289" s="312">
        <f t="shared" si="133"/>
        <v>0</v>
      </c>
      <c r="O289" s="346">
        <v>0</v>
      </c>
      <c r="P289" s="347">
        <v>0</v>
      </c>
      <c r="Q289" s="347">
        <v>0</v>
      </c>
      <c r="R289" s="347">
        <v>0</v>
      </c>
      <c r="S289" s="347">
        <v>0</v>
      </c>
      <c r="T289" s="347">
        <v>0</v>
      </c>
      <c r="U289" s="347">
        <v>0</v>
      </c>
      <c r="V289" s="347">
        <v>0</v>
      </c>
      <c r="W289" s="347">
        <v>0</v>
      </c>
      <c r="X289" s="347">
        <v>0</v>
      </c>
      <c r="Y289" s="381">
        <v>0</v>
      </c>
      <c r="Z289" s="310">
        <f t="shared" si="134"/>
        <v>0</v>
      </c>
      <c r="AA289" s="312">
        <f t="shared" si="135"/>
        <v>0</v>
      </c>
      <c r="AB289" s="948">
        <f t="array" ref="AB289">IF(AND($AD$281=TRUE,SUM(B289:L289)&gt;0),SUMPRODUCT((((TRANSPOSE(Cls3CentDailyRng)&lt;INDEX(CDRANGE_CLS3,$A289-$A$286+1,AD$282))*TRANSPOSE(Cls3CentDailyRng)+(TRANSPOSE(Cls3CentDailyRng)&gt;INDEX(CDRANGE_CLS3,$A289-$A$286+1,AD$282))*INDEX(CDRANGE_CLS3,$A289-$A$286+1,AD$282))/TRANSPOSE(Cls3CentDailyRng)),B289:L289,TRANSPOSE(Cls3CentVMTShr))/SUMPRODUCT(B289:L289,TRANSPOSE(Cls3CentVMTShr)),0)</f>
        <v>0</v>
      </c>
      <c r="AC289" s="949">
        <f t="array" ref="AC289">IF(AND($AD$281=TRUE,SUM(O289:Y289)&gt;0),SUMPRODUCT((((TRANSPOSE(Cls3NCentDailyRng)&lt;INDEX(CDRANGE_CLS3,$A289-$A$286+1,AD$282))*TRANSPOSE(Cls3NCentDailyRng)+(TRANSPOSE(Cls3NCentDailyRng)&gt;INDEX(CDRANGE_CLS3,$A289-$A$286+1,AD$282))*INDEX(CDRANGE_CLS3,$A289-$A$286+1,AD$282))/TRANSPOSE(Cls3NCentDailyRng)),O289:Y289,TRANSPOSE(Cls3NCentVMTShr))/SUMPRODUCT(O289:Y289,TRANSPOSE(Cls3NCentVMTShr)),0)</f>
        <v>0</v>
      </c>
      <c r="AD289" s="1226">
        <f t="shared" si="136"/>
        <v>0</v>
      </c>
      <c r="AE289" s="1230">
        <f t="shared" si="129"/>
        <v>0</v>
      </c>
      <c r="AF289" s="1231">
        <f t="shared" si="130"/>
        <v>0</v>
      </c>
      <c r="AG289" s="1231">
        <f t="shared" si="131"/>
        <v>0</v>
      </c>
      <c r="AH289" s="1172">
        <f t="shared" si="137"/>
        <v>0</v>
      </c>
      <c r="AI289" s="1232">
        <f t="shared" si="138"/>
        <v>0</v>
      </c>
    </row>
    <row r="290" spans="1:35" x14ac:dyDescent="0.2">
      <c r="A290" s="329">
        <v>2011</v>
      </c>
      <c r="B290" s="342">
        <v>0</v>
      </c>
      <c r="C290" s="343">
        <v>0</v>
      </c>
      <c r="D290" s="343">
        <v>0</v>
      </c>
      <c r="E290" s="343">
        <v>0</v>
      </c>
      <c r="F290" s="343">
        <v>0</v>
      </c>
      <c r="G290" s="343">
        <v>0</v>
      </c>
      <c r="H290" s="343">
        <v>0</v>
      </c>
      <c r="I290" s="343">
        <v>0</v>
      </c>
      <c r="J290" s="343">
        <v>0</v>
      </c>
      <c r="K290" s="343">
        <v>0</v>
      </c>
      <c r="L290" s="379">
        <v>0</v>
      </c>
      <c r="M290" s="282">
        <f t="shared" si="132"/>
        <v>0</v>
      </c>
      <c r="N290" s="284">
        <f t="shared" si="133"/>
        <v>0</v>
      </c>
      <c r="O290" s="342">
        <v>0</v>
      </c>
      <c r="P290" s="343">
        <v>0</v>
      </c>
      <c r="Q290" s="343">
        <v>0</v>
      </c>
      <c r="R290" s="343">
        <v>0</v>
      </c>
      <c r="S290" s="343">
        <v>0</v>
      </c>
      <c r="T290" s="343">
        <v>0</v>
      </c>
      <c r="U290" s="343">
        <v>0</v>
      </c>
      <c r="V290" s="343">
        <v>0</v>
      </c>
      <c r="W290" s="343">
        <v>0</v>
      </c>
      <c r="X290" s="343">
        <v>0</v>
      </c>
      <c r="Y290" s="379">
        <v>0</v>
      </c>
      <c r="Z290" s="282">
        <f t="shared" si="134"/>
        <v>0</v>
      </c>
      <c r="AA290" s="284">
        <f t="shared" si="135"/>
        <v>0</v>
      </c>
      <c r="AB290" s="948">
        <f t="array" ref="AB290">IF(AND($AD$281=TRUE,SUM(B290:L290)&gt;0),SUMPRODUCT((((TRANSPOSE(Cls3CentDailyRng)&lt;INDEX(CDRANGE_CLS3,$A290-$A$286+1,AD$282))*TRANSPOSE(Cls3CentDailyRng)+(TRANSPOSE(Cls3CentDailyRng)&gt;INDEX(CDRANGE_CLS3,$A290-$A$286+1,AD$282))*INDEX(CDRANGE_CLS3,$A290-$A$286+1,AD$282))/TRANSPOSE(Cls3CentDailyRng)),B290:L290,TRANSPOSE(Cls3CentVMTShr))/SUMPRODUCT(B290:L290,TRANSPOSE(Cls3CentVMTShr)),0)</f>
        <v>0</v>
      </c>
      <c r="AC290" s="949">
        <f t="array" ref="AC290">IF(AND($AD$281=TRUE,SUM(O290:Y290)&gt;0),SUMPRODUCT((((TRANSPOSE(Cls3NCentDailyRng)&lt;INDEX(CDRANGE_CLS3,$A290-$A$286+1,AD$282))*TRANSPOSE(Cls3NCentDailyRng)+(TRANSPOSE(Cls3NCentDailyRng)&gt;INDEX(CDRANGE_CLS3,$A290-$A$286+1,AD$282))*INDEX(CDRANGE_CLS3,$A290-$A$286+1,AD$282))/TRANSPOSE(Cls3NCentDailyRng)),O290:Y290,TRANSPOSE(Cls3NCentVMTShr))/SUMPRODUCT(O290:Y290,TRANSPOSE(Cls3NCentVMTShr)),0)</f>
        <v>0</v>
      </c>
      <c r="AD290" s="1226">
        <f t="shared" si="136"/>
        <v>0</v>
      </c>
      <c r="AE290" s="1230">
        <f t="shared" si="129"/>
        <v>0</v>
      </c>
      <c r="AF290" s="1231">
        <f t="shared" si="130"/>
        <v>0</v>
      </c>
      <c r="AG290" s="1231">
        <f t="shared" si="131"/>
        <v>0</v>
      </c>
      <c r="AH290" s="1172">
        <f t="shared" si="137"/>
        <v>0</v>
      </c>
      <c r="AI290" s="1232">
        <f t="shared" si="138"/>
        <v>0</v>
      </c>
    </row>
    <row r="291" spans="1:35" x14ac:dyDescent="0.2">
      <c r="A291" s="330">
        <v>2012</v>
      </c>
      <c r="B291" s="344">
        <v>0</v>
      </c>
      <c r="C291" s="345">
        <v>0</v>
      </c>
      <c r="D291" s="345">
        <v>0</v>
      </c>
      <c r="E291" s="345">
        <v>0</v>
      </c>
      <c r="F291" s="345">
        <v>0</v>
      </c>
      <c r="G291" s="345">
        <v>0</v>
      </c>
      <c r="H291" s="345">
        <v>0</v>
      </c>
      <c r="I291" s="345">
        <v>0</v>
      </c>
      <c r="J291" s="345">
        <v>0</v>
      </c>
      <c r="K291" s="345">
        <v>0</v>
      </c>
      <c r="L291" s="380">
        <v>0</v>
      </c>
      <c r="M291" s="296">
        <f t="shared" si="132"/>
        <v>0</v>
      </c>
      <c r="N291" s="298">
        <f t="shared" si="133"/>
        <v>0</v>
      </c>
      <c r="O291" s="344">
        <v>0</v>
      </c>
      <c r="P291" s="345">
        <v>0</v>
      </c>
      <c r="Q291" s="345">
        <v>0</v>
      </c>
      <c r="R291" s="345">
        <v>0</v>
      </c>
      <c r="S291" s="345">
        <v>0</v>
      </c>
      <c r="T291" s="345">
        <v>0</v>
      </c>
      <c r="U291" s="345">
        <v>0</v>
      </c>
      <c r="V291" s="345">
        <v>0</v>
      </c>
      <c r="W291" s="345">
        <v>0</v>
      </c>
      <c r="X291" s="345">
        <v>0</v>
      </c>
      <c r="Y291" s="380">
        <v>0</v>
      </c>
      <c r="Z291" s="296">
        <f t="shared" si="134"/>
        <v>0</v>
      </c>
      <c r="AA291" s="298">
        <f t="shared" si="135"/>
        <v>0</v>
      </c>
      <c r="AB291" s="948">
        <f t="array" ref="AB291">IF(AND($AD$281=TRUE,SUM(B291:L291)&gt;0),SUMPRODUCT((((TRANSPOSE(Cls3CentDailyRng)&lt;INDEX(CDRANGE_CLS3,$A291-$A$286+1,AD$282))*TRANSPOSE(Cls3CentDailyRng)+(TRANSPOSE(Cls3CentDailyRng)&gt;INDEX(CDRANGE_CLS3,$A291-$A$286+1,AD$282))*INDEX(CDRANGE_CLS3,$A291-$A$286+1,AD$282))/TRANSPOSE(Cls3CentDailyRng)),B291:L291,TRANSPOSE(Cls3CentVMTShr))/SUMPRODUCT(B291:L291,TRANSPOSE(Cls3CentVMTShr)),0)</f>
        <v>0</v>
      </c>
      <c r="AC291" s="949">
        <f t="array" ref="AC291">IF(AND($AD$281=TRUE,SUM(O291:Y291)&gt;0),SUMPRODUCT((((TRANSPOSE(Cls3NCentDailyRng)&lt;INDEX(CDRANGE_CLS3,$A291-$A$286+1,AD$282))*TRANSPOSE(Cls3NCentDailyRng)+(TRANSPOSE(Cls3NCentDailyRng)&gt;INDEX(CDRANGE_CLS3,$A291-$A$286+1,AD$282))*INDEX(CDRANGE_CLS3,$A291-$A$286+1,AD$282))/TRANSPOSE(Cls3NCentDailyRng)),O291:Y291,TRANSPOSE(Cls3NCentVMTShr))/SUMPRODUCT(O291:Y291,TRANSPOSE(Cls3NCentVMTShr)),0)</f>
        <v>0</v>
      </c>
      <c r="AD291" s="1226">
        <f t="shared" si="136"/>
        <v>0</v>
      </c>
      <c r="AE291" s="1230">
        <f t="shared" si="129"/>
        <v>0</v>
      </c>
      <c r="AF291" s="1231">
        <f t="shared" si="130"/>
        <v>0</v>
      </c>
      <c r="AG291" s="1231">
        <f t="shared" si="131"/>
        <v>0</v>
      </c>
      <c r="AH291" s="1172">
        <f t="shared" si="137"/>
        <v>0</v>
      </c>
      <c r="AI291" s="1232">
        <f t="shared" si="138"/>
        <v>0</v>
      </c>
    </row>
    <row r="292" spans="1:35" x14ac:dyDescent="0.2">
      <c r="A292" s="330">
        <v>2013</v>
      </c>
      <c r="B292" s="344">
        <v>0</v>
      </c>
      <c r="C292" s="345">
        <v>0</v>
      </c>
      <c r="D292" s="345">
        <v>0</v>
      </c>
      <c r="E292" s="345">
        <v>0</v>
      </c>
      <c r="F292" s="345">
        <v>0</v>
      </c>
      <c r="G292" s="345">
        <v>0</v>
      </c>
      <c r="H292" s="345">
        <v>0</v>
      </c>
      <c r="I292" s="345">
        <v>0</v>
      </c>
      <c r="J292" s="345">
        <v>0</v>
      </c>
      <c r="K292" s="345">
        <v>0</v>
      </c>
      <c r="L292" s="380">
        <v>0</v>
      </c>
      <c r="M292" s="296">
        <f t="shared" si="132"/>
        <v>0</v>
      </c>
      <c r="N292" s="298">
        <f t="shared" si="133"/>
        <v>0</v>
      </c>
      <c r="O292" s="344">
        <v>0</v>
      </c>
      <c r="P292" s="345">
        <v>0</v>
      </c>
      <c r="Q292" s="345">
        <v>0</v>
      </c>
      <c r="R292" s="345">
        <v>0</v>
      </c>
      <c r="S292" s="345">
        <v>0</v>
      </c>
      <c r="T292" s="345">
        <v>0</v>
      </c>
      <c r="U292" s="345">
        <v>0</v>
      </c>
      <c r="V292" s="345">
        <v>0</v>
      </c>
      <c r="W292" s="345">
        <v>0</v>
      </c>
      <c r="X292" s="345">
        <v>0</v>
      </c>
      <c r="Y292" s="380">
        <v>0</v>
      </c>
      <c r="Z292" s="296">
        <f t="shared" si="134"/>
        <v>0</v>
      </c>
      <c r="AA292" s="298">
        <f t="shared" si="135"/>
        <v>0</v>
      </c>
      <c r="AB292" s="948">
        <f t="array" ref="AB292">IF(AND($AD$281=TRUE,SUM(B292:L292)&gt;0),SUMPRODUCT((((TRANSPOSE(Cls3CentDailyRng)&lt;INDEX(CDRANGE_CLS3,$A292-$A$286+1,AD$282))*TRANSPOSE(Cls3CentDailyRng)+(TRANSPOSE(Cls3CentDailyRng)&gt;INDEX(CDRANGE_CLS3,$A292-$A$286+1,AD$282))*INDEX(CDRANGE_CLS3,$A292-$A$286+1,AD$282))/TRANSPOSE(Cls3CentDailyRng)),B292:L292,TRANSPOSE(Cls3CentVMTShr))/SUMPRODUCT(B292:L292,TRANSPOSE(Cls3CentVMTShr)),0)</f>
        <v>0</v>
      </c>
      <c r="AC292" s="949">
        <f t="array" ref="AC292">IF(AND($AD$281=TRUE,SUM(O292:Y292)&gt;0),SUMPRODUCT((((TRANSPOSE(Cls3NCentDailyRng)&lt;INDEX(CDRANGE_CLS3,$A292-$A$286+1,AD$282))*TRANSPOSE(Cls3NCentDailyRng)+(TRANSPOSE(Cls3NCentDailyRng)&gt;INDEX(CDRANGE_CLS3,$A292-$A$286+1,AD$282))*INDEX(CDRANGE_CLS3,$A292-$A$286+1,AD$282))/TRANSPOSE(Cls3NCentDailyRng)),O292:Y292,TRANSPOSE(Cls3NCentVMTShr))/SUMPRODUCT(O292:Y292,TRANSPOSE(Cls3NCentVMTShr)),0)</f>
        <v>0</v>
      </c>
      <c r="AD292" s="1226">
        <f t="shared" si="136"/>
        <v>0</v>
      </c>
      <c r="AE292" s="1230">
        <f t="shared" si="129"/>
        <v>0</v>
      </c>
      <c r="AF292" s="1231">
        <f t="shared" si="130"/>
        <v>0</v>
      </c>
      <c r="AG292" s="1231">
        <f t="shared" si="131"/>
        <v>0</v>
      </c>
      <c r="AH292" s="1172">
        <f t="shared" si="137"/>
        <v>0</v>
      </c>
      <c r="AI292" s="1232">
        <f t="shared" si="138"/>
        <v>0</v>
      </c>
    </row>
    <row r="293" spans="1:35" x14ac:dyDescent="0.2">
      <c r="A293" s="330">
        <v>2014</v>
      </c>
      <c r="B293" s="344">
        <v>0</v>
      </c>
      <c r="C293" s="345">
        <v>0</v>
      </c>
      <c r="D293" s="345">
        <v>0</v>
      </c>
      <c r="E293" s="345">
        <v>0</v>
      </c>
      <c r="F293" s="345">
        <v>0</v>
      </c>
      <c r="G293" s="345">
        <v>0</v>
      </c>
      <c r="H293" s="345">
        <v>0</v>
      </c>
      <c r="I293" s="345">
        <v>0</v>
      </c>
      <c r="J293" s="345">
        <v>0</v>
      </c>
      <c r="K293" s="345">
        <v>0</v>
      </c>
      <c r="L293" s="380">
        <v>0</v>
      </c>
      <c r="M293" s="296">
        <f t="shared" si="132"/>
        <v>0</v>
      </c>
      <c r="N293" s="298">
        <f t="shared" si="133"/>
        <v>0</v>
      </c>
      <c r="O293" s="344">
        <v>0</v>
      </c>
      <c r="P293" s="345">
        <v>0</v>
      </c>
      <c r="Q293" s="345">
        <v>0</v>
      </c>
      <c r="R293" s="345">
        <v>0</v>
      </c>
      <c r="S293" s="345">
        <v>0</v>
      </c>
      <c r="T293" s="345">
        <v>0</v>
      </c>
      <c r="U293" s="345">
        <v>0</v>
      </c>
      <c r="V293" s="345">
        <v>0</v>
      </c>
      <c r="W293" s="345">
        <v>0</v>
      </c>
      <c r="X293" s="345">
        <v>0</v>
      </c>
      <c r="Y293" s="380">
        <v>0</v>
      </c>
      <c r="Z293" s="296">
        <f t="shared" si="134"/>
        <v>0</v>
      </c>
      <c r="AA293" s="298">
        <f t="shared" si="135"/>
        <v>0</v>
      </c>
      <c r="AB293" s="948">
        <f t="array" ref="AB293">IF(AND($AD$281=TRUE,SUM(B293:L293)&gt;0),SUMPRODUCT((((TRANSPOSE(Cls3CentDailyRng)&lt;INDEX(CDRANGE_CLS3,$A293-$A$286+1,AD$282))*TRANSPOSE(Cls3CentDailyRng)+(TRANSPOSE(Cls3CentDailyRng)&gt;INDEX(CDRANGE_CLS3,$A293-$A$286+1,AD$282))*INDEX(CDRANGE_CLS3,$A293-$A$286+1,AD$282))/TRANSPOSE(Cls3CentDailyRng)),B293:L293,TRANSPOSE(Cls3CentVMTShr))/SUMPRODUCT(B293:L293,TRANSPOSE(Cls3CentVMTShr)),0)</f>
        <v>0</v>
      </c>
      <c r="AC293" s="949">
        <f t="array" ref="AC293">IF(AND($AD$281=TRUE,SUM(O293:Y293)&gt;0),SUMPRODUCT((((TRANSPOSE(Cls3NCentDailyRng)&lt;INDEX(CDRANGE_CLS3,$A293-$A$286+1,AD$282))*TRANSPOSE(Cls3NCentDailyRng)+(TRANSPOSE(Cls3NCentDailyRng)&gt;INDEX(CDRANGE_CLS3,$A293-$A$286+1,AD$282))*INDEX(CDRANGE_CLS3,$A293-$A$286+1,AD$282))/TRANSPOSE(Cls3NCentDailyRng)),O293:Y293,TRANSPOSE(Cls3NCentVMTShr))/SUMPRODUCT(O293:Y293,TRANSPOSE(Cls3NCentVMTShr)),0)</f>
        <v>0</v>
      </c>
      <c r="AD293" s="1226">
        <f t="shared" si="136"/>
        <v>0</v>
      </c>
      <c r="AE293" s="1230">
        <f t="shared" si="129"/>
        <v>0</v>
      </c>
      <c r="AF293" s="1231">
        <f t="shared" si="130"/>
        <v>0</v>
      </c>
      <c r="AG293" s="1231">
        <f t="shared" si="131"/>
        <v>0</v>
      </c>
      <c r="AH293" s="1172">
        <f t="shared" si="137"/>
        <v>0</v>
      </c>
      <c r="AI293" s="1232">
        <f t="shared" si="138"/>
        <v>0</v>
      </c>
    </row>
    <row r="294" spans="1:35" ht="15" thickBot="1" x14ac:dyDescent="0.25">
      <c r="A294" s="328">
        <v>2015</v>
      </c>
      <c r="B294" s="346">
        <v>0</v>
      </c>
      <c r="C294" s="347">
        <v>0</v>
      </c>
      <c r="D294" s="347">
        <v>0</v>
      </c>
      <c r="E294" s="347">
        <v>0</v>
      </c>
      <c r="F294" s="347">
        <v>0</v>
      </c>
      <c r="G294" s="347">
        <v>0</v>
      </c>
      <c r="H294" s="347">
        <v>0</v>
      </c>
      <c r="I294" s="347">
        <v>0</v>
      </c>
      <c r="J294" s="347">
        <v>0</v>
      </c>
      <c r="K294" s="347">
        <v>0</v>
      </c>
      <c r="L294" s="381">
        <v>0</v>
      </c>
      <c r="M294" s="310">
        <f t="shared" si="132"/>
        <v>0</v>
      </c>
      <c r="N294" s="312">
        <f t="shared" si="133"/>
        <v>0</v>
      </c>
      <c r="O294" s="346">
        <v>0</v>
      </c>
      <c r="P294" s="347">
        <v>0</v>
      </c>
      <c r="Q294" s="347">
        <v>0</v>
      </c>
      <c r="R294" s="347">
        <v>0</v>
      </c>
      <c r="S294" s="347">
        <v>0</v>
      </c>
      <c r="T294" s="347">
        <v>0</v>
      </c>
      <c r="U294" s="347">
        <v>0</v>
      </c>
      <c r="V294" s="347">
        <v>0</v>
      </c>
      <c r="W294" s="347">
        <v>0</v>
      </c>
      <c r="X294" s="347">
        <v>0</v>
      </c>
      <c r="Y294" s="381">
        <v>0</v>
      </c>
      <c r="Z294" s="310">
        <f t="shared" si="134"/>
        <v>0</v>
      </c>
      <c r="AA294" s="312">
        <f t="shared" si="135"/>
        <v>0</v>
      </c>
      <c r="AB294" s="948">
        <f t="array" ref="AB294">IF(AND($AD$281=TRUE,SUM(B294:L294)&gt;0),SUMPRODUCT((((TRANSPOSE(Cls3CentDailyRng)&lt;INDEX(CDRANGE_CLS3,$A294-$A$286+1,AD$282))*TRANSPOSE(Cls3CentDailyRng)+(TRANSPOSE(Cls3CentDailyRng)&gt;INDEX(CDRANGE_CLS3,$A294-$A$286+1,AD$282))*INDEX(CDRANGE_CLS3,$A294-$A$286+1,AD$282))/TRANSPOSE(Cls3CentDailyRng)),B294:L294,TRANSPOSE(Cls3CentVMTShr))/SUMPRODUCT(B294:L294,TRANSPOSE(Cls3CentVMTShr)),0)</f>
        <v>0</v>
      </c>
      <c r="AC294" s="949">
        <f t="array" ref="AC294">IF(AND($AD$281=TRUE,SUM(O294:Y294)&gt;0),SUMPRODUCT((((TRANSPOSE(Cls3NCentDailyRng)&lt;INDEX(CDRANGE_CLS3,$A294-$A$286+1,AD$282))*TRANSPOSE(Cls3NCentDailyRng)+(TRANSPOSE(Cls3NCentDailyRng)&gt;INDEX(CDRANGE_CLS3,$A294-$A$286+1,AD$282))*INDEX(CDRANGE_CLS3,$A294-$A$286+1,AD$282))/TRANSPOSE(Cls3NCentDailyRng)),O294:Y294,TRANSPOSE(Cls3NCentVMTShr))/SUMPRODUCT(O294:Y294,TRANSPOSE(Cls3NCentVMTShr)),0)</f>
        <v>0</v>
      </c>
      <c r="AD294" s="1226">
        <f t="shared" si="136"/>
        <v>0</v>
      </c>
      <c r="AE294" s="1230">
        <f t="shared" si="129"/>
        <v>0</v>
      </c>
      <c r="AF294" s="1231">
        <f t="shared" si="130"/>
        <v>0</v>
      </c>
      <c r="AG294" s="1231">
        <f t="shared" si="131"/>
        <v>0</v>
      </c>
      <c r="AH294" s="1172">
        <f t="shared" si="137"/>
        <v>0</v>
      </c>
      <c r="AI294" s="1232">
        <f t="shared" si="138"/>
        <v>0</v>
      </c>
    </row>
    <row r="295" spans="1:35" x14ac:dyDescent="0.2">
      <c r="A295" s="329">
        <v>2016</v>
      </c>
      <c r="B295" s="342">
        <v>0</v>
      </c>
      <c r="C295" s="343">
        <v>0</v>
      </c>
      <c r="D295" s="343">
        <v>0</v>
      </c>
      <c r="E295" s="343">
        <v>0</v>
      </c>
      <c r="F295" s="343">
        <v>0</v>
      </c>
      <c r="G295" s="343">
        <v>0</v>
      </c>
      <c r="H295" s="343">
        <v>0</v>
      </c>
      <c r="I295" s="343">
        <v>0</v>
      </c>
      <c r="J295" s="343">
        <v>0</v>
      </c>
      <c r="K295" s="343">
        <v>0</v>
      </c>
      <c r="L295" s="379">
        <v>0</v>
      </c>
      <c r="M295" s="282">
        <f t="shared" si="132"/>
        <v>0</v>
      </c>
      <c r="N295" s="284">
        <f t="shared" si="133"/>
        <v>0</v>
      </c>
      <c r="O295" s="342">
        <v>0</v>
      </c>
      <c r="P295" s="343">
        <v>0</v>
      </c>
      <c r="Q295" s="343">
        <v>0</v>
      </c>
      <c r="R295" s="343">
        <v>0</v>
      </c>
      <c r="S295" s="343">
        <v>0</v>
      </c>
      <c r="T295" s="343">
        <v>0</v>
      </c>
      <c r="U295" s="343">
        <v>0</v>
      </c>
      <c r="V295" s="343">
        <v>0</v>
      </c>
      <c r="W295" s="343">
        <v>0</v>
      </c>
      <c r="X295" s="343">
        <v>0</v>
      </c>
      <c r="Y295" s="379">
        <v>0</v>
      </c>
      <c r="Z295" s="282">
        <f t="shared" si="134"/>
        <v>0</v>
      </c>
      <c r="AA295" s="284">
        <f t="shared" si="135"/>
        <v>0</v>
      </c>
      <c r="AB295" s="948">
        <f t="array" ref="AB295">IF(AND($AD$281=TRUE,SUM(B295:L295)&gt;0),SUMPRODUCT((((TRANSPOSE(Cls3CentDailyRng)&lt;INDEX(CDRANGE_CLS3,$A295-$A$286+1,AD$282))*TRANSPOSE(Cls3CentDailyRng)+(TRANSPOSE(Cls3CentDailyRng)&gt;INDEX(CDRANGE_CLS3,$A295-$A$286+1,AD$282))*INDEX(CDRANGE_CLS3,$A295-$A$286+1,AD$282))/TRANSPOSE(Cls3CentDailyRng)),B295:L295,TRANSPOSE(Cls3CentVMTShr))/SUMPRODUCT(B295:L295,TRANSPOSE(Cls3CentVMTShr)),0)</f>
        <v>0</v>
      </c>
      <c r="AC295" s="949">
        <f t="array" ref="AC295">IF(AND($AD$281=TRUE,SUM(O295:Y295)&gt;0),SUMPRODUCT((((TRANSPOSE(Cls3NCentDailyRng)&lt;INDEX(CDRANGE_CLS3,$A295-$A$286+1,AD$282))*TRANSPOSE(Cls3NCentDailyRng)+(TRANSPOSE(Cls3NCentDailyRng)&gt;INDEX(CDRANGE_CLS3,$A295-$A$286+1,AD$282))*INDEX(CDRANGE_CLS3,$A295-$A$286+1,AD$282))/TRANSPOSE(Cls3NCentDailyRng)),O295:Y295,TRANSPOSE(Cls3NCentVMTShr))/SUMPRODUCT(O295:Y295,TRANSPOSE(Cls3NCentVMTShr)),0)</f>
        <v>0</v>
      </c>
      <c r="AD295" s="1226">
        <f t="shared" si="136"/>
        <v>0</v>
      </c>
      <c r="AE295" s="1230">
        <f t="shared" si="129"/>
        <v>0</v>
      </c>
      <c r="AF295" s="1231">
        <f t="shared" si="130"/>
        <v>0</v>
      </c>
      <c r="AG295" s="1231">
        <f t="shared" si="131"/>
        <v>0</v>
      </c>
      <c r="AH295" s="1172">
        <f t="shared" si="137"/>
        <v>0</v>
      </c>
      <c r="AI295" s="1232">
        <f t="shared" si="138"/>
        <v>0</v>
      </c>
    </row>
    <row r="296" spans="1:35" x14ac:dyDescent="0.2">
      <c r="A296" s="330">
        <v>2017</v>
      </c>
      <c r="B296" s="344">
        <v>0</v>
      </c>
      <c r="C296" s="345">
        <v>0</v>
      </c>
      <c r="D296" s="345">
        <v>0</v>
      </c>
      <c r="E296" s="345">
        <v>0</v>
      </c>
      <c r="F296" s="345">
        <v>0</v>
      </c>
      <c r="G296" s="345">
        <v>0</v>
      </c>
      <c r="H296" s="345">
        <v>0</v>
      </c>
      <c r="I296" s="345">
        <v>0</v>
      </c>
      <c r="J296" s="345">
        <v>0</v>
      </c>
      <c r="K296" s="345">
        <v>0</v>
      </c>
      <c r="L296" s="380">
        <v>0</v>
      </c>
      <c r="M296" s="296">
        <f t="shared" si="132"/>
        <v>0</v>
      </c>
      <c r="N296" s="298">
        <f t="shared" si="133"/>
        <v>0</v>
      </c>
      <c r="O296" s="344">
        <v>0</v>
      </c>
      <c r="P296" s="345">
        <v>0</v>
      </c>
      <c r="Q296" s="345">
        <v>0</v>
      </c>
      <c r="R296" s="345">
        <v>0</v>
      </c>
      <c r="S296" s="345">
        <v>0</v>
      </c>
      <c r="T296" s="345">
        <v>0</v>
      </c>
      <c r="U296" s="345">
        <v>0</v>
      </c>
      <c r="V296" s="345">
        <v>0</v>
      </c>
      <c r="W296" s="345">
        <v>0</v>
      </c>
      <c r="X296" s="345">
        <v>0</v>
      </c>
      <c r="Y296" s="380">
        <v>0</v>
      </c>
      <c r="Z296" s="296">
        <f t="shared" si="134"/>
        <v>0</v>
      </c>
      <c r="AA296" s="298">
        <f t="shared" si="135"/>
        <v>0</v>
      </c>
      <c r="AB296" s="948">
        <f t="array" ref="AB296">IF(AND($AD$281=TRUE,SUM(B296:L296)&gt;0),SUMPRODUCT((((TRANSPOSE(Cls3CentDailyRng)&lt;INDEX(CDRANGE_CLS3,$A296-$A$286+1,AD$282))*TRANSPOSE(Cls3CentDailyRng)+(TRANSPOSE(Cls3CentDailyRng)&gt;INDEX(CDRANGE_CLS3,$A296-$A$286+1,AD$282))*INDEX(CDRANGE_CLS3,$A296-$A$286+1,AD$282))/TRANSPOSE(Cls3CentDailyRng)),B296:L296,TRANSPOSE(Cls3CentVMTShr))/SUMPRODUCT(B296:L296,TRANSPOSE(Cls3CentVMTShr)),0)</f>
        <v>0</v>
      </c>
      <c r="AC296" s="949">
        <f t="array" ref="AC296">IF(AND($AD$281=TRUE,SUM(O296:Y296)&gt;0),SUMPRODUCT((((TRANSPOSE(Cls3NCentDailyRng)&lt;INDEX(CDRANGE_CLS3,$A296-$A$286+1,AD$282))*TRANSPOSE(Cls3NCentDailyRng)+(TRANSPOSE(Cls3NCentDailyRng)&gt;INDEX(CDRANGE_CLS3,$A296-$A$286+1,AD$282))*INDEX(CDRANGE_CLS3,$A296-$A$286+1,AD$282))/TRANSPOSE(Cls3NCentDailyRng)),O296:Y296,TRANSPOSE(Cls3NCentVMTShr))/SUMPRODUCT(O296:Y296,TRANSPOSE(Cls3NCentVMTShr)),0)</f>
        <v>0</v>
      </c>
      <c r="AD296" s="1226">
        <f t="shared" si="136"/>
        <v>0</v>
      </c>
      <c r="AE296" s="1230">
        <f t="shared" si="129"/>
        <v>0</v>
      </c>
      <c r="AF296" s="1231">
        <f t="shared" si="130"/>
        <v>0</v>
      </c>
      <c r="AG296" s="1231">
        <f t="shared" si="131"/>
        <v>0</v>
      </c>
      <c r="AH296" s="1172">
        <f t="shared" si="137"/>
        <v>0</v>
      </c>
      <c r="AI296" s="1232">
        <f t="shared" si="138"/>
        <v>0</v>
      </c>
    </row>
    <row r="297" spans="1:35" x14ac:dyDescent="0.2">
      <c r="A297" s="330">
        <v>2018</v>
      </c>
      <c r="B297" s="344">
        <v>0</v>
      </c>
      <c r="C297" s="345">
        <v>0</v>
      </c>
      <c r="D297" s="345">
        <v>0</v>
      </c>
      <c r="E297" s="345">
        <v>0</v>
      </c>
      <c r="F297" s="345">
        <v>0</v>
      </c>
      <c r="G297" s="345">
        <v>0</v>
      </c>
      <c r="H297" s="345">
        <v>0</v>
      </c>
      <c r="I297" s="345">
        <v>0</v>
      </c>
      <c r="J297" s="345">
        <v>0</v>
      </c>
      <c r="K297" s="345">
        <v>0</v>
      </c>
      <c r="L297" s="380">
        <v>0</v>
      </c>
      <c r="M297" s="296">
        <f t="shared" si="132"/>
        <v>0</v>
      </c>
      <c r="N297" s="298">
        <f t="shared" si="133"/>
        <v>0</v>
      </c>
      <c r="O297" s="344">
        <v>0</v>
      </c>
      <c r="P297" s="345">
        <v>0</v>
      </c>
      <c r="Q297" s="345">
        <v>0</v>
      </c>
      <c r="R297" s="345">
        <v>0</v>
      </c>
      <c r="S297" s="345">
        <v>0</v>
      </c>
      <c r="T297" s="345">
        <v>0</v>
      </c>
      <c r="U297" s="345">
        <v>0</v>
      </c>
      <c r="V297" s="345">
        <v>0</v>
      </c>
      <c r="W297" s="345">
        <v>0</v>
      </c>
      <c r="X297" s="345">
        <v>0</v>
      </c>
      <c r="Y297" s="380">
        <v>0</v>
      </c>
      <c r="Z297" s="296">
        <f t="shared" si="134"/>
        <v>0</v>
      </c>
      <c r="AA297" s="298">
        <f t="shared" si="135"/>
        <v>0</v>
      </c>
      <c r="AB297" s="948">
        <f t="array" ref="AB297">IF(AND($AD$281=TRUE,SUM(B297:L297)&gt;0),SUMPRODUCT((((TRANSPOSE(Cls3CentDailyRng)&lt;INDEX(CDRANGE_CLS3,$A297-$A$286+1,AD$282))*TRANSPOSE(Cls3CentDailyRng)+(TRANSPOSE(Cls3CentDailyRng)&gt;INDEX(CDRANGE_CLS3,$A297-$A$286+1,AD$282))*INDEX(CDRANGE_CLS3,$A297-$A$286+1,AD$282))/TRANSPOSE(Cls3CentDailyRng)),B297:L297,TRANSPOSE(Cls3CentVMTShr))/SUMPRODUCT(B297:L297,TRANSPOSE(Cls3CentVMTShr)),0)</f>
        <v>0</v>
      </c>
      <c r="AC297" s="949">
        <f t="array" ref="AC297">IF(AND($AD$281=TRUE,SUM(O297:Y297)&gt;0),SUMPRODUCT((((TRANSPOSE(Cls3NCentDailyRng)&lt;INDEX(CDRANGE_CLS3,$A297-$A$286+1,AD$282))*TRANSPOSE(Cls3NCentDailyRng)+(TRANSPOSE(Cls3NCentDailyRng)&gt;INDEX(CDRANGE_CLS3,$A297-$A$286+1,AD$282))*INDEX(CDRANGE_CLS3,$A297-$A$286+1,AD$282))/TRANSPOSE(Cls3NCentDailyRng)),O297:Y297,TRANSPOSE(Cls3NCentVMTShr))/SUMPRODUCT(O297:Y297,TRANSPOSE(Cls3NCentVMTShr)),0)</f>
        <v>0</v>
      </c>
      <c r="AD297" s="1226">
        <f t="shared" si="136"/>
        <v>0</v>
      </c>
      <c r="AE297" s="1230">
        <f t="shared" si="129"/>
        <v>0</v>
      </c>
      <c r="AF297" s="1231">
        <f t="shared" si="130"/>
        <v>0</v>
      </c>
      <c r="AG297" s="1231">
        <f t="shared" si="131"/>
        <v>0</v>
      </c>
      <c r="AH297" s="1172">
        <f t="shared" si="137"/>
        <v>0</v>
      </c>
      <c r="AI297" s="1232">
        <f t="shared" si="138"/>
        <v>0</v>
      </c>
    </row>
    <row r="298" spans="1:35" x14ac:dyDescent="0.2">
      <c r="A298" s="330">
        <v>2019</v>
      </c>
      <c r="B298" s="344">
        <v>0</v>
      </c>
      <c r="C298" s="345">
        <v>0</v>
      </c>
      <c r="D298" s="345">
        <v>0</v>
      </c>
      <c r="E298" s="345">
        <v>0</v>
      </c>
      <c r="F298" s="345">
        <v>0</v>
      </c>
      <c r="G298" s="345">
        <v>0</v>
      </c>
      <c r="H298" s="345">
        <v>0</v>
      </c>
      <c r="I298" s="345">
        <v>0</v>
      </c>
      <c r="J298" s="345">
        <v>0</v>
      </c>
      <c r="K298" s="345">
        <v>0</v>
      </c>
      <c r="L298" s="380">
        <v>0</v>
      </c>
      <c r="M298" s="296">
        <f t="shared" si="132"/>
        <v>0</v>
      </c>
      <c r="N298" s="298">
        <f t="shared" si="133"/>
        <v>0</v>
      </c>
      <c r="O298" s="344">
        <v>0</v>
      </c>
      <c r="P298" s="345">
        <v>0</v>
      </c>
      <c r="Q298" s="345">
        <v>0</v>
      </c>
      <c r="R298" s="345">
        <v>0</v>
      </c>
      <c r="S298" s="345">
        <v>0</v>
      </c>
      <c r="T298" s="345">
        <v>0</v>
      </c>
      <c r="U298" s="345">
        <v>0</v>
      </c>
      <c r="V298" s="345">
        <v>0</v>
      </c>
      <c r="W298" s="345">
        <v>0</v>
      </c>
      <c r="X298" s="345">
        <v>0</v>
      </c>
      <c r="Y298" s="380">
        <v>0</v>
      </c>
      <c r="Z298" s="296">
        <f t="shared" si="134"/>
        <v>0</v>
      </c>
      <c r="AA298" s="298">
        <f t="shared" si="135"/>
        <v>0</v>
      </c>
      <c r="AB298" s="948">
        <f t="array" ref="AB298">IF(AND($AD$281=TRUE,SUM(B298:L298)&gt;0),SUMPRODUCT((((TRANSPOSE(Cls3CentDailyRng)&lt;INDEX(CDRANGE_CLS3,$A298-$A$286+1,AD$282))*TRANSPOSE(Cls3CentDailyRng)+(TRANSPOSE(Cls3CentDailyRng)&gt;INDEX(CDRANGE_CLS3,$A298-$A$286+1,AD$282))*INDEX(CDRANGE_CLS3,$A298-$A$286+1,AD$282))/TRANSPOSE(Cls3CentDailyRng)),B298:L298,TRANSPOSE(Cls3CentVMTShr))/SUMPRODUCT(B298:L298,TRANSPOSE(Cls3CentVMTShr)),0)</f>
        <v>0</v>
      </c>
      <c r="AC298" s="949">
        <f t="array" ref="AC298">IF(AND($AD$281=TRUE,SUM(O298:Y298)&gt;0),SUMPRODUCT((((TRANSPOSE(Cls3NCentDailyRng)&lt;INDEX(CDRANGE_CLS3,$A298-$A$286+1,AD$282))*TRANSPOSE(Cls3NCentDailyRng)+(TRANSPOSE(Cls3NCentDailyRng)&gt;INDEX(CDRANGE_CLS3,$A298-$A$286+1,AD$282))*INDEX(CDRANGE_CLS3,$A298-$A$286+1,AD$282))/TRANSPOSE(Cls3NCentDailyRng)),O298:Y298,TRANSPOSE(Cls3NCentVMTShr))/SUMPRODUCT(O298:Y298,TRANSPOSE(Cls3NCentVMTShr)),0)</f>
        <v>0</v>
      </c>
      <c r="AD298" s="1226">
        <f t="shared" si="136"/>
        <v>0</v>
      </c>
      <c r="AE298" s="1230">
        <f t="shared" si="129"/>
        <v>0</v>
      </c>
      <c r="AF298" s="1231">
        <f t="shared" si="130"/>
        <v>0</v>
      </c>
      <c r="AG298" s="1231">
        <f t="shared" si="131"/>
        <v>0</v>
      </c>
      <c r="AH298" s="1172">
        <f t="shared" si="137"/>
        <v>0</v>
      </c>
      <c r="AI298" s="1232">
        <f t="shared" si="138"/>
        <v>0</v>
      </c>
    </row>
    <row r="299" spans="1:35" ht="15" thickBot="1" x14ac:dyDescent="0.25">
      <c r="A299" s="328">
        <v>2020</v>
      </c>
      <c r="B299" s="346">
        <v>0</v>
      </c>
      <c r="C299" s="347">
        <v>0</v>
      </c>
      <c r="D299" s="347">
        <v>0</v>
      </c>
      <c r="E299" s="347">
        <v>0</v>
      </c>
      <c r="F299" s="347">
        <v>0</v>
      </c>
      <c r="G299" s="347">
        <v>0</v>
      </c>
      <c r="H299" s="347">
        <v>0</v>
      </c>
      <c r="I299" s="347">
        <v>0</v>
      </c>
      <c r="J299" s="347">
        <v>0</v>
      </c>
      <c r="K299" s="347">
        <v>0</v>
      </c>
      <c r="L299" s="381">
        <v>0</v>
      </c>
      <c r="M299" s="310">
        <f t="shared" si="132"/>
        <v>0</v>
      </c>
      <c r="N299" s="312">
        <f t="shared" si="133"/>
        <v>0</v>
      </c>
      <c r="O299" s="346">
        <v>0</v>
      </c>
      <c r="P299" s="347">
        <v>0</v>
      </c>
      <c r="Q299" s="347">
        <v>0</v>
      </c>
      <c r="R299" s="347">
        <v>0</v>
      </c>
      <c r="S299" s="347">
        <v>0</v>
      </c>
      <c r="T299" s="347">
        <v>0</v>
      </c>
      <c r="U299" s="347">
        <v>0</v>
      </c>
      <c r="V299" s="347">
        <v>0</v>
      </c>
      <c r="W299" s="347">
        <v>0</v>
      </c>
      <c r="X299" s="347">
        <v>0</v>
      </c>
      <c r="Y299" s="381">
        <v>0</v>
      </c>
      <c r="Z299" s="310">
        <f t="shared" si="134"/>
        <v>0</v>
      </c>
      <c r="AA299" s="312">
        <f t="shared" si="135"/>
        <v>0</v>
      </c>
      <c r="AB299" s="948">
        <f t="array" ref="AB299">IF(AND($AD$281=TRUE,SUM(B299:L299)&gt;0),SUMPRODUCT((((TRANSPOSE(Cls3CentDailyRng)&lt;INDEX(CDRANGE_CLS3,$A299-$A$286+1,AD$282))*TRANSPOSE(Cls3CentDailyRng)+(TRANSPOSE(Cls3CentDailyRng)&gt;INDEX(CDRANGE_CLS3,$A299-$A$286+1,AD$282))*INDEX(CDRANGE_CLS3,$A299-$A$286+1,AD$282))/TRANSPOSE(Cls3CentDailyRng)),B299:L299,TRANSPOSE(Cls3CentVMTShr))/SUMPRODUCT(B299:L299,TRANSPOSE(Cls3CentVMTShr)),0)</f>
        <v>0</v>
      </c>
      <c r="AC299" s="949">
        <f t="array" ref="AC299">IF(AND($AD$281=TRUE,SUM(O299:Y299)&gt;0),SUMPRODUCT((((TRANSPOSE(Cls3NCentDailyRng)&lt;INDEX(CDRANGE_CLS3,$A299-$A$286+1,AD$282))*TRANSPOSE(Cls3NCentDailyRng)+(TRANSPOSE(Cls3NCentDailyRng)&gt;INDEX(CDRANGE_CLS3,$A299-$A$286+1,AD$282))*INDEX(CDRANGE_CLS3,$A299-$A$286+1,AD$282))/TRANSPOSE(Cls3NCentDailyRng)),O299:Y299,TRANSPOSE(Cls3NCentVMTShr))/SUMPRODUCT(O299:Y299,TRANSPOSE(Cls3NCentVMTShr)),0)</f>
        <v>0</v>
      </c>
      <c r="AD299" s="1226">
        <f t="shared" si="136"/>
        <v>0</v>
      </c>
      <c r="AE299" s="1230">
        <f t="shared" si="129"/>
        <v>0</v>
      </c>
      <c r="AF299" s="1231">
        <f t="shared" si="130"/>
        <v>0</v>
      </c>
      <c r="AG299" s="1231">
        <f t="shared" si="131"/>
        <v>0</v>
      </c>
      <c r="AH299" s="1172">
        <f t="shared" si="137"/>
        <v>0</v>
      </c>
      <c r="AI299" s="1232">
        <f t="shared" si="138"/>
        <v>0</v>
      </c>
    </row>
    <row r="300" spans="1:35" x14ac:dyDescent="0.2">
      <c r="A300" s="329">
        <v>2021</v>
      </c>
      <c r="B300" s="342">
        <v>0</v>
      </c>
      <c r="C300" s="343">
        <v>0</v>
      </c>
      <c r="D300" s="343">
        <v>0</v>
      </c>
      <c r="E300" s="343">
        <v>0</v>
      </c>
      <c r="F300" s="343">
        <v>0</v>
      </c>
      <c r="G300" s="343">
        <v>0</v>
      </c>
      <c r="H300" s="343">
        <v>0</v>
      </c>
      <c r="I300" s="343">
        <v>0</v>
      </c>
      <c r="J300" s="343">
        <v>0</v>
      </c>
      <c r="K300" s="343">
        <v>0</v>
      </c>
      <c r="L300" s="379">
        <v>0</v>
      </c>
      <c r="M300" s="282">
        <f t="shared" si="132"/>
        <v>0</v>
      </c>
      <c r="N300" s="284">
        <f t="shared" si="133"/>
        <v>0</v>
      </c>
      <c r="O300" s="342">
        <v>0</v>
      </c>
      <c r="P300" s="343">
        <v>0</v>
      </c>
      <c r="Q300" s="343">
        <v>0</v>
      </c>
      <c r="R300" s="343">
        <v>0</v>
      </c>
      <c r="S300" s="343">
        <v>0</v>
      </c>
      <c r="T300" s="343">
        <v>0</v>
      </c>
      <c r="U300" s="343">
        <v>0</v>
      </c>
      <c r="V300" s="343">
        <v>0</v>
      </c>
      <c r="W300" s="343">
        <v>0</v>
      </c>
      <c r="X300" s="343">
        <v>0</v>
      </c>
      <c r="Y300" s="379">
        <v>0</v>
      </c>
      <c r="Z300" s="282">
        <f t="shared" si="134"/>
        <v>0</v>
      </c>
      <c r="AA300" s="284">
        <f t="shared" si="135"/>
        <v>0</v>
      </c>
      <c r="AB300" s="948">
        <f t="array" ref="AB300">IF(AND($AD$281=TRUE,SUM(B300:L300)&gt;0),SUMPRODUCT((((TRANSPOSE(Cls3CentDailyRng)&lt;INDEX(CDRANGE_CLS3,$A300-$A$286+1,AD$282))*TRANSPOSE(Cls3CentDailyRng)+(TRANSPOSE(Cls3CentDailyRng)&gt;INDEX(CDRANGE_CLS3,$A300-$A$286+1,AD$282))*INDEX(CDRANGE_CLS3,$A300-$A$286+1,AD$282))/TRANSPOSE(Cls3CentDailyRng)),B300:L300,TRANSPOSE(Cls3CentVMTShr))/SUMPRODUCT(B300:L300,TRANSPOSE(Cls3CentVMTShr)),0)</f>
        <v>0</v>
      </c>
      <c r="AC300" s="949">
        <f t="array" ref="AC300">IF(AND($AD$281=TRUE,SUM(O300:Y300)&gt;0),SUMPRODUCT((((TRANSPOSE(Cls3NCentDailyRng)&lt;INDEX(CDRANGE_CLS3,$A300-$A$286+1,AD$282))*TRANSPOSE(Cls3NCentDailyRng)+(TRANSPOSE(Cls3NCentDailyRng)&gt;INDEX(CDRANGE_CLS3,$A300-$A$286+1,AD$282))*INDEX(CDRANGE_CLS3,$A300-$A$286+1,AD$282))/TRANSPOSE(Cls3NCentDailyRng)),O300:Y300,TRANSPOSE(Cls3NCentVMTShr))/SUMPRODUCT(O300:Y300,TRANSPOSE(Cls3NCentVMTShr)),0)</f>
        <v>0</v>
      </c>
      <c r="AD300" s="1226">
        <f t="shared" si="136"/>
        <v>0</v>
      </c>
      <c r="AE300" s="1230">
        <f t="shared" si="129"/>
        <v>0</v>
      </c>
      <c r="AF300" s="1231">
        <f t="shared" si="130"/>
        <v>0</v>
      </c>
      <c r="AG300" s="1231">
        <f t="shared" si="131"/>
        <v>0</v>
      </c>
      <c r="AH300" s="1172">
        <f t="shared" si="137"/>
        <v>0</v>
      </c>
      <c r="AI300" s="1232">
        <f t="shared" si="138"/>
        <v>0</v>
      </c>
    </row>
    <row r="301" spans="1:35" x14ac:dyDescent="0.2">
      <c r="A301" s="330">
        <v>2022</v>
      </c>
      <c r="B301" s="344">
        <v>0</v>
      </c>
      <c r="C301" s="345">
        <v>0</v>
      </c>
      <c r="D301" s="345">
        <v>0</v>
      </c>
      <c r="E301" s="345">
        <v>0</v>
      </c>
      <c r="F301" s="345">
        <v>0</v>
      </c>
      <c r="G301" s="345">
        <v>0</v>
      </c>
      <c r="H301" s="345">
        <v>0</v>
      </c>
      <c r="I301" s="345">
        <v>0</v>
      </c>
      <c r="J301" s="345">
        <v>0</v>
      </c>
      <c r="K301" s="345">
        <v>0</v>
      </c>
      <c r="L301" s="380">
        <v>0</v>
      </c>
      <c r="M301" s="296">
        <f t="shared" si="132"/>
        <v>0</v>
      </c>
      <c r="N301" s="298">
        <f t="shared" si="133"/>
        <v>0</v>
      </c>
      <c r="O301" s="344">
        <v>0</v>
      </c>
      <c r="P301" s="345">
        <v>0</v>
      </c>
      <c r="Q301" s="345">
        <v>0</v>
      </c>
      <c r="R301" s="345">
        <v>0</v>
      </c>
      <c r="S301" s="345">
        <v>0</v>
      </c>
      <c r="T301" s="345">
        <v>0</v>
      </c>
      <c r="U301" s="345">
        <v>0</v>
      </c>
      <c r="V301" s="345">
        <v>0</v>
      </c>
      <c r="W301" s="345">
        <v>0</v>
      </c>
      <c r="X301" s="345">
        <v>0</v>
      </c>
      <c r="Y301" s="380">
        <v>0</v>
      </c>
      <c r="Z301" s="296">
        <f t="shared" si="134"/>
        <v>0</v>
      </c>
      <c r="AA301" s="298">
        <f t="shared" si="135"/>
        <v>0</v>
      </c>
      <c r="AB301" s="948">
        <f t="array" ref="AB301">IF(AND($AD$281=TRUE,SUM(B301:L301)&gt;0),SUMPRODUCT((((TRANSPOSE(Cls3CentDailyRng)&lt;INDEX(CDRANGE_CLS3,$A301-$A$286+1,AD$282))*TRANSPOSE(Cls3CentDailyRng)+(TRANSPOSE(Cls3CentDailyRng)&gt;INDEX(CDRANGE_CLS3,$A301-$A$286+1,AD$282))*INDEX(CDRANGE_CLS3,$A301-$A$286+1,AD$282))/TRANSPOSE(Cls3CentDailyRng)),B301:L301,TRANSPOSE(Cls3CentVMTShr))/SUMPRODUCT(B301:L301,TRANSPOSE(Cls3CentVMTShr)),0)</f>
        <v>0</v>
      </c>
      <c r="AC301" s="949">
        <f t="array" ref="AC301">IF(AND($AD$281=TRUE,SUM(O301:Y301)&gt;0),SUMPRODUCT((((TRANSPOSE(Cls3NCentDailyRng)&lt;INDEX(CDRANGE_CLS3,$A301-$A$286+1,AD$282))*TRANSPOSE(Cls3NCentDailyRng)+(TRANSPOSE(Cls3NCentDailyRng)&gt;INDEX(CDRANGE_CLS3,$A301-$A$286+1,AD$282))*INDEX(CDRANGE_CLS3,$A301-$A$286+1,AD$282))/TRANSPOSE(Cls3NCentDailyRng)),O301:Y301,TRANSPOSE(Cls3NCentVMTShr))/SUMPRODUCT(O301:Y301,TRANSPOSE(Cls3NCentVMTShr)),0)</f>
        <v>0</v>
      </c>
      <c r="AD301" s="1226">
        <f t="shared" si="136"/>
        <v>0</v>
      </c>
      <c r="AE301" s="1230">
        <f>SUMPRODUCT($B$74:$L$74,B301:L301)</f>
        <v>0</v>
      </c>
      <c r="AF301" s="1231">
        <f>SUMPRODUCT($O$74:$Y$74,O301:Y301)</f>
        <v>0</v>
      </c>
      <c r="AG301" s="1231">
        <f>SUM(AE301:AF301)</f>
        <v>0</v>
      </c>
      <c r="AH301" s="1172">
        <f t="shared" si="137"/>
        <v>0</v>
      </c>
      <c r="AI301" s="1232">
        <f t="shared" si="138"/>
        <v>0</v>
      </c>
    </row>
    <row r="302" spans="1:35" x14ac:dyDescent="0.2">
      <c r="A302" s="330">
        <v>2023</v>
      </c>
      <c r="B302" s="344">
        <v>0</v>
      </c>
      <c r="C302" s="345">
        <v>0</v>
      </c>
      <c r="D302" s="345">
        <v>0</v>
      </c>
      <c r="E302" s="345">
        <v>0</v>
      </c>
      <c r="F302" s="345">
        <v>0</v>
      </c>
      <c r="G302" s="345">
        <v>0</v>
      </c>
      <c r="H302" s="345">
        <v>0</v>
      </c>
      <c r="I302" s="345">
        <v>0</v>
      </c>
      <c r="J302" s="345">
        <v>0</v>
      </c>
      <c r="K302" s="345">
        <v>0</v>
      </c>
      <c r="L302" s="380">
        <v>0</v>
      </c>
      <c r="M302" s="296">
        <f t="shared" si="132"/>
        <v>0</v>
      </c>
      <c r="N302" s="298">
        <f t="shared" si="133"/>
        <v>0</v>
      </c>
      <c r="O302" s="344">
        <v>0</v>
      </c>
      <c r="P302" s="345">
        <v>0</v>
      </c>
      <c r="Q302" s="345">
        <v>0</v>
      </c>
      <c r="R302" s="345">
        <v>0</v>
      </c>
      <c r="S302" s="345">
        <v>0</v>
      </c>
      <c r="T302" s="345">
        <v>0</v>
      </c>
      <c r="U302" s="345">
        <v>0</v>
      </c>
      <c r="V302" s="345">
        <v>0</v>
      </c>
      <c r="W302" s="345">
        <v>0</v>
      </c>
      <c r="X302" s="345">
        <v>0</v>
      </c>
      <c r="Y302" s="380">
        <v>0</v>
      </c>
      <c r="Z302" s="296">
        <f t="shared" si="134"/>
        <v>0</v>
      </c>
      <c r="AA302" s="298">
        <f t="shared" si="135"/>
        <v>0</v>
      </c>
      <c r="AB302" s="948">
        <f t="array" ref="AB302">IF(AND($AD$281=TRUE,SUM(B302:L302)&gt;0),SUMPRODUCT((((TRANSPOSE(Cls3CentDailyRng)&lt;INDEX(CDRANGE_CLS3,$A302-$A$286+1,AD$282))*TRANSPOSE(Cls3CentDailyRng)+(TRANSPOSE(Cls3CentDailyRng)&gt;INDEX(CDRANGE_CLS3,$A302-$A$286+1,AD$282))*INDEX(CDRANGE_CLS3,$A302-$A$286+1,AD$282))/TRANSPOSE(Cls3CentDailyRng)),B302:L302,TRANSPOSE(Cls3CentVMTShr))/SUMPRODUCT(B302:L302,TRANSPOSE(Cls3CentVMTShr)),0)</f>
        <v>0</v>
      </c>
      <c r="AC302" s="949">
        <f t="array" ref="AC302">IF(AND($AD$281=TRUE,SUM(O302:Y302)&gt;0),SUMPRODUCT((((TRANSPOSE(Cls3NCentDailyRng)&lt;INDEX(CDRANGE_CLS3,$A302-$A$286+1,AD$282))*TRANSPOSE(Cls3NCentDailyRng)+(TRANSPOSE(Cls3NCentDailyRng)&gt;INDEX(CDRANGE_CLS3,$A302-$A$286+1,AD$282))*INDEX(CDRANGE_CLS3,$A302-$A$286+1,AD$282))/TRANSPOSE(Cls3NCentDailyRng)),O302:Y302,TRANSPOSE(Cls3NCentVMTShr))/SUMPRODUCT(O302:Y302,TRANSPOSE(Cls3NCentVMTShr)),0)</f>
        <v>0</v>
      </c>
      <c r="AD302" s="1226">
        <f t="shared" si="136"/>
        <v>0</v>
      </c>
      <c r="AE302" s="1230">
        <f t="shared" ref="AE302:AE329" si="139">SUMPRODUCT($B$74:$L$74,B302:L302)</f>
        <v>0</v>
      </c>
      <c r="AF302" s="1231">
        <f t="shared" ref="AF302:AF329" si="140">SUMPRODUCT($O$74:$Y$74,O302:Y302)</f>
        <v>0</v>
      </c>
      <c r="AG302" s="1231">
        <f t="shared" ref="AG302:AG329" si="141">SUM(AE302:AF302)</f>
        <v>0</v>
      </c>
      <c r="AH302" s="1172">
        <f t="shared" si="137"/>
        <v>0</v>
      </c>
      <c r="AI302" s="1232">
        <f t="shared" si="138"/>
        <v>0</v>
      </c>
    </row>
    <row r="303" spans="1:35" x14ac:dyDescent="0.2">
      <c r="A303" s="330">
        <v>2024</v>
      </c>
      <c r="B303" s="344">
        <v>0</v>
      </c>
      <c r="C303" s="345">
        <v>0</v>
      </c>
      <c r="D303" s="345">
        <v>0</v>
      </c>
      <c r="E303" s="345">
        <v>0</v>
      </c>
      <c r="F303" s="345">
        <v>0</v>
      </c>
      <c r="G303" s="345">
        <v>0</v>
      </c>
      <c r="H303" s="345">
        <v>0</v>
      </c>
      <c r="I303" s="345">
        <v>0</v>
      </c>
      <c r="J303" s="345">
        <v>0</v>
      </c>
      <c r="K303" s="345">
        <v>0</v>
      </c>
      <c r="L303" s="380">
        <v>0</v>
      </c>
      <c r="M303" s="296">
        <f t="shared" si="132"/>
        <v>0</v>
      </c>
      <c r="N303" s="298">
        <f t="shared" si="133"/>
        <v>0</v>
      </c>
      <c r="O303" s="344">
        <v>0</v>
      </c>
      <c r="P303" s="345">
        <v>0</v>
      </c>
      <c r="Q303" s="345">
        <v>0</v>
      </c>
      <c r="R303" s="345">
        <v>0</v>
      </c>
      <c r="S303" s="345">
        <v>0</v>
      </c>
      <c r="T303" s="345">
        <v>0</v>
      </c>
      <c r="U303" s="345">
        <v>0</v>
      </c>
      <c r="V303" s="345">
        <v>0</v>
      </c>
      <c r="W303" s="345">
        <v>0</v>
      </c>
      <c r="X303" s="345">
        <v>0</v>
      </c>
      <c r="Y303" s="380">
        <v>0</v>
      </c>
      <c r="Z303" s="296">
        <f t="shared" si="134"/>
        <v>0</v>
      </c>
      <c r="AA303" s="298">
        <f t="shared" si="135"/>
        <v>0</v>
      </c>
      <c r="AB303" s="948">
        <f t="array" ref="AB303">IF(AND($AD$281=TRUE,SUM(B303:L303)&gt;0),SUMPRODUCT((((TRANSPOSE(Cls3CentDailyRng)&lt;INDEX(CDRANGE_CLS3,$A303-$A$286+1,AD$282))*TRANSPOSE(Cls3CentDailyRng)+(TRANSPOSE(Cls3CentDailyRng)&gt;INDEX(CDRANGE_CLS3,$A303-$A$286+1,AD$282))*INDEX(CDRANGE_CLS3,$A303-$A$286+1,AD$282))/TRANSPOSE(Cls3CentDailyRng)),B303:L303,TRANSPOSE(Cls3CentVMTShr))/SUMPRODUCT(B303:L303,TRANSPOSE(Cls3CentVMTShr)),0)</f>
        <v>0</v>
      </c>
      <c r="AC303" s="949">
        <f t="array" ref="AC303">IF(AND($AD$281=TRUE,SUM(O303:Y303)&gt;0),SUMPRODUCT((((TRANSPOSE(Cls3NCentDailyRng)&lt;INDEX(CDRANGE_CLS3,$A303-$A$286+1,AD$282))*TRANSPOSE(Cls3NCentDailyRng)+(TRANSPOSE(Cls3NCentDailyRng)&gt;INDEX(CDRANGE_CLS3,$A303-$A$286+1,AD$282))*INDEX(CDRANGE_CLS3,$A303-$A$286+1,AD$282))/TRANSPOSE(Cls3NCentDailyRng)),O303:Y303,TRANSPOSE(Cls3NCentVMTShr))/SUMPRODUCT(O303:Y303,TRANSPOSE(Cls3NCentVMTShr)),0)</f>
        <v>0</v>
      </c>
      <c r="AD303" s="1226">
        <f t="shared" si="136"/>
        <v>0</v>
      </c>
      <c r="AE303" s="1230">
        <f t="shared" si="139"/>
        <v>0</v>
      </c>
      <c r="AF303" s="1231">
        <f t="shared" si="140"/>
        <v>0</v>
      </c>
      <c r="AG303" s="1231">
        <f t="shared" si="141"/>
        <v>0</v>
      </c>
      <c r="AH303" s="1172">
        <f t="shared" si="137"/>
        <v>0</v>
      </c>
      <c r="AI303" s="1232">
        <f t="shared" si="138"/>
        <v>0</v>
      </c>
    </row>
    <row r="304" spans="1:35" ht="15" thickBot="1" x14ac:dyDescent="0.25">
      <c r="A304" s="328">
        <v>2025</v>
      </c>
      <c r="B304" s="346">
        <v>0</v>
      </c>
      <c r="C304" s="347">
        <v>0</v>
      </c>
      <c r="D304" s="347">
        <v>0</v>
      </c>
      <c r="E304" s="347">
        <v>0</v>
      </c>
      <c r="F304" s="347">
        <v>0</v>
      </c>
      <c r="G304" s="347">
        <v>0</v>
      </c>
      <c r="H304" s="347">
        <v>0</v>
      </c>
      <c r="I304" s="347">
        <v>0</v>
      </c>
      <c r="J304" s="347">
        <v>0</v>
      </c>
      <c r="K304" s="347">
        <v>0</v>
      </c>
      <c r="L304" s="381">
        <v>0</v>
      </c>
      <c r="M304" s="310">
        <f t="shared" si="132"/>
        <v>0</v>
      </c>
      <c r="N304" s="312">
        <f t="shared" si="133"/>
        <v>0</v>
      </c>
      <c r="O304" s="346">
        <v>0</v>
      </c>
      <c r="P304" s="347">
        <v>0</v>
      </c>
      <c r="Q304" s="347">
        <v>0</v>
      </c>
      <c r="R304" s="347">
        <v>0</v>
      </c>
      <c r="S304" s="347">
        <v>0</v>
      </c>
      <c r="T304" s="347">
        <v>0</v>
      </c>
      <c r="U304" s="347">
        <v>0</v>
      </c>
      <c r="V304" s="347">
        <v>0</v>
      </c>
      <c r="W304" s="347">
        <v>0</v>
      </c>
      <c r="X304" s="347">
        <v>0</v>
      </c>
      <c r="Y304" s="381">
        <v>0</v>
      </c>
      <c r="Z304" s="310">
        <f t="shared" si="134"/>
        <v>0</v>
      </c>
      <c r="AA304" s="312">
        <f t="shared" si="135"/>
        <v>0</v>
      </c>
      <c r="AB304" s="948">
        <f t="array" ref="AB304">IF(AND($AD$281=TRUE,SUM(B304:L304)&gt;0),SUMPRODUCT((((TRANSPOSE(Cls3CentDailyRng)&lt;INDEX(CDRANGE_CLS3,$A304-$A$286+1,AD$282))*TRANSPOSE(Cls3CentDailyRng)+(TRANSPOSE(Cls3CentDailyRng)&gt;INDEX(CDRANGE_CLS3,$A304-$A$286+1,AD$282))*INDEX(CDRANGE_CLS3,$A304-$A$286+1,AD$282))/TRANSPOSE(Cls3CentDailyRng)),B304:L304,TRANSPOSE(Cls3CentVMTShr))/SUMPRODUCT(B304:L304,TRANSPOSE(Cls3CentVMTShr)),0)</f>
        <v>0</v>
      </c>
      <c r="AC304" s="949">
        <f t="array" ref="AC304">IF(AND($AD$281=TRUE,SUM(O304:Y304)&gt;0),SUMPRODUCT((((TRANSPOSE(Cls3NCentDailyRng)&lt;INDEX(CDRANGE_CLS3,$A304-$A$286+1,AD$282))*TRANSPOSE(Cls3NCentDailyRng)+(TRANSPOSE(Cls3NCentDailyRng)&gt;INDEX(CDRANGE_CLS3,$A304-$A$286+1,AD$282))*INDEX(CDRANGE_CLS3,$A304-$A$286+1,AD$282))/TRANSPOSE(Cls3NCentDailyRng)),O304:Y304,TRANSPOSE(Cls3NCentVMTShr))/SUMPRODUCT(O304:Y304,TRANSPOSE(Cls3NCentVMTShr)),0)</f>
        <v>0</v>
      </c>
      <c r="AD304" s="1226">
        <f t="shared" si="136"/>
        <v>0</v>
      </c>
      <c r="AE304" s="1230">
        <f t="shared" si="139"/>
        <v>0</v>
      </c>
      <c r="AF304" s="1231">
        <f t="shared" si="140"/>
        <v>0</v>
      </c>
      <c r="AG304" s="1231">
        <f t="shared" si="141"/>
        <v>0</v>
      </c>
      <c r="AH304" s="1172">
        <f t="shared" si="137"/>
        <v>0</v>
      </c>
      <c r="AI304" s="1232">
        <f t="shared" si="138"/>
        <v>0</v>
      </c>
    </row>
    <row r="305" spans="1:35" x14ac:dyDescent="0.2">
      <c r="A305" s="329">
        <v>2026</v>
      </c>
      <c r="B305" s="342">
        <v>0</v>
      </c>
      <c r="C305" s="343">
        <v>0</v>
      </c>
      <c r="D305" s="343">
        <v>0</v>
      </c>
      <c r="E305" s="343">
        <v>0</v>
      </c>
      <c r="F305" s="343">
        <v>0</v>
      </c>
      <c r="G305" s="343">
        <v>0</v>
      </c>
      <c r="H305" s="343">
        <v>0</v>
      </c>
      <c r="I305" s="343">
        <v>0</v>
      </c>
      <c r="J305" s="343">
        <v>0</v>
      </c>
      <c r="K305" s="343">
        <v>0</v>
      </c>
      <c r="L305" s="379">
        <v>0</v>
      </c>
      <c r="M305" s="282">
        <f t="shared" si="132"/>
        <v>0</v>
      </c>
      <c r="N305" s="284">
        <f t="shared" si="133"/>
        <v>0</v>
      </c>
      <c r="O305" s="342">
        <v>0</v>
      </c>
      <c r="P305" s="343">
        <v>0</v>
      </c>
      <c r="Q305" s="343">
        <v>0</v>
      </c>
      <c r="R305" s="343">
        <v>0</v>
      </c>
      <c r="S305" s="343">
        <v>0</v>
      </c>
      <c r="T305" s="343">
        <v>0</v>
      </c>
      <c r="U305" s="343">
        <v>0</v>
      </c>
      <c r="V305" s="343">
        <v>0</v>
      </c>
      <c r="W305" s="343">
        <v>0</v>
      </c>
      <c r="X305" s="343">
        <v>0</v>
      </c>
      <c r="Y305" s="379">
        <v>0</v>
      </c>
      <c r="Z305" s="282">
        <f t="shared" si="134"/>
        <v>0</v>
      </c>
      <c r="AA305" s="284">
        <f t="shared" si="135"/>
        <v>0</v>
      </c>
      <c r="AB305" s="948">
        <f t="array" ref="AB305">IF(AND($AD$281=TRUE,SUM(B305:L305)&gt;0),SUMPRODUCT((((TRANSPOSE(Cls3CentDailyRng)&lt;INDEX(CDRANGE_CLS3,$A305-$A$286+1,AD$282))*TRANSPOSE(Cls3CentDailyRng)+(TRANSPOSE(Cls3CentDailyRng)&gt;INDEX(CDRANGE_CLS3,$A305-$A$286+1,AD$282))*INDEX(CDRANGE_CLS3,$A305-$A$286+1,AD$282))/TRANSPOSE(Cls3CentDailyRng)),B305:L305,TRANSPOSE(Cls3CentVMTShr))/SUMPRODUCT(B305:L305,TRANSPOSE(Cls3CentVMTShr)),0)</f>
        <v>0</v>
      </c>
      <c r="AC305" s="949">
        <f t="array" ref="AC305">IF(AND($AD$281=TRUE,SUM(O305:Y305)&gt;0),SUMPRODUCT((((TRANSPOSE(Cls3NCentDailyRng)&lt;INDEX(CDRANGE_CLS3,$A305-$A$286+1,AD$282))*TRANSPOSE(Cls3NCentDailyRng)+(TRANSPOSE(Cls3NCentDailyRng)&gt;INDEX(CDRANGE_CLS3,$A305-$A$286+1,AD$282))*INDEX(CDRANGE_CLS3,$A305-$A$286+1,AD$282))/TRANSPOSE(Cls3NCentDailyRng)),O305:Y305,TRANSPOSE(Cls3NCentVMTShr))/SUMPRODUCT(O305:Y305,TRANSPOSE(Cls3NCentVMTShr)),0)</f>
        <v>0</v>
      </c>
      <c r="AD305" s="1226">
        <f t="shared" si="136"/>
        <v>0</v>
      </c>
      <c r="AE305" s="1230">
        <f t="shared" si="139"/>
        <v>0</v>
      </c>
      <c r="AF305" s="1231">
        <f t="shared" si="140"/>
        <v>0</v>
      </c>
      <c r="AG305" s="1231">
        <f t="shared" si="141"/>
        <v>0</v>
      </c>
      <c r="AH305" s="1172">
        <f t="shared" si="137"/>
        <v>0</v>
      </c>
      <c r="AI305" s="1232">
        <f t="shared" si="138"/>
        <v>0</v>
      </c>
    </row>
    <row r="306" spans="1:35" x14ac:dyDescent="0.2">
      <c r="A306" s="330">
        <v>2027</v>
      </c>
      <c r="B306" s="344">
        <v>0</v>
      </c>
      <c r="C306" s="345">
        <v>0</v>
      </c>
      <c r="D306" s="345">
        <v>0</v>
      </c>
      <c r="E306" s="345">
        <v>0</v>
      </c>
      <c r="F306" s="345">
        <v>0</v>
      </c>
      <c r="G306" s="345">
        <v>0</v>
      </c>
      <c r="H306" s="345">
        <v>0</v>
      </c>
      <c r="I306" s="345">
        <v>0</v>
      </c>
      <c r="J306" s="345">
        <v>0</v>
      </c>
      <c r="K306" s="345">
        <v>0</v>
      </c>
      <c r="L306" s="380">
        <v>0</v>
      </c>
      <c r="M306" s="296">
        <f t="shared" si="132"/>
        <v>0</v>
      </c>
      <c r="N306" s="298">
        <f t="shared" si="133"/>
        <v>0</v>
      </c>
      <c r="O306" s="344">
        <v>0</v>
      </c>
      <c r="P306" s="345">
        <v>0</v>
      </c>
      <c r="Q306" s="345">
        <v>0</v>
      </c>
      <c r="R306" s="345">
        <v>0</v>
      </c>
      <c r="S306" s="345">
        <v>0</v>
      </c>
      <c r="T306" s="345">
        <v>0</v>
      </c>
      <c r="U306" s="345">
        <v>0</v>
      </c>
      <c r="V306" s="345">
        <v>0</v>
      </c>
      <c r="W306" s="345">
        <v>0</v>
      </c>
      <c r="X306" s="345">
        <v>0</v>
      </c>
      <c r="Y306" s="380">
        <v>0</v>
      </c>
      <c r="Z306" s="296">
        <f t="shared" si="134"/>
        <v>0</v>
      </c>
      <c r="AA306" s="298">
        <f t="shared" si="135"/>
        <v>0</v>
      </c>
      <c r="AB306" s="948">
        <f t="array" ref="AB306">IF(AND($AD$281=TRUE,SUM(B306:L306)&gt;0),SUMPRODUCT((((TRANSPOSE(Cls3CentDailyRng)&lt;INDEX(CDRANGE_CLS3,$A306-$A$286+1,AD$282))*TRANSPOSE(Cls3CentDailyRng)+(TRANSPOSE(Cls3CentDailyRng)&gt;INDEX(CDRANGE_CLS3,$A306-$A$286+1,AD$282))*INDEX(CDRANGE_CLS3,$A306-$A$286+1,AD$282))/TRANSPOSE(Cls3CentDailyRng)),B306:L306,TRANSPOSE(Cls3CentVMTShr))/SUMPRODUCT(B306:L306,TRANSPOSE(Cls3CentVMTShr)),0)</f>
        <v>0</v>
      </c>
      <c r="AC306" s="949">
        <f t="array" ref="AC306">IF(AND($AD$281=TRUE,SUM(O306:Y306)&gt;0),SUMPRODUCT((((TRANSPOSE(Cls3NCentDailyRng)&lt;INDEX(CDRANGE_CLS3,$A306-$A$286+1,AD$282))*TRANSPOSE(Cls3NCentDailyRng)+(TRANSPOSE(Cls3NCentDailyRng)&gt;INDEX(CDRANGE_CLS3,$A306-$A$286+1,AD$282))*INDEX(CDRANGE_CLS3,$A306-$A$286+1,AD$282))/TRANSPOSE(Cls3NCentDailyRng)),O306:Y306,TRANSPOSE(Cls3NCentVMTShr))/SUMPRODUCT(O306:Y306,TRANSPOSE(Cls3NCentVMTShr)),0)</f>
        <v>0</v>
      </c>
      <c r="AD306" s="1226">
        <f t="shared" si="136"/>
        <v>0</v>
      </c>
      <c r="AE306" s="1230">
        <f t="shared" si="139"/>
        <v>0</v>
      </c>
      <c r="AF306" s="1231">
        <f t="shared" si="140"/>
        <v>0</v>
      </c>
      <c r="AG306" s="1231">
        <f t="shared" si="141"/>
        <v>0</v>
      </c>
      <c r="AH306" s="1172">
        <f t="shared" si="137"/>
        <v>0</v>
      </c>
      <c r="AI306" s="1232">
        <f t="shared" si="138"/>
        <v>0</v>
      </c>
    </row>
    <row r="307" spans="1:35" x14ac:dyDescent="0.2">
      <c r="A307" s="330">
        <v>2028</v>
      </c>
      <c r="B307" s="344">
        <v>0</v>
      </c>
      <c r="C307" s="345">
        <v>0</v>
      </c>
      <c r="D307" s="345">
        <v>0</v>
      </c>
      <c r="E307" s="345">
        <v>0</v>
      </c>
      <c r="F307" s="345">
        <v>0</v>
      </c>
      <c r="G307" s="345">
        <v>0</v>
      </c>
      <c r="H307" s="345">
        <v>0</v>
      </c>
      <c r="I307" s="345">
        <v>0</v>
      </c>
      <c r="J307" s="345">
        <v>0</v>
      </c>
      <c r="K307" s="345">
        <v>0</v>
      </c>
      <c r="L307" s="380">
        <v>0</v>
      </c>
      <c r="M307" s="296">
        <f t="shared" si="132"/>
        <v>0</v>
      </c>
      <c r="N307" s="298">
        <f t="shared" si="133"/>
        <v>0</v>
      </c>
      <c r="O307" s="344">
        <v>0</v>
      </c>
      <c r="P307" s="345">
        <v>0</v>
      </c>
      <c r="Q307" s="345">
        <v>0</v>
      </c>
      <c r="R307" s="345">
        <v>0</v>
      </c>
      <c r="S307" s="345">
        <v>0</v>
      </c>
      <c r="T307" s="345">
        <v>0</v>
      </c>
      <c r="U307" s="345">
        <v>0</v>
      </c>
      <c r="V307" s="345">
        <v>0</v>
      </c>
      <c r="W307" s="345">
        <v>0</v>
      </c>
      <c r="X307" s="345">
        <v>0</v>
      </c>
      <c r="Y307" s="380">
        <v>0</v>
      </c>
      <c r="Z307" s="296">
        <f t="shared" si="134"/>
        <v>0</v>
      </c>
      <c r="AA307" s="298">
        <f t="shared" si="135"/>
        <v>0</v>
      </c>
      <c r="AB307" s="948">
        <f t="array" ref="AB307">IF(AND($AD$281=TRUE,SUM(B307:L307)&gt;0),SUMPRODUCT((((TRANSPOSE(Cls3CentDailyRng)&lt;INDEX(CDRANGE_CLS3,$A307-$A$286+1,AD$282))*TRANSPOSE(Cls3CentDailyRng)+(TRANSPOSE(Cls3CentDailyRng)&gt;INDEX(CDRANGE_CLS3,$A307-$A$286+1,AD$282))*INDEX(CDRANGE_CLS3,$A307-$A$286+1,AD$282))/TRANSPOSE(Cls3CentDailyRng)),B307:L307,TRANSPOSE(Cls3CentVMTShr))/SUMPRODUCT(B307:L307,TRANSPOSE(Cls3CentVMTShr)),0)</f>
        <v>0</v>
      </c>
      <c r="AC307" s="949">
        <f t="array" ref="AC307">IF(AND($AD$281=TRUE,SUM(O307:Y307)&gt;0),SUMPRODUCT((((TRANSPOSE(Cls3NCentDailyRng)&lt;INDEX(CDRANGE_CLS3,$A307-$A$286+1,AD$282))*TRANSPOSE(Cls3NCentDailyRng)+(TRANSPOSE(Cls3NCentDailyRng)&gt;INDEX(CDRANGE_CLS3,$A307-$A$286+1,AD$282))*INDEX(CDRANGE_CLS3,$A307-$A$286+1,AD$282))/TRANSPOSE(Cls3NCentDailyRng)),O307:Y307,TRANSPOSE(Cls3NCentVMTShr))/SUMPRODUCT(O307:Y307,TRANSPOSE(Cls3NCentVMTShr)),0)</f>
        <v>0</v>
      </c>
      <c r="AD307" s="1226">
        <f t="shared" si="136"/>
        <v>0</v>
      </c>
      <c r="AE307" s="1230">
        <f t="shared" si="139"/>
        <v>0</v>
      </c>
      <c r="AF307" s="1231">
        <f t="shared" si="140"/>
        <v>0</v>
      </c>
      <c r="AG307" s="1231">
        <f t="shared" si="141"/>
        <v>0</v>
      </c>
      <c r="AH307" s="1172">
        <f t="shared" si="137"/>
        <v>0</v>
      </c>
      <c r="AI307" s="1232">
        <f t="shared" si="138"/>
        <v>0</v>
      </c>
    </row>
    <row r="308" spans="1:35" x14ac:dyDescent="0.2">
      <c r="A308" s="330">
        <v>2029</v>
      </c>
      <c r="B308" s="344">
        <v>0</v>
      </c>
      <c r="C308" s="345">
        <v>0</v>
      </c>
      <c r="D308" s="345">
        <v>0</v>
      </c>
      <c r="E308" s="345">
        <v>0</v>
      </c>
      <c r="F308" s="345">
        <v>0</v>
      </c>
      <c r="G308" s="345">
        <v>0</v>
      </c>
      <c r="H308" s="345">
        <v>0</v>
      </c>
      <c r="I308" s="345">
        <v>0</v>
      </c>
      <c r="J308" s="345">
        <v>0</v>
      </c>
      <c r="K308" s="345">
        <v>0</v>
      </c>
      <c r="L308" s="380">
        <v>0</v>
      </c>
      <c r="M308" s="296">
        <f t="shared" si="132"/>
        <v>0</v>
      </c>
      <c r="N308" s="298">
        <f t="shared" si="133"/>
        <v>0</v>
      </c>
      <c r="O308" s="344">
        <v>0</v>
      </c>
      <c r="P308" s="345">
        <v>0</v>
      </c>
      <c r="Q308" s="345">
        <v>0</v>
      </c>
      <c r="R308" s="345">
        <v>0</v>
      </c>
      <c r="S308" s="345">
        <v>0</v>
      </c>
      <c r="T308" s="345">
        <v>0</v>
      </c>
      <c r="U308" s="345">
        <v>0</v>
      </c>
      <c r="V308" s="345">
        <v>0</v>
      </c>
      <c r="W308" s="345">
        <v>0</v>
      </c>
      <c r="X308" s="345">
        <v>0</v>
      </c>
      <c r="Y308" s="380">
        <v>0</v>
      </c>
      <c r="Z308" s="296">
        <f t="shared" si="134"/>
        <v>0</v>
      </c>
      <c r="AA308" s="298">
        <f t="shared" si="135"/>
        <v>0</v>
      </c>
      <c r="AB308" s="948">
        <f t="array" ref="AB308">IF(AND($AD$281=TRUE,SUM(B308:L308)&gt;0),SUMPRODUCT((((TRANSPOSE(Cls3CentDailyRng)&lt;INDEX(CDRANGE_CLS3,$A308-$A$286+1,AD$282))*TRANSPOSE(Cls3CentDailyRng)+(TRANSPOSE(Cls3CentDailyRng)&gt;INDEX(CDRANGE_CLS3,$A308-$A$286+1,AD$282))*INDEX(CDRANGE_CLS3,$A308-$A$286+1,AD$282))/TRANSPOSE(Cls3CentDailyRng)),B308:L308,TRANSPOSE(Cls3CentVMTShr))/SUMPRODUCT(B308:L308,TRANSPOSE(Cls3CentVMTShr)),0)</f>
        <v>0</v>
      </c>
      <c r="AC308" s="949">
        <f t="array" ref="AC308">IF(AND($AD$281=TRUE,SUM(O308:Y308)&gt;0),SUMPRODUCT((((TRANSPOSE(Cls3NCentDailyRng)&lt;INDEX(CDRANGE_CLS3,$A308-$A$286+1,AD$282))*TRANSPOSE(Cls3NCentDailyRng)+(TRANSPOSE(Cls3NCentDailyRng)&gt;INDEX(CDRANGE_CLS3,$A308-$A$286+1,AD$282))*INDEX(CDRANGE_CLS3,$A308-$A$286+1,AD$282))/TRANSPOSE(Cls3NCentDailyRng)),O308:Y308,TRANSPOSE(Cls3NCentVMTShr))/SUMPRODUCT(O308:Y308,TRANSPOSE(Cls3NCentVMTShr)),0)</f>
        <v>0</v>
      </c>
      <c r="AD308" s="1226">
        <f t="shared" si="136"/>
        <v>0</v>
      </c>
      <c r="AE308" s="1230">
        <f t="shared" si="139"/>
        <v>0</v>
      </c>
      <c r="AF308" s="1231">
        <f t="shared" si="140"/>
        <v>0</v>
      </c>
      <c r="AG308" s="1231">
        <f t="shared" si="141"/>
        <v>0</v>
      </c>
      <c r="AH308" s="1172">
        <f t="shared" si="137"/>
        <v>0</v>
      </c>
      <c r="AI308" s="1232">
        <f t="shared" si="138"/>
        <v>0</v>
      </c>
    </row>
    <row r="309" spans="1:35" ht="15" thickBot="1" x14ac:dyDescent="0.25">
      <c r="A309" s="328">
        <v>2030</v>
      </c>
      <c r="B309" s="346">
        <v>0</v>
      </c>
      <c r="C309" s="347">
        <v>0</v>
      </c>
      <c r="D309" s="347">
        <v>0</v>
      </c>
      <c r="E309" s="347">
        <v>0</v>
      </c>
      <c r="F309" s="347">
        <v>0</v>
      </c>
      <c r="G309" s="347">
        <v>0</v>
      </c>
      <c r="H309" s="347">
        <v>0</v>
      </c>
      <c r="I309" s="347">
        <v>0</v>
      </c>
      <c r="J309" s="347">
        <v>0</v>
      </c>
      <c r="K309" s="347">
        <v>0</v>
      </c>
      <c r="L309" s="381">
        <v>0</v>
      </c>
      <c r="M309" s="310">
        <f t="shared" si="132"/>
        <v>0</v>
      </c>
      <c r="N309" s="312">
        <f t="shared" si="133"/>
        <v>0</v>
      </c>
      <c r="O309" s="346">
        <v>0</v>
      </c>
      <c r="P309" s="347">
        <v>0</v>
      </c>
      <c r="Q309" s="347">
        <v>0</v>
      </c>
      <c r="R309" s="347">
        <v>0</v>
      </c>
      <c r="S309" s="347">
        <v>0</v>
      </c>
      <c r="T309" s="347">
        <v>0</v>
      </c>
      <c r="U309" s="347">
        <v>0</v>
      </c>
      <c r="V309" s="347">
        <v>0</v>
      </c>
      <c r="W309" s="347">
        <v>0</v>
      </c>
      <c r="X309" s="347">
        <v>0</v>
      </c>
      <c r="Y309" s="381">
        <v>0</v>
      </c>
      <c r="Z309" s="310">
        <f t="shared" si="134"/>
        <v>0</v>
      </c>
      <c r="AA309" s="312">
        <f t="shared" si="135"/>
        <v>0</v>
      </c>
      <c r="AB309" s="948">
        <f t="array" ref="AB309">IF(AND($AD$281=TRUE,SUM(B309:L309)&gt;0),SUMPRODUCT((((TRANSPOSE(Cls3CentDailyRng)&lt;INDEX(CDRANGE_CLS3,$A309-$A$286+1,AD$282))*TRANSPOSE(Cls3CentDailyRng)+(TRANSPOSE(Cls3CentDailyRng)&gt;INDEX(CDRANGE_CLS3,$A309-$A$286+1,AD$282))*INDEX(CDRANGE_CLS3,$A309-$A$286+1,AD$282))/TRANSPOSE(Cls3CentDailyRng)),B309:L309,TRANSPOSE(Cls3CentVMTShr))/SUMPRODUCT(B309:L309,TRANSPOSE(Cls3CentVMTShr)),0)</f>
        <v>0</v>
      </c>
      <c r="AC309" s="949">
        <f t="array" ref="AC309">IF(AND($AD$281=TRUE,SUM(O309:Y309)&gt;0),SUMPRODUCT((((TRANSPOSE(Cls3NCentDailyRng)&lt;INDEX(CDRANGE_CLS3,$A309-$A$286+1,AD$282))*TRANSPOSE(Cls3NCentDailyRng)+(TRANSPOSE(Cls3NCentDailyRng)&gt;INDEX(CDRANGE_CLS3,$A309-$A$286+1,AD$282))*INDEX(CDRANGE_CLS3,$A309-$A$286+1,AD$282))/TRANSPOSE(Cls3NCentDailyRng)),O309:Y309,TRANSPOSE(Cls3NCentVMTShr))/SUMPRODUCT(O309:Y309,TRANSPOSE(Cls3NCentVMTShr)),0)</f>
        <v>0</v>
      </c>
      <c r="AD309" s="1226">
        <f t="shared" si="136"/>
        <v>0</v>
      </c>
      <c r="AE309" s="1230">
        <f t="shared" si="139"/>
        <v>0</v>
      </c>
      <c r="AF309" s="1231">
        <f t="shared" si="140"/>
        <v>0</v>
      </c>
      <c r="AG309" s="1231">
        <f t="shared" si="141"/>
        <v>0</v>
      </c>
      <c r="AH309" s="1172">
        <f t="shared" si="137"/>
        <v>0</v>
      </c>
      <c r="AI309" s="1232">
        <f t="shared" si="138"/>
        <v>0</v>
      </c>
    </row>
    <row r="310" spans="1:35" x14ac:dyDescent="0.2">
      <c r="A310" s="329">
        <v>2031</v>
      </c>
      <c r="B310" s="342">
        <v>0</v>
      </c>
      <c r="C310" s="343">
        <v>0</v>
      </c>
      <c r="D310" s="343">
        <v>0</v>
      </c>
      <c r="E310" s="343">
        <v>0</v>
      </c>
      <c r="F310" s="343">
        <v>0</v>
      </c>
      <c r="G310" s="343">
        <v>0</v>
      </c>
      <c r="H310" s="343">
        <v>0</v>
      </c>
      <c r="I310" s="343">
        <v>0</v>
      </c>
      <c r="J310" s="343">
        <v>0</v>
      </c>
      <c r="K310" s="343">
        <v>0</v>
      </c>
      <c r="L310" s="379">
        <v>0</v>
      </c>
      <c r="M310" s="282">
        <f t="shared" si="132"/>
        <v>0</v>
      </c>
      <c r="N310" s="284">
        <f t="shared" si="133"/>
        <v>0</v>
      </c>
      <c r="O310" s="342">
        <v>0</v>
      </c>
      <c r="P310" s="343">
        <v>0</v>
      </c>
      <c r="Q310" s="343">
        <v>0</v>
      </c>
      <c r="R310" s="343">
        <v>0</v>
      </c>
      <c r="S310" s="343">
        <v>0</v>
      </c>
      <c r="T310" s="343">
        <v>0</v>
      </c>
      <c r="U310" s="343">
        <v>0</v>
      </c>
      <c r="V310" s="343">
        <v>0</v>
      </c>
      <c r="W310" s="343">
        <v>0</v>
      </c>
      <c r="X310" s="343">
        <v>0</v>
      </c>
      <c r="Y310" s="379">
        <v>0</v>
      </c>
      <c r="Z310" s="282">
        <f t="shared" si="134"/>
        <v>0</v>
      </c>
      <c r="AA310" s="284">
        <f t="shared" si="135"/>
        <v>0</v>
      </c>
      <c r="AB310" s="948">
        <f t="array" ref="AB310">IF(AND($AD$281=TRUE,SUM(B310:L310)&gt;0),SUMPRODUCT((((TRANSPOSE(Cls3CentDailyRng)&lt;INDEX(CDRANGE_CLS3,$A310-$A$286+1,AD$282))*TRANSPOSE(Cls3CentDailyRng)+(TRANSPOSE(Cls3CentDailyRng)&gt;INDEX(CDRANGE_CLS3,$A310-$A$286+1,AD$282))*INDEX(CDRANGE_CLS3,$A310-$A$286+1,AD$282))/TRANSPOSE(Cls3CentDailyRng)),B310:L310,TRANSPOSE(Cls3CentVMTShr))/SUMPRODUCT(B310:L310,TRANSPOSE(Cls3CentVMTShr)),0)</f>
        <v>0</v>
      </c>
      <c r="AC310" s="949">
        <f t="array" ref="AC310">IF(AND($AD$281=TRUE,SUM(O310:Y310)&gt;0),SUMPRODUCT((((TRANSPOSE(Cls3NCentDailyRng)&lt;INDEX(CDRANGE_CLS3,$A310-$A$286+1,AD$282))*TRANSPOSE(Cls3NCentDailyRng)+(TRANSPOSE(Cls3NCentDailyRng)&gt;INDEX(CDRANGE_CLS3,$A310-$A$286+1,AD$282))*INDEX(CDRANGE_CLS3,$A310-$A$286+1,AD$282))/TRANSPOSE(Cls3NCentDailyRng)),O310:Y310,TRANSPOSE(Cls3NCentVMTShr))/SUMPRODUCT(O310:Y310,TRANSPOSE(Cls3NCentVMTShr)),0)</f>
        <v>0</v>
      </c>
      <c r="AD310" s="1226">
        <f t="shared" si="136"/>
        <v>0</v>
      </c>
      <c r="AE310" s="1230">
        <f t="shared" si="139"/>
        <v>0</v>
      </c>
      <c r="AF310" s="1231">
        <f t="shared" si="140"/>
        <v>0</v>
      </c>
      <c r="AG310" s="1231">
        <f t="shared" si="141"/>
        <v>0</v>
      </c>
      <c r="AH310" s="1172">
        <f t="shared" si="137"/>
        <v>0</v>
      </c>
      <c r="AI310" s="1232">
        <f t="shared" si="138"/>
        <v>0</v>
      </c>
    </row>
    <row r="311" spans="1:35" x14ac:dyDescent="0.2">
      <c r="A311" s="330">
        <v>2032</v>
      </c>
      <c r="B311" s="344">
        <v>0</v>
      </c>
      <c r="C311" s="345">
        <v>0</v>
      </c>
      <c r="D311" s="345">
        <v>0</v>
      </c>
      <c r="E311" s="345">
        <v>0</v>
      </c>
      <c r="F311" s="345">
        <v>0</v>
      </c>
      <c r="G311" s="345">
        <v>0</v>
      </c>
      <c r="H311" s="345">
        <v>0</v>
      </c>
      <c r="I311" s="345">
        <v>0</v>
      </c>
      <c r="J311" s="345">
        <v>0</v>
      </c>
      <c r="K311" s="345">
        <v>0</v>
      </c>
      <c r="L311" s="380">
        <v>0</v>
      </c>
      <c r="M311" s="296">
        <f t="shared" si="132"/>
        <v>0</v>
      </c>
      <c r="N311" s="298">
        <f t="shared" si="133"/>
        <v>0</v>
      </c>
      <c r="O311" s="344">
        <v>0</v>
      </c>
      <c r="P311" s="345">
        <v>0</v>
      </c>
      <c r="Q311" s="345">
        <v>0</v>
      </c>
      <c r="R311" s="345">
        <v>0</v>
      </c>
      <c r="S311" s="345">
        <v>0</v>
      </c>
      <c r="T311" s="345">
        <v>0</v>
      </c>
      <c r="U311" s="345">
        <v>0</v>
      </c>
      <c r="V311" s="345">
        <v>0</v>
      </c>
      <c r="W311" s="345">
        <v>0</v>
      </c>
      <c r="X311" s="345">
        <v>0</v>
      </c>
      <c r="Y311" s="380">
        <v>0</v>
      </c>
      <c r="Z311" s="296">
        <f t="shared" si="134"/>
        <v>0</v>
      </c>
      <c r="AA311" s="298">
        <f t="shared" si="135"/>
        <v>0</v>
      </c>
      <c r="AB311" s="948">
        <f t="array" ref="AB311">IF(AND($AD$281=TRUE,SUM(B311:L311)&gt;0),SUMPRODUCT((((TRANSPOSE(Cls3CentDailyRng)&lt;INDEX(CDRANGE_CLS3,$A311-$A$286+1,AD$282))*TRANSPOSE(Cls3CentDailyRng)+(TRANSPOSE(Cls3CentDailyRng)&gt;INDEX(CDRANGE_CLS3,$A311-$A$286+1,AD$282))*INDEX(CDRANGE_CLS3,$A311-$A$286+1,AD$282))/TRANSPOSE(Cls3CentDailyRng)),B311:L311,TRANSPOSE(Cls3CentVMTShr))/SUMPRODUCT(B311:L311,TRANSPOSE(Cls3CentVMTShr)),0)</f>
        <v>0</v>
      </c>
      <c r="AC311" s="949">
        <f t="array" ref="AC311">IF(AND($AD$281=TRUE,SUM(O311:Y311)&gt;0),SUMPRODUCT((((TRANSPOSE(Cls3NCentDailyRng)&lt;INDEX(CDRANGE_CLS3,$A311-$A$286+1,AD$282))*TRANSPOSE(Cls3NCentDailyRng)+(TRANSPOSE(Cls3NCentDailyRng)&gt;INDEX(CDRANGE_CLS3,$A311-$A$286+1,AD$282))*INDEX(CDRANGE_CLS3,$A311-$A$286+1,AD$282))/TRANSPOSE(Cls3NCentDailyRng)),O311:Y311,TRANSPOSE(Cls3NCentVMTShr))/SUMPRODUCT(O311:Y311,TRANSPOSE(Cls3NCentVMTShr)),0)</f>
        <v>0</v>
      </c>
      <c r="AD311" s="1226">
        <f t="shared" si="136"/>
        <v>0</v>
      </c>
      <c r="AE311" s="1230">
        <f t="shared" si="139"/>
        <v>0</v>
      </c>
      <c r="AF311" s="1231">
        <f t="shared" si="140"/>
        <v>0</v>
      </c>
      <c r="AG311" s="1231">
        <f t="shared" si="141"/>
        <v>0</v>
      </c>
      <c r="AH311" s="1172">
        <f t="shared" si="137"/>
        <v>0</v>
      </c>
      <c r="AI311" s="1232">
        <f t="shared" si="138"/>
        <v>0</v>
      </c>
    </row>
    <row r="312" spans="1:35" x14ac:dyDescent="0.2">
      <c r="A312" s="330">
        <v>2033</v>
      </c>
      <c r="B312" s="344">
        <v>0</v>
      </c>
      <c r="C312" s="345">
        <v>0</v>
      </c>
      <c r="D312" s="345">
        <v>0</v>
      </c>
      <c r="E312" s="345">
        <v>0</v>
      </c>
      <c r="F312" s="345">
        <v>0</v>
      </c>
      <c r="G312" s="345">
        <v>0</v>
      </c>
      <c r="H312" s="345">
        <v>0</v>
      </c>
      <c r="I312" s="345">
        <v>0</v>
      </c>
      <c r="J312" s="345">
        <v>0</v>
      </c>
      <c r="K312" s="345">
        <v>0</v>
      </c>
      <c r="L312" s="380">
        <v>0</v>
      </c>
      <c r="M312" s="296">
        <f t="shared" si="132"/>
        <v>0</v>
      </c>
      <c r="N312" s="298">
        <f t="shared" si="133"/>
        <v>0</v>
      </c>
      <c r="O312" s="344">
        <v>0</v>
      </c>
      <c r="P312" s="345">
        <v>0</v>
      </c>
      <c r="Q312" s="345">
        <v>0</v>
      </c>
      <c r="R312" s="345">
        <v>0</v>
      </c>
      <c r="S312" s="345">
        <v>0</v>
      </c>
      <c r="T312" s="345">
        <v>0</v>
      </c>
      <c r="U312" s="345">
        <v>0</v>
      </c>
      <c r="V312" s="345">
        <v>0</v>
      </c>
      <c r="W312" s="345">
        <v>0</v>
      </c>
      <c r="X312" s="345">
        <v>0</v>
      </c>
      <c r="Y312" s="380">
        <v>0</v>
      </c>
      <c r="Z312" s="296">
        <f t="shared" si="134"/>
        <v>0</v>
      </c>
      <c r="AA312" s="298">
        <f t="shared" si="135"/>
        <v>0</v>
      </c>
      <c r="AB312" s="948">
        <f t="array" ref="AB312">IF(AND($AD$281=TRUE,SUM(B312:L312)&gt;0),SUMPRODUCT((((TRANSPOSE(Cls3CentDailyRng)&lt;INDEX(CDRANGE_CLS3,$A312-$A$286+1,AD$282))*TRANSPOSE(Cls3CentDailyRng)+(TRANSPOSE(Cls3CentDailyRng)&gt;INDEX(CDRANGE_CLS3,$A312-$A$286+1,AD$282))*INDEX(CDRANGE_CLS3,$A312-$A$286+1,AD$282))/TRANSPOSE(Cls3CentDailyRng)),B312:L312,TRANSPOSE(Cls3CentVMTShr))/SUMPRODUCT(B312:L312,TRANSPOSE(Cls3CentVMTShr)),0)</f>
        <v>0</v>
      </c>
      <c r="AC312" s="949">
        <f t="array" ref="AC312">IF(AND($AD$281=TRUE,SUM(O312:Y312)&gt;0),SUMPRODUCT((((TRANSPOSE(Cls3NCentDailyRng)&lt;INDEX(CDRANGE_CLS3,$A312-$A$286+1,AD$282))*TRANSPOSE(Cls3NCentDailyRng)+(TRANSPOSE(Cls3NCentDailyRng)&gt;INDEX(CDRANGE_CLS3,$A312-$A$286+1,AD$282))*INDEX(CDRANGE_CLS3,$A312-$A$286+1,AD$282))/TRANSPOSE(Cls3NCentDailyRng)),O312:Y312,TRANSPOSE(Cls3NCentVMTShr))/SUMPRODUCT(O312:Y312,TRANSPOSE(Cls3NCentVMTShr)),0)</f>
        <v>0</v>
      </c>
      <c r="AD312" s="1226">
        <f>AB312*AH312+AC312*AI312</f>
        <v>0</v>
      </c>
      <c r="AE312" s="1230">
        <f t="shared" si="139"/>
        <v>0</v>
      </c>
      <c r="AF312" s="1231">
        <f t="shared" si="140"/>
        <v>0</v>
      </c>
      <c r="AG312" s="1231">
        <f t="shared" si="141"/>
        <v>0</v>
      </c>
      <c r="AH312" s="1172">
        <f t="shared" si="137"/>
        <v>0</v>
      </c>
      <c r="AI312" s="1232">
        <f t="shared" si="138"/>
        <v>0</v>
      </c>
    </row>
    <row r="313" spans="1:35" x14ac:dyDescent="0.2">
      <c r="A313" s="330">
        <v>2034</v>
      </c>
      <c r="B313" s="344">
        <v>0</v>
      </c>
      <c r="C313" s="345">
        <v>0</v>
      </c>
      <c r="D313" s="345">
        <v>0</v>
      </c>
      <c r="E313" s="345">
        <v>0</v>
      </c>
      <c r="F313" s="345">
        <v>0</v>
      </c>
      <c r="G313" s="345">
        <v>0</v>
      </c>
      <c r="H313" s="345">
        <v>0</v>
      </c>
      <c r="I313" s="345">
        <v>0</v>
      </c>
      <c r="J313" s="345">
        <v>0</v>
      </c>
      <c r="K313" s="345">
        <v>0</v>
      </c>
      <c r="L313" s="380">
        <v>0</v>
      </c>
      <c r="M313" s="296">
        <f t="shared" si="132"/>
        <v>0</v>
      </c>
      <c r="N313" s="298">
        <f t="shared" si="133"/>
        <v>0</v>
      </c>
      <c r="O313" s="344">
        <v>0</v>
      </c>
      <c r="P313" s="345">
        <v>0</v>
      </c>
      <c r="Q313" s="345">
        <v>0</v>
      </c>
      <c r="R313" s="345">
        <v>0</v>
      </c>
      <c r="S313" s="345">
        <v>0</v>
      </c>
      <c r="T313" s="345">
        <v>0</v>
      </c>
      <c r="U313" s="345">
        <v>0</v>
      </c>
      <c r="V313" s="345">
        <v>0</v>
      </c>
      <c r="W313" s="345">
        <v>0</v>
      </c>
      <c r="X313" s="345">
        <v>0</v>
      </c>
      <c r="Y313" s="380">
        <v>0</v>
      </c>
      <c r="Z313" s="296">
        <f t="shared" si="134"/>
        <v>0</v>
      </c>
      <c r="AA313" s="298">
        <f t="shared" si="135"/>
        <v>0</v>
      </c>
      <c r="AB313" s="948">
        <f t="array" ref="AB313">IF(AND($AD$281=TRUE,SUM(B313:L313)&gt;0),SUMPRODUCT((((TRANSPOSE(Cls3CentDailyRng)&lt;INDEX(CDRANGE_CLS3,$A313-$A$286+1,AD$282))*TRANSPOSE(Cls3CentDailyRng)+(TRANSPOSE(Cls3CentDailyRng)&gt;INDEX(CDRANGE_CLS3,$A313-$A$286+1,AD$282))*INDEX(CDRANGE_CLS3,$A313-$A$286+1,AD$282))/TRANSPOSE(Cls3CentDailyRng)),B313:L313,TRANSPOSE(Cls3CentVMTShr))/SUMPRODUCT(B313:L313,TRANSPOSE(Cls3CentVMTShr)),0)</f>
        <v>0</v>
      </c>
      <c r="AC313" s="949">
        <f t="array" ref="AC313">IF(AND($AD$281=TRUE,SUM(O313:Y313)&gt;0),SUMPRODUCT((((TRANSPOSE(Cls3NCentDailyRng)&lt;INDEX(CDRANGE_CLS3,$A313-$A$286+1,AD$282))*TRANSPOSE(Cls3NCentDailyRng)+(TRANSPOSE(Cls3NCentDailyRng)&gt;INDEX(CDRANGE_CLS3,$A313-$A$286+1,AD$282))*INDEX(CDRANGE_CLS3,$A313-$A$286+1,AD$282))/TRANSPOSE(Cls3NCentDailyRng)),O313:Y313,TRANSPOSE(Cls3NCentVMTShr))/SUMPRODUCT(O313:Y313,TRANSPOSE(Cls3NCentVMTShr)),0)</f>
        <v>0</v>
      </c>
      <c r="AD313" s="1226">
        <f t="shared" ref="AD313:AD329" si="142">AB313*AH313+AC313*AI313</f>
        <v>0</v>
      </c>
      <c r="AE313" s="1230">
        <f t="shared" si="139"/>
        <v>0</v>
      </c>
      <c r="AF313" s="1231">
        <f t="shared" si="140"/>
        <v>0</v>
      </c>
      <c r="AG313" s="1231">
        <f t="shared" si="141"/>
        <v>0</v>
      </c>
      <c r="AH313" s="1172">
        <f t="shared" si="137"/>
        <v>0</v>
      </c>
      <c r="AI313" s="1232">
        <f t="shared" si="138"/>
        <v>0</v>
      </c>
    </row>
    <row r="314" spans="1:35" ht="15" thickBot="1" x14ac:dyDescent="0.25">
      <c r="A314" s="328">
        <v>2035</v>
      </c>
      <c r="B314" s="346">
        <v>0</v>
      </c>
      <c r="C314" s="347">
        <v>0</v>
      </c>
      <c r="D314" s="347">
        <v>0</v>
      </c>
      <c r="E314" s="347">
        <v>0</v>
      </c>
      <c r="F314" s="347">
        <v>0</v>
      </c>
      <c r="G314" s="347">
        <v>0</v>
      </c>
      <c r="H314" s="347">
        <v>0</v>
      </c>
      <c r="I314" s="347">
        <v>0</v>
      </c>
      <c r="J314" s="347">
        <v>0</v>
      </c>
      <c r="K314" s="347">
        <v>0</v>
      </c>
      <c r="L314" s="381">
        <v>0</v>
      </c>
      <c r="M314" s="310">
        <f t="shared" si="132"/>
        <v>0</v>
      </c>
      <c r="N314" s="312">
        <f t="shared" si="133"/>
        <v>0</v>
      </c>
      <c r="O314" s="346">
        <v>0</v>
      </c>
      <c r="P314" s="347">
        <v>0</v>
      </c>
      <c r="Q314" s="347">
        <v>0</v>
      </c>
      <c r="R314" s="347">
        <v>0</v>
      </c>
      <c r="S314" s="347">
        <v>0</v>
      </c>
      <c r="T314" s="347">
        <v>0</v>
      </c>
      <c r="U314" s="347">
        <v>0</v>
      </c>
      <c r="V314" s="347">
        <v>0</v>
      </c>
      <c r="W314" s="347">
        <v>0</v>
      </c>
      <c r="X314" s="347">
        <v>0</v>
      </c>
      <c r="Y314" s="381">
        <v>0</v>
      </c>
      <c r="Z314" s="310">
        <f t="shared" si="134"/>
        <v>0</v>
      </c>
      <c r="AA314" s="312">
        <f t="shared" si="135"/>
        <v>0</v>
      </c>
      <c r="AB314" s="948">
        <f t="array" ref="AB314">IF(AND($AD$281=TRUE,SUM(B314:L314)&gt;0),SUMPRODUCT((((TRANSPOSE(Cls3CentDailyRng)&lt;INDEX(CDRANGE_CLS3,$A314-$A$286+1,AD$282))*TRANSPOSE(Cls3CentDailyRng)+(TRANSPOSE(Cls3CentDailyRng)&gt;INDEX(CDRANGE_CLS3,$A314-$A$286+1,AD$282))*INDEX(CDRANGE_CLS3,$A314-$A$286+1,AD$282))/TRANSPOSE(Cls3CentDailyRng)),B314:L314,TRANSPOSE(Cls3CentVMTShr))/SUMPRODUCT(B314:L314,TRANSPOSE(Cls3CentVMTShr)),0)</f>
        <v>0</v>
      </c>
      <c r="AC314" s="949">
        <f t="array" ref="AC314">IF(AND($AD$281=TRUE,SUM(O314:Y314)&gt;0),SUMPRODUCT((((TRANSPOSE(Cls3NCentDailyRng)&lt;INDEX(CDRANGE_CLS3,$A314-$A$286+1,AD$282))*TRANSPOSE(Cls3NCentDailyRng)+(TRANSPOSE(Cls3NCentDailyRng)&gt;INDEX(CDRANGE_CLS3,$A314-$A$286+1,AD$282))*INDEX(CDRANGE_CLS3,$A314-$A$286+1,AD$282))/TRANSPOSE(Cls3NCentDailyRng)),O314:Y314,TRANSPOSE(Cls3NCentVMTShr))/SUMPRODUCT(O314:Y314,TRANSPOSE(Cls3NCentVMTShr)),0)</f>
        <v>0</v>
      </c>
      <c r="AD314" s="1226">
        <f t="shared" si="142"/>
        <v>0</v>
      </c>
      <c r="AE314" s="1230">
        <f t="shared" si="139"/>
        <v>0</v>
      </c>
      <c r="AF314" s="1231">
        <f t="shared" si="140"/>
        <v>0</v>
      </c>
      <c r="AG314" s="1231">
        <f t="shared" si="141"/>
        <v>0</v>
      </c>
      <c r="AH314" s="1172">
        <f t="shared" si="137"/>
        <v>0</v>
      </c>
      <c r="AI314" s="1232">
        <f t="shared" si="138"/>
        <v>0</v>
      </c>
    </row>
    <row r="315" spans="1:35" x14ac:dyDescent="0.2">
      <c r="A315" s="329">
        <v>2036</v>
      </c>
      <c r="B315" s="342">
        <v>0</v>
      </c>
      <c r="C315" s="343">
        <v>0</v>
      </c>
      <c r="D315" s="343">
        <v>0</v>
      </c>
      <c r="E315" s="343">
        <v>0</v>
      </c>
      <c r="F315" s="343">
        <v>0</v>
      </c>
      <c r="G315" s="343">
        <v>0</v>
      </c>
      <c r="H315" s="343">
        <v>0</v>
      </c>
      <c r="I315" s="343">
        <v>0</v>
      </c>
      <c r="J315" s="343">
        <v>0</v>
      </c>
      <c r="K315" s="343">
        <v>0</v>
      </c>
      <c r="L315" s="379">
        <v>0</v>
      </c>
      <c r="M315" s="282">
        <f t="shared" si="132"/>
        <v>0</v>
      </c>
      <c r="N315" s="284">
        <f t="shared" si="133"/>
        <v>0</v>
      </c>
      <c r="O315" s="342">
        <v>0</v>
      </c>
      <c r="P315" s="343">
        <v>0</v>
      </c>
      <c r="Q315" s="343">
        <v>0</v>
      </c>
      <c r="R315" s="343">
        <v>0</v>
      </c>
      <c r="S315" s="343">
        <v>0</v>
      </c>
      <c r="T315" s="343">
        <v>0</v>
      </c>
      <c r="U315" s="343">
        <v>0</v>
      </c>
      <c r="V315" s="343">
        <v>0</v>
      </c>
      <c r="W315" s="343">
        <v>0</v>
      </c>
      <c r="X315" s="343">
        <v>0</v>
      </c>
      <c r="Y315" s="379">
        <v>0</v>
      </c>
      <c r="Z315" s="282">
        <f t="shared" si="134"/>
        <v>0</v>
      </c>
      <c r="AA315" s="284">
        <f t="shared" si="135"/>
        <v>0</v>
      </c>
      <c r="AB315" s="948">
        <f t="array" ref="AB315">IF(AND($AD$281=TRUE,SUM(B315:L315)&gt;0),SUMPRODUCT((((TRANSPOSE(Cls3CentDailyRng)&lt;INDEX(CDRANGE_CLS3,$A315-$A$286+1,AD$282))*TRANSPOSE(Cls3CentDailyRng)+(TRANSPOSE(Cls3CentDailyRng)&gt;INDEX(CDRANGE_CLS3,$A315-$A$286+1,AD$282))*INDEX(CDRANGE_CLS3,$A315-$A$286+1,AD$282))/TRANSPOSE(Cls3CentDailyRng)),B315:L315,TRANSPOSE(Cls3CentVMTShr))/SUMPRODUCT(B315:L315,TRANSPOSE(Cls3CentVMTShr)),0)</f>
        <v>0</v>
      </c>
      <c r="AC315" s="949">
        <f t="array" ref="AC315">IF(AND($AD$281=TRUE,SUM(O315:Y315)&gt;0),SUMPRODUCT((((TRANSPOSE(Cls3NCentDailyRng)&lt;INDEX(CDRANGE_CLS3,$A315-$A$286+1,AD$282))*TRANSPOSE(Cls3NCentDailyRng)+(TRANSPOSE(Cls3NCentDailyRng)&gt;INDEX(CDRANGE_CLS3,$A315-$A$286+1,AD$282))*INDEX(CDRANGE_CLS3,$A315-$A$286+1,AD$282))/TRANSPOSE(Cls3NCentDailyRng)),O315:Y315,TRANSPOSE(Cls3NCentVMTShr))/SUMPRODUCT(O315:Y315,TRANSPOSE(Cls3NCentVMTShr)),0)</f>
        <v>0</v>
      </c>
      <c r="AD315" s="1226">
        <f t="shared" si="142"/>
        <v>0</v>
      </c>
      <c r="AE315" s="1230">
        <f t="shared" si="139"/>
        <v>0</v>
      </c>
      <c r="AF315" s="1231">
        <f t="shared" si="140"/>
        <v>0</v>
      </c>
      <c r="AG315" s="1231">
        <f t="shared" si="141"/>
        <v>0</v>
      </c>
      <c r="AH315" s="1172">
        <f t="shared" si="137"/>
        <v>0</v>
      </c>
      <c r="AI315" s="1232">
        <f t="shared" si="138"/>
        <v>0</v>
      </c>
    </row>
    <row r="316" spans="1:35" x14ac:dyDescent="0.2">
      <c r="A316" s="330">
        <v>2037</v>
      </c>
      <c r="B316" s="344">
        <v>0</v>
      </c>
      <c r="C316" s="345">
        <v>0</v>
      </c>
      <c r="D316" s="345">
        <v>0</v>
      </c>
      <c r="E316" s="345">
        <v>0</v>
      </c>
      <c r="F316" s="345">
        <v>0</v>
      </c>
      <c r="G316" s="345">
        <v>0</v>
      </c>
      <c r="H316" s="345">
        <v>0</v>
      </c>
      <c r="I316" s="345">
        <v>0</v>
      </c>
      <c r="J316" s="345">
        <v>0</v>
      </c>
      <c r="K316" s="345">
        <v>0</v>
      </c>
      <c r="L316" s="380">
        <v>0</v>
      </c>
      <c r="M316" s="296">
        <f t="shared" si="132"/>
        <v>0</v>
      </c>
      <c r="N316" s="298">
        <f t="shared" si="133"/>
        <v>0</v>
      </c>
      <c r="O316" s="344">
        <v>0</v>
      </c>
      <c r="P316" s="345">
        <v>0</v>
      </c>
      <c r="Q316" s="345">
        <v>0</v>
      </c>
      <c r="R316" s="345">
        <v>0</v>
      </c>
      <c r="S316" s="345">
        <v>0</v>
      </c>
      <c r="T316" s="345">
        <v>0</v>
      </c>
      <c r="U316" s="345">
        <v>0</v>
      </c>
      <c r="V316" s="345">
        <v>0</v>
      </c>
      <c r="W316" s="345">
        <v>0</v>
      </c>
      <c r="X316" s="345">
        <v>0</v>
      </c>
      <c r="Y316" s="380">
        <v>0</v>
      </c>
      <c r="Z316" s="296">
        <f t="shared" si="134"/>
        <v>0</v>
      </c>
      <c r="AA316" s="298">
        <f t="shared" si="135"/>
        <v>0</v>
      </c>
      <c r="AB316" s="948">
        <f t="array" ref="AB316">IF(AND($AD$281=TRUE,SUM(B316:L316)&gt;0),SUMPRODUCT((((TRANSPOSE(Cls3CentDailyRng)&lt;INDEX(CDRANGE_CLS3,$A316-$A$286+1,AD$282))*TRANSPOSE(Cls3CentDailyRng)+(TRANSPOSE(Cls3CentDailyRng)&gt;INDEX(CDRANGE_CLS3,$A316-$A$286+1,AD$282))*INDEX(CDRANGE_CLS3,$A316-$A$286+1,AD$282))/TRANSPOSE(Cls3CentDailyRng)),B316:L316,TRANSPOSE(Cls3CentVMTShr))/SUMPRODUCT(B316:L316,TRANSPOSE(Cls3CentVMTShr)),0)</f>
        <v>0</v>
      </c>
      <c r="AC316" s="949">
        <f t="array" ref="AC316">IF(AND($AD$281=TRUE,SUM(O316:Y316)&gt;0),SUMPRODUCT((((TRANSPOSE(Cls3NCentDailyRng)&lt;INDEX(CDRANGE_CLS3,$A316-$A$286+1,AD$282))*TRANSPOSE(Cls3NCentDailyRng)+(TRANSPOSE(Cls3NCentDailyRng)&gt;INDEX(CDRANGE_CLS3,$A316-$A$286+1,AD$282))*INDEX(CDRANGE_CLS3,$A316-$A$286+1,AD$282))/TRANSPOSE(Cls3NCentDailyRng)),O316:Y316,TRANSPOSE(Cls3NCentVMTShr))/SUMPRODUCT(O316:Y316,TRANSPOSE(Cls3NCentVMTShr)),0)</f>
        <v>0</v>
      </c>
      <c r="AD316" s="1226">
        <f t="shared" si="142"/>
        <v>0</v>
      </c>
      <c r="AE316" s="1230">
        <f t="shared" si="139"/>
        <v>0</v>
      </c>
      <c r="AF316" s="1231">
        <f t="shared" si="140"/>
        <v>0</v>
      </c>
      <c r="AG316" s="1231">
        <f t="shared" si="141"/>
        <v>0</v>
      </c>
      <c r="AH316" s="1172">
        <f t="shared" si="137"/>
        <v>0</v>
      </c>
      <c r="AI316" s="1232">
        <f t="shared" si="138"/>
        <v>0</v>
      </c>
    </row>
    <row r="317" spans="1:35" x14ac:dyDescent="0.2">
      <c r="A317" s="330">
        <v>2038</v>
      </c>
      <c r="B317" s="344">
        <v>0</v>
      </c>
      <c r="C317" s="345">
        <v>0</v>
      </c>
      <c r="D317" s="345">
        <v>0</v>
      </c>
      <c r="E317" s="345">
        <v>0</v>
      </c>
      <c r="F317" s="345">
        <v>0</v>
      </c>
      <c r="G317" s="345">
        <v>0</v>
      </c>
      <c r="H317" s="345">
        <v>0</v>
      </c>
      <c r="I317" s="345">
        <v>0</v>
      </c>
      <c r="J317" s="345">
        <v>0</v>
      </c>
      <c r="K317" s="345">
        <v>0</v>
      </c>
      <c r="L317" s="380">
        <v>0</v>
      </c>
      <c r="M317" s="296">
        <f t="shared" si="132"/>
        <v>0</v>
      </c>
      <c r="N317" s="298">
        <f t="shared" si="133"/>
        <v>0</v>
      </c>
      <c r="O317" s="344">
        <v>0</v>
      </c>
      <c r="P317" s="345">
        <v>0</v>
      </c>
      <c r="Q317" s="345">
        <v>0</v>
      </c>
      <c r="R317" s="345">
        <v>0</v>
      </c>
      <c r="S317" s="345">
        <v>0</v>
      </c>
      <c r="T317" s="345">
        <v>0</v>
      </c>
      <c r="U317" s="345">
        <v>0</v>
      </c>
      <c r="V317" s="345">
        <v>0</v>
      </c>
      <c r="W317" s="345">
        <v>0</v>
      </c>
      <c r="X317" s="345">
        <v>0</v>
      </c>
      <c r="Y317" s="380">
        <v>0</v>
      </c>
      <c r="Z317" s="296">
        <f t="shared" si="134"/>
        <v>0</v>
      </c>
      <c r="AA317" s="298">
        <f t="shared" si="135"/>
        <v>0</v>
      </c>
      <c r="AB317" s="948">
        <f t="array" ref="AB317">IF(AND($AD$281=TRUE,SUM(B317:L317)&gt;0),SUMPRODUCT((((TRANSPOSE(Cls3CentDailyRng)&lt;INDEX(CDRANGE_CLS3,$A317-$A$286+1,AD$282))*TRANSPOSE(Cls3CentDailyRng)+(TRANSPOSE(Cls3CentDailyRng)&gt;INDEX(CDRANGE_CLS3,$A317-$A$286+1,AD$282))*INDEX(CDRANGE_CLS3,$A317-$A$286+1,AD$282))/TRANSPOSE(Cls3CentDailyRng)),B317:L317,TRANSPOSE(Cls3CentVMTShr))/SUMPRODUCT(B317:L317,TRANSPOSE(Cls3CentVMTShr)),0)</f>
        <v>0</v>
      </c>
      <c r="AC317" s="949">
        <f t="array" ref="AC317">IF(AND($AD$281=TRUE,SUM(O317:Y317)&gt;0),SUMPRODUCT((((TRANSPOSE(Cls3NCentDailyRng)&lt;INDEX(CDRANGE_CLS3,$A317-$A$286+1,AD$282))*TRANSPOSE(Cls3NCentDailyRng)+(TRANSPOSE(Cls3NCentDailyRng)&gt;INDEX(CDRANGE_CLS3,$A317-$A$286+1,AD$282))*INDEX(CDRANGE_CLS3,$A317-$A$286+1,AD$282))/TRANSPOSE(Cls3NCentDailyRng)),O317:Y317,TRANSPOSE(Cls3NCentVMTShr))/SUMPRODUCT(O317:Y317,TRANSPOSE(Cls3NCentVMTShr)),0)</f>
        <v>0</v>
      </c>
      <c r="AD317" s="1226">
        <f t="shared" si="142"/>
        <v>0</v>
      </c>
      <c r="AE317" s="1230">
        <f t="shared" si="139"/>
        <v>0</v>
      </c>
      <c r="AF317" s="1231">
        <f t="shared" si="140"/>
        <v>0</v>
      </c>
      <c r="AG317" s="1231">
        <f t="shared" si="141"/>
        <v>0</v>
      </c>
      <c r="AH317" s="1172">
        <f t="shared" si="137"/>
        <v>0</v>
      </c>
      <c r="AI317" s="1232">
        <f t="shared" si="138"/>
        <v>0</v>
      </c>
    </row>
    <row r="318" spans="1:35" x14ac:dyDescent="0.2">
      <c r="A318" s="330">
        <v>2039</v>
      </c>
      <c r="B318" s="344">
        <v>0</v>
      </c>
      <c r="C318" s="345">
        <v>0</v>
      </c>
      <c r="D318" s="345">
        <v>0</v>
      </c>
      <c r="E318" s="345">
        <v>0</v>
      </c>
      <c r="F318" s="345">
        <v>0</v>
      </c>
      <c r="G318" s="345">
        <v>0</v>
      </c>
      <c r="H318" s="345">
        <v>0</v>
      </c>
      <c r="I318" s="345">
        <v>0</v>
      </c>
      <c r="J318" s="345">
        <v>0</v>
      </c>
      <c r="K318" s="345">
        <v>0</v>
      </c>
      <c r="L318" s="380">
        <v>0</v>
      </c>
      <c r="M318" s="296">
        <f t="shared" si="132"/>
        <v>0</v>
      </c>
      <c r="N318" s="298">
        <f t="shared" si="133"/>
        <v>0</v>
      </c>
      <c r="O318" s="344">
        <v>0</v>
      </c>
      <c r="P318" s="345">
        <v>0</v>
      </c>
      <c r="Q318" s="345">
        <v>0</v>
      </c>
      <c r="R318" s="345">
        <v>6.5734757934276177E-4</v>
      </c>
      <c r="S318" s="345">
        <v>0</v>
      </c>
      <c r="T318" s="345">
        <v>0</v>
      </c>
      <c r="U318" s="345">
        <v>0</v>
      </c>
      <c r="V318" s="345">
        <v>0</v>
      </c>
      <c r="W318" s="345">
        <v>0</v>
      </c>
      <c r="X318" s="345">
        <v>0</v>
      </c>
      <c r="Y318" s="380">
        <v>0</v>
      </c>
      <c r="Z318" s="296">
        <f t="shared" si="134"/>
        <v>3.9337583179959625E-5</v>
      </c>
      <c r="AA318" s="298">
        <f t="shared" si="135"/>
        <v>1.4974047266104719E-5</v>
      </c>
      <c r="AB318" s="948">
        <f t="array" ref="AB318">IF(AND($AD$281=TRUE,SUM(B318:L318)&gt;0),SUMPRODUCT((((TRANSPOSE(Cls3CentDailyRng)&lt;INDEX(CDRANGE_CLS3,$A318-$A$286+1,AD$282))*TRANSPOSE(Cls3CentDailyRng)+(TRANSPOSE(Cls3CentDailyRng)&gt;INDEX(CDRANGE_CLS3,$A318-$A$286+1,AD$282))*INDEX(CDRANGE_CLS3,$A318-$A$286+1,AD$282))/TRANSPOSE(Cls3CentDailyRng)),B318:L318,TRANSPOSE(Cls3CentVMTShr))/SUMPRODUCT(B318:L318,TRANSPOSE(Cls3CentVMTShr)),0)</f>
        <v>0</v>
      </c>
      <c r="AC318" s="949">
        <f t="array" ref="AC318">IF(AND($AD$281=TRUE,SUM(O318:Y318)&gt;0),SUMPRODUCT((((TRANSPOSE(Cls3NCentDailyRng)&lt;INDEX(CDRANGE_CLS3,$A318-$A$286+1,AD$282))*TRANSPOSE(Cls3NCentDailyRng)+(TRANSPOSE(Cls3NCentDailyRng)&gt;INDEX(CDRANGE_CLS3,$A318-$A$286+1,AD$282))*INDEX(CDRANGE_CLS3,$A318-$A$286+1,AD$282))/TRANSPOSE(Cls3NCentDailyRng)),O318:Y318,TRANSPOSE(Cls3NCentVMTShr))/SUMPRODUCT(O318:Y318,TRANSPOSE(Cls3NCentVMTShr)),0)</f>
        <v>0</v>
      </c>
      <c r="AD318" s="1226">
        <f t="shared" si="142"/>
        <v>0</v>
      </c>
      <c r="AE318" s="1230">
        <f t="shared" si="139"/>
        <v>0</v>
      </c>
      <c r="AF318" s="1231">
        <f t="shared" si="140"/>
        <v>3.9337583179959625E-5</v>
      </c>
      <c r="AG318" s="1231">
        <f t="shared" si="141"/>
        <v>3.9337583179959625E-5</v>
      </c>
      <c r="AH318" s="1172">
        <f t="shared" si="137"/>
        <v>0</v>
      </c>
      <c r="AI318" s="1232">
        <f t="shared" si="138"/>
        <v>1</v>
      </c>
    </row>
    <row r="319" spans="1:35" ht="15" thickBot="1" x14ac:dyDescent="0.25">
      <c r="A319" s="328">
        <v>2040</v>
      </c>
      <c r="B319" s="346">
        <v>0</v>
      </c>
      <c r="C319" s="347">
        <v>0</v>
      </c>
      <c r="D319" s="347">
        <v>0</v>
      </c>
      <c r="E319" s="347">
        <v>1.81182133917058E-4</v>
      </c>
      <c r="F319" s="347">
        <v>0</v>
      </c>
      <c r="G319" s="347">
        <v>0</v>
      </c>
      <c r="H319" s="347">
        <v>0</v>
      </c>
      <c r="I319" s="347">
        <v>0</v>
      </c>
      <c r="J319" s="347">
        <v>0</v>
      </c>
      <c r="K319" s="347">
        <v>0</v>
      </c>
      <c r="L319" s="381">
        <v>0</v>
      </c>
      <c r="M319" s="310">
        <f t="shared" si="132"/>
        <v>8.2177435644852908E-6</v>
      </c>
      <c r="N319" s="312">
        <f t="shared" si="133"/>
        <v>3.1694616640582803E-6</v>
      </c>
      <c r="O319" s="346">
        <v>0</v>
      </c>
      <c r="P319" s="347">
        <v>0</v>
      </c>
      <c r="Q319" s="347">
        <v>0</v>
      </c>
      <c r="R319" s="347">
        <v>4.8782057818375427E-3</v>
      </c>
      <c r="S319" s="347">
        <v>0</v>
      </c>
      <c r="T319" s="347">
        <v>0</v>
      </c>
      <c r="U319" s="347">
        <v>0</v>
      </c>
      <c r="V319" s="347">
        <v>0</v>
      </c>
      <c r="W319" s="347">
        <v>0</v>
      </c>
      <c r="X319" s="347">
        <v>0</v>
      </c>
      <c r="Y319" s="381">
        <v>0</v>
      </c>
      <c r="Z319" s="310">
        <f t="shared" si="134"/>
        <v>2.9192596389243452E-4</v>
      </c>
      <c r="AA319" s="312">
        <f t="shared" si="135"/>
        <v>1.1112307437726479E-4</v>
      </c>
      <c r="AB319" s="948">
        <f t="array" ref="AB319">IF(AND($AD$281=TRUE,SUM(B319:L319)&gt;0),SUMPRODUCT((((TRANSPOSE(Cls3CentDailyRng)&lt;INDEX(CDRANGE_CLS3,$A319-$A$286+1,AD$282))*TRANSPOSE(Cls3CentDailyRng)+(TRANSPOSE(Cls3CentDailyRng)&gt;INDEX(CDRANGE_CLS3,$A319-$A$286+1,AD$282))*INDEX(CDRANGE_CLS3,$A319-$A$286+1,AD$282))/TRANSPOSE(Cls3CentDailyRng)),B319:L319,TRANSPOSE(Cls3CentVMTShr))/SUMPRODUCT(B319:L319,TRANSPOSE(Cls3CentVMTShr)),0)</f>
        <v>0</v>
      </c>
      <c r="AC319" s="949">
        <f t="array" ref="AC319">IF(AND($AD$281=TRUE,SUM(O319:Y319)&gt;0),SUMPRODUCT((((TRANSPOSE(Cls3NCentDailyRng)&lt;INDEX(CDRANGE_CLS3,$A319-$A$286+1,AD$282))*TRANSPOSE(Cls3NCentDailyRng)+(TRANSPOSE(Cls3NCentDailyRng)&gt;INDEX(CDRANGE_CLS3,$A319-$A$286+1,AD$282))*INDEX(CDRANGE_CLS3,$A319-$A$286+1,AD$282))/TRANSPOSE(Cls3NCentDailyRng)),O319:Y319,TRANSPOSE(Cls3NCentVMTShr))/SUMPRODUCT(O319:Y319,TRANSPOSE(Cls3NCentVMTShr)),0)</f>
        <v>0</v>
      </c>
      <c r="AD319" s="1226">
        <f t="shared" si="142"/>
        <v>0</v>
      </c>
      <c r="AE319" s="1230">
        <f t="shared" si="139"/>
        <v>8.2177435644852908E-6</v>
      </c>
      <c r="AF319" s="1231">
        <f t="shared" si="140"/>
        <v>2.9192596389243452E-4</v>
      </c>
      <c r="AG319" s="1231">
        <f t="shared" si="141"/>
        <v>3.0014370745691982E-4</v>
      </c>
      <c r="AH319" s="1172">
        <f t="shared" si="137"/>
        <v>2.7379363152781735E-2</v>
      </c>
      <c r="AI319" s="1232">
        <f t="shared" si="138"/>
        <v>0.97262063684721822</v>
      </c>
    </row>
    <row r="320" spans="1:35" x14ac:dyDescent="0.2">
      <c r="A320" s="329">
        <v>2041</v>
      </c>
      <c r="B320" s="342">
        <v>0</v>
      </c>
      <c r="C320" s="343">
        <v>0</v>
      </c>
      <c r="D320" s="343">
        <v>0</v>
      </c>
      <c r="E320" s="343">
        <v>5.9840988193148271E-3</v>
      </c>
      <c r="F320" s="343">
        <v>0</v>
      </c>
      <c r="G320" s="343">
        <v>0</v>
      </c>
      <c r="H320" s="343">
        <v>0</v>
      </c>
      <c r="I320" s="343">
        <v>0</v>
      </c>
      <c r="J320" s="343">
        <v>0</v>
      </c>
      <c r="K320" s="343">
        <v>0</v>
      </c>
      <c r="L320" s="379">
        <v>0</v>
      </c>
      <c r="M320" s="282">
        <f t="shared" si="132"/>
        <v>2.7141632841227195E-4</v>
      </c>
      <c r="N320" s="284">
        <f t="shared" si="133"/>
        <v>1.0468124749230095E-4</v>
      </c>
      <c r="O320" s="342">
        <v>0</v>
      </c>
      <c r="P320" s="343">
        <v>0</v>
      </c>
      <c r="Q320" s="343">
        <v>9.4202413130473625E-4</v>
      </c>
      <c r="R320" s="343">
        <v>2.4076374569376804E-2</v>
      </c>
      <c r="S320" s="343">
        <v>0</v>
      </c>
      <c r="T320" s="343">
        <v>0</v>
      </c>
      <c r="U320" s="343">
        <v>0</v>
      </c>
      <c r="V320" s="343">
        <v>0</v>
      </c>
      <c r="W320" s="343">
        <v>0</v>
      </c>
      <c r="X320" s="343">
        <v>0</v>
      </c>
      <c r="Y320" s="379">
        <v>0</v>
      </c>
      <c r="Z320" s="282">
        <f t="shared" si="134"/>
        <v>1.5197756272703098E-3</v>
      </c>
      <c r="AA320" s="284">
        <f t="shared" si="135"/>
        <v>5.9231977026597221E-4</v>
      </c>
      <c r="AB320" s="948">
        <f t="array" ref="AB320">IF(AND($AD$281=TRUE,SUM(B320:L320)&gt;0),SUMPRODUCT((((TRANSPOSE(Cls3CentDailyRng)&lt;INDEX(CDRANGE_CLS3,$A320-$A$286+1,AD$282))*TRANSPOSE(Cls3CentDailyRng)+(TRANSPOSE(Cls3CentDailyRng)&gt;INDEX(CDRANGE_CLS3,$A320-$A$286+1,AD$282))*INDEX(CDRANGE_CLS3,$A320-$A$286+1,AD$282))/TRANSPOSE(Cls3CentDailyRng)),B320:L320,TRANSPOSE(Cls3CentVMTShr))/SUMPRODUCT(B320:L320,TRANSPOSE(Cls3CentVMTShr)),0)</f>
        <v>0</v>
      </c>
      <c r="AC320" s="949">
        <f t="array" ref="AC320">IF(AND($AD$281=TRUE,SUM(O320:Y320)&gt;0),SUMPRODUCT((((TRANSPOSE(Cls3NCentDailyRng)&lt;INDEX(CDRANGE_CLS3,$A320-$A$286+1,AD$282))*TRANSPOSE(Cls3NCentDailyRng)+(TRANSPOSE(Cls3NCentDailyRng)&gt;INDEX(CDRANGE_CLS3,$A320-$A$286+1,AD$282))*INDEX(CDRANGE_CLS3,$A320-$A$286+1,AD$282))/TRANSPOSE(Cls3NCentDailyRng)),O320:Y320,TRANSPOSE(Cls3NCentVMTShr))/SUMPRODUCT(O320:Y320,TRANSPOSE(Cls3NCentVMTShr)),0)</f>
        <v>0</v>
      </c>
      <c r="AD320" s="1226">
        <f t="shared" si="142"/>
        <v>0</v>
      </c>
      <c r="AE320" s="1230">
        <f t="shared" si="139"/>
        <v>2.7141632841227195E-4</v>
      </c>
      <c r="AF320" s="1231">
        <f t="shared" si="140"/>
        <v>1.5197756272703098E-3</v>
      </c>
      <c r="AG320" s="1231">
        <f t="shared" si="141"/>
        <v>1.7911919556825818E-3</v>
      </c>
      <c r="AH320" s="1172">
        <f t="shared" si="137"/>
        <v>0.15152833148407116</v>
      </c>
      <c r="AI320" s="1232">
        <f t="shared" si="138"/>
        <v>0.84847166851592881</v>
      </c>
    </row>
    <row r="321" spans="1:35" x14ac:dyDescent="0.2">
      <c r="A321" s="330">
        <v>2042</v>
      </c>
      <c r="B321" s="344">
        <v>0</v>
      </c>
      <c r="C321" s="345">
        <v>0</v>
      </c>
      <c r="D321" s="345">
        <v>2.5495440158747528E-3</v>
      </c>
      <c r="E321" s="345">
        <v>4.1827175625855972E-2</v>
      </c>
      <c r="F321" s="345">
        <v>0</v>
      </c>
      <c r="G321" s="345">
        <v>0</v>
      </c>
      <c r="H321" s="345">
        <v>0</v>
      </c>
      <c r="I321" s="345">
        <v>0</v>
      </c>
      <c r="J321" s="345">
        <v>0</v>
      </c>
      <c r="K321" s="345">
        <v>0</v>
      </c>
      <c r="L321" s="380">
        <v>0</v>
      </c>
      <c r="M321" s="296">
        <f t="shared" si="132"/>
        <v>2.1241052135976954E-3</v>
      </c>
      <c r="N321" s="298">
        <f t="shared" si="133"/>
        <v>8.6131846381835267E-4</v>
      </c>
      <c r="O321" s="344">
        <v>0</v>
      </c>
      <c r="P321" s="345">
        <v>0</v>
      </c>
      <c r="Q321" s="345">
        <v>1.2632498220589983E-2</v>
      </c>
      <c r="R321" s="345">
        <v>6.6362436348890358E-2</v>
      </c>
      <c r="S321" s="345">
        <v>0</v>
      </c>
      <c r="T321" s="345">
        <v>0</v>
      </c>
      <c r="U321" s="345">
        <v>0</v>
      </c>
      <c r="V321" s="345">
        <v>0</v>
      </c>
      <c r="W321" s="345">
        <v>0</v>
      </c>
      <c r="X321" s="345">
        <v>0</v>
      </c>
      <c r="Y321" s="380">
        <v>0</v>
      </c>
      <c r="Z321" s="296">
        <f t="shared" si="134"/>
        <v>5.0303798720720567E-3</v>
      </c>
      <c r="AA321" s="298">
        <f t="shared" si="135"/>
        <v>2.1000252167721707E-3</v>
      </c>
      <c r="AB321" s="948">
        <f t="array" ref="AB321">IF(AND($AD$281=TRUE,SUM(B321:L321)&gt;0),SUMPRODUCT((((TRANSPOSE(Cls3CentDailyRng)&lt;INDEX(CDRANGE_CLS3,$A321-$A$286+1,AD$282))*TRANSPOSE(Cls3CentDailyRng)+(TRANSPOSE(Cls3CentDailyRng)&gt;INDEX(CDRANGE_CLS3,$A321-$A$286+1,AD$282))*INDEX(CDRANGE_CLS3,$A321-$A$286+1,AD$282))/TRANSPOSE(Cls3CentDailyRng)),B321:L321,TRANSPOSE(Cls3CentVMTShr))/SUMPRODUCT(B321:L321,TRANSPOSE(Cls3CentVMTShr)),0)</f>
        <v>0</v>
      </c>
      <c r="AC321" s="949">
        <f t="array" ref="AC321">IF(AND($AD$281=TRUE,SUM(O321:Y321)&gt;0),SUMPRODUCT((((TRANSPOSE(Cls3NCentDailyRng)&lt;INDEX(CDRANGE_CLS3,$A321-$A$286+1,AD$282))*TRANSPOSE(Cls3NCentDailyRng)+(TRANSPOSE(Cls3NCentDailyRng)&gt;INDEX(CDRANGE_CLS3,$A321-$A$286+1,AD$282))*INDEX(CDRANGE_CLS3,$A321-$A$286+1,AD$282))/TRANSPOSE(Cls3NCentDailyRng)),O321:Y321,TRANSPOSE(Cls3NCentVMTShr))/SUMPRODUCT(O321:Y321,TRANSPOSE(Cls3NCentVMTShr)),0)</f>
        <v>0</v>
      </c>
      <c r="AD321" s="1226">
        <f t="shared" si="142"/>
        <v>0</v>
      </c>
      <c r="AE321" s="1230">
        <f t="shared" si="139"/>
        <v>2.1241052135976954E-3</v>
      </c>
      <c r="AF321" s="1231">
        <f t="shared" si="140"/>
        <v>5.0303798720720567E-3</v>
      </c>
      <c r="AG321" s="1231">
        <f t="shared" si="141"/>
        <v>7.154485085669752E-3</v>
      </c>
      <c r="AH321" s="1172">
        <f t="shared" si="137"/>
        <v>0.29689141680541387</v>
      </c>
      <c r="AI321" s="1232">
        <f t="shared" si="138"/>
        <v>0.70310858319458613</v>
      </c>
    </row>
    <row r="322" spans="1:35" x14ac:dyDescent="0.2">
      <c r="A322" s="330">
        <v>2043</v>
      </c>
      <c r="B322" s="344">
        <v>0</v>
      </c>
      <c r="C322" s="345">
        <v>0</v>
      </c>
      <c r="D322" s="345">
        <v>2.0748397342673974E-2</v>
      </c>
      <c r="E322" s="345">
        <v>8.3495061811139609E-2</v>
      </c>
      <c r="F322" s="345">
        <v>0</v>
      </c>
      <c r="G322" s="345">
        <v>0</v>
      </c>
      <c r="H322" s="345">
        <v>0</v>
      </c>
      <c r="I322" s="345">
        <v>0</v>
      </c>
      <c r="J322" s="345">
        <v>0</v>
      </c>
      <c r="K322" s="345">
        <v>0</v>
      </c>
      <c r="L322" s="380">
        <v>0</v>
      </c>
      <c r="M322" s="296">
        <f t="shared" si="132"/>
        <v>5.6342139016708429E-3</v>
      </c>
      <c r="N322" s="298">
        <f t="shared" si="133"/>
        <v>2.5155044722079628E-3</v>
      </c>
      <c r="O322" s="344">
        <v>0</v>
      </c>
      <c r="P322" s="345">
        <v>4.9104719921376873E-4</v>
      </c>
      <c r="Q322" s="345">
        <v>4.5365935334874347E-2</v>
      </c>
      <c r="R322" s="345">
        <v>0.10517491633883967</v>
      </c>
      <c r="S322" s="345">
        <v>0</v>
      </c>
      <c r="T322" s="345">
        <v>0</v>
      </c>
      <c r="U322" s="345">
        <v>0</v>
      </c>
      <c r="V322" s="345">
        <v>0</v>
      </c>
      <c r="W322" s="345">
        <v>0</v>
      </c>
      <c r="X322" s="345">
        <v>0</v>
      </c>
      <c r="Y322" s="380">
        <v>0</v>
      </c>
      <c r="Z322" s="296">
        <f t="shared" si="134"/>
        <v>1.0229794934898787E-2</v>
      </c>
      <c r="AA322" s="298">
        <f t="shared" si="135"/>
        <v>4.6343791316065149E-3</v>
      </c>
      <c r="AB322" s="948">
        <f t="array" ref="AB322">IF(AND($AD$281=TRUE,SUM(B322:L322)&gt;0),SUMPRODUCT((((TRANSPOSE(Cls3CentDailyRng)&lt;INDEX(CDRANGE_CLS3,$A322-$A$286+1,AD$282))*TRANSPOSE(Cls3CentDailyRng)+(TRANSPOSE(Cls3CentDailyRng)&gt;INDEX(CDRANGE_CLS3,$A322-$A$286+1,AD$282))*INDEX(CDRANGE_CLS3,$A322-$A$286+1,AD$282))/TRANSPOSE(Cls3CentDailyRng)),B322:L322,TRANSPOSE(Cls3CentVMTShr))/SUMPRODUCT(B322:L322,TRANSPOSE(Cls3CentVMTShr)),0)</f>
        <v>0</v>
      </c>
      <c r="AC322" s="949">
        <f t="array" ref="AC322">IF(AND($AD$281=TRUE,SUM(O322:Y322)&gt;0),SUMPRODUCT((((TRANSPOSE(Cls3NCentDailyRng)&lt;INDEX(CDRANGE_CLS3,$A322-$A$286+1,AD$282))*TRANSPOSE(Cls3NCentDailyRng)+(TRANSPOSE(Cls3NCentDailyRng)&gt;INDEX(CDRANGE_CLS3,$A322-$A$286+1,AD$282))*INDEX(CDRANGE_CLS3,$A322-$A$286+1,AD$282))/TRANSPOSE(Cls3NCentDailyRng)),O322:Y322,TRANSPOSE(Cls3NCentVMTShr))/SUMPRODUCT(O322:Y322,TRANSPOSE(Cls3NCentVMTShr)),0)</f>
        <v>0</v>
      </c>
      <c r="AD322" s="1226">
        <f t="shared" si="142"/>
        <v>0</v>
      </c>
      <c r="AE322" s="1230">
        <f t="shared" si="139"/>
        <v>5.6342139016708429E-3</v>
      </c>
      <c r="AF322" s="1231">
        <f t="shared" si="140"/>
        <v>1.0229794934898787E-2</v>
      </c>
      <c r="AG322" s="1231">
        <f t="shared" si="141"/>
        <v>1.5864008836569632E-2</v>
      </c>
      <c r="AH322" s="1172">
        <f t="shared" si="137"/>
        <v>0.35515700726810501</v>
      </c>
      <c r="AI322" s="1232">
        <f t="shared" si="138"/>
        <v>0.64484299273189483</v>
      </c>
    </row>
    <row r="323" spans="1:35" x14ac:dyDescent="0.2">
      <c r="A323" s="330">
        <v>2044</v>
      </c>
      <c r="B323" s="344">
        <v>0</v>
      </c>
      <c r="C323" s="345">
        <v>2.284312924355064E-3</v>
      </c>
      <c r="D323" s="345">
        <v>5.5494106424453814E-2</v>
      </c>
      <c r="E323" s="345">
        <v>0.11904665772961191</v>
      </c>
      <c r="F323" s="345">
        <v>0</v>
      </c>
      <c r="G323" s="345">
        <v>0</v>
      </c>
      <c r="H323" s="345">
        <v>0</v>
      </c>
      <c r="I323" s="345">
        <v>0</v>
      </c>
      <c r="J323" s="345">
        <v>0</v>
      </c>
      <c r="K323" s="345">
        <v>0</v>
      </c>
      <c r="L323" s="380">
        <v>0</v>
      </c>
      <c r="M323" s="296">
        <f t="shared" si="132"/>
        <v>1.0683884841767483E-2</v>
      </c>
      <c r="N323" s="298">
        <f t="shared" si="133"/>
        <v>5.2272159803085361E-3</v>
      </c>
      <c r="O323" s="344">
        <v>0</v>
      </c>
      <c r="P323" s="345">
        <v>6.0747364915153847E-3</v>
      </c>
      <c r="Q323" s="345">
        <v>7.9090148777976696E-2</v>
      </c>
      <c r="R323" s="345">
        <v>0.13674119545364169</v>
      </c>
      <c r="S323" s="345">
        <v>0</v>
      </c>
      <c r="T323" s="345">
        <v>0</v>
      </c>
      <c r="U323" s="345">
        <v>0</v>
      </c>
      <c r="V323" s="345">
        <v>0</v>
      </c>
      <c r="W323" s="345">
        <v>0</v>
      </c>
      <c r="X323" s="345">
        <v>0</v>
      </c>
      <c r="Y323" s="380">
        <v>0</v>
      </c>
      <c r="Z323" s="296">
        <f t="shared" si="134"/>
        <v>1.6453001157291917E-2</v>
      </c>
      <c r="AA323" s="298">
        <f t="shared" si="135"/>
        <v>8.354059391035203E-3</v>
      </c>
      <c r="AB323" s="948">
        <f t="array" ref="AB323">IF(AND($AD$281=TRUE,SUM(B323:L323)&gt;0),SUMPRODUCT((((TRANSPOSE(Cls3CentDailyRng)&lt;INDEX(CDRANGE_CLS3,$A323-$A$286+1,AD$282))*TRANSPOSE(Cls3CentDailyRng)+(TRANSPOSE(Cls3CentDailyRng)&gt;INDEX(CDRANGE_CLS3,$A323-$A$286+1,AD$282))*INDEX(CDRANGE_CLS3,$A323-$A$286+1,AD$282))/TRANSPOSE(Cls3CentDailyRng)),B323:L323,TRANSPOSE(Cls3CentVMTShr))/SUMPRODUCT(B323:L323,TRANSPOSE(Cls3CentVMTShr)),0)</f>
        <v>0</v>
      </c>
      <c r="AC323" s="949">
        <f t="array" ref="AC323">IF(AND($AD$281=TRUE,SUM(O323:Y323)&gt;0),SUMPRODUCT((((TRANSPOSE(Cls3NCentDailyRng)&lt;INDEX(CDRANGE_CLS3,$A323-$A$286+1,AD$282))*TRANSPOSE(Cls3NCentDailyRng)+(TRANSPOSE(Cls3NCentDailyRng)&gt;INDEX(CDRANGE_CLS3,$A323-$A$286+1,AD$282))*INDEX(CDRANGE_CLS3,$A323-$A$286+1,AD$282))/TRANSPOSE(Cls3NCentDailyRng)),O323:Y323,TRANSPOSE(Cls3NCentVMTShr))/SUMPRODUCT(O323:Y323,TRANSPOSE(Cls3NCentVMTShr)),0)</f>
        <v>0</v>
      </c>
      <c r="AD323" s="1226">
        <f t="shared" si="142"/>
        <v>0</v>
      </c>
      <c r="AE323" s="1230">
        <f t="shared" si="139"/>
        <v>1.0683884841767483E-2</v>
      </c>
      <c r="AF323" s="1231">
        <f t="shared" si="140"/>
        <v>1.6453001157291917E-2</v>
      </c>
      <c r="AG323" s="1231">
        <f t="shared" si="141"/>
        <v>2.7136885999059401E-2</v>
      </c>
      <c r="AH323" s="1172">
        <f t="shared" si="137"/>
        <v>0.39370342058177937</v>
      </c>
      <c r="AI323" s="1232">
        <f t="shared" si="138"/>
        <v>0.60629657941822068</v>
      </c>
    </row>
    <row r="324" spans="1:35" ht="15" thickBot="1" x14ac:dyDescent="0.25">
      <c r="A324" s="328">
        <v>2045</v>
      </c>
      <c r="B324" s="346">
        <v>0</v>
      </c>
      <c r="C324" s="347">
        <v>1.3893544215732771E-2</v>
      </c>
      <c r="D324" s="347">
        <v>9.227400785409981E-2</v>
      </c>
      <c r="E324" s="347">
        <v>0.14809661624570036</v>
      </c>
      <c r="F324" s="347">
        <v>0</v>
      </c>
      <c r="G324" s="347">
        <v>0</v>
      </c>
      <c r="H324" s="347">
        <v>0</v>
      </c>
      <c r="I324" s="347">
        <v>0</v>
      </c>
      <c r="J324" s="347">
        <v>0</v>
      </c>
      <c r="K324" s="347">
        <v>0</v>
      </c>
      <c r="L324" s="381">
        <v>0</v>
      </c>
      <c r="M324" s="310">
        <f t="shared" si="132"/>
        <v>1.7023370823071201E-2</v>
      </c>
      <c r="N324" s="312">
        <f t="shared" si="133"/>
        <v>9.2480974338995554E-3</v>
      </c>
      <c r="O324" s="346">
        <v>0</v>
      </c>
      <c r="P324" s="347">
        <v>2.1777340222261365E-2</v>
      </c>
      <c r="Q324" s="347">
        <v>0.1142398000114257</v>
      </c>
      <c r="R324" s="347">
        <v>0.15854805629226593</v>
      </c>
      <c r="S324" s="347">
        <v>0</v>
      </c>
      <c r="T324" s="347">
        <v>0</v>
      </c>
      <c r="U324" s="347">
        <v>0</v>
      </c>
      <c r="V324" s="347">
        <v>0</v>
      </c>
      <c r="W324" s="347">
        <v>0</v>
      </c>
      <c r="X324" s="347">
        <v>0</v>
      </c>
      <c r="Y324" s="381">
        <v>0</v>
      </c>
      <c r="Z324" s="310">
        <f t="shared" si="134"/>
        <v>2.4942491291502993E-2</v>
      </c>
      <c r="AA324" s="312">
        <f t="shared" si="135"/>
        <v>1.4509310279967245E-2</v>
      </c>
      <c r="AB324" s="948">
        <f t="array" ref="AB324">IF(AND($AD$281=TRUE,SUM(B324:L324)&gt;0),SUMPRODUCT((((TRANSPOSE(Cls3CentDailyRng)&lt;INDEX(CDRANGE_CLS3,$A324-$A$286+1,AD$282))*TRANSPOSE(Cls3CentDailyRng)+(TRANSPOSE(Cls3CentDailyRng)&gt;INDEX(CDRANGE_CLS3,$A324-$A$286+1,AD$282))*INDEX(CDRANGE_CLS3,$A324-$A$286+1,AD$282))/TRANSPOSE(Cls3CentDailyRng)),B324:L324,TRANSPOSE(Cls3CentVMTShr))/SUMPRODUCT(B324:L324,TRANSPOSE(Cls3CentVMTShr)),0)</f>
        <v>0</v>
      </c>
      <c r="AC324" s="949">
        <f t="array" ref="AC324">IF(AND($AD$281=TRUE,SUM(O324:Y324)&gt;0),SUMPRODUCT((((TRANSPOSE(Cls3NCentDailyRng)&lt;INDEX(CDRANGE_CLS3,$A324-$A$286+1,AD$282))*TRANSPOSE(Cls3NCentDailyRng)+(TRANSPOSE(Cls3NCentDailyRng)&gt;INDEX(CDRANGE_CLS3,$A324-$A$286+1,AD$282))*INDEX(CDRANGE_CLS3,$A324-$A$286+1,AD$282))/TRANSPOSE(Cls3NCentDailyRng)),O324:Y324,TRANSPOSE(Cls3NCentVMTShr))/SUMPRODUCT(O324:Y324,TRANSPOSE(Cls3NCentVMTShr)),0)</f>
        <v>0</v>
      </c>
      <c r="AD324" s="1226">
        <f t="shared" si="142"/>
        <v>0</v>
      </c>
      <c r="AE324" s="1230">
        <f t="shared" si="139"/>
        <v>1.7023370823071201E-2</v>
      </c>
      <c r="AF324" s="1231">
        <f t="shared" si="140"/>
        <v>2.4942491291502993E-2</v>
      </c>
      <c r="AG324" s="1231">
        <f t="shared" si="141"/>
        <v>4.196586211457419E-2</v>
      </c>
      <c r="AH324" s="1172">
        <f t="shared" si="137"/>
        <v>0.40564806643538986</v>
      </c>
      <c r="AI324" s="1232">
        <f t="shared" si="138"/>
        <v>0.59435193356461025</v>
      </c>
    </row>
    <row r="325" spans="1:35" x14ac:dyDescent="0.2">
      <c r="A325" s="329">
        <v>2046</v>
      </c>
      <c r="B325" s="342">
        <v>0</v>
      </c>
      <c r="C325" s="343">
        <v>2.7497479467775299E-2</v>
      </c>
      <c r="D325" s="343">
        <v>0.11032297136914428</v>
      </c>
      <c r="E325" s="343">
        <v>0.15931528515516583</v>
      </c>
      <c r="F325" s="343">
        <v>0</v>
      </c>
      <c r="G325" s="343">
        <v>0</v>
      </c>
      <c r="H325" s="343">
        <v>0</v>
      </c>
      <c r="I325" s="343">
        <v>0</v>
      </c>
      <c r="J325" s="343">
        <v>0</v>
      </c>
      <c r="K325" s="343">
        <v>0</v>
      </c>
      <c r="L325" s="379">
        <v>0</v>
      </c>
      <c r="M325" s="282">
        <f t="shared" si="132"/>
        <v>2.1186763144776428E-2</v>
      </c>
      <c r="N325" s="284">
        <f t="shared" si="133"/>
        <v>1.2286971039759257E-2</v>
      </c>
      <c r="O325" s="342">
        <v>0</v>
      </c>
      <c r="P325" s="343">
        <v>3.6272396243786795E-2</v>
      </c>
      <c r="Q325" s="343">
        <v>0.12584978664436069</v>
      </c>
      <c r="R325" s="343">
        <v>0.16244224957656125</v>
      </c>
      <c r="S325" s="343">
        <v>0</v>
      </c>
      <c r="T325" s="343">
        <v>0</v>
      </c>
      <c r="U325" s="343">
        <v>0</v>
      </c>
      <c r="V325" s="343">
        <v>0</v>
      </c>
      <c r="W325" s="343">
        <v>0</v>
      </c>
      <c r="X325" s="343">
        <v>0</v>
      </c>
      <c r="Y325" s="379">
        <v>0</v>
      </c>
      <c r="Z325" s="282">
        <f t="shared" si="134"/>
        <v>3.0060678270854083E-2</v>
      </c>
      <c r="AA325" s="284">
        <f t="shared" si="135"/>
        <v>1.8850968986626145E-2</v>
      </c>
      <c r="AB325" s="948">
        <f t="array" ref="AB325">IF(AND($AD$281=TRUE,SUM(B325:L325)&gt;0),SUMPRODUCT((((TRANSPOSE(Cls3CentDailyRng)&lt;INDEX(CDRANGE_CLS3,$A325-$A$286+1,AD$282))*TRANSPOSE(Cls3CentDailyRng)+(TRANSPOSE(Cls3CentDailyRng)&gt;INDEX(CDRANGE_CLS3,$A325-$A$286+1,AD$282))*INDEX(CDRANGE_CLS3,$A325-$A$286+1,AD$282))/TRANSPOSE(Cls3CentDailyRng)),B325:L325,TRANSPOSE(Cls3CentVMTShr))/SUMPRODUCT(B325:L325,TRANSPOSE(Cls3CentVMTShr)),0)</f>
        <v>0</v>
      </c>
      <c r="AC325" s="949">
        <f t="array" ref="AC325">IF(AND($AD$281=TRUE,SUM(O325:Y325)&gt;0),SUMPRODUCT((((TRANSPOSE(Cls3NCentDailyRng)&lt;INDEX(CDRANGE_CLS3,$A325-$A$286+1,AD$282))*TRANSPOSE(Cls3NCentDailyRng)+(TRANSPOSE(Cls3NCentDailyRng)&gt;INDEX(CDRANGE_CLS3,$A325-$A$286+1,AD$282))*INDEX(CDRANGE_CLS3,$A325-$A$286+1,AD$282))/TRANSPOSE(Cls3NCentDailyRng)),O325:Y325,TRANSPOSE(Cls3NCentVMTShr))/SUMPRODUCT(O325:Y325,TRANSPOSE(Cls3NCentVMTShr)),0)</f>
        <v>0</v>
      </c>
      <c r="AD325" s="1226">
        <f t="shared" si="142"/>
        <v>0</v>
      </c>
      <c r="AE325" s="1230">
        <f t="shared" si="139"/>
        <v>2.1186763144776428E-2</v>
      </c>
      <c r="AF325" s="1231">
        <f t="shared" si="140"/>
        <v>3.0060678270854083E-2</v>
      </c>
      <c r="AG325" s="1231">
        <f t="shared" si="141"/>
        <v>5.1247441415630507E-2</v>
      </c>
      <c r="AH325" s="1172">
        <f t="shared" si="137"/>
        <v>0.41342089594183035</v>
      </c>
      <c r="AI325" s="1232">
        <f t="shared" si="138"/>
        <v>0.58657910405816971</v>
      </c>
    </row>
    <row r="326" spans="1:35" x14ac:dyDescent="0.2">
      <c r="A326" s="330">
        <v>2047</v>
      </c>
      <c r="B326" s="344">
        <v>0</v>
      </c>
      <c r="C326" s="345">
        <v>4.06296477517517E-2</v>
      </c>
      <c r="D326" s="345">
        <v>0.12057515570653411</v>
      </c>
      <c r="E326" s="345">
        <v>0.16429327560638241</v>
      </c>
      <c r="F326" s="345">
        <v>0</v>
      </c>
      <c r="G326" s="345">
        <v>0</v>
      </c>
      <c r="H326" s="345">
        <v>0</v>
      </c>
      <c r="I326" s="345">
        <v>0</v>
      </c>
      <c r="J326" s="345">
        <v>0</v>
      </c>
      <c r="K326" s="345">
        <v>0</v>
      </c>
      <c r="L326" s="380">
        <v>0</v>
      </c>
      <c r="M326" s="296">
        <f t="shared" si="132"/>
        <v>2.4301957948520532E-2</v>
      </c>
      <c r="N326" s="298">
        <f t="shared" si="133"/>
        <v>1.4753509975415739E-2</v>
      </c>
      <c r="O326" s="344">
        <v>0</v>
      </c>
      <c r="P326" s="345">
        <v>5.0718442612594491E-2</v>
      </c>
      <c r="Q326" s="345">
        <v>0.13693216016264775</v>
      </c>
      <c r="R326" s="345">
        <v>0.16843599109944898</v>
      </c>
      <c r="S326" s="345">
        <v>0</v>
      </c>
      <c r="T326" s="345">
        <v>0</v>
      </c>
      <c r="U326" s="345">
        <v>0</v>
      </c>
      <c r="V326" s="345">
        <v>0</v>
      </c>
      <c r="W326" s="345">
        <v>0</v>
      </c>
      <c r="X326" s="345">
        <v>0</v>
      </c>
      <c r="Y326" s="380">
        <v>0</v>
      </c>
      <c r="Z326" s="296">
        <f t="shared" si="134"/>
        <v>3.5247048931679542E-2</v>
      </c>
      <c r="AA326" s="298">
        <f t="shared" si="135"/>
        <v>2.3203330689122288E-2</v>
      </c>
      <c r="AB326" s="948">
        <f t="array" ref="AB326">IF(AND($AD$281=TRUE,SUM(B326:L326)&gt;0),SUMPRODUCT((((TRANSPOSE(Cls3CentDailyRng)&lt;INDEX(CDRANGE_CLS3,$A326-$A$286+1,AD$282))*TRANSPOSE(Cls3CentDailyRng)+(TRANSPOSE(Cls3CentDailyRng)&gt;INDEX(CDRANGE_CLS3,$A326-$A$286+1,AD$282))*INDEX(CDRANGE_CLS3,$A326-$A$286+1,AD$282))/TRANSPOSE(Cls3CentDailyRng)),B326:L326,TRANSPOSE(Cls3CentVMTShr))/SUMPRODUCT(B326:L326,TRANSPOSE(Cls3CentVMTShr)),0)</f>
        <v>0</v>
      </c>
      <c r="AC326" s="949">
        <f t="array" ref="AC326">IF(AND($AD$281=TRUE,SUM(O326:Y326)&gt;0),SUMPRODUCT((((TRANSPOSE(Cls3NCentDailyRng)&lt;INDEX(CDRANGE_CLS3,$A326-$A$286+1,AD$282))*TRANSPOSE(Cls3NCentDailyRng)+(TRANSPOSE(Cls3NCentDailyRng)&gt;INDEX(CDRANGE_CLS3,$A326-$A$286+1,AD$282))*INDEX(CDRANGE_CLS3,$A326-$A$286+1,AD$282))/TRANSPOSE(Cls3NCentDailyRng)),O326:Y326,TRANSPOSE(Cls3NCentVMTShr))/SUMPRODUCT(O326:Y326,TRANSPOSE(Cls3NCentVMTShr)),0)</f>
        <v>0</v>
      </c>
      <c r="AD326" s="1226">
        <f t="shared" si="142"/>
        <v>0</v>
      </c>
      <c r="AE326" s="1230">
        <f t="shared" si="139"/>
        <v>2.4301957948520532E-2</v>
      </c>
      <c r="AF326" s="1231">
        <f t="shared" si="140"/>
        <v>3.5247048931679542E-2</v>
      </c>
      <c r="AG326" s="1231">
        <f t="shared" si="141"/>
        <v>5.9549006880200074E-2</v>
      </c>
      <c r="AH326" s="1172">
        <f t="shared" si="137"/>
        <v>0.40810013838536213</v>
      </c>
      <c r="AI326" s="1232">
        <f t="shared" si="138"/>
        <v>0.59189986161463781</v>
      </c>
    </row>
    <row r="327" spans="1:35" x14ac:dyDescent="0.2">
      <c r="A327" s="330">
        <v>2048</v>
      </c>
      <c r="B327" s="344">
        <v>0</v>
      </c>
      <c r="C327" s="345">
        <v>4.7243529151999038E-2</v>
      </c>
      <c r="D327" s="345">
        <v>0.13314161503054162</v>
      </c>
      <c r="E327" s="345">
        <v>0.16900053031189666</v>
      </c>
      <c r="F327" s="345">
        <v>0</v>
      </c>
      <c r="G327" s="345">
        <v>0</v>
      </c>
      <c r="H327" s="345">
        <v>0</v>
      </c>
      <c r="I327" s="345">
        <v>0</v>
      </c>
      <c r="J327" s="345">
        <v>0</v>
      </c>
      <c r="K327" s="345">
        <v>0</v>
      </c>
      <c r="L327" s="380">
        <v>0</v>
      </c>
      <c r="M327" s="296">
        <f t="shared" si="132"/>
        <v>2.6629763573018654E-2</v>
      </c>
      <c r="N327" s="298">
        <f t="shared" si="133"/>
        <v>1.6410636094145926E-2</v>
      </c>
      <c r="O327" s="344">
        <v>0</v>
      </c>
      <c r="P327" s="345">
        <v>5.9941831752100903E-2</v>
      </c>
      <c r="Q327" s="345">
        <v>0.14122504714749395</v>
      </c>
      <c r="R327" s="345">
        <v>0.17290553759856417</v>
      </c>
      <c r="S327" s="345">
        <v>0</v>
      </c>
      <c r="T327" s="345">
        <v>0</v>
      </c>
      <c r="U327" s="345">
        <v>0</v>
      </c>
      <c r="V327" s="345">
        <v>0</v>
      </c>
      <c r="W327" s="345">
        <v>0</v>
      </c>
      <c r="X327" s="345">
        <v>0</v>
      </c>
      <c r="Y327" s="380">
        <v>0</v>
      </c>
      <c r="Z327" s="296">
        <f t="shared" si="134"/>
        <v>3.8363553798379822E-2</v>
      </c>
      <c r="AA327" s="298">
        <f t="shared" si="135"/>
        <v>2.5867225117810529E-2</v>
      </c>
      <c r="AB327" s="948">
        <f t="array" ref="AB327">IF(AND($AD$281=TRUE,SUM(B327:L327)&gt;0),SUMPRODUCT((((TRANSPOSE(Cls3CentDailyRng)&lt;INDEX(CDRANGE_CLS3,$A327-$A$286+1,AD$282))*TRANSPOSE(Cls3CentDailyRng)+(TRANSPOSE(Cls3CentDailyRng)&gt;INDEX(CDRANGE_CLS3,$A327-$A$286+1,AD$282))*INDEX(CDRANGE_CLS3,$A327-$A$286+1,AD$282))/TRANSPOSE(Cls3CentDailyRng)),B327:L327,TRANSPOSE(Cls3CentVMTShr))/SUMPRODUCT(B327:L327,TRANSPOSE(Cls3CentVMTShr)),0)</f>
        <v>0</v>
      </c>
      <c r="AC327" s="949">
        <f t="array" ref="AC327">IF(AND($AD$281=TRUE,SUM(O327:Y327)&gt;0),SUMPRODUCT((((TRANSPOSE(Cls3NCentDailyRng)&lt;INDEX(CDRANGE_CLS3,$A327-$A$286+1,AD$282))*TRANSPOSE(Cls3NCentDailyRng)+(TRANSPOSE(Cls3NCentDailyRng)&gt;INDEX(CDRANGE_CLS3,$A327-$A$286+1,AD$282))*INDEX(CDRANGE_CLS3,$A327-$A$286+1,AD$282))/TRANSPOSE(Cls3NCentDailyRng)),O327:Y327,TRANSPOSE(Cls3NCentVMTShr))/SUMPRODUCT(O327:Y327,TRANSPOSE(Cls3NCentVMTShr)),0)</f>
        <v>0</v>
      </c>
      <c r="AD327" s="1226">
        <f t="shared" si="142"/>
        <v>0</v>
      </c>
      <c r="AE327" s="1230">
        <f t="shared" si="139"/>
        <v>2.6629763573018654E-2</v>
      </c>
      <c r="AF327" s="1231">
        <f t="shared" si="140"/>
        <v>3.8363553798379822E-2</v>
      </c>
      <c r="AG327" s="1231">
        <f t="shared" si="141"/>
        <v>6.4993317371398476E-2</v>
      </c>
      <c r="AH327" s="1172">
        <f t="shared" si="137"/>
        <v>0.40973079464224393</v>
      </c>
      <c r="AI327" s="1232">
        <f t="shared" si="138"/>
        <v>0.59026920535775607</v>
      </c>
    </row>
    <row r="328" spans="1:35" x14ac:dyDescent="0.2">
      <c r="A328" s="330">
        <v>2049</v>
      </c>
      <c r="B328" s="344">
        <v>0</v>
      </c>
      <c r="C328" s="345">
        <v>5.5474297786924406E-2</v>
      </c>
      <c r="D328" s="345">
        <v>0.14028273631508217</v>
      </c>
      <c r="E328" s="345">
        <v>0.16964475028859705</v>
      </c>
      <c r="F328" s="345">
        <v>0</v>
      </c>
      <c r="G328" s="345">
        <v>0</v>
      </c>
      <c r="H328" s="345">
        <v>0</v>
      </c>
      <c r="I328" s="345">
        <v>0</v>
      </c>
      <c r="J328" s="345">
        <v>0</v>
      </c>
      <c r="K328" s="345">
        <v>0</v>
      </c>
      <c r="L328" s="380">
        <v>0</v>
      </c>
      <c r="M328" s="296">
        <f t="shared" si="132"/>
        <v>2.8533654605576483E-2</v>
      </c>
      <c r="N328" s="298">
        <f t="shared" si="133"/>
        <v>1.7949637809235915E-2</v>
      </c>
      <c r="O328" s="344">
        <v>0</v>
      </c>
      <c r="P328" s="345">
        <v>6.9210018517994618E-2</v>
      </c>
      <c r="Q328" s="345">
        <v>0.14810890865513912</v>
      </c>
      <c r="R328" s="345">
        <v>0.17825888842079718</v>
      </c>
      <c r="S328" s="345">
        <v>0</v>
      </c>
      <c r="T328" s="345">
        <v>0</v>
      </c>
      <c r="U328" s="345">
        <v>0</v>
      </c>
      <c r="V328" s="345">
        <v>0</v>
      </c>
      <c r="W328" s="345">
        <v>0</v>
      </c>
      <c r="X328" s="345">
        <v>0</v>
      </c>
      <c r="Y328" s="380">
        <v>0</v>
      </c>
      <c r="Z328" s="296">
        <f t="shared" si="134"/>
        <v>4.176225491962611E-2</v>
      </c>
      <c r="AA328" s="298">
        <f t="shared" si="135"/>
        <v>2.8683392229003297E-2</v>
      </c>
      <c r="AB328" s="948">
        <f t="array" ref="AB328">IF(AND($AD$281=TRUE,SUM(B328:L328)&gt;0),SUMPRODUCT((((TRANSPOSE(Cls3CentDailyRng)&lt;INDEX(CDRANGE_CLS3,$A328-$A$286+1,AD$282))*TRANSPOSE(Cls3CentDailyRng)+(TRANSPOSE(Cls3CentDailyRng)&gt;INDEX(CDRANGE_CLS3,$A328-$A$286+1,AD$282))*INDEX(CDRANGE_CLS3,$A328-$A$286+1,AD$282))/TRANSPOSE(Cls3CentDailyRng)),B328:L328,TRANSPOSE(Cls3CentVMTShr))/SUMPRODUCT(B328:L328,TRANSPOSE(Cls3CentVMTShr)),0)</f>
        <v>0</v>
      </c>
      <c r="AC328" s="949">
        <f t="array" ref="AC328">IF(AND($AD$281=TRUE,SUM(O328:Y328)&gt;0),SUMPRODUCT((((TRANSPOSE(Cls3NCentDailyRng)&lt;INDEX(CDRANGE_CLS3,$A328-$A$286+1,AD$282))*TRANSPOSE(Cls3NCentDailyRng)+(TRANSPOSE(Cls3NCentDailyRng)&gt;INDEX(CDRANGE_CLS3,$A328-$A$286+1,AD$282))*INDEX(CDRANGE_CLS3,$A328-$A$286+1,AD$282))/TRANSPOSE(Cls3NCentDailyRng)),O328:Y328,TRANSPOSE(Cls3NCentVMTShr))/SUMPRODUCT(O328:Y328,TRANSPOSE(Cls3NCentVMTShr)),0)</f>
        <v>0</v>
      </c>
      <c r="AD328" s="1226">
        <f t="shared" si="142"/>
        <v>0</v>
      </c>
      <c r="AE328" s="1230">
        <f t="shared" si="139"/>
        <v>2.8533654605576483E-2</v>
      </c>
      <c r="AF328" s="1231">
        <f t="shared" si="140"/>
        <v>4.176225491962611E-2</v>
      </c>
      <c r="AG328" s="1231">
        <f t="shared" si="141"/>
        <v>7.0295909525202593E-2</v>
      </c>
      <c r="AH328" s="1172">
        <f t="shared" si="137"/>
        <v>0.40590775193464929</v>
      </c>
      <c r="AI328" s="1232">
        <f t="shared" si="138"/>
        <v>0.59409224806535077</v>
      </c>
    </row>
    <row r="329" spans="1:35" ht="15" thickBot="1" x14ac:dyDescent="0.25">
      <c r="A329" s="328">
        <v>2050</v>
      </c>
      <c r="B329" s="346">
        <v>0</v>
      </c>
      <c r="C329" s="347">
        <v>6.3030713494769394E-2</v>
      </c>
      <c r="D329" s="347">
        <v>0.13946772142278641</v>
      </c>
      <c r="E329" s="347">
        <v>0.17531434548549141</v>
      </c>
      <c r="F329" s="347">
        <v>0</v>
      </c>
      <c r="G329" s="347">
        <v>0</v>
      </c>
      <c r="H329" s="347">
        <v>0</v>
      </c>
      <c r="I329" s="347">
        <v>0</v>
      </c>
      <c r="J329" s="347">
        <v>0</v>
      </c>
      <c r="K329" s="347">
        <v>0</v>
      </c>
      <c r="L329" s="381">
        <v>0</v>
      </c>
      <c r="M329" s="310">
        <f t="shared" si="132"/>
        <v>2.9855653274504197E-2</v>
      </c>
      <c r="N329" s="312">
        <f t="shared" si="133"/>
        <v>1.9076616414777852E-2</v>
      </c>
      <c r="O329" s="346">
        <v>0</v>
      </c>
      <c r="P329" s="347">
        <v>7.7009586788358703E-2</v>
      </c>
      <c r="Q329" s="347">
        <v>0.1535195301867287</v>
      </c>
      <c r="R329" s="347">
        <v>0.17771359596814218</v>
      </c>
      <c r="S329" s="347">
        <v>0</v>
      </c>
      <c r="T329" s="347">
        <v>0</v>
      </c>
      <c r="U329" s="347">
        <v>0</v>
      </c>
      <c r="V329" s="347">
        <v>0</v>
      </c>
      <c r="W329" s="347">
        <v>0</v>
      </c>
      <c r="X329" s="347">
        <v>0</v>
      </c>
      <c r="Y329" s="381">
        <v>0</v>
      </c>
      <c r="Z329" s="310">
        <f t="shared" si="134"/>
        <v>4.4288114291981949E-2</v>
      </c>
      <c r="AA329" s="312">
        <f t="shared" si="135"/>
        <v>3.0920459478980498E-2</v>
      </c>
      <c r="AB329" s="950">
        <f t="array" ref="AB329">IF(AND($AD$281=TRUE,SUM(B329:L329)&gt;0),SUMPRODUCT((((TRANSPOSE(Cls3CentDailyRng)&lt;INDEX(CDRANGE_CLS3,$A329-$A$286+1,AD$282))*TRANSPOSE(Cls3CentDailyRng)+(TRANSPOSE(Cls3CentDailyRng)&gt;INDEX(CDRANGE_CLS3,$A329-$A$286+1,AD$282))*INDEX(CDRANGE_CLS3,$A329-$A$286+1,AD$282))/TRANSPOSE(Cls3CentDailyRng)),B329:L329,TRANSPOSE(Cls3CentVMTShr))/SUMPRODUCT(B329:L329,TRANSPOSE(Cls3CentVMTShr)),0)</f>
        <v>0</v>
      </c>
      <c r="AC329" s="951">
        <f t="array" ref="AC329">IF(AND($AD$281=TRUE,SUM(O329:Y329)&gt;0),SUMPRODUCT((((TRANSPOSE(Cls3NCentDailyRng)&lt;INDEX(CDRANGE_CLS3,$A329-$A$286+1,AD$282))*TRANSPOSE(Cls3NCentDailyRng)+(TRANSPOSE(Cls3NCentDailyRng)&gt;INDEX(CDRANGE_CLS3,$A329-$A$286+1,AD$282))*INDEX(CDRANGE_CLS3,$A329-$A$286+1,AD$282))/TRANSPOSE(Cls3NCentDailyRng)),O329:Y329,TRANSPOSE(Cls3NCentVMTShr))/SUMPRODUCT(O329:Y329,TRANSPOSE(Cls3NCentVMTShr)),0)</f>
        <v>0</v>
      </c>
      <c r="AD329" s="1227">
        <f t="shared" si="142"/>
        <v>0</v>
      </c>
      <c r="AE329" s="1233">
        <f t="shared" si="139"/>
        <v>2.9855653274504197E-2</v>
      </c>
      <c r="AF329" s="1234">
        <f t="shared" si="140"/>
        <v>4.4288114291981949E-2</v>
      </c>
      <c r="AG329" s="1234">
        <f t="shared" si="141"/>
        <v>7.4143767566486149E-2</v>
      </c>
      <c r="AH329" s="1235">
        <f t="shared" si="137"/>
        <v>0.40267245993039208</v>
      </c>
      <c r="AI329" s="1236">
        <f t="shared" si="138"/>
        <v>0.59732754006960787</v>
      </c>
    </row>
    <row r="330" spans="1:35" x14ac:dyDescent="0.2">
      <c r="B330" s="227" t="s">
        <v>240</v>
      </c>
      <c r="U330" s="227" t="s">
        <v>240</v>
      </c>
    </row>
  </sheetData>
  <mergeCells count="37">
    <mergeCell ref="B280:N280"/>
    <mergeCell ref="O280:AA280"/>
    <mergeCell ref="B71:L71"/>
    <mergeCell ref="O71:Y71"/>
    <mergeCell ref="B122:N122"/>
    <mergeCell ref="O122:AA122"/>
    <mergeCell ref="B123:L123"/>
    <mergeCell ref="O123:Y123"/>
    <mergeCell ref="AD19:AH19"/>
    <mergeCell ref="BC19:BH19"/>
    <mergeCell ref="B70:N70"/>
    <mergeCell ref="O70:AA70"/>
    <mergeCell ref="AI19:AM19"/>
    <mergeCell ref="AN19:AR19"/>
    <mergeCell ref="AS19:AW19"/>
    <mergeCell ref="AX19:BB19"/>
    <mergeCell ref="T21:X21"/>
    <mergeCell ref="B19:G19"/>
    <mergeCell ref="H19:M19"/>
    <mergeCell ref="N19:S19"/>
    <mergeCell ref="T19:X19"/>
    <mergeCell ref="Y19:AC19"/>
    <mergeCell ref="B6:C6"/>
    <mergeCell ref="J9:K9"/>
    <mergeCell ref="L9:M9"/>
    <mergeCell ref="N9:Q9"/>
    <mergeCell ref="B3:C3"/>
    <mergeCell ref="P3:U3"/>
    <mergeCell ref="B4:C4"/>
    <mergeCell ref="P4:U4"/>
    <mergeCell ref="B5:C5"/>
    <mergeCell ref="P5:U5"/>
    <mergeCell ref="AB74:AD74"/>
    <mergeCell ref="AB126:AD126"/>
    <mergeCell ref="AB178:AD178"/>
    <mergeCell ref="AB231:AD231"/>
    <mergeCell ref="AB284:AD284"/>
  </mergeCells>
  <conditionalFormatting sqref="AL20 AV20:AV67 W20 AG20:AG67 AQ22:AQ23 BA22:BA67 BG22:BG67 R20:R67 AB20:AB67 AL23:AL67 W22:W67 L20:L67">
    <cfRule type="expression" dxfId="33" priority="37">
      <formula>$C$15="not used"</formula>
    </cfRule>
  </conditionalFormatting>
  <conditionalFormatting sqref="G20:G67 BH20:BH67 BB20:BB67 AW20:AW67 AR20:AR23 AM20 AH20:AH67 X20 S20:S67 AC20:AC67 AM23:AM67 X22:X67 M20:M67">
    <cfRule type="expression" dxfId="32" priority="36">
      <formula>$C$16="not used"</formula>
    </cfRule>
  </conditionalFormatting>
  <conditionalFormatting sqref="V20 AF20:AF67 AK20 AP20:AP23 AU20:AU67 AZ20:AZ67 BF20:BF67 Q20:Q67 AA20:AA67 AK23:AK67 V22:V67 K20:K67">
    <cfRule type="expression" dxfId="31" priority="35">
      <formula>$C$14="not used"</formula>
    </cfRule>
  </conditionalFormatting>
  <conditionalFormatting sqref="AM21:AM22">
    <cfRule type="expression" dxfId="30" priority="6">
      <formula>$C$16="not used"</formula>
    </cfRule>
  </conditionalFormatting>
  <conditionalFormatting sqref="AL21:AL22">
    <cfRule type="expression" dxfId="29" priority="5">
      <formula>$C$15="not used"</formula>
    </cfRule>
  </conditionalFormatting>
  <conditionalFormatting sqref="AK21:AK22">
    <cfRule type="expression" dxfId="28" priority="4">
      <formula>$C$14 = "not used"</formula>
    </cfRule>
  </conditionalFormatting>
  <conditionalFormatting sqref="AQ24:AQ67">
    <cfRule type="expression" dxfId="27" priority="3">
      <formula>$C$15="not used"</formula>
    </cfRule>
  </conditionalFormatting>
  <conditionalFormatting sqref="AR24:AR67">
    <cfRule type="expression" dxfId="26" priority="2">
      <formula>$C$16="not used"</formula>
    </cfRule>
  </conditionalFormatting>
  <conditionalFormatting sqref="AP24:AP67">
    <cfRule type="expression" dxfId="25" priority="1">
      <formula>$C$14="not used"</formula>
    </cfRule>
  </conditionalFormatting>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MktPenMi">
    <tabColor indexed="17"/>
    <pageSetUpPr fitToPage="1"/>
  </sheetPr>
  <dimension ref="A1:AQ59"/>
  <sheetViews>
    <sheetView showZeros="0" zoomScale="85" zoomScaleNormal="85" workbookViewId="0">
      <pane ySplit="8" topLeftCell="A9" activePane="bottomLeft" state="frozen"/>
      <selection pane="bottomLeft" activeCell="D28" sqref="D28"/>
    </sheetView>
  </sheetViews>
  <sheetFormatPr baseColWidth="10" defaultColWidth="9.1640625" defaultRowHeight="14" x14ac:dyDescent="0.2"/>
  <cols>
    <col min="1" max="1" width="9.1640625" style="397"/>
    <col min="2" max="2" width="14" style="397" customWidth="1"/>
    <col min="3" max="7" width="10.5" style="397" customWidth="1"/>
    <col min="8" max="8" width="13.5" style="397" customWidth="1"/>
    <col min="9" max="13" width="10.5" style="397" customWidth="1"/>
    <col min="14" max="14" width="13.1640625" style="397" customWidth="1"/>
    <col min="15" max="15" width="11.33203125" style="397" bestFit="1" customWidth="1"/>
    <col min="16" max="16" width="11.5" style="397" customWidth="1"/>
    <col min="17" max="17" width="9.1640625" style="397"/>
    <col min="18" max="18" width="13.33203125" style="397" customWidth="1"/>
    <col min="19" max="20" width="9.1640625" style="397"/>
    <col min="21" max="21" width="11.5" style="397" customWidth="1"/>
    <col min="22" max="22" width="11.1640625" style="397" customWidth="1"/>
    <col min="23" max="23" width="10.33203125" style="397" customWidth="1"/>
    <col min="24" max="24" width="13" style="397" customWidth="1"/>
    <col min="25" max="27" width="9.1640625" style="397"/>
    <col min="28" max="28" width="10.5" style="397" customWidth="1"/>
    <col min="29" max="29" width="10.6640625" style="397" customWidth="1"/>
    <col min="30" max="30" width="13.33203125" style="397" customWidth="1"/>
    <col min="31" max="31" width="11.33203125" style="397" bestFit="1" customWidth="1"/>
    <col min="32" max="34" width="9.1640625" style="397"/>
    <col min="35" max="35" width="10.1640625" style="397" customWidth="1"/>
    <col min="36" max="36" width="14" style="397" customWidth="1"/>
    <col min="37" max="39" width="9.1640625" style="397"/>
    <col min="40" max="40" width="10.1640625" style="397" customWidth="1"/>
    <col min="41" max="41" width="10.5" style="397" customWidth="1"/>
    <col min="42" max="42" width="9.1640625" style="397"/>
    <col min="43" max="43" width="12.1640625" style="397" customWidth="1"/>
    <col min="44" max="16384" width="9.1640625" style="397"/>
  </cols>
  <sheetData>
    <row r="1" spans="1:43" x14ac:dyDescent="0.2">
      <c r="A1" s="861" t="s">
        <v>261</v>
      </c>
    </row>
    <row r="2" spans="1:43" ht="15" thickBot="1" x14ac:dyDescent="0.25"/>
    <row r="3" spans="1:43" ht="19.5" customHeight="1" thickBot="1" x14ac:dyDescent="0.3">
      <c r="A3" s="1590" t="s">
        <v>150</v>
      </c>
      <c r="B3" s="1591"/>
      <c r="C3" s="1591"/>
      <c r="D3" s="1591"/>
      <c r="E3" s="1591"/>
      <c r="F3" s="1591"/>
      <c r="G3" s="1591"/>
      <c r="H3" s="1591"/>
      <c r="I3" s="1591"/>
      <c r="J3" s="1591"/>
      <c r="K3" s="1591"/>
      <c r="L3" s="1591"/>
      <c r="M3" s="1591"/>
      <c r="N3" s="1591"/>
      <c r="O3" s="1591"/>
      <c r="P3" s="1591"/>
      <c r="Q3" s="1591"/>
      <c r="R3" s="1591"/>
      <c r="S3" s="1591"/>
      <c r="T3" s="1591"/>
      <c r="U3" s="1592"/>
      <c r="V3" s="849"/>
      <c r="W3" s="1593" t="s">
        <v>185</v>
      </c>
      <c r="X3" s="1594"/>
      <c r="Y3" s="1594"/>
      <c r="Z3" s="1594"/>
      <c r="AA3" s="1594"/>
      <c r="AB3" s="1594"/>
      <c r="AC3" s="1594"/>
      <c r="AD3" s="1594"/>
      <c r="AE3" s="1594"/>
      <c r="AF3" s="1594"/>
      <c r="AG3" s="1594"/>
      <c r="AH3" s="1594"/>
      <c r="AI3" s="1594"/>
      <c r="AJ3" s="1594"/>
      <c r="AK3" s="1594"/>
      <c r="AL3" s="1594"/>
      <c r="AM3" s="1594"/>
      <c r="AN3" s="1594"/>
      <c r="AO3" s="1594"/>
      <c r="AP3" s="1594"/>
      <c r="AQ3" s="1595"/>
    </row>
    <row r="4" spans="1:43" ht="15" x14ac:dyDescent="0.2">
      <c r="A4" s="400"/>
      <c r="B4" s="1588" t="s">
        <v>249</v>
      </c>
      <c r="C4" s="1599"/>
      <c r="D4" s="1599"/>
      <c r="E4" s="1599"/>
      <c r="F4" s="1599"/>
      <c r="G4" s="1589"/>
      <c r="H4" s="1588" t="s">
        <v>250</v>
      </c>
      <c r="I4" s="1599"/>
      <c r="J4" s="1599"/>
      <c r="K4" s="1599"/>
      <c r="L4" s="1599"/>
      <c r="M4" s="1589"/>
      <c r="N4" s="1588" t="s">
        <v>154</v>
      </c>
      <c r="O4" s="1599"/>
      <c r="P4" s="1599"/>
      <c r="Q4" s="1599"/>
      <c r="R4" s="1599"/>
      <c r="S4" s="1589"/>
      <c r="T4" s="1588" t="s">
        <v>153</v>
      </c>
      <c r="U4" s="1589"/>
      <c r="W4" s="400"/>
      <c r="X4" s="1588" t="s">
        <v>249</v>
      </c>
      <c r="Y4" s="1599"/>
      <c r="Z4" s="1599"/>
      <c r="AA4" s="1599"/>
      <c r="AB4" s="1599"/>
      <c r="AC4" s="1589"/>
      <c r="AD4" s="1588" t="s">
        <v>250</v>
      </c>
      <c r="AE4" s="1599"/>
      <c r="AF4" s="1599"/>
      <c r="AG4" s="1599"/>
      <c r="AH4" s="1599"/>
      <c r="AI4" s="1589"/>
      <c r="AJ4" s="1588" t="s">
        <v>154</v>
      </c>
      <c r="AK4" s="1599"/>
      <c r="AL4" s="1599"/>
      <c r="AM4" s="1599"/>
      <c r="AN4" s="1599"/>
      <c r="AO4" s="1589"/>
      <c r="AP4" s="1588" t="s">
        <v>153</v>
      </c>
      <c r="AQ4" s="1589"/>
    </row>
    <row r="5" spans="1:43" ht="15" x14ac:dyDescent="0.2">
      <c r="A5" s="401"/>
      <c r="B5" s="1596" t="s">
        <v>129</v>
      </c>
      <c r="C5" s="1597"/>
      <c r="D5" s="1597"/>
      <c r="E5" s="1597"/>
      <c r="F5" s="1597"/>
      <c r="G5" s="1598"/>
      <c r="H5" s="1596" t="s">
        <v>129</v>
      </c>
      <c r="I5" s="1597"/>
      <c r="J5" s="1597"/>
      <c r="K5" s="1597"/>
      <c r="L5" s="1597"/>
      <c r="M5" s="1598"/>
      <c r="N5" s="1596" t="s">
        <v>129</v>
      </c>
      <c r="O5" s="1597"/>
      <c r="P5" s="1597"/>
      <c r="Q5" s="1597"/>
      <c r="R5" s="1597"/>
      <c r="S5" s="1598"/>
      <c r="T5" s="1586" t="s">
        <v>129</v>
      </c>
      <c r="U5" s="1587"/>
      <c r="W5" s="401"/>
      <c r="X5" s="1596" t="s">
        <v>129</v>
      </c>
      <c r="Y5" s="1597"/>
      <c r="Z5" s="1597"/>
      <c r="AA5" s="1597"/>
      <c r="AB5" s="1597"/>
      <c r="AC5" s="1598"/>
      <c r="AD5" s="1596" t="s">
        <v>129</v>
      </c>
      <c r="AE5" s="1597"/>
      <c r="AF5" s="1597"/>
      <c r="AG5" s="1597"/>
      <c r="AH5" s="1597"/>
      <c r="AI5" s="1598"/>
      <c r="AJ5" s="1596" t="s">
        <v>129</v>
      </c>
      <c r="AK5" s="1597"/>
      <c r="AL5" s="1597"/>
      <c r="AM5" s="1597"/>
      <c r="AN5" s="1597"/>
      <c r="AO5" s="1598"/>
      <c r="AP5" s="1586" t="s">
        <v>129</v>
      </c>
      <c r="AQ5" s="1587"/>
    </row>
    <row r="6" spans="1:43"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c r="W6" s="401"/>
      <c r="X6" s="670" t="s">
        <v>69</v>
      </c>
      <c r="Y6" s="667" t="s">
        <v>65</v>
      </c>
      <c r="Z6" s="667" t="s">
        <v>66</v>
      </c>
      <c r="AA6" s="667" t="s">
        <v>67</v>
      </c>
      <c r="AB6" s="667" t="s">
        <v>205</v>
      </c>
      <c r="AC6" s="850" t="s">
        <v>206</v>
      </c>
      <c r="AD6" s="670" t="s">
        <v>69</v>
      </c>
      <c r="AE6" s="667" t="s">
        <v>65</v>
      </c>
      <c r="AF6" s="667" t="s">
        <v>66</v>
      </c>
      <c r="AG6" s="667" t="s">
        <v>67</v>
      </c>
      <c r="AH6" s="667" t="s">
        <v>205</v>
      </c>
      <c r="AI6" s="850" t="s">
        <v>206</v>
      </c>
      <c r="AJ6" s="670" t="s">
        <v>69</v>
      </c>
      <c r="AK6" s="667" t="s">
        <v>65</v>
      </c>
      <c r="AL6" s="667" t="s">
        <v>66</v>
      </c>
      <c r="AM6" s="667" t="s">
        <v>67</v>
      </c>
      <c r="AN6" s="667" t="s">
        <v>205</v>
      </c>
      <c r="AO6" s="669" t="s">
        <v>206</v>
      </c>
      <c r="AP6" s="648"/>
      <c r="AQ6" s="650"/>
    </row>
    <row r="7" spans="1:43"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ISG</v>
      </c>
      <c r="K7" s="1104" t="str">
        <f t="shared" si="1"/>
        <v>PHEV</v>
      </c>
      <c r="L7" s="1104" t="str">
        <f t="shared" si="1"/>
        <v>BEV</v>
      </c>
      <c r="M7" s="1105" t="str">
        <f t="shared" si="1"/>
        <v>FCHEV</v>
      </c>
      <c r="N7" s="1103" t="str">
        <f t="shared" ref="N7:S7" si="2">INDEX(TECH_OPT_DESC_Cls3,MATCH(N6,TECH_OPT_ROWS_Cls3,0))</f>
        <v>Conventional Diesel ICE</v>
      </c>
      <c r="O7" s="1104" t="str">
        <f t="shared" si="2"/>
        <v>Adv Conv</v>
      </c>
      <c r="P7" s="1104" t="str">
        <f t="shared" si="2"/>
        <v>ISG</v>
      </c>
      <c r="Q7" s="1104" t="str">
        <f t="shared" si="2"/>
        <v>HEV</v>
      </c>
      <c r="R7" s="1104" t="str">
        <f t="shared" si="2"/>
        <v>PHEV</v>
      </c>
      <c r="S7" s="1105" t="str">
        <f t="shared" si="2"/>
        <v>BEV</v>
      </c>
      <c r="T7" s="859" t="s">
        <v>70</v>
      </c>
      <c r="U7" s="847" t="s">
        <v>138</v>
      </c>
      <c r="W7" s="842"/>
      <c r="X7" s="843" t="str">
        <f t="shared" ref="X7:AC7" si="3">INDEX(TECH_OPT_DESC_Cls1,MATCH(X6,TECH_OPT_ROWS_Cls1,0))</f>
        <v>Conventional Diesel ICE</v>
      </c>
      <c r="Y7" s="844" t="str">
        <f t="shared" si="3"/>
        <v>Adv Conv</v>
      </c>
      <c r="Z7" s="844" t="str">
        <f t="shared" si="3"/>
        <v>HEV</v>
      </c>
      <c r="AA7" s="857" t="str">
        <f t="shared" si="3"/>
        <v>BEV</v>
      </c>
      <c r="AB7" s="844" t="str">
        <f t="shared" si="3"/>
        <v>FCEV</v>
      </c>
      <c r="AC7" s="845">
        <f t="shared" si="3"/>
        <v>0</v>
      </c>
      <c r="AD7" s="843" t="str">
        <f t="shared" ref="AD7:AI7" si="4">INDEX(TECH_OPT_DESC_Cls2,MATCH(AD6,TECH_OPT_ROWS_Cls2,0))</f>
        <v>Conventional Diesel ICE</v>
      </c>
      <c r="AE7" s="844" t="str">
        <f t="shared" si="4"/>
        <v>Adv Conv</v>
      </c>
      <c r="AF7" s="844" t="str">
        <f t="shared" si="4"/>
        <v>ISG</v>
      </c>
      <c r="AG7" s="857" t="str">
        <f t="shared" si="4"/>
        <v>PHEV</v>
      </c>
      <c r="AH7" s="844" t="str">
        <f t="shared" si="4"/>
        <v>BEV</v>
      </c>
      <c r="AI7" s="845" t="str">
        <f t="shared" si="4"/>
        <v>FCHEV</v>
      </c>
      <c r="AJ7" s="843" t="str">
        <f t="shared" ref="AJ7:AO7" si="5">INDEX(TECH_OPT_DESC_Cls3,MATCH(AJ6,TECH_OPT_ROWS_Cls3,0))</f>
        <v>Conventional Diesel ICE</v>
      </c>
      <c r="AK7" s="844" t="str">
        <f t="shared" si="5"/>
        <v>Adv Conv</v>
      </c>
      <c r="AL7" s="844" t="str">
        <f t="shared" si="5"/>
        <v>ISG</v>
      </c>
      <c r="AM7" s="857" t="str">
        <f t="shared" si="5"/>
        <v>HEV</v>
      </c>
      <c r="AN7" s="844" t="str">
        <f t="shared" si="5"/>
        <v>PHEV</v>
      </c>
      <c r="AO7" s="858" t="str">
        <f t="shared" si="5"/>
        <v>BEV</v>
      </c>
      <c r="AP7" s="859"/>
      <c r="AQ7" s="847"/>
    </row>
    <row r="8" spans="1:43" ht="17" thickBot="1" x14ac:dyDescent="0.25">
      <c r="A8" s="405" t="s">
        <v>3</v>
      </c>
      <c r="B8" s="1106" t="str">
        <f t="shared" ref="B8:G8" si="6">INDEX(TECH_OPT_FUEL1_Cls1,MATCH(B6,TECH_OPT_ROWS_Cls1,0))</f>
        <v>Diesel</v>
      </c>
      <c r="C8" s="1107" t="str">
        <f t="shared" si="6"/>
        <v>Diesel</v>
      </c>
      <c r="D8" s="1107" t="str">
        <f t="shared" si="6"/>
        <v>Diesel</v>
      </c>
      <c r="E8" s="1107" t="str">
        <f t="shared" si="6"/>
        <v>Electricity</v>
      </c>
      <c r="F8" s="1107" t="str">
        <f t="shared" si="6"/>
        <v>Hydrogen</v>
      </c>
      <c r="G8" s="1108" t="str">
        <f t="shared" si="6"/>
        <v>Diesel</v>
      </c>
      <c r="H8" s="1106" t="str">
        <f t="shared" ref="H8:M8" si="7">INDEX(TECH_OPT_FUEL1_Cls2,MATCH(H6,TECH_OPT_ROWS_Cls2,0))</f>
        <v>Diesel</v>
      </c>
      <c r="I8" s="1107" t="str">
        <f t="shared" si="7"/>
        <v>Diesel</v>
      </c>
      <c r="J8" s="1107" t="str">
        <f t="shared" si="7"/>
        <v>Diesel</v>
      </c>
      <c r="K8" s="1107" t="str">
        <f t="shared" si="7"/>
        <v>Diesel</v>
      </c>
      <c r="L8" s="1107" t="str">
        <f t="shared" si="7"/>
        <v>Electricity</v>
      </c>
      <c r="M8" s="1108" t="str">
        <f t="shared" si="7"/>
        <v>Hydrogen</v>
      </c>
      <c r="N8" s="1106" t="str">
        <f t="shared" ref="N8:S8" si="8">INDEX(TECH_OPT_FUEL1_Cls3,MATCH(N6,TECH_OPT_ROWS_Cls3,0))</f>
        <v>Diesel</v>
      </c>
      <c r="O8" s="1107" t="str">
        <f t="shared" si="8"/>
        <v>Diesel</v>
      </c>
      <c r="P8" s="1107" t="str">
        <f t="shared" si="8"/>
        <v>Diesel</v>
      </c>
      <c r="Q8" s="1107" t="str">
        <f t="shared" si="8"/>
        <v>Diesel</v>
      </c>
      <c r="R8" s="1107" t="str">
        <f t="shared" si="8"/>
        <v>Diesel</v>
      </c>
      <c r="S8" s="1108" t="str">
        <f t="shared" si="8"/>
        <v>Electricity</v>
      </c>
      <c r="T8" s="419"/>
      <c r="U8" s="418"/>
      <c r="W8" s="405" t="s">
        <v>3</v>
      </c>
      <c r="X8" s="680" t="str">
        <f t="shared" ref="X8:AC8" si="9">INDEX(TECH_OPT_FUEL1_Cls1,MATCH(X6,TECH_OPT_ROWS_Cls1,0))</f>
        <v>Diesel</v>
      </c>
      <c r="Y8" s="668" t="str">
        <f t="shared" si="9"/>
        <v>Diesel</v>
      </c>
      <c r="Z8" s="668" t="str">
        <f t="shared" si="9"/>
        <v>Diesel</v>
      </c>
      <c r="AA8" s="668" t="str">
        <f t="shared" si="9"/>
        <v>Electricity</v>
      </c>
      <c r="AB8" s="668" t="str">
        <f t="shared" si="9"/>
        <v>Hydrogen</v>
      </c>
      <c r="AC8" s="851" t="str">
        <f t="shared" si="9"/>
        <v>Diesel</v>
      </c>
      <c r="AD8" s="680" t="str">
        <f t="shared" ref="AD8:AI8" si="10">INDEX(TECH_OPT_FUEL1_Cls2,MATCH(AD6,TECH_OPT_ROWS_Cls2,0))</f>
        <v>Diesel</v>
      </c>
      <c r="AE8" s="668" t="str">
        <f t="shared" si="10"/>
        <v>Diesel</v>
      </c>
      <c r="AF8" s="668" t="str">
        <f t="shared" si="10"/>
        <v>Diesel</v>
      </c>
      <c r="AG8" s="668" t="str">
        <f t="shared" si="10"/>
        <v>Diesel</v>
      </c>
      <c r="AH8" s="668" t="str">
        <f t="shared" si="10"/>
        <v>Electricity</v>
      </c>
      <c r="AI8" s="851" t="str">
        <f t="shared" si="10"/>
        <v>Hydrogen</v>
      </c>
      <c r="AJ8" s="680" t="str">
        <f t="shared" ref="AJ8:AO8" si="11">INDEX(TECH_OPT_FUEL1_Cls3,MATCH(AJ6,TECH_OPT_ROWS_Cls3,0))</f>
        <v>Diesel</v>
      </c>
      <c r="AK8" s="668" t="str">
        <f t="shared" si="11"/>
        <v>Diesel</v>
      </c>
      <c r="AL8" s="668" t="str">
        <f t="shared" si="11"/>
        <v>Diesel</v>
      </c>
      <c r="AM8" s="668" t="str">
        <f t="shared" si="11"/>
        <v>Diesel</v>
      </c>
      <c r="AN8" s="668" t="str">
        <f t="shared" si="11"/>
        <v>Diesel</v>
      </c>
      <c r="AO8" s="681" t="str">
        <f t="shared" si="11"/>
        <v>Electricity</v>
      </c>
      <c r="AP8" s="419" t="s">
        <v>70</v>
      </c>
      <c r="AQ8" s="418" t="s">
        <v>138</v>
      </c>
    </row>
    <row r="9" spans="1:43" ht="16" thickTop="1" x14ac:dyDescent="0.2">
      <c r="A9" s="403">
        <v>2007</v>
      </c>
      <c r="B9" s="420">
        <f>1-SUM(C9:G9)</f>
        <v>1</v>
      </c>
      <c r="C9" s="421">
        <f>'7&amp;8 Sleep'!$M76+'7&amp;8 Sleep'!$Z76</f>
        <v>0</v>
      </c>
      <c r="D9" s="421">
        <f>'7&amp;8 Sleep'!$M128+'7&amp;8 Sleep'!$Z128</f>
        <v>0</v>
      </c>
      <c r="E9" s="698">
        <f>'7&amp;8 Sleep'!$M180+'7&amp;8 Sleep'!$Z180</f>
        <v>0</v>
      </c>
      <c r="F9" s="421">
        <f>'7&amp;8 Sleep'!$M233+'7&amp;8 Sleep'!$Z233</f>
        <v>0</v>
      </c>
      <c r="G9" s="656">
        <f>'7&amp;8 Sleep'!$M286+'7&amp;8 Sleep'!$Z286</f>
        <v>0</v>
      </c>
      <c r="H9" s="852">
        <f>1-SUM(I9:M9)</f>
        <v>1</v>
      </c>
      <c r="I9" s="656">
        <f>'7&amp;8 Day'!$M76+'7&amp;8 Day'!$Z76</f>
        <v>0</v>
      </c>
      <c r="J9" s="656">
        <f>'7&amp;8 Day'!$M128+'7&amp;8 Day'!$Z128</f>
        <v>0</v>
      </c>
      <c r="K9" s="656">
        <f>'7&amp;8 Day'!$M180+'7&amp;8 Day'!$Z180</f>
        <v>0</v>
      </c>
      <c r="L9" s="656">
        <f>'7&amp;8 Day'!$M233+'7&amp;8 Day'!$Z233</f>
        <v>0</v>
      </c>
      <c r="M9" s="703">
        <f>'7&amp;8 Day'!$M286+'7&amp;8 Day'!$Z286</f>
        <v>0</v>
      </c>
      <c r="N9" s="420">
        <f>1-SUM(O9:S9)</f>
        <v>1</v>
      </c>
      <c r="O9" s="421">
        <f>'7&amp;8 SU'!$M76+'7&amp;8 SU'!$Z76</f>
        <v>0</v>
      </c>
      <c r="P9" s="421">
        <f>'7&amp;8 SU'!$M128+'7&amp;8 SU'!$Z128</f>
        <v>0</v>
      </c>
      <c r="Q9" s="698">
        <f>'7&amp;8 SU'!$M180+'7&amp;8 SU'!$Z180</f>
        <v>0</v>
      </c>
      <c r="R9" s="421">
        <f>'7&amp;8 SU'!$M233+'7&amp;8 SU'!$Z233</f>
        <v>0</v>
      </c>
      <c r="S9" s="656">
        <f>'7&amp;8 SU'!$M286+'7&amp;8 SU'!$Z286</f>
        <v>0</v>
      </c>
      <c r="T9" s="420">
        <f>B9*'Market Data'!$E$52+N9*'Market Data'!$O$52</f>
        <v>0.91032159271242163</v>
      </c>
      <c r="U9" s="422">
        <f>SUM(C9:G9)*'Market Data'!$E$52+SUM(O9:S9)*'Market Data'!$O$52</f>
        <v>0</v>
      </c>
      <c r="W9" s="403">
        <v>2007</v>
      </c>
      <c r="X9" s="457">
        <f>IF('Market Penetration'!B9=0,0,1000*B9*'Market Data'!$E$51/('Market Penetration'!B9*'Market Data'!$C$51))</f>
        <v>114290.39175651137</v>
      </c>
      <c r="Y9" s="458">
        <f>IF('Market Penetration'!C9=0,0,1000*C9*'Market Data'!$E$51/('Market Penetration'!C9*'Market Data'!$C$51))</f>
        <v>0</v>
      </c>
      <c r="Z9" s="458">
        <f>IF('Market Penetration'!D9=0,0,1000*D9*'Market Data'!$E$51/('Market Penetration'!D9*'Market Data'!$C$51))</f>
        <v>0</v>
      </c>
      <c r="AA9" s="693">
        <f>IF('Market Penetration'!E9=0,0,1000*E9*'Market Data'!$E$51/('Market Penetration'!E9*'Market Data'!$C$51))</f>
        <v>0</v>
      </c>
      <c r="AB9" s="458">
        <f>IF('Market Penetration'!F9=0,0,1000*F9*'Market Data'!$E$51/('Market Penetration'!F9*'Market Data'!$C$51))</f>
        <v>0</v>
      </c>
      <c r="AC9" s="688">
        <f>IF('Market Penetration'!G9=0,0,1000*G9*'Market Data'!$E$51/('Market Penetration'!G9*'Market Data'!$C$51))</f>
        <v>0</v>
      </c>
      <c r="AD9" s="457">
        <f>IF('Market Penetration'!H9=0,0,1000*H9*'Market Data'!$O$51/('Market Penetration'!H9*'Market Data'!$M$51))</f>
        <v>76984.800905352895</v>
      </c>
      <c r="AE9" s="458">
        <f>IF('Market Penetration'!I9=0,0,1000*I9*'Market Data'!$O$51/('Market Penetration'!I9*'Market Data'!$M$51))</f>
        <v>0</v>
      </c>
      <c r="AF9" s="458">
        <f>IF('Market Penetration'!J9=0,0,1000*J9*'Market Data'!$O$51/('Market Penetration'!J9*'Market Data'!$M$51))</f>
        <v>0</v>
      </c>
      <c r="AG9" s="458">
        <f>IF('Market Penetration'!K9=0,0,1000*K9*'Market Data'!$O$51/('Market Penetration'!K9*'Market Data'!$M$51))</f>
        <v>0</v>
      </c>
      <c r="AH9" s="458">
        <f>IF('Market Penetration'!L9=0,0,1000*L9*'Market Data'!$O$51/('Market Penetration'!L9*'Market Data'!$M$51))</f>
        <v>0</v>
      </c>
      <c r="AI9" s="459">
        <f>IF('Market Penetration'!M9=0,0,1000*M9*'Market Data'!$O$51/('Market Penetration'!M9*'Market Data'!$M$51))</f>
        <v>0</v>
      </c>
      <c r="AJ9" s="457">
        <f>IF('Market Penetration'!N9=0,0,1000*N9*'Market Data'!$Y$51/('Market Penetration'!N9*'Market Data'!$W$51))</f>
        <v>27261.021505205488</v>
      </c>
      <c r="AK9" s="458">
        <f>IF('Market Penetration'!O9=0,0,1000*O9*'Market Data'!$Y$51/('Market Penetration'!O9*'Market Data'!$W$51))</f>
        <v>0</v>
      </c>
      <c r="AL9" s="458">
        <f>IF('Market Penetration'!P9=0,0,1000*P9*'Market Data'!$Y$51/('Market Penetration'!P9*'Market Data'!$W$51))</f>
        <v>0</v>
      </c>
      <c r="AM9" s="693">
        <f>IF('Market Penetration'!Q9=0,0,1000*Q9*'Market Data'!$Y$51/('Market Penetration'!Q9*'Market Data'!$W$51))</f>
        <v>0</v>
      </c>
      <c r="AN9" s="458">
        <f>IF('Market Penetration'!R9=0,0,1000*R9*'Market Data'!$Y$51/('Market Penetration'!R9*'Market Data'!$W$51))</f>
        <v>0</v>
      </c>
      <c r="AO9" s="688">
        <f>IF('Market Penetration'!S9=0,0,1000*S9*'Market Data'!$Y$51/('Market Penetration'!S9*'Market Data'!$W$51))</f>
        <v>0</v>
      </c>
      <c r="AP9" s="457">
        <f>IF('Market Penetration'!T9=0,0,1000*T9*('Market Data'!$E$51+'Market Data'!$O$51+'Market Data'!$Y$51)/('Market Penetration'!T9*('Market Data'!$C$51+'Market Data'!$M$51+'Market Data'!$W$51)))</f>
        <v>74129.118937560706</v>
      </c>
      <c r="AQ9" s="459">
        <f>IF('Market Penetration'!U9=0,0,1000*U9*('Market Data'!$E$51+'Market Data'!$O$51+'Market Data'!$Y$51)/('Market Penetration'!U9*('Market Data'!$C$51+'Market Data'!$M$51+'Market Data'!$W$51)))</f>
        <v>0</v>
      </c>
    </row>
    <row r="10" spans="1:43" ht="15" x14ac:dyDescent="0.2">
      <c r="A10" s="403">
        <v>2008</v>
      </c>
      <c r="B10" s="423">
        <f t="shared" ref="B10:B52" si="12">1-SUM(C10:G10)</f>
        <v>1</v>
      </c>
      <c r="C10" s="424">
        <f>'7&amp;8 Sleep'!$M77+'7&amp;8 Sleep'!$Z77</f>
        <v>0</v>
      </c>
      <c r="D10" s="424">
        <f>'7&amp;8 Sleep'!$M129+'7&amp;8 Sleep'!$Z129</f>
        <v>0</v>
      </c>
      <c r="E10" s="699">
        <f>'7&amp;8 Sleep'!$M181+'7&amp;8 Sleep'!$Z181</f>
        <v>0</v>
      </c>
      <c r="F10" s="424">
        <f>'7&amp;8 Sleep'!$M234+'7&amp;8 Sleep'!$Z234</f>
        <v>0</v>
      </c>
      <c r="G10" s="657">
        <f>'7&amp;8 Sleep'!$M287+'7&amp;8 Sleep'!$Z287</f>
        <v>0</v>
      </c>
      <c r="H10" s="853">
        <f t="shared" ref="H10:H52" si="13">1-SUM(I10:M10)</f>
        <v>1</v>
      </c>
      <c r="I10" s="657">
        <f>'7&amp;8 Day'!$M77+'7&amp;8 Day'!$Z77</f>
        <v>0</v>
      </c>
      <c r="J10" s="657">
        <f>'7&amp;8 Day'!$M129+'7&amp;8 Day'!$Z129</f>
        <v>0</v>
      </c>
      <c r="K10" s="657">
        <f>'7&amp;8 Day'!$M181+'7&amp;8 Day'!$Z181</f>
        <v>0</v>
      </c>
      <c r="L10" s="657">
        <f>'7&amp;8 Day'!$M234+'7&amp;8 Day'!$Z234</f>
        <v>0</v>
      </c>
      <c r="M10" s="704">
        <f>'7&amp;8 Day'!$M287+'7&amp;8 Day'!$Z287</f>
        <v>0</v>
      </c>
      <c r="N10" s="423">
        <f t="shared" ref="N10:N52" si="14">1-SUM(O10:S10)</f>
        <v>1</v>
      </c>
      <c r="O10" s="424">
        <f>'7&amp;8 SU'!$M77+'7&amp;8 SU'!$Z77</f>
        <v>0</v>
      </c>
      <c r="P10" s="424">
        <f>'7&amp;8 SU'!$M129+'7&amp;8 SU'!$Z129</f>
        <v>0</v>
      </c>
      <c r="Q10" s="699">
        <f>'7&amp;8 SU'!$M181+'7&amp;8 SU'!$Z181</f>
        <v>0</v>
      </c>
      <c r="R10" s="424">
        <f>'7&amp;8 SU'!$M234+'7&amp;8 SU'!$Z234</f>
        <v>0</v>
      </c>
      <c r="S10" s="657">
        <f>'7&amp;8 SU'!$M287+'7&amp;8 SU'!$Z287</f>
        <v>0</v>
      </c>
      <c r="T10" s="423">
        <f>B10*'Market Data'!$E$52+N10*'Market Data'!$O$52</f>
        <v>0.91032159271242163</v>
      </c>
      <c r="U10" s="425">
        <f>SUM(C10:G10)*'Market Data'!$E$52+SUM(O10:S10)*'Market Data'!$O$52</f>
        <v>0</v>
      </c>
      <c r="W10" s="403">
        <v>2008</v>
      </c>
      <c r="X10" s="460">
        <f>IF('Market Penetration'!B10=0,0,1000*B10*'Market Data'!$E$51/('Market Penetration'!B10*'Market Data'!$C$51))</f>
        <v>114290.39175651137</v>
      </c>
      <c r="Y10" s="461">
        <f>IF('Market Penetration'!C10=0,0,1000*C10*'Market Data'!$E$51/('Market Penetration'!C10*'Market Data'!$C$51))</f>
        <v>0</v>
      </c>
      <c r="Z10" s="461">
        <f>IF('Market Penetration'!D10=0,0,1000*D10*'Market Data'!$E$51/('Market Penetration'!D10*'Market Data'!$C$51))</f>
        <v>0</v>
      </c>
      <c r="AA10" s="694">
        <f>IF('Market Penetration'!E10=0,0,1000*E10*'Market Data'!$E$51/('Market Penetration'!E10*'Market Data'!$C$51))</f>
        <v>0</v>
      </c>
      <c r="AB10" s="461">
        <f>IF('Market Penetration'!F10=0,0,1000*F10*'Market Data'!$E$51/('Market Penetration'!F10*'Market Data'!$C$51))</f>
        <v>0</v>
      </c>
      <c r="AC10" s="689">
        <f>IF('Market Penetration'!G10=0,0,1000*G10*'Market Data'!$E$51/('Market Penetration'!G10*'Market Data'!$C$51))</f>
        <v>0</v>
      </c>
      <c r="AD10" s="460">
        <f>IF('Market Penetration'!H10=0,0,1000*H10*'Market Data'!$O$51/('Market Penetration'!H10*'Market Data'!$M$51))</f>
        <v>76984.800905352895</v>
      </c>
      <c r="AE10" s="461">
        <f>IF('Market Penetration'!I10=0,0,1000*I10*'Market Data'!$O$51/('Market Penetration'!I10*'Market Data'!$M$51))</f>
        <v>0</v>
      </c>
      <c r="AF10" s="461">
        <f>IF('Market Penetration'!J10=0,0,1000*J10*'Market Data'!$O$51/('Market Penetration'!J10*'Market Data'!$M$51))</f>
        <v>0</v>
      </c>
      <c r="AG10" s="461">
        <f>IF('Market Penetration'!K10=0,0,1000*K10*'Market Data'!$O$51/('Market Penetration'!K10*'Market Data'!$M$51))</f>
        <v>0</v>
      </c>
      <c r="AH10" s="461">
        <f>IF('Market Penetration'!L10=0,0,1000*L10*'Market Data'!$O$51/('Market Penetration'!L10*'Market Data'!$M$51))</f>
        <v>0</v>
      </c>
      <c r="AI10" s="462">
        <f>IF('Market Penetration'!M10=0,0,1000*M10*'Market Data'!$O$51/('Market Penetration'!M10*'Market Data'!$M$51))</f>
        <v>0</v>
      </c>
      <c r="AJ10" s="460">
        <f>IF('Market Penetration'!N10=0,0,1000*N10*'Market Data'!$Y$51/('Market Penetration'!N10*'Market Data'!$W$51))</f>
        <v>27261.021505205488</v>
      </c>
      <c r="AK10" s="461">
        <f>IF('Market Penetration'!O10=0,0,1000*O10*'Market Data'!$Y$51/('Market Penetration'!O10*'Market Data'!$W$51))</f>
        <v>0</v>
      </c>
      <c r="AL10" s="461">
        <f>IF('Market Penetration'!P10=0,0,1000*P10*'Market Data'!$Y$51/('Market Penetration'!P10*'Market Data'!$W$51))</f>
        <v>0</v>
      </c>
      <c r="AM10" s="694">
        <f>IF('Market Penetration'!Q10=0,0,1000*Q10*'Market Data'!$Y$51/('Market Penetration'!Q10*'Market Data'!$W$51))</f>
        <v>0</v>
      </c>
      <c r="AN10" s="461">
        <f>IF('Market Penetration'!R10=0,0,1000*R10*'Market Data'!$Y$51/('Market Penetration'!R10*'Market Data'!$W$51))</f>
        <v>0</v>
      </c>
      <c r="AO10" s="689">
        <f>IF('Market Penetration'!S10=0,0,1000*S10*'Market Data'!$Y$51/('Market Penetration'!S10*'Market Data'!$W$51))</f>
        <v>0</v>
      </c>
      <c r="AP10" s="460">
        <f>IF('Market Penetration'!T10=0,0,1000*T10*('Market Data'!$E$51+'Market Data'!$O$51+'Market Data'!$Y$51)/('Market Penetration'!T10*('Market Data'!$C$51+'Market Data'!$M$51+'Market Data'!$W$51)))</f>
        <v>74129.118937560706</v>
      </c>
      <c r="AQ10" s="462">
        <f>IF('Market Penetration'!U10=0,0,1000*U10*('Market Data'!$E$51+'Market Data'!$O$51+'Market Data'!$Y$51)/('Market Penetration'!U10*('Market Data'!$C$51+'Market Data'!$M$51+'Market Data'!$W$51)))</f>
        <v>0</v>
      </c>
    </row>
    <row r="11" spans="1:43" ht="15" x14ac:dyDescent="0.2">
      <c r="A11" s="403">
        <v>2009</v>
      </c>
      <c r="B11" s="423">
        <f t="shared" si="12"/>
        <v>1</v>
      </c>
      <c r="C11" s="424">
        <f>'7&amp;8 Sleep'!$M78+'7&amp;8 Sleep'!$Z78</f>
        <v>0</v>
      </c>
      <c r="D11" s="424">
        <f>'7&amp;8 Sleep'!$M130+'7&amp;8 Sleep'!$Z130</f>
        <v>0</v>
      </c>
      <c r="E11" s="699">
        <f>'7&amp;8 Sleep'!$M182+'7&amp;8 Sleep'!$Z182</f>
        <v>0</v>
      </c>
      <c r="F11" s="424">
        <f>'7&amp;8 Sleep'!$M235+'7&amp;8 Sleep'!$Z235</f>
        <v>0</v>
      </c>
      <c r="G11" s="657">
        <f>'7&amp;8 Sleep'!$M288+'7&amp;8 Sleep'!$Z288</f>
        <v>0</v>
      </c>
      <c r="H11" s="853">
        <f t="shared" si="13"/>
        <v>1</v>
      </c>
      <c r="I11" s="657">
        <f>'7&amp;8 Day'!$M78+'7&amp;8 Day'!$Z78</f>
        <v>0</v>
      </c>
      <c r="J11" s="657">
        <f>'7&amp;8 Day'!$M130+'7&amp;8 Day'!$Z130</f>
        <v>0</v>
      </c>
      <c r="K11" s="657">
        <f>'7&amp;8 Day'!$M182+'7&amp;8 Day'!$Z182</f>
        <v>0</v>
      </c>
      <c r="L11" s="657">
        <f>'7&amp;8 Day'!$M235+'7&amp;8 Day'!$Z235</f>
        <v>0</v>
      </c>
      <c r="M11" s="704">
        <f>'7&amp;8 Day'!$M288+'7&amp;8 Day'!$Z288</f>
        <v>0</v>
      </c>
      <c r="N11" s="423">
        <f t="shared" si="14"/>
        <v>1</v>
      </c>
      <c r="O11" s="424">
        <f>'7&amp;8 SU'!$M78+'7&amp;8 SU'!$Z78</f>
        <v>0</v>
      </c>
      <c r="P11" s="424">
        <f>'7&amp;8 SU'!$M130+'7&amp;8 SU'!$Z130</f>
        <v>0</v>
      </c>
      <c r="Q11" s="699">
        <f>'7&amp;8 SU'!$M182+'7&amp;8 SU'!$Z182</f>
        <v>0</v>
      </c>
      <c r="R11" s="424">
        <f>'7&amp;8 SU'!$M235+'7&amp;8 SU'!$Z235</f>
        <v>0</v>
      </c>
      <c r="S11" s="657">
        <f>'7&amp;8 SU'!$M288+'7&amp;8 SU'!$Z288</f>
        <v>0</v>
      </c>
      <c r="T11" s="423">
        <f>B11*'Market Data'!$E$52+N11*'Market Data'!$O$52</f>
        <v>0.91032159271242163</v>
      </c>
      <c r="U11" s="425">
        <f>SUM(C11:G11)*'Market Data'!$E$52+SUM(O11:S11)*'Market Data'!$O$52</f>
        <v>0</v>
      </c>
      <c r="W11" s="403">
        <v>2009</v>
      </c>
      <c r="X11" s="460">
        <f>IF('Market Penetration'!B11=0,0,1000*B11*'Market Data'!$E$51/('Market Penetration'!B11*'Market Data'!$C$51))</f>
        <v>114290.39175651137</v>
      </c>
      <c r="Y11" s="461">
        <f>IF('Market Penetration'!C11=0,0,1000*C11*'Market Data'!$E$51/('Market Penetration'!C11*'Market Data'!$C$51))</f>
        <v>0</v>
      </c>
      <c r="Z11" s="461">
        <f>IF('Market Penetration'!D11=0,0,1000*D11*'Market Data'!$E$51/('Market Penetration'!D11*'Market Data'!$C$51))</f>
        <v>0</v>
      </c>
      <c r="AA11" s="694">
        <f>IF('Market Penetration'!E11=0,0,1000*E11*'Market Data'!$E$51/('Market Penetration'!E11*'Market Data'!$C$51))</f>
        <v>0</v>
      </c>
      <c r="AB11" s="461">
        <f>IF('Market Penetration'!F11=0,0,1000*F11*'Market Data'!$E$51/('Market Penetration'!F11*'Market Data'!$C$51))</f>
        <v>0</v>
      </c>
      <c r="AC11" s="689">
        <f>IF('Market Penetration'!G11=0,0,1000*G11*'Market Data'!$E$51/('Market Penetration'!G11*'Market Data'!$C$51))</f>
        <v>0</v>
      </c>
      <c r="AD11" s="460">
        <f>IF('Market Penetration'!H11=0,0,1000*H11*'Market Data'!$O$51/('Market Penetration'!H11*'Market Data'!$M$51))</f>
        <v>76984.800905352895</v>
      </c>
      <c r="AE11" s="461">
        <f>IF('Market Penetration'!I11=0,0,1000*I11*'Market Data'!$O$51/('Market Penetration'!I11*'Market Data'!$M$51))</f>
        <v>0</v>
      </c>
      <c r="AF11" s="461">
        <f>IF('Market Penetration'!J11=0,0,1000*J11*'Market Data'!$O$51/('Market Penetration'!J11*'Market Data'!$M$51))</f>
        <v>0</v>
      </c>
      <c r="AG11" s="461">
        <f>IF('Market Penetration'!K11=0,0,1000*K11*'Market Data'!$O$51/('Market Penetration'!K11*'Market Data'!$M$51))</f>
        <v>0</v>
      </c>
      <c r="AH11" s="461">
        <f>IF('Market Penetration'!L11=0,0,1000*L11*'Market Data'!$O$51/('Market Penetration'!L11*'Market Data'!$M$51))</f>
        <v>0</v>
      </c>
      <c r="AI11" s="462">
        <f>IF('Market Penetration'!M11=0,0,1000*M11*'Market Data'!$O$51/('Market Penetration'!M11*'Market Data'!$M$51))</f>
        <v>0</v>
      </c>
      <c r="AJ11" s="460">
        <f>IF('Market Penetration'!N11=0,0,1000*N11*'Market Data'!$Y$51/('Market Penetration'!N11*'Market Data'!$W$51))</f>
        <v>27261.021505205488</v>
      </c>
      <c r="AK11" s="461">
        <f>IF('Market Penetration'!O11=0,0,1000*O11*'Market Data'!$Y$51/('Market Penetration'!O11*'Market Data'!$W$51))</f>
        <v>0</v>
      </c>
      <c r="AL11" s="461">
        <f>IF('Market Penetration'!P11=0,0,1000*P11*'Market Data'!$Y$51/('Market Penetration'!P11*'Market Data'!$W$51))</f>
        <v>0</v>
      </c>
      <c r="AM11" s="694">
        <f>IF('Market Penetration'!Q11=0,0,1000*Q11*'Market Data'!$Y$51/('Market Penetration'!Q11*'Market Data'!$W$51))</f>
        <v>0</v>
      </c>
      <c r="AN11" s="461">
        <f>IF('Market Penetration'!R11=0,0,1000*R11*'Market Data'!$Y$51/('Market Penetration'!R11*'Market Data'!$W$51))</f>
        <v>0</v>
      </c>
      <c r="AO11" s="689">
        <f>IF('Market Penetration'!S11=0,0,1000*S11*'Market Data'!$Y$51/('Market Penetration'!S11*'Market Data'!$W$51))</f>
        <v>0</v>
      </c>
      <c r="AP11" s="460">
        <f>IF('Market Penetration'!T11=0,0,1000*T11*('Market Data'!$E$51+'Market Data'!$O$51+'Market Data'!$Y$51)/('Market Penetration'!T11*('Market Data'!$C$51+'Market Data'!$M$51+'Market Data'!$W$51)))</f>
        <v>74129.118937560706</v>
      </c>
      <c r="AQ11" s="462">
        <f>IF('Market Penetration'!U11=0,0,1000*U11*('Market Data'!$E$51+'Market Data'!$O$51+'Market Data'!$Y$51)/('Market Penetration'!U11*('Market Data'!$C$51+'Market Data'!$M$51+'Market Data'!$W$51)))</f>
        <v>0</v>
      </c>
    </row>
    <row r="12" spans="1:43" ht="15" x14ac:dyDescent="0.2">
      <c r="A12" s="403">
        <v>2010</v>
      </c>
      <c r="B12" s="426">
        <f t="shared" si="12"/>
        <v>1</v>
      </c>
      <c r="C12" s="427">
        <f>'7&amp;8 Sleep'!$M79+'7&amp;8 Sleep'!$Z79</f>
        <v>0</v>
      </c>
      <c r="D12" s="427">
        <f>'7&amp;8 Sleep'!$M131+'7&amp;8 Sleep'!$Z131</f>
        <v>0</v>
      </c>
      <c r="E12" s="700">
        <f>'7&amp;8 Sleep'!$M183+'7&amp;8 Sleep'!$Z183</f>
        <v>0</v>
      </c>
      <c r="F12" s="427">
        <f>'7&amp;8 Sleep'!$M236+'7&amp;8 Sleep'!$Z236</f>
        <v>0</v>
      </c>
      <c r="G12" s="658">
        <f>'7&amp;8 Sleep'!$M289+'7&amp;8 Sleep'!$Z289</f>
        <v>0</v>
      </c>
      <c r="H12" s="854">
        <f t="shared" si="13"/>
        <v>1</v>
      </c>
      <c r="I12" s="658">
        <f>'7&amp;8 Day'!$M79+'7&amp;8 Day'!$Z79</f>
        <v>0</v>
      </c>
      <c r="J12" s="658">
        <f>'7&amp;8 Day'!$M131+'7&amp;8 Day'!$Z131</f>
        <v>0</v>
      </c>
      <c r="K12" s="658">
        <f>'7&amp;8 Day'!$M183+'7&amp;8 Day'!$Z183</f>
        <v>0</v>
      </c>
      <c r="L12" s="658">
        <f>'7&amp;8 Day'!$M236+'7&amp;8 Day'!$Z236</f>
        <v>0</v>
      </c>
      <c r="M12" s="705">
        <f>'7&amp;8 Day'!$M289+'7&amp;8 Day'!$Z289</f>
        <v>0</v>
      </c>
      <c r="N12" s="426">
        <f t="shared" si="14"/>
        <v>1</v>
      </c>
      <c r="O12" s="427">
        <f>'7&amp;8 SU'!$M79+'7&amp;8 SU'!$Z79</f>
        <v>0</v>
      </c>
      <c r="P12" s="427">
        <f>'7&amp;8 SU'!$M131+'7&amp;8 SU'!$Z131</f>
        <v>0</v>
      </c>
      <c r="Q12" s="700">
        <f>'7&amp;8 SU'!$M183+'7&amp;8 SU'!$Z183</f>
        <v>0</v>
      </c>
      <c r="R12" s="427">
        <f>'7&amp;8 SU'!$M236+'7&amp;8 SU'!$Z236</f>
        <v>0</v>
      </c>
      <c r="S12" s="658">
        <f>'7&amp;8 SU'!$M289+'7&amp;8 SU'!$Z289</f>
        <v>0</v>
      </c>
      <c r="T12" s="426">
        <f>B12*'Market Data'!$E$52+N12*'Market Data'!$O$52</f>
        <v>0.91032159271242163</v>
      </c>
      <c r="U12" s="428">
        <f>SUM(C12:G12)*'Market Data'!$E$52+SUM(O12:S12)*'Market Data'!$O$52</f>
        <v>0</v>
      </c>
      <c r="W12" s="403">
        <v>2010</v>
      </c>
      <c r="X12" s="463">
        <f>IF('Market Penetration'!B12=0,0,1000*B12*'Market Data'!$E$51/('Market Penetration'!B12*'Market Data'!$C$51))</f>
        <v>114290.39175651137</v>
      </c>
      <c r="Y12" s="464">
        <f>IF('Market Penetration'!C12=0,0,1000*C12*'Market Data'!$E$51/('Market Penetration'!C12*'Market Data'!$C$51))</f>
        <v>0</v>
      </c>
      <c r="Z12" s="464">
        <f>IF('Market Penetration'!D12=0,0,1000*D12*'Market Data'!$E$51/('Market Penetration'!D12*'Market Data'!$C$51))</f>
        <v>0</v>
      </c>
      <c r="AA12" s="695">
        <f>IF('Market Penetration'!E12=0,0,1000*E12*'Market Data'!$E$51/('Market Penetration'!E12*'Market Data'!$C$51))</f>
        <v>0</v>
      </c>
      <c r="AB12" s="464">
        <f>IF('Market Penetration'!F12=0,0,1000*F12*'Market Data'!$E$51/('Market Penetration'!F12*'Market Data'!$C$51))</f>
        <v>0</v>
      </c>
      <c r="AC12" s="690">
        <f>IF('Market Penetration'!G12=0,0,1000*G12*'Market Data'!$E$51/('Market Penetration'!G12*'Market Data'!$C$51))</f>
        <v>0</v>
      </c>
      <c r="AD12" s="463">
        <f>IF('Market Penetration'!H12=0,0,1000*H12*'Market Data'!$O$51/('Market Penetration'!H12*'Market Data'!$M$51))</f>
        <v>76984.800905352895</v>
      </c>
      <c r="AE12" s="464">
        <f>IF('Market Penetration'!I12=0,0,1000*I12*'Market Data'!$O$51/('Market Penetration'!I12*'Market Data'!$M$51))</f>
        <v>0</v>
      </c>
      <c r="AF12" s="464">
        <f>IF('Market Penetration'!J12=0,0,1000*J12*'Market Data'!$O$51/('Market Penetration'!J12*'Market Data'!$M$51))</f>
        <v>0</v>
      </c>
      <c r="AG12" s="464">
        <f>IF('Market Penetration'!K12=0,0,1000*K12*'Market Data'!$O$51/('Market Penetration'!K12*'Market Data'!$M$51))</f>
        <v>0</v>
      </c>
      <c r="AH12" s="464">
        <f>IF('Market Penetration'!L12=0,0,1000*L12*'Market Data'!$O$51/('Market Penetration'!L12*'Market Data'!$M$51))</f>
        <v>0</v>
      </c>
      <c r="AI12" s="465">
        <f>IF('Market Penetration'!M12=0,0,1000*M12*'Market Data'!$O$51/('Market Penetration'!M12*'Market Data'!$M$51))</f>
        <v>0</v>
      </c>
      <c r="AJ12" s="463">
        <f>IF('Market Penetration'!N12=0,0,1000*N12*'Market Data'!$Y$51/('Market Penetration'!N12*'Market Data'!$W$51))</f>
        <v>27261.021505205488</v>
      </c>
      <c r="AK12" s="464">
        <f>IF('Market Penetration'!O12=0,0,1000*O12*'Market Data'!$Y$51/('Market Penetration'!O12*'Market Data'!$W$51))</f>
        <v>0</v>
      </c>
      <c r="AL12" s="464">
        <f>IF('Market Penetration'!P12=0,0,1000*P12*'Market Data'!$Y$51/('Market Penetration'!P12*'Market Data'!$W$51))</f>
        <v>0</v>
      </c>
      <c r="AM12" s="695">
        <f>IF('Market Penetration'!Q12=0,0,1000*Q12*'Market Data'!$Y$51/('Market Penetration'!Q12*'Market Data'!$W$51))</f>
        <v>0</v>
      </c>
      <c r="AN12" s="464">
        <f>IF('Market Penetration'!R12=0,0,1000*R12*'Market Data'!$Y$51/('Market Penetration'!R12*'Market Data'!$W$51))</f>
        <v>0</v>
      </c>
      <c r="AO12" s="690">
        <f>IF('Market Penetration'!S12=0,0,1000*S12*'Market Data'!$Y$51/('Market Penetration'!S12*'Market Data'!$W$51))</f>
        <v>0</v>
      </c>
      <c r="AP12" s="463">
        <f>IF('Market Penetration'!T12=0,0,1000*T12*('Market Data'!$E$51+'Market Data'!$O$51+'Market Data'!$Y$51)/('Market Penetration'!T12*('Market Data'!$C$51+'Market Data'!$M$51+'Market Data'!$W$51)))</f>
        <v>74129.118937560706</v>
      </c>
      <c r="AQ12" s="465">
        <f>IF('Market Penetration'!U12=0,0,1000*U12*('Market Data'!$E$51+'Market Data'!$O$51+'Market Data'!$Y$51)/('Market Penetration'!U12*('Market Data'!$C$51+'Market Data'!$M$51+'Market Data'!$W$51)))</f>
        <v>0</v>
      </c>
    </row>
    <row r="13" spans="1:43" ht="15" x14ac:dyDescent="0.2">
      <c r="A13" s="429">
        <v>2011</v>
      </c>
      <c r="B13" s="430">
        <f t="shared" si="12"/>
        <v>1</v>
      </c>
      <c r="C13" s="431">
        <f>'7&amp;8 Sleep'!$M80+'7&amp;8 Sleep'!$Z80</f>
        <v>0</v>
      </c>
      <c r="D13" s="431">
        <f>'7&amp;8 Sleep'!$M132+'7&amp;8 Sleep'!$Z132</f>
        <v>0</v>
      </c>
      <c r="E13" s="701">
        <f>'7&amp;8 Sleep'!$M184+'7&amp;8 Sleep'!$Z184</f>
        <v>0</v>
      </c>
      <c r="F13" s="431">
        <f>'7&amp;8 Sleep'!$M237+'7&amp;8 Sleep'!$Z237</f>
        <v>0</v>
      </c>
      <c r="G13" s="659">
        <f>'7&amp;8 Sleep'!$M290+'7&amp;8 Sleep'!$Z290</f>
        <v>0</v>
      </c>
      <c r="H13" s="855">
        <f t="shared" si="13"/>
        <v>1</v>
      </c>
      <c r="I13" s="659">
        <f>'7&amp;8 Day'!$M80+'7&amp;8 Day'!$Z80</f>
        <v>0</v>
      </c>
      <c r="J13" s="659">
        <f>'7&amp;8 Day'!$M132+'7&amp;8 Day'!$Z132</f>
        <v>0</v>
      </c>
      <c r="K13" s="659">
        <f>'7&amp;8 Day'!$M184+'7&amp;8 Day'!$Z184</f>
        <v>0</v>
      </c>
      <c r="L13" s="659">
        <f>'7&amp;8 Day'!$M237+'7&amp;8 Day'!$Z237</f>
        <v>0</v>
      </c>
      <c r="M13" s="706">
        <f>'7&amp;8 Day'!$M290+'7&amp;8 Day'!$Z290</f>
        <v>0</v>
      </c>
      <c r="N13" s="430">
        <f t="shared" si="14"/>
        <v>1</v>
      </c>
      <c r="O13" s="431">
        <f>'7&amp;8 SU'!$M80+'7&amp;8 SU'!$Z80</f>
        <v>0</v>
      </c>
      <c r="P13" s="431">
        <f>'7&amp;8 SU'!$M132+'7&amp;8 SU'!$Z132</f>
        <v>0</v>
      </c>
      <c r="Q13" s="701">
        <f>'7&amp;8 SU'!$M184+'7&amp;8 SU'!$Z184</f>
        <v>0</v>
      </c>
      <c r="R13" s="431">
        <f>'7&amp;8 SU'!$M237+'7&amp;8 SU'!$Z237</f>
        <v>0</v>
      </c>
      <c r="S13" s="659">
        <f>'7&amp;8 SU'!$M290+'7&amp;8 SU'!$Z290</f>
        <v>0</v>
      </c>
      <c r="T13" s="433">
        <f>B13*'Market Data'!$E$52+N13*'Market Data'!$O$52</f>
        <v>0.91032159271242163</v>
      </c>
      <c r="U13" s="434">
        <f>SUM(C13:G13)*'Market Data'!$E$52+SUM(O13:S13)*'Market Data'!$O$52</f>
        <v>0</v>
      </c>
      <c r="W13" s="429">
        <v>2011</v>
      </c>
      <c r="X13" s="466">
        <f>IF('Market Penetration'!B13=0,0,1000*B13*'Market Data'!$E$51/('Market Penetration'!B13*'Market Data'!$C$51))</f>
        <v>114290.39175651137</v>
      </c>
      <c r="Y13" s="467">
        <f>IF('Market Penetration'!C13=0,0,1000*C13*'Market Data'!$E$51/('Market Penetration'!C13*'Market Data'!$C$51))</f>
        <v>0</v>
      </c>
      <c r="Z13" s="467">
        <f>IF('Market Penetration'!D13=0,0,1000*D13*'Market Data'!$E$51/('Market Penetration'!D13*'Market Data'!$C$51))</f>
        <v>0</v>
      </c>
      <c r="AA13" s="696">
        <f>IF('Market Penetration'!E13=0,0,1000*E13*'Market Data'!$E$51/('Market Penetration'!E13*'Market Data'!$C$51))</f>
        <v>0</v>
      </c>
      <c r="AB13" s="467">
        <f>IF('Market Penetration'!F13=0,0,1000*F13*'Market Data'!$E$51/('Market Penetration'!F13*'Market Data'!$C$51))</f>
        <v>0</v>
      </c>
      <c r="AC13" s="691">
        <f>IF('Market Penetration'!G13=0,0,1000*G13*'Market Data'!$E$51/('Market Penetration'!G13*'Market Data'!$C$51))</f>
        <v>0</v>
      </c>
      <c r="AD13" s="466">
        <f>IF('Market Penetration'!H13=0,0,1000*H13*'Market Data'!$O$51/('Market Penetration'!H13*'Market Data'!$M$51))</f>
        <v>76984.800905352895</v>
      </c>
      <c r="AE13" s="467">
        <f>IF('Market Penetration'!I13=0,0,1000*I13*'Market Data'!$O$51/('Market Penetration'!I13*'Market Data'!$M$51))</f>
        <v>0</v>
      </c>
      <c r="AF13" s="467">
        <f>IF('Market Penetration'!J13=0,0,1000*J13*'Market Data'!$O$51/('Market Penetration'!J13*'Market Data'!$M$51))</f>
        <v>0</v>
      </c>
      <c r="AG13" s="467">
        <f>IF('Market Penetration'!K13=0,0,1000*K13*'Market Data'!$O$51/('Market Penetration'!K13*'Market Data'!$M$51))</f>
        <v>0</v>
      </c>
      <c r="AH13" s="467">
        <f>IF('Market Penetration'!L13=0,0,1000*L13*'Market Data'!$O$51/('Market Penetration'!L13*'Market Data'!$M$51))</f>
        <v>0</v>
      </c>
      <c r="AI13" s="860">
        <f>IF('Market Penetration'!M13=0,0,1000*M13*'Market Data'!$O$51/('Market Penetration'!M13*'Market Data'!$M$51))</f>
        <v>0</v>
      </c>
      <c r="AJ13" s="466">
        <f>IF('Market Penetration'!N13=0,0,1000*N13*'Market Data'!$Y$51/('Market Penetration'!N13*'Market Data'!$W$51))</f>
        <v>27261.021505205488</v>
      </c>
      <c r="AK13" s="467">
        <f>IF('Market Penetration'!O13=0,0,1000*O13*'Market Data'!$Y$51/('Market Penetration'!O13*'Market Data'!$W$51))</f>
        <v>0</v>
      </c>
      <c r="AL13" s="467">
        <f>IF('Market Penetration'!P13=0,0,1000*P13*'Market Data'!$Y$51/('Market Penetration'!P13*'Market Data'!$W$51))</f>
        <v>0</v>
      </c>
      <c r="AM13" s="696">
        <f>IF('Market Penetration'!Q13=0,0,1000*Q13*'Market Data'!$Y$51/('Market Penetration'!Q13*'Market Data'!$W$51))</f>
        <v>0</v>
      </c>
      <c r="AN13" s="467">
        <f>IF('Market Penetration'!R13=0,0,1000*R13*'Market Data'!$Y$51/('Market Penetration'!R13*'Market Data'!$W$51))</f>
        <v>0</v>
      </c>
      <c r="AO13" s="691">
        <f>IF('Market Penetration'!S13=0,0,1000*S13*'Market Data'!$Y$51/('Market Penetration'!S13*'Market Data'!$W$51))</f>
        <v>0</v>
      </c>
      <c r="AP13" s="468">
        <f>IF('Market Penetration'!T13=0,0,1000*T13*('Market Data'!$E$51+'Market Data'!$O$51+'Market Data'!$Y$51)/('Market Penetration'!T13*('Market Data'!$C$51+'Market Data'!$M$51+'Market Data'!$W$51)))</f>
        <v>74129.118937560706</v>
      </c>
      <c r="AQ13" s="469">
        <f>IF('Market Penetration'!U13=0,0,1000*U13*('Market Data'!$E$51+'Market Data'!$O$51+'Market Data'!$Y$51)/('Market Penetration'!U13*('Market Data'!$C$51+'Market Data'!$M$51+'Market Data'!$W$51)))</f>
        <v>0</v>
      </c>
    </row>
    <row r="14" spans="1:43" ht="15" x14ac:dyDescent="0.2">
      <c r="A14" s="403">
        <v>2012</v>
      </c>
      <c r="B14" s="423">
        <f t="shared" si="12"/>
        <v>1</v>
      </c>
      <c r="C14" s="424">
        <f>'7&amp;8 Sleep'!$M81+'7&amp;8 Sleep'!$Z81</f>
        <v>0</v>
      </c>
      <c r="D14" s="424">
        <f>'7&amp;8 Sleep'!$M133+'7&amp;8 Sleep'!$Z133</f>
        <v>0</v>
      </c>
      <c r="E14" s="699">
        <f>'7&amp;8 Sleep'!$M185+'7&amp;8 Sleep'!$Z185</f>
        <v>0</v>
      </c>
      <c r="F14" s="424">
        <f>'7&amp;8 Sleep'!$M238+'7&amp;8 Sleep'!$Z238</f>
        <v>0</v>
      </c>
      <c r="G14" s="657">
        <f>'7&amp;8 Sleep'!$M291+'7&amp;8 Sleep'!$Z291</f>
        <v>0</v>
      </c>
      <c r="H14" s="853">
        <f t="shared" si="13"/>
        <v>1</v>
      </c>
      <c r="I14" s="657">
        <f>'7&amp;8 Day'!$M81+'7&amp;8 Day'!$Z81</f>
        <v>0</v>
      </c>
      <c r="J14" s="657">
        <f>'7&amp;8 Day'!$M133+'7&amp;8 Day'!$Z133</f>
        <v>0</v>
      </c>
      <c r="K14" s="657">
        <f>'7&amp;8 Day'!$M185+'7&amp;8 Day'!$Z185</f>
        <v>0</v>
      </c>
      <c r="L14" s="657">
        <f>'7&amp;8 Day'!$M238+'7&amp;8 Day'!$Z238</f>
        <v>0</v>
      </c>
      <c r="M14" s="704">
        <f>'7&amp;8 Day'!$M291+'7&amp;8 Day'!$Z291</f>
        <v>0</v>
      </c>
      <c r="N14" s="423">
        <f t="shared" si="14"/>
        <v>1</v>
      </c>
      <c r="O14" s="424">
        <f>'7&amp;8 SU'!$M81+'7&amp;8 SU'!$Z81</f>
        <v>0</v>
      </c>
      <c r="P14" s="424">
        <f>'7&amp;8 SU'!$M133+'7&amp;8 SU'!$Z133</f>
        <v>0</v>
      </c>
      <c r="Q14" s="699">
        <f>'7&amp;8 SU'!$M185+'7&amp;8 SU'!$Z185</f>
        <v>0</v>
      </c>
      <c r="R14" s="424">
        <f>'7&amp;8 SU'!$M238+'7&amp;8 SU'!$Z238</f>
        <v>0</v>
      </c>
      <c r="S14" s="657">
        <f>'7&amp;8 SU'!$M291+'7&amp;8 SU'!$Z291</f>
        <v>0</v>
      </c>
      <c r="T14" s="423">
        <f>B14*'Market Data'!$E$52+N14*'Market Data'!$O$52</f>
        <v>0.91032159271242163</v>
      </c>
      <c r="U14" s="425">
        <f>SUM(C14:G14)*'Market Data'!$E$52+SUM(O14:S14)*'Market Data'!$O$52</f>
        <v>0</v>
      </c>
      <c r="W14" s="403">
        <v>2012</v>
      </c>
      <c r="X14" s="460">
        <f>IF('Market Penetration'!B14=0,0,1000*B14*'Market Data'!$E$51/('Market Penetration'!B14*'Market Data'!$C$51))</f>
        <v>114290.39175651137</v>
      </c>
      <c r="Y14" s="461">
        <f>IF('Market Penetration'!C14=0,0,1000*C14*'Market Data'!$E$51/('Market Penetration'!C14*'Market Data'!$C$51))</f>
        <v>0</v>
      </c>
      <c r="Z14" s="461">
        <f>IF('Market Penetration'!D14=0,0,1000*D14*'Market Data'!$E$51/('Market Penetration'!D14*'Market Data'!$C$51))</f>
        <v>0</v>
      </c>
      <c r="AA14" s="694">
        <f>IF('Market Penetration'!E14=0,0,1000*E14*'Market Data'!$E$51/('Market Penetration'!E14*'Market Data'!$C$51))</f>
        <v>0</v>
      </c>
      <c r="AB14" s="461">
        <f>IF('Market Penetration'!F14=0,0,1000*F14*'Market Data'!$E$51/('Market Penetration'!F14*'Market Data'!$C$51))</f>
        <v>0</v>
      </c>
      <c r="AC14" s="689">
        <f>IF('Market Penetration'!G14=0,0,1000*G14*'Market Data'!$E$51/('Market Penetration'!G14*'Market Data'!$C$51))</f>
        <v>0</v>
      </c>
      <c r="AD14" s="460">
        <f>IF('Market Penetration'!H14=0,0,1000*H14*'Market Data'!$O$51/('Market Penetration'!H14*'Market Data'!$M$51))</f>
        <v>76984.800905352895</v>
      </c>
      <c r="AE14" s="461">
        <f>IF('Market Penetration'!I14=0,0,1000*I14*'Market Data'!$O$51/('Market Penetration'!I14*'Market Data'!$M$51))</f>
        <v>0</v>
      </c>
      <c r="AF14" s="461">
        <f>IF('Market Penetration'!J14=0,0,1000*J14*'Market Data'!$O$51/('Market Penetration'!J14*'Market Data'!$M$51))</f>
        <v>0</v>
      </c>
      <c r="AG14" s="461">
        <f>IF('Market Penetration'!K14=0,0,1000*K14*'Market Data'!$O$51/('Market Penetration'!K14*'Market Data'!$M$51))</f>
        <v>0</v>
      </c>
      <c r="AH14" s="461">
        <f>IF('Market Penetration'!L14=0,0,1000*L14*'Market Data'!$O$51/('Market Penetration'!L14*'Market Data'!$M$51))</f>
        <v>0</v>
      </c>
      <c r="AI14" s="462">
        <f>IF('Market Penetration'!M14=0,0,1000*M14*'Market Data'!$O$51/('Market Penetration'!M14*'Market Data'!$M$51))</f>
        <v>0</v>
      </c>
      <c r="AJ14" s="460">
        <f>IF('Market Penetration'!N14=0,0,1000*N14*'Market Data'!$Y$51/('Market Penetration'!N14*'Market Data'!$W$51))</f>
        <v>27261.021505205488</v>
      </c>
      <c r="AK14" s="461">
        <f>IF('Market Penetration'!O14=0,0,1000*O14*'Market Data'!$Y$51/('Market Penetration'!O14*'Market Data'!$W$51))</f>
        <v>0</v>
      </c>
      <c r="AL14" s="461">
        <f>IF('Market Penetration'!P14=0,0,1000*P14*'Market Data'!$Y$51/('Market Penetration'!P14*'Market Data'!$W$51))</f>
        <v>0</v>
      </c>
      <c r="AM14" s="694">
        <f>IF('Market Penetration'!Q14=0,0,1000*Q14*'Market Data'!$Y$51/('Market Penetration'!Q14*'Market Data'!$W$51))</f>
        <v>0</v>
      </c>
      <c r="AN14" s="461">
        <f>IF('Market Penetration'!R14=0,0,1000*R14*'Market Data'!$Y$51/('Market Penetration'!R14*'Market Data'!$W$51))</f>
        <v>0</v>
      </c>
      <c r="AO14" s="689">
        <f>IF('Market Penetration'!S14=0,0,1000*S14*'Market Data'!$Y$51/('Market Penetration'!S14*'Market Data'!$W$51))</f>
        <v>0</v>
      </c>
      <c r="AP14" s="460">
        <f>IF('Market Penetration'!T14=0,0,1000*T14*('Market Data'!$E$51+'Market Data'!$O$51+'Market Data'!$Y$51)/('Market Penetration'!T14*('Market Data'!$C$51+'Market Data'!$M$51+'Market Data'!$W$51)))</f>
        <v>74129.118937560706</v>
      </c>
      <c r="AQ14" s="462">
        <f>IF('Market Penetration'!U14=0,0,1000*U14*('Market Data'!$E$51+'Market Data'!$O$51+'Market Data'!$Y$51)/('Market Penetration'!U14*('Market Data'!$C$51+'Market Data'!$M$51+'Market Data'!$W$51)))</f>
        <v>0</v>
      </c>
    </row>
    <row r="15" spans="1:43" ht="15" x14ac:dyDescent="0.2">
      <c r="A15" s="403">
        <v>2013</v>
      </c>
      <c r="B15" s="423">
        <f t="shared" si="12"/>
        <v>1</v>
      </c>
      <c r="C15" s="424">
        <f>'7&amp;8 Sleep'!$M82+'7&amp;8 Sleep'!$Z82</f>
        <v>0</v>
      </c>
      <c r="D15" s="424">
        <f>'7&amp;8 Sleep'!$M134+'7&amp;8 Sleep'!$Z134</f>
        <v>0</v>
      </c>
      <c r="E15" s="699">
        <f>'7&amp;8 Sleep'!$M186+'7&amp;8 Sleep'!$Z186</f>
        <v>0</v>
      </c>
      <c r="F15" s="424">
        <f>'7&amp;8 Sleep'!$M239+'7&amp;8 Sleep'!$Z239</f>
        <v>0</v>
      </c>
      <c r="G15" s="657">
        <f>'7&amp;8 Sleep'!$M292+'7&amp;8 Sleep'!$Z292</f>
        <v>0</v>
      </c>
      <c r="H15" s="853">
        <f t="shared" si="13"/>
        <v>1</v>
      </c>
      <c r="I15" s="657">
        <f>'7&amp;8 Day'!$M82+'7&amp;8 Day'!$Z82</f>
        <v>0</v>
      </c>
      <c r="J15" s="657">
        <f>'7&amp;8 Day'!$M134+'7&amp;8 Day'!$Z134</f>
        <v>0</v>
      </c>
      <c r="K15" s="657">
        <f>'7&amp;8 Day'!$M186+'7&amp;8 Day'!$Z186</f>
        <v>0</v>
      </c>
      <c r="L15" s="657">
        <f>'7&amp;8 Day'!$M239+'7&amp;8 Day'!$Z239</f>
        <v>0</v>
      </c>
      <c r="M15" s="704">
        <f>'7&amp;8 Day'!$M292+'7&amp;8 Day'!$Z292</f>
        <v>0</v>
      </c>
      <c r="N15" s="423">
        <f t="shared" si="14"/>
        <v>1</v>
      </c>
      <c r="O15" s="424">
        <f>'7&amp;8 SU'!$M82+'7&amp;8 SU'!$Z82</f>
        <v>0</v>
      </c>
      <c r="P15" s="424">
        <f>'7&amp;8 SU'!$M134+'7&amp;8 SU'!$Z134</f>
        <v>0</v>
      </c>
      <c r="Q15" s="699">
        <f>'7&amp;8 SU'!$M186+'7&amp;8 SU'!$Z186</f>
        <v>0</v>
      </c>
      <c r="R15" s="424">
        <f>'7&amp;8 SU'!$M239+'7&amp;8 SU'!$Z239</f>
        <v>0</v>
      </c>
      <c r="S15" s="657">
        <f>'7&amp;8 SU'!$M292+'7&amp;8 SU'!$Z292</f>
        <v>0</v>
      </c>
      <c r="T15" s="423">
        <f>B15*'Market Data'!$E$52+N15*'Market Data'!$O$52</f>
        <v>0.91032159271242163</v>
      </c>
      <c r="U15" s="425">
        <f>SUM(C15:G15)*'Market Data'!$E$52+SUM(O15:S15)*'Market Data'!$O$52</f>
        <v>0</v>
      </c>
      <c r="W15" s="403">
        <v>2013</v>
      </c>
      <c r="X15" s="460">
        <f>IF('Market Penetration'!B15=0,0,1000*B15*'Market Data'!$E$51/('Market Penetration'!B15*'Market Data'!$C$51))</f>
        <v>114290.39175651137</v>
      </c>
      <c r="Y15" s="461">
        <f>IF('Market Penetration'!C15=0,0,1000*C15*'Market Data'!$E$51/('Market Penetration'!C15*'Market Data'!$C$51))</f>
        <v>0</v>
      </c>
      <c r="Z15" s="461">
        <f>IF('Market Penetration'!D15=0,0,1000*D15*'Market Data'!$E$51/('Market Penetration'!D15*'Market Data'!$C$51))</f>
        <v>0</v>
      </c>
      <c r="AA15" s="694">
        <f>IF('Market Penetration'!E15=0,0,1000*E15*'Market Data'!$E$51/('Market Penetration'!E15*'Market Data'!$C$51))</f>
        <v>0</v>
      </c>
      <c r="AB15" s="461">
        <f>IF('Market Penetration'!F15=0,0,1000*F15*'Market Data'!$E$51/('Market Penetration'!F15*'Market Data'!$C$51))</f>
        <v>0</v>
      </c>
      <c r="AC15" s="689">
        <f>IF('Market Penetration'!G15=0,0,1000*G15*'Market Data'!$E$51/('Market Penetration'!G15*'Market Data'!$C$51))</f>
        <v>0</v>
      </c>
      <c r="AD15" s="460">
        <f>IF('Market Penetration'!H15=0,0,1000*H15*'Market Data'!$O$51/('Market Penetration'!H15*'Market Data'!$M$51))</f>
        <v>76984.800905352895</v>
      </c>
      <c r="AE15" s="461">
        <f>IF('Market Penetration'!I15=0,0,1000*I15*'Market Data'!$O$51/('Market Penetration'!I15*'Market Data'!$M$51))</f>
        <v>0</v>
      </c>
      <c r="AF15" s="461">
        <f>IF('Market Penetration'!J15=0,0,1000*J15*'Market Data'!$O$51/('Market Penetration'!J15*'Market Data'!$M$51))</f>
        <v>0</v>
      </c>
      <c r="AG15" s="461">
        <f>IF('Market Penetration'!K15=0,0,1000*K15*'Market Data'!$O$51/('Market Penetration'!K15*'Market Data'!$M$51))</f>
        <v>0</v>
      </c>
      <c r="AH15" s="461">
        <f>IF('Market Penetration'!L15=0,0,1000*L15*'Market Data'!$O$51/('Market Penetration'!L15*'Market Data'!$M$51))</f>
        <v>0</v>
      </c>
      <c r="AI15" s="462">
        <f>IF('Market Penetration'!M15=0,0,1000*M15*'Market Data'!$O$51/('Market Penetration'!M15*'Market Data'!$M$51))</f>
        <v>0</v>
      </c>
      <c r="AJ15" s="460">
        <f>IF('Market Penetration'!N15=0,0,1000*N15*'Market Data'!$Y$51/('Market Penetration'!N15*'Market Data'!$W$51))</f>
        <v>27261.021505205488</v>
      </c>
      <c r="AK15" s="461">
        <f>IF('Market Penetration'!O15=0,0,1000*O15*'Market Data'!$Y$51/('Market Penetration'!O15*'Market Data'!$W$51))</f>
        <v>0</v>
      </c>
      <c r="AL15" s="461">
        <f>IF('Market Penetration'!P15=0,0,1000*P15*'Market Data'!$Y$51/('Market Penetration'!P15*'Market Data'!$W$51))</f>
        <v>0</v>
      </c>
      <c r="AM15" s="694">
        <f>IF('Market Penetration'!Q15=0,0,1000*Q15*'Market Data'!$Y$51/('Market Penetration'!Q15*'Market Data'!$W$51))</f>
        <v>0</v>
      </c>
      <c r="AN15" s="461">
        <f>IF('Market Penetration'!R15=0,0,1000*R15*'Market Data'!$Y$51/('Market Penetration'!R15*'Market Data'!$W$51))</f>
        <v>0</v>
      </c>
      <c r="AO15" s="689">
        <f>IF('Market Penetration'!S15=0,0,1000*S15*'Market Data'!$Y$51/('Market Penetration'!S15*'Market Data'!$W$51))</f>
        <v>0</v>
      </c>
      <c r="AP15" s="460">
        <f>IF('Market Penetration'!T15=0,0,1000*T15*('Market Data'!$E$51+'Market Data'!$O$51+'Market Data'!$Y$51)/('Market Penetration'!T15*('Market Data'!$C$51+'Market Data'!$M$51+'Market Data'!$W$51)))</f>
        <v>74129.118937560706</v>
      </c>
      <c r="AQ15" s="462">
        <f>IF('Market Penetration'!U15=0,0,1000*U15*('Market Data'!$E$51+'Market Data'!$O$51+'Market Data'!$Y$51)/('Market Penetration'!U15*('Market Data'!$C$51+'Market Data'!$M$51+'Market Data'!$W$51)))</f>
        <v>0</v>
      </c>
    </row>
    <row r="16" spans="1:43" ht="15" x14ac:dyDescent="0.2">
      <c r="A16" s="403">
        <v>2014</v>
      </c>
      <c r="B16" s="423">
        <f t="shared" si="12"/>
        <v>1</v>
      </c>
      <c r="C16" s="424">
        <f>'7&amp;8 Sleep'!$M83+'7&amp;8 Sleep'!$Z83</f>
        <v>0</v>
      </c>
      <c r="D16" s="424">
        <f>'7&amp;8 Sleep'!$M135+'7&amp;8 Sleep'!$Z135</f>
        <v>0</v>
      </c>
      <c r="E16" s="699">
        <f>'7&amp;8 Sleep'!$M187+'7&amp;8 Sleep'!$Z187</f>
        <v>0</v>
      </c>
      <c r="F16" s="424">
        <f>'7&amp;8 Sleep'!$M240+'7&amp;8 Sleep'!$Z240</f>
        <v>0</v>
      </c>
      <c r="G16" s="657">
        <f>'7&amp;8 Sleep'!$M293+'7&amp;8 Sleep'!$Z293</f>
        <v>0</v>
      </c>
      <c r="H16" s="853">
        <f t="shared" si="13"/>
        <v>1</v>
      </c>
      <c r="I16" s="657">
        <f>'7&amp;8 Day'!$M83+'7&amp;8 Day'!$Z83</f>
        <v>0</v>
      </c>
      <c r="J16" s="657">
        <f>'7&amp;8 Day'!$M135+'7&amp;8 Day'!$Z135</f>
        <v>0</v>
      </c>
      <c r="K16" s="657">
        <f>'7&amp;8 Day'!$M187+'7&amp;8 Day'!$Z187</f>
        <v>0</v>
      </c>
      <c r="L16" s="657">
        <f>'7&amp;8 Day'!$M240+'7&amp;8 Day'!$Z240</f>
        <v>0</v>
      </c>
      <c r="M16" s="704">
        <f>'7&amp;8 Day'!$M293+'7&amp;8 Day'!$Z293</f>
        <v>0</v>
      </c>
      <c r="N16" s="423">
        <f t="shared" si="14"/>
        <v>1</v>
      </c>
      <c r="O16" s="424">
        <f>'7&amp;8 SU'!$M83+'7&amp;8 SU'!$Z83</f>
        <v>0</v>
      </c>
      <c r="P16" s="424">
        <f>'7&amp;8 SU'!$M135+'7&amp;8 SU'!$Z135</f>
        <v>0</v>
      </c>
      <c r="Q16" s="699">
        <f>'7&amp;8 SU'!$M187+'7&amp;8 SU'!$Z187</f>
        <v>0</v>
      </c>
      <c r="R16" s="424">
        <f>'7&amp;8 SU'!$M240+'7&amp;8 SU'!$Z240</f>
        <v>0</v>
      </c>
      <c r="S16" s="657">
        <f>'7&amp;8 SU'!$M293+'7&amp;8 SU'!$Z293</f>
        <v>0</v>
      </c>
      <c r="T16" s="423">
        <f>B16*'Market Data'!$E$52+N16*'Market Data'!$O$52</f>
        <v>0.91032159271242163</v>
      </c>
      <c r="U16" s="425">
        <f>SUM(C16:G16)*'Market Data'!$E$52+SUM(O16:S16)*'Market Data'!$O$52</f>
        <v>0</v>
      </c>
      <c r="W16" s="403">
        <v>2014</v>
      </c>
      <c r="X16" s="460">
        <f>IF('Market Penetration'!B16=0,0,1000*B16*'Market Data'!$E$51/('Market Penetration'!B16*'Market Data'!$C$51))</f>
        <v>114290.39175651137</v>
      </c>
      <c r="Y16" s="461">
        <f>IF('Market Penetration'!C16=0,0,1000*C16*'Market Data'!$E$51/('Market Penetration'!C16*'Market Data'!$C$51))</f>
        <v>0</v>
      </c>
      <c r="Z16" s="461">
        <f>IF('Market Penetration'!D16=0,0,1000*D16*'Market Data'!$E$51/('Market Penetration'!D16*'Market Data'!$C$51))</f>
        <v>0</v>
      </c>
      <c r="AA16" s="694">
        <f>IF('Market Penetration'!E16=0,0,1000*E16*'Market Data'!$E$51/('Market Penetration'!E16*'Market Data'!$C$51))</f>
        <v>0</v>
      </c>
      <c r="AB16" s="461">
        <f>IF('Market Penetration'!F16=0,0,1000*F16*'Market Data'!$E$51/('Market Penetration'!F16*'Market Data'!$C$51))</f>
        <v>0</v>
      </c>
      <c r="AC16" s="689">
        <f>IF('Market Penetration'!G16=0,0,1000*G16*'Market Data'!$E$51/('Market Penetration'!G16*'Market Data'!$C$51))</f>
        <v>0</v>
      </c>
      <c r="AD16" s="460">
        <f>IF('Market Penetration'!H16=0,0,1000*H16*'Market Data'!$O$51/('Market Penetration'!H16*'Market Data'!$M$51))</f>
        <v>76984.800905352895</v>
      </c>
      <c r="AE16" s="461">
        <f>IF('Market Penetration'!I16=0,0,1000*I16*'Market Data'!$O$51/('Market Penetration'!I16*'Market Data'!$M$51))</f>
        <v>0</v>
      </c>
      <c r="AF16" s="461">
        <f>IF('Market Penetration'!J16=0,0,1000*J16*'Market Data'!$O$51/('Market Penetration'!J16*'Market Data'!$M$51))</f>
        <v>0</v>
      </c>
      <c r="AG16" s="461">
        <f>IF('Market Penetration'!K16=0,0,1000*K16*'Market Data'!$O$51/('Market Penetration'!K16*'Market Data'!$M$51))</f>
        <v>0</v>
      </c>
      <c r="AH16" s="461">
        <f>IF('Market Penetration'!L16=0,0,1000*L16*'Market Data'!$O$51/('Market Penetration'!L16*'Market Data'!$M$51))</f>
        <v>0</v>
      </c>
      <c r="AI16" s="462">
        <f>IF('Market Penetration'!M16=0,0,1000*M16*'Market Data'!$O$51/('Market Penetration'!M16*'Market Data'!$M$51))</f>
        <v>0</v>
      </c>
      <c r="AJ16" s="460">
        <f>IF('Market Penetration'!N16=0,0,1000*N16*'Market Data'!$Y$51/('Market Penetration'!N16*'Market Data'!$W$51))</f>
        <v>27261.021505205488</v>
      </c>
      <c r="AK16" s="461">
        <f>IF('Market Penetration'!O16=0,0,1000*O16*'Market Data'!$Y$51/('Market Penetration'!O16*'Market Data'!$W$51))</f>
        <v>0</v>
      </c>
      <c r="AL16" s="461">
        <f>IF('Market Penetration'!P16=0,0,1000*P16*'Market Data'!$Y$51/('Market Penetration'!P16*'Market Data'!$W$51))</f>
        <v>0</v>
      </c>
      <c r="AM16" s="694">
        <f>IF('Market Penetration'!Q16=0,0,1000*Q16*'Market Data'!$Y$51/('Market Penetration'!Q16*'Market Data'!$W$51))</f>
        <v>0</v>
      </c>
      <c r="AN16" s="461">
        <f>IF('Market Penetration'!R16=0,0,1000*R16*'Market Data'!$Y$51/('Market Penetration'!R16*'Market Data'!$W$51))</f>
        <v>0</v>
      </c>
      <c r="AO16" s="689">
        <f>IF('Market Penetration'!S16=0,0,1000*S16*'Market Data'!$Y$51/('Market Penetration'!S16*'Market Data'!$W$51))</f>
        <v>0</v>
      </c>
      <c r="AP16" s="460">
        <f>IF('Market Penetration'!T16=0,0,1000*T16*('Market Data'!$E$51+'Market Data'!$O$51+'Market Data'!$Y$51)/('Market Penetration'!T16*('Market Data'!$C$51+'Market Data'!$M$51+'Market Data'!$W$51)))</f>
        <v>74129.118937560706</v>
      </c>
      <c r="AQ16" s="462">
        <f>IF('Market Penetration'!U16=0,0,1000*U16*('Market Data'!$E$51+'Market Data'!$O$51+'Market Data'!$Y$51)/('Market Penetration'!U16*('Market Data'!$C$51+'Market Data'!$M$51+'Market Data'!$W$51)))</f>
        <v>0</v>
      </c>
    </row>
    <row r="17" spans="1:43" ht="15" x14ac:dyDescent="0.2">
      <c r="A17" s="402">
        <v>2015</v>
      </c>
      <c r="B17" s="426">
        <f t="shared" si="12"/>
        <v>1</v>
      </c>
      <c r="C17" s="427">
        <f>'7&amp;8 Sleep'!$M84+'7&amp;8 Sleep'!$Z84</f>
        <v>0</v>
      </c>
      <c r="D17" s="427">
        <f>'7&amp;8 Sleep'!$M136+'7&amp;8 Sleep'!$Z136</f>
        <v>0</v>
      </c>
      <c r="E17" s="700">
        <f>'7&amp;8 Sleep'!$M188+'7&amp;8 Sleep'!$Z188</f>
        <v>0</v>
      </c>
      <c r="F17" s="427">
        <f>'7&amp;8 Sleep'!$M241+'7&amp;8 Sleep'!$Z241</f>
        <v>0</v>
      </c>
      <c r="G17" s="658">
        <f>'7&amp;8 Sleep'!$M294+'7&amp;8 Sleep'!$Z294</f>
        <v>0</v>
      </c>
      <c r="H17" s="854">
        <f t="shared" si="13"/>
        <v>1</v>
      </c>
      <c r="I17" s="658">
        <f>'7&amp;8 Day'!$M84+'7&amp;8 Day'!$Z84</f>
        <v>0</v>
      </c>
      <c r="J17" s="658">
        <f>'7&amp;8 Day'!$M136+'7&amp;8 Day'!$Z136</f>
        <v>0</v>
      </c>
      <c r="K17" s="658">
        <f>'7&amp;8 Day'!$M188+'7&amp;8 Day'!$Z188</f>
        <v>0</v>
      </c>
      <c r="L17" s="658">
        <f>'7&amp;8 Day'!$M241+'7&amp;8 Day'!$Z241</f>
        <v>0</v>
      </c>
      <c r="M17" s="705">
        <f>'7&amp;8 Day'!$M294+'7&amp;8 Day'!$Z294</f>
        <v>0</v>
      </c>
      <c r="N17" s="426">
        <f t="shared" si="14"/>
        <v>1</v>
      </c>
      <c r="O17" s="427">
        <f>'7&amp;8 SU'!$M84+'7&amp;8 SU'!$Z84</f>
        <v>0</v>
      </c>
      <c r="P17" s="427">
        <f>'7&amp;8 SU'!$M136+'7&amp;8 SU'!$Z136</f>
        <v>0</v>
      </c>
      <c r="Q17" s="700">
        <f>'7&amp;8 SU'!$M188+'7&amp;8 SU'!$Z188</f>
        <v>0</v>
      </c>
      <c r="R17" s="427">
        <f>'7&amp;8 SU'!$M241+'7&amp;8 SU'!$Z241</f>
        <v>0</v>
      </c>
      <c r="S17" s="658">
        <f>'7&amp;8 SU'!$M294+'7&amp;8 SU'!$Z294</f>
        <v>0</v>
      </c>
      <c r="T17" s="426">
        <f>B17*'Market Data'!$E$52+H17*'Market Data'!$O$52+N17*+N17*'Market Data'!$Y$52</f>
        <v>1</v>
      </c>
      <c r="U17" s="428">
        <f>SUM(C17:G17)*'Market Data'!$E$52+SUM(I17:M17)*'Market Data'!$O$52+SUM(O17:S17)*+N17*'Market Data'!$Y$52</f>
        <v>0</v>
      </c>
      <c r="W17" s="402">
        <v>2015</v>
      </c>
      <c r="X17" s="463">
        <f>IF('Market Penetration'!B17=0,0,1000*B17*'Market Data'!$E$51/('Market Penetration'!B17*'Market Data'!$C$51))</f>
        <v>114290.39175651137</v>
      </c>
      <c r="Y17" s="464">
        <f>IF('Market Penetration'!C17=0,0,1000*C17*'Market Data'!$E$51/('Market Penetration'!C17*'Market Data'!$C$51))</f>
        <v>0</v>
      </c>
      <c r="Z17" s="464">
        <f>IF('Market Penetration'!D17=0,0,1000*D17*'Market Data'!$E$51/('Market Penetration'!D17*'Market Data'!$C$51))</f>
        <v>0</v>
      </c>
      <c r="AA17" s="695">
        <f>IF('Market Penetration'!E17=0,0,1000*E17*'Market Data'!$E$51/('Market Penetration'!E17*'Market Data'!$C$51))</f>
        <v>0</v>
      </c>
      <c r="AB17" s="464">
        <f>IF('Market Penetration'!F17=0,0,1000*F17*'Market Data'!$E$51/('Market Penetration'!F17*'Market Data'!$C$51))</f>
        <v>0</v>
      </c>
      <c r="AC17" s="690">
        <f>IF('Market Penetration'!G17=0,0,1000*G17*'Market Data'!$E$51/('Market Penetration'!G17*'Market Data'!$C$51))</f>
        <v>0</v>
      </c>
      <c r="AD17" s="463">
        <f>IF('Market Penetration'!H17=0,0,1000*H17*'Market Data'!$O$51/('Market Penetration'!H17*'Market Data'!$M$51))</f>
        <v>76984.800905352895</v>
      </c>
      <c r="AE17" s="464">
        <f>IF('Market Penetration'!I17=0,0,1000*I17*'Market Data'!$O$51/('Market Penetration'!I17*'Market Data'!$M$51))</f>
        <v>0</v>
      </c>
      <c r="AF17" s="464">
        <f>IF('Market Penetration'!J17=0,0,1000*J17*'Market Data'!$O$51/('Market Penetration'!J17*'Market Data'!$M$51))</f>
        <v>0</v>
      </c>
      <c r="AG17" s="464">
        <f>IF('Market Penetration'!K17=0,0,1000*K17*'Market Data'!$O$51/('Market Penetration'!K17*'Market Data'!$M$51))</f>
        <v>0</v>
      </c>
      <c r="AH17" s="464">
        <f>IF('Market Penetration'!L17=0,0,1000*L17*'Market Data'!$O$51/('Market Penetration'!L17*'Market Data'!$M$51))</f>
        <v>0</v>
      </c>
      <c r="AI17" s="465">
        <f>IF('Market Penetration'!M17=0,0,1000*M17*'Market Data'!$O$51/('Market Penetration'!M17*'Market Data'!$M$51))</f>
        <v>0</v>
      </c>
      <c r="AJ17" s="463">
        <f>IF('Market Penetration'!N17=0,0,1000*N17*'Market Data'!$Y$51/('Market Penetration'!N17*'Market Data'!$W$51))</f>
        <v>27261.021505205488</v>
      </c>
      <c r="AK17" s="464">
        <f>IF('Market Penetration'!O17=0,0,1000*O17*'Market Data'!$Y$51/('Market Penetration'!O17*'Market Data'!$W$51))</f>
        <v>0</v>
      </c>
      <c r="AL17" s="464">
        <f>IF('Market Penetration'!P17=0,0,1000*P17*'Market Data'!$Y$51/('Market Penetration'!P17*'Market Data'!$W$51))</f>
        <v>0</v>
      </c>
      <c r="AM17" s="695">
        <f>IF('Market Penetration'!Q17=0,0,1000*Q17*'Market Data'!$Y$51/('Market Penetration'!Q17*'Market Data'!$W$51))</f>
        <v>0</v>
      </c>
      <c r="AN17" s="464">
        <f>IF('Market Penetration'!R17=0,0,1000*R17*'Market Data'!$Y$51/('Market Penetration'!R17*'Market Data'!$W$51))</f>
        <v>0</v>
      </c>
      <c r="AO17" s="690">
        <f>IF('Market Penetration'!S17=0,0,1000*S17*'Market Data'!$Y$51/('Market Penetration'!S17*'Market Data'!$W$51))</f>
        <v>0</v>
      </c>
      <c r="AP17" s="463">
        <f>IF('Market Penetration'!T17=0,0,1000*T17*('Market Data'!$E$51+'Market Data'!$O$51+'Market Data'!$Y$51)/('Market Penetration'!T17*('Market Data'!$C$51+'Market Data'!$M$51+'Market Data'!$W$51)))</f>
        <v>81431.79238084791</v>
      </c>
      <c r="AQ17" s="465">
        <f>IF('Market Penetration'!U17=0,0,1000*U17*('Market Data'!$E$51+'Market Data'!$O$51+'Market Data'!$Y$51)/('Market Penetration'!U17*('Market Data'!$C$51+'Market Data'!$M$51+'Market Data'!$W$51)))</f>
        <v>0</v>
      </c>
    </row>
    <row r="18" spans="1:43" ht="15" x14ac:dyDescent="0.2">
      <c r="A18" s="429">
        <v>2016</v>
      </c>
      <c r="B18" s="430">
        <f t="shared" si="12"/>
        <v>1</v>
      </c>
      <c r="C18" s="431">
        <f>'7&amp;8 Sleep'!$M85+'7&amp;8 Sleep'!$Z85</f>
        <v>0</v>
      </c>
      <c r="D18" s="431">
        <f>'7&amp;8 Sleep'!$M137+'7&amp;8 Sleep'!$Z137</f>
        <v>0</v>
      </c>
      <c r="E18" s="701">
        <f>'7&amp;8 Sleep'!$M189+'7&amp;8 Sleep'!$Z189</f>
        <v>0</v>
      </c>
      <c r="F18" s="431">
        <f>'7&amp;8 Sleep'!$M242+'7&amp;8 Sleep'!$Z242</f>
        <v>0</v>
      </c>
      <c r="G18" s="659">
        <f>'7&amp;8 Sleep'!$M295+'7&amp;8 Sleep'!$Z295</f>
        <v>0</v>
      </c>
      <c r="H18" s="855">
        <f t="shared" si="13"/>
        <v>1</v>
      </c>
      <c r="I18" s="659">
        <f>'7&amp;8 Day'!$M85+'7&amp;8 Day'!$Z85</f>
        <v>0</v>
      </c>
      <c r="J18" s="659">
        <f>'7&amp;8 Day'!$M137+'7&amp;8 Day'!$Z137</f>
        <v>0</v>
      </c>
      <c r="K18" s="659">
        <f>'7&amp;8 Day'!$M189+'7&amp;8 Day'!$Z189</f>
        <v>0</v>
      </c>
      <c r="L18" s="659">
        <f>'7&amp;8 Day'!$M242+'7&amp;8 Day'!$Z242</f>
        <v>0</v>
      </c>
      <c r="M18" s="706">
        <f>'7&amp;8 Day'!$M295+'7&amp;8 Day'!$Z295</f>
        <v>0</v>
      </c>
      <c r="N18" s="430">
        <f t="shared" si="14"/>
        <v>1</v>
      </c>
      <c r="O18" s="431">
        <f>'7&amp;8 SU'!$M85+'7&amp;8 SU'!$Z85</f>
        <v>0</v>
      </c>
      <c r="P18" s="431">
        <f>'7&amp;8 SU'!$M137+'7&amp;8 SU'!$Z137</f>
        <v>0</v>
      </c>
      <c r="Q18" s="701">
        <f>'7&amp;8 SU'!$M189+'7&amp;8 SU'!$Z189</f>
        <v>0</v>
      </c>
      <c r="R18" s="431">
        <f>'7&amp;8 SU'!$M242+'7&amp;8 SU'!$Z242</f>
        <v>0</v>
      </c>
      <c r="S18" s="659">
        <f>'7&amp;8 SU'!$M295+'7&amp;8 SU'!$Z295</f>
        <v>0</v>
      </c>
      <c r="T18" s="433">
        <f>B18*'Market Data'!$E$52+H18*'Market Data'!$O$52+N18*+N18*'Market Data'!$Y$52</f>
        <v>1</v>
      </c>
      <c r="U18" s="434">
        <f>SUM(C18:G18)*'Market Data'!$E$52+SUM(I18:M18)*'Market Data'!$O$52+SUM(O18:S18)*+N18*'Market Data'!$Y$52</f>
        <v>0</v>
      </c>
      <c r="W18" s="429">
        <v>2016</v>
      </c>
      <c r="X18" s="466">
        <f>IF('Market Penetration'!B18=0,0,1000*B18*'Market Data'!$E$51/('Market Penetration'!B18*'Market Data'!$C$51))</f>
        <v>114290.39175651137</v>
      </c>
      <c r="Y18" s="467">
        <f>IF('Market Penetration'!C18=0,0,1000*C18*'Market Data'!$E$51/('Market Penetration'!C18*'Market Data'!$C$51))</f>
        <v>0</v>
      </c>
      <c r="Z18" s="467">
        <f>IF('Market Penetration'!D18=0,0,1000*D18*'Market Data'!$E$51/('Market Penetration'!D18*'Market Data'!$C$51))</f>
        <v>0</v>
      </c>
      <c r="AA18" s="696">
        <f>IF('Market Penetration'!E18=0,0,1000*E18*'Market Data'!$E$51/('Market Penetration'!E18*'Market Data'!$C$51))</f>
        <v>0</v>
      </c>
      <c r="AB18" s="467">
        <f>IF('Market Penetration'!F18=0,0,1000*F18*'Market Data'!$E$51/('Market Penetration'!F18*'Market Data'!$C$51))</f>
        <v>0</v>
      </c>
      <c r="AC18" s="691">
        <f>IF('Market Penetration'!G18=0,0,1000*G18*'Market Data'!$E$51/('Market Penetration'!G18*'Market Data'!$C$51))</f>
        <v>0</v>
      </c>
      <c r="AD18" s="466">
        <f>IF('Market Penetration'!H18=0,0,1000*H18*'Market Data'!$O$51/('Market Penetration'!H18*'Market Data'!$M$51))</f>
        <v>76984.800905352895</v>
      </c>
      <c r="AE18" s="467">
        <f>IF('Market Penetration'!I18=0,0,1000*I18*'Market Data'!$O$51/('Market Penetration'!I18*'Market Data'!$M$51))</f>
        <v>0</v>
      </c>
      <c r="AF18" s="467">
        <f>IF('Market Penetration'!J18=0,0,1000*J18*'Market Data'!$O$51/('Market Penetration'!J18*'Market Data'!$M$51))</f>
        <v>0</v>
      </c>
      <c r="AG18" s="467">
        <f>IF('Market Penetration'!K18=0,0,1000*K18*'Market Data'!$O$51/('Market Penetration'!K18*'Market Data'!$M$51))</f>
        <v>0</v>
      </c>
      <c r="AH18" s="467">
        <f>IF('Market Penetration'!L18=0,0,1000*L18*'Market Data'!$O$51/('Market Penetration'!L18*'Market Data'!$M$51))</f>
        <v>0</v>
      </c>
      <c r="AI18" s="860">
        <f>IF('Market Penetration'!M18=0,0,1000*M18*'Market Data'!$O$51/('Market Penetration'!M18*'Market Data'!$M$51))</f>
        <v>0</v>
      </c>
      <c r="AJ18" s="466">
        <f>IF('Market Penetration'!N18=0,0,1000*N18*'Market Data'!$Y$51/('Market Penetration'!N18*'Market Data'!$W$51))</f>
        <v>27261.021505205488</v>
      </c>
      <c r="AK18" s="467">
        <f>IF('Market Penetration'!O18=0,0,1000*O18*'Market Data'!$Y$51/('Market Penetration'!O18*'Market Data'!$W$51))</f>
        <v>0</v>
      </c>
      <c r="AL18" s="467">
        <f>IF('Market Penetration'!P18=0,0,1000*P18*'Market Data'!$Y$51/('Market Penetration'!P18*'Market Data'!$W$51))</f>
        <v>0</v>
      </c>
      <c r="AM18" s="696">
        <f>IF('Market Penetration'!Q18=0,0,1000*Q18*'Market Data'!$Y$51/('Market Penetration'!Q18*'Market Data'!$W$51))</f>
        <v>0</v>
      </c>
      <c r="AN18" s="467">
        <f>IF('Market Penetration'!R18=0,0,1000*R18*'Market Data'!$Y$51/('Market Penetration'!R18*'Market Data'!$W$51))</f>
        <v>0</v>
      </c>
      <c r="AO18" s="691">
        <f>IF('Market Penetration'!S18=0,0,1000*S18*'Market Data'!$Y$51/('Market Penetration'!S18*'Market Data'!$W$51))</f>
        <v>0</v>
      </c>
      <c r="AP18" s="468">
        <f>IF('Market Penetration'!T18=0,0,1000*T18*('Market Data'!$E$51+'Market Data'!$O$51+'Market Data'!$Y$51)/('Market Penetration'!T18*('Market Data'!$C$51+'Market Data'!$M$51+'Market Data'!$W$51)))</f>
        <v>81431.79238084791</v>
      </c>
      <c r="AQ18" s="469">
        <f>IF('Market Penetration'!U18=0,0,1000*U18*('Market Data'!$E$51+'Market Data'!$O$51+'Market Data'!$Y$51)/('Market Penetration'!U18*('Market Data'!$C$51+'Market Data'!$M$51+'Market Data'!$W$51)))</f>
        <v>0</v>
      </c>
    </row>
    <row r="19" spans="1:43" ht="15" x14ac:dyDescent="0.2">
      <c r="A19" s="403">
        <v>2017</v>
      </c>
      <c r="B19" s="423">
        <f t="shared" si="12"/>
        <v>1</v>
      </c>
      <c r="C19" s="424">
        <f>'7&amp;8 Sleep'!$M86+'7&amp;8 Sleep'!$Z86</f>
        <v>0</v>
      </c>
      <c r="D19" s="424">
        <f>'7&amp;8 Sleep'!$M138+'7&amp;8 Sleep'!$Z138</f>
        <v>0</v>
      </c>
      <c r="E19" s="699">
        <f>'7&amp;8 Sleep'!$M190+'7&amp;8 Sleep'!$Z190</f>
        <v>0</v>
      </c>
      <c r="F19" s="424">
        <f>'7&amp;8 Sleep'!$M243+'7&amp;8 Sleep'!$Z243</f>
        <v>0</v>
      </c>
      <c r="G19" s="657">
        <f>'7&amp;8 Sleep'!$M296+'7&amp;8 Sleep'!$Z296</f>
        <v>0</v>
      </c>
      <c r="H19" s="853">
        <f t="shared" si="13"/>
        <v>1</v>
      </c>
      <c r="I19" s="657">
        <f>'7&amp;8 Day'!$M86+'7&amp;8 Day'!$Z86</f>
        <v>0</v>
      </c>
      <c r="J19" s="657">
        <f>'7&amp;8 Day'!$M138+'7&amp;8 Day'!$Z138</f>
        <v>0</v>
      </c>
      <c r="K19" s="657">
        <f>'7&amp;8 Day'!$M190+'7&amp;8 Day'!$Z190</f>
        <v>0</v>
      </c>
      <c r="L19" s="657">
        <f>'7&amp;8 Day'!$M243+'7&amp;8 Day'!$Z243</f>
        <v>0</v>
      </c>
      <c r="M19" s="704">
        <f>'7&amp;8 Day'!$M296+'7&amp;8 Day'!$Z296</f>
        <v>0</v>
      </c>
      <c r="N19" s="423">
        <f t="shared" si="14"/>
        <v>1</v>
      </c>
      <c r="O19" s="424">
        <f>'7&amp;8 SU'!$M86+'7&amp;8 SU'!$Z86</f>
        <v>0</v>
      </c>
      <c r="P19" s="424">
        <f>'7&amp;8 SU'!$M138+'7&amp;8 SU'!$Z138</f>
        <v>0</v>
      </c>
      <c r="Q19" s="699">
        <f>'7&amp;8 SU'!$M190+'7&amp;8 SU'!$Z190</f>
        <v>0</v>
      </c>
      <c r="R19" s="424">
        <f>'7&amp;8 SU'!$M243+'7&amp;8 SU'!$Z243</f>
        <v>0</v>
      </c>
      <c r="S19" s="657">
        <f>'7&amp;8 SU'!$M296+'7&amp;8 SU'!$Z296</f>
        <v>0</v>
      </c>
      <c r="T19" s="423">
        <f>B19*'Market Data'!$E$52+H19*'Market Data'!$O$52+N19*+N19*'Market Data'!$Y$52</f>
        <v>1</v>
      </c>
      <c r="U19" s="425">
        <f>SUM(C19:G19)*'Market Data'!$E$52+SUM(I19:M19)*'Market Data'!$O$52+SUM(O19:S19)*+N19*'Market Data'!$Y$52</f>
        <v>0</v>
      </c>
      <c r="W19" s="403">
        <v>2017</v>
      </c>
      <c r="X19" s="460">
        <f>IF('Market Penetration'!B19=0,0,1000*B19*'Market Data'!$E$51/('Market Penetration'!B19*'Market Data'!$C$51))</f>
        <v>114290.39175651137</v>
      </c>
      <c r="Y19" s="461">
        <f>IF('Market Penetration'!C19=0,0,1000*C19*'Market Data'!$E$51/('Market Penetration'!C19*'Market Data'!$C$51))</f>
        <v>0</v>
      </c>
      <c r="Z19" s="461">
        <f>IF('Market Penetration'!D19=0,0,1000*D19*'Market Data'!$E$51/('Market Penetration'!D19*'Market Data'!$C$51))</f>
        <v>0</v>
      </c>
      <c r="AA19" s="694">
        <f>IF('Market Penetration'!E19=0,0,1000*E19*'Market Data'!$E$51/('Market Penetration'!E19*'Market Data'!$C$51))</f>
        <v>0</v>
      </c>
      <c r="AB19" s="461">
        <f>IF('Market Penetration'!F19=0,0,1000*F19*'Market Data'!$E$51/('Market Penetration'!F19*'Market Data'!$C$51))</f>
        <v>0</v>
      </c>
      <c r="AC19" s="689">
        <f>IF('Market Penetration'!G19=0,0,1000*G19*'Market Data'!$E$51/('Market Penetration'!G19*'Market Data'!$C$51))</f>
        <v>0</v>
      </c>
      <c r="AD19" s="460">
        <f>IF('Market Penetration'!H19=0,0,1000*H19*'Market Data'!$O$51/('Market Penetration'!H19*'Market Data'!$M$51))</f>
        <v>76984.800905352895</v>
      </c>
      <c r="AE19" s="461">
        <f>IF('Market Penetration'!I19=0,0,1000*I19*'Market Data'!$O$51/('Market Penetration'!I19*'Market Data'!$M$51))</f>
        <v>0</v>
      </c>
      <c r="AF19" s="461">
        <f>IF('Market Penetration'!J19=0,0,1000*J19*'Market Data'!$O$51/('Market Penetration'!J19*'Market Data'!$M$51))</f>
        <v>0</v>
      </c>
      <c r="AG19" s="461">
        <f>IF('Market Penetration'!K19=0,0,1000*K19*'Market Data'!$O$51/('Market Penetration'!K19*'Market Data'!$M$51))</f>
        <v>0</v>
      </c>
      <c r="AH19" s="461">
        <f>IF('Market Penetration'!L19=0,0,1000*L19*'Market Data'!$O$51/('Market Penetration'!L19*'Market Data'!$M$51))</f>
        <v>0</v>
      </c>
      <c r="AI19" s="462">
        <f>IF('Market Penetration'!M19=0,0,1000*M19*'Market Data'!$O$51/('Market Penetration'!M19*'Market Data'!$M$51))</f>
        <v>0</v>
      </c>
      <c r="AJ19" s="460">
        <f>IF('Market Penetration'!N19=0,0,1000*N19*'Market Data'!$Y$51/('Market Penetration'!N19*'Market Data'!$W$51))</f>
        <v>27261.021505205488</v>
      </c>
      <c r="AK19" s="461">
        <f>IF('Market Penetration'!O19=0,0,1000*O19*'Market Data'!$Y$51/('Market Penetration'!O19*'Market Data'!$W$51))</f>
        <v>0</v>
      </c>
      <c r="AL19" s="461">
        <f>IF('Market Penetration'!P19=0,0,1000*P19*'Market Data'!$Y$51/('Market Penetration'!P19*'Market Data'!$W$51))</f>
        <v>0</v>
      </c>
      <c r="AM19" s="694">
        <f>IF('Market Penetration'!Q19=0,0,1000*Q19*'Market Data'!$Y$51/('Market Penetration'!Q19*'Market Data'!$W$51))</f>
        <v>0</v>
      </c>
      <c r="AN19" s="461">
        <f>IF('Market Penetration'!R19=0,0,1000*R19*'Market Data'!$Y$51/('Market Penetration'!R19*'Market Data'!$W$51))</f>
        <v>0</v>
      </c>
      <c r="AO19" s="689">
        <f>IF('Market Penetration'!S19=0,0,1000*S19*'Market Data'!$Y$51/('Market Penetration'!S19*'Market Data'!$W$51))</f>
        <v>0</v>
      </c>
      <c r="AP19" s="460">
        <f>IF('Market Penetration'!T19=0,0,1000*T19*('Market Data'!$E$51+'Market Data'!$O$51+'Market Data'!$Y$51)/('Market Penetration'!T19*('Market Data'!$C$51+'Market Data'!$M$51+'Market Data'!$W$51)))</f>
        <v>81431.79238084791</v>
      </c>
      <c r="AQ19" s="462">
        <f>IF('Market Penetration'!U19=0,0,1000*U19*('Market Data'!$E$51+'Market Data'!$O$51+'Market Data'!$Y$51)/('Market Penetration'!U19*('Market Data'!$C$51+'Market Data'!$M$51+'Market Data'!$W$51)))</f>
        <v>0</v>
      </c>
    </row>
    <row r="20" spans="1:43" ht="15" x14ac:dyDescent="0.2">
      <c r="A20" s="403">
        <v>2018</v>
      </c>
      <c r="B20" s="423">
        <f t="shared" si="12"/>
        <v>1</v>
      </c>
      <c r="C20" s="424">
        <f>'7&amp;8 Sleep'!$M87+'7&amp;8 Sleep'!$Z87</f>
        <v>0</v>
      </c>
      <c r="D20" s="424">
        <f>'7&amp;8 Sleep'!$M139+'7&amp;8 Sleep'!$Z139</f>
        <v>0</v>
      </c>
      <c r="E20" s="699">
        <f>'7&amp;8 Sleep'!$M191+'7&amp;8 Sleep'!$Z191</f>
        <v>0</v>
      </c>
      <c r="F20" s="424">
        <f>'7&amp;8 Sleep'!$M244+'7&amp;8 Sleep'!$Z244</f>
        <v>0</v>
      </c>
      <c r="G20" s="657">
        <f>'7&amp;8 Sleep'!$M297+'7&amp;8 Sleep'!$Z297</f>
        <v>0</v>
      </c>
      <c r="H20" s="853">
        <f t="shared" si="13"/>
        <v>1</v>
      </c>
      <c r="I20" s="657">
        <f>'7&amp;8 Day'!$M87+'7&amp;8 Day'!$Z87</f>
        <v>0</v>
      </c>
      <c r="J20" s="657">
        <f>'7&amp;8 Day'!$M139+'7&amp;8 Day'!$Z139</f>
        <v>0</v>
      </c>
      <c r="K20" s="657">
        <f>'7&amp;8 Day'!$M191+'7&amp;8 Day'!$Z191</f>
        <v>0</v>
      </c>
      <c r="L20" s="657">
        <f>'7&amp;8 Day'!$M244+'7&amp;8 Day'!$Z244</f>
        <v>0</v>
      </c>
      <c r="M20" s="704">
        <f>'7&amp;8 Day'!$M297+'7&amp;8 Day'!$Z297</f>
        <v>0</v>
      </c>
      <c r="N20" s="423">
        <f t="shared" si="14"/>
        <v>1</v>
      </c>
      <c r="O20" s="424">
        <f>'7&amp;8 SU'!$M87+'7&amp;8 SU'!$Z87</f>
        <v>0</v>
      </c>
      <c r="P20" s="424">
        <f>'7&amp;8 SU'!$M139+'7&amp;8 SU'!$Z139</f>
        <v>0</v>
      </c>
      <c r="Q20" s="699">
        <f>'7&amp;8 SU'!$M191+'7&amp;8 SU'!$Z191</f>
        <v>0</v>
      </c>
      <c r="R20" s="424">
        <f>'7&amp;8 SU'!$M244+'7&amp;8 SU'!$Z244</f>
        <v>0</v>
      </c>
      <c r="S20" s="657">
        <f>'7&amp;8 SU'!$M297+'7&amp;8 SU'!$Z297</f>
        <v>0</v>
      </c>
      <c r="T20" s="423">
        <f>B20*'Market Data'!$E$52+H20*'Market Data'!$O$52+N20*+N20*'Market Data'!$Y$52</f>
        <v>1</v>
      </c>
      <c r="U20" s="425">
        <f>SUM(C20:G20)*'Market Data'!$E$52+SUM(I20:M20)*'Market Data'!$O$52+SUM(O20:S20)*+N20*'Market Data'!$Y$52</f>
        <v>0</v>
      </c>
      <c r="W20" s="403">
        <v>2018</v>
      </c>
      <c r="X20" s="460">
        <f>IF('Market Penetration'!B20=0,0,1000*B20*'Market Data'!$E$51/('Market Penetration'!B20*'Market Data'!$C$51))</f>
        <v>114290.39175651137</v>
      </c>
      <c r="Y20" s="461">
        <f>IF('Market Penetration'!C20=0,0,1000*C20*'Market Data'!$E$51/('Market Penetration'!C20*'Market Data'!$C$51))</f>
        <v>0</v>
      </c>
      <c r="Z20" s="461">
        <f>IF('Market Penetration'!D20=0,0,1000*D20*'Market Data'!$E$51/('Market Penetration'!D20*'Market Data'!$C$51))</f>
        <v>0</v>
      </c>
      <c r="AA20" s="694">
        <f>IF('Market Penetration'!E20=0,0,1000*E20*'Market Data'!$E$51/('Market Penetration'!E20*'Market Data'!$C$51))</f>
        <v>0</v>
      </c>
      <c r="AB20" s="461">
        <f>IF('Market Penetration'!F20=0,0,1000*F20*'Market Data'!$E$51/('Market Penetration'!F20*'Market Data'!$C$51))</f>
        <v>0</v>
      </c>
      <c r="AC20" s="689">
        <f>IF('Market Penetration'!G20=0,0,1000*G20*'Market Data'!$E$51/('Market Penetration'!G20*'Market Data'!$C$51))</f>
        <v>0</v>
      </c>
      <c r="AD20" s="460">
        <f>IF('Market Penetration'!H20=0,0,1000*H20*'Market Data'!$O$51/('Market Penetration'!H20*'Market Data'!$M$51))</f>
        <v>76984.800905352895</v>
      </c>
      <c r="AE20" s="461">
        <f>IF('Market Penetration'!I20=0,0,1000*I20*'Market Data'!$O$51/('Market Penetration'!I20*'Market Data'!$M$51))</f>
        <v>0</v>
      </c>
      <c r="AF20" s="461">
        <f>IF('Market Penetration'!J20=0,0,1000*J20*'Market Data'!$O$51/('Market Penetration'!J20*'Market Data'!$M$51))</f>
        <v>0</v>
      </c>
      <c r="AG20" s="461">
        <f>IF('Market Penetration'!K20=0,0,1000*K20*'Market Data'!$O$51/('Market Penetration'!K20*'Market Data'!$M$51))</f>
        <v>0</v>
      </c>
      <c r="AH20" s="461">
        <f>IF('Market Penetration'!L20=0,0,1000*L20*'Market Data'!$O$51/('Market Penetration'!L20*'Market Data'!$M$51))</f>
        <v>0</v>
      </c>
      <c r="AI20" s="462">
        <f>IF('Market Penetration'!M20=0,0,1000*M20*'Market Data'!$O$51/('Market Penetration'!M20*'Market Data'!$M$51))</f>
        <v>0</v>
      </c>
      <c r="AJ20" s="460">
        <f>IF('Market Penetration'!N20=0,0,1000*N20*'Market Data'!$Y$51/('Market Penetration'!N20*'Market Data'!$W$51))</f>
        <v>27261.021505205488</v>
      </c>
      <c r="AK20" s="461">
        <f>IF('Market Penetration'!O20=0,0,1000*O20*'Market Data'!$Y$51/('Market Penetration'!O20*'Market Data'!$W$51))</f>
        <v>0</v>
      </c>
      <c r="AL20" s="461">
        <f>IF('Market Penetration'!P20=0,0,1000*P20*'Market Data'!$Y$51/('Market Penetration'!P20*'Market Data'!$W$51))</f>
        <v>0</v>
      </c>
      <c r="AM20" s="694">
        <f>IF('Market Penetration'!Q20=0,0,1000*Q20*'Market Data'!$Y$51/('Market Penetration'!Q20*'Market Data'!$W$51))</f>
        <v>0</v>
      </c>
      <c r="AN20" s="461">
        <f>IF('Market Penetration'!R20=0,0,1000*R20*'Market Data'!$Y$51/('Market Penetration'!R20*'Market Data'!$W$51))</f>
        <v>0</v>
      </c>
      <c r="AO20" s="689">
        <f>IF('Market Penetration'!S20=0,0,1000*S20*'Market Data'!$Y$51/('Market Penetration'!S20*'Market Data'!$W$51))</f>
        <v>0</v>
      </c>
      <c r="AP20" s="460">
        <f>IF('Market Penetration'!T20=0,0,1000*T20*('Market Data'!$E$51+'Market Data'!$O$51+'Market Data'!$Y$51)/('Market Penetration'!T20*('Market Data'!$C$51+'Market Data'!$M$51+'Market Data'!$W$51)))</f>
        <v>81431.79238084791</v>
      </c>
      <c r="AQ20" s="462">
        <f>IF('Market Penetration'!U20=0,0,1000*U20*('Market Data'!$E$51+'Market Data'!$O$51+'Market Data'!$Y$51)/('Market Penetration'!U20*('Market Data'!$C$51+'Market Data'!$M$51+'Market Data'!$W$51)))</f>
        <v>0</v>
      </c>
    </row>
    <row r="21" spans="1:43" ht="15" x14ac:dyDescent="0.2">
      <c r="A21" s="403">
        <v>2019</v>
      </c>
      <c r="B21" s="423">
        <f t="shared" si="12"/>
        <v>1</v>
      </c>
      <c r="C21" s="424">
        <f>'7&amp;8 Sleep'!$M88+'7&amp;8 Sleep'!$Z88</f>
        <v>0</v>
      </c>
      <c r="D21" s="424">
        <f>'7&amp;8 Sleep'!$M140+'7&amp;8 Sleep'!$Z140</f>
        <v>0</v>
      </c>
      <c r="E21" s="699">
        <f>'7&amp;8 Sleep'!$M192+'7&amp;8 Sleep'!$Z192</f>
        <v>0</v>
      </c>
      <c r="F21" s="424">
        <f>'7&amp;8 Sleep'!$M245+'7&amp;8 Sleep'!$Z245</f>
        <v>0</v>
      </c>
      <c r="G21" s="657">
        <f>'7&amp;8 Sleep'!$M298+'7&amp;8 Sleep'!$Z298</f>
        <v>0</v>
      </c>
      <c r="H21" s="853">
        <f t="shared" si="13"/>
        <v>1</v>
      </c>
      <c r="I21" s="657">
        <f>'7&amp;8 Day'!$M88+'7&amp;8 Day'!$Z88</f>
        <v>0</v>
      </c>
      <c r="J21" s="657">
        <f>'7&amp;8 Day'!$M140+'7&amp;8 Day'!$Z140</f>
        <v>0</v>
      </c>
      <c r="K21" s="657">
        <f>'7&amp;8 Day'!$M192+'7&amp;8 Day'!$Z192</f>
        <v>0</v>
      </c>
      <c r="L21" s="657">
        <f>'7&amp;8 Day'!$M245+'7&amp;8 Day'!$Z245</f>
        <v>0</v>
      </c>
      <c r="M21" s="704">
        <f>'7&amp;8 Day'!$M298+'7&amp;8 Day'!$Z298</f>
        <v>0</v>
      </c>
      <c r="N21" s="423">
        <f t="shared" si="14"/>
        <v>1</v>
      </c>
      <c r="O21" s="424">
        <f>'7&amp;8 SU'!$M88+'7&amp;8 SU'!$Z88</f>
        <v>0</v>
      </c>
      <c r="P21" s="424">
        <f>'7&amp;8 SU'!$M140+'7&amp;8 SU'!$Z140</f>
        <v>0</v>
      </c>
      <c r="Q21" s="699">
        <f>'7&amp;8 SU'!$M192+'7&amp;8 SU'!$Z192</f>
        <v>0</v>
      </c>
      <c r="R21" s="424">
        <f>'7&amp;8 SU'!$M245+'7&amp;8 SU'!$Z245</f>
        <v>0</v>
      </c>
      <c r="S21" s="657">
        <f>'7&amp;8 SU'!$M298+'7&amp;8 SU'!$Z298</f>
        <v>0</v>
      </c>
      <c r="T21" s="423">
        <f>B21*'Market Data'!$E$52+H21*'Market Data'!$O$52+N21*+N21*'Market Data'!$Y$52</f>
        <v>1</v>
      </c>
      <c r="U21" s="425">
        <f>SUM(C21:G21)*'Market Data'!$E$52+SUM(I21:M21)*'Market Data'!$O$52+SUM(O21:S21)*+N21*'Market Data'!$Y$52</f>
        <v>0</v>
      </c>
      <c r="W21" s="403">
        <v>2019</v>
      </c>
      <c r="X21" s="460">
        <f>IF('Market Penetration'!B21=0,0,1000*B21*'Market Data'!$E$51/('Market Penetration'!B21*'Market Data'!$C$51))</f>
        <v>114290.39175651137</v>
      </c>
      <c r="Y21" s="461">
        <f>IF('Market Penetration'!C21=0,0,1000*C21*'Market Data'!$E$51/('Market Penetration'!C21*'Market Data'!$C$51))</f>
        <v>0</v>
      </c>
      <c r="Z21" s="461">
        <f>IF('Market Penetration'!D21=0,0,1000*D21*'Market Data'!$E$51/('Market Penetration'!D21*'Market Data'!$C$51))</f>
        <v>0</v>
      </c>
      <c r="AA21" s="694">
        <f>IF('Market Penetration'!E21=0,0,1000*E21*'Market Data'!$E$51/('Market Penetration'!E21*'Market Data'!$C$51))</f>
        <v>0</v>
      </c>
      <c r="AB21" s="461">
        <f>IF('Market Penetration'!F21=0,0,1000*F21*'Market Data'!$E$51/('Market Penetration'!F21*'Market Data'!$C$51))</f>
        <v>0</v>
      </c>
      <c r="AC21" s="689">
        <f>IF('Market Penetration'!G21=0,0,1000*G21*'Market Data'!$E$51/('Market Penetration'!G21*'Market Data'!$C$51))</f>
        <v>0</v>
      </c>
      <c r="AD21" s="460">
        <f>IF('Market Penetration'!H21=0,0,1000*H21*'Market Data'!$O$51/('Market Penetration'!H21*'Market Data'!$M$51))</f>
        <v>76984.800905352895</v>
      </c>
      <c r="AE21" s="461">
        <f>IF('Market Penetration'!I21=0,0,1000*I21*'Market Data'!$O$51/('Market Penetration'!I21*'Market Data'!$M$51))</f>
        <v>0</v>
      </c>
      <c r="AF21" s="461">
        <f>IF('Market Penetration'!J21=0,0,1000*J21*'Market Data'!$O$51/('Market Penetration'!J21*'Market Data'!$M$51))</f>
        <v>0</v>
      </c>
      <c r="AG21" s="461">
        <f>IF('Market Penetration'!K21=0,0,1000*K21*'Market Data'!$O$51/('Market Penetration'!K21*'Market Data'!$M$51))</f>
        <v>0</v>
      </c>
      <c r="AH21" s="461">
        <f>IF('Market Penetration'!L21=0,0,1000*L21*'Market Data'!$O$51/('Market Penetration'!L21*'Market Data'!$M$51))</f>
        <v>0</v>
      </c>
      <c r="AI21" s="462">
        <f>IF('Market Penetration'!M21=0,0,1000*M21*'Market Data'!$O$51/('Market Penetration'!M21*'Market Data'!$M$51))</f>
        <v>0</v>
      </c>
      <c r="AJ21" s="460">
        <f>IF('Market Penetration'!N21=0,0,1000*N21*'Market Data'!$Y$51/('Market Penetration'!N21*'Market Data'!$W$51))</f>
        <v>27261.021505205488</v>
      </c>
      <c r="AK21" s="461">
        <f>IF('Market Penetration'!O21=0,0,1000*O21*'Market Data'!$Y$51/('Market Penetration'!O21*'Market Data'!$W$51))</f>
        <v>0</v>
      </c>
      <c r="AL21" s="461">
        <f>IF('Market Penetration'!P21=0,0,1000*P21*'Market Data'!$Y$51/('Market Penetration'!P21*'Market Data'!$W$51))</f>
        <v>0</v>
      </c>
      <c r="AM21" s="694">
        <f>IF('Market Penetration'!Q21=0,0,1000*Q21*'Market Data'!$Y$51/('Market Penetration'!Q21*'Market Data'!$W$51))</f>
        <v>0</v>
      </c>
      <c r="AN21" s="461">
        <f>IF('Market Penetration'!R21=0,0,1000*R21*'Market Data'!$Y$51/('Market Penetration'!R21*'Market Data'!$W$51))</f>
        <v>0</v>
      </c>
      <c r="AO21" s="689">
        <f>IF('Market Penetration'!S21=0,0,1000*S21*'Market Data'!$Y$51/('Market Penetration'!S21*'Market Data'!$W$51))</f>
        <v>0</v>
      </c>
      <c r="AP21" s="460">
        <f>IF('Market Penetration'!T21=0,0,1000*T21*('Market Data'!$E$51+'Market Data'!$O$51+'Market Data'!$Y$51)/('Market Penetration'!T21*('Market Data'!$C$51+'Market Data'!$M$51+'Market Data'!$W$51)))</f>
        <v>81431.79238084791</v>
      </c>
      <c r="AQ21" s="462">
        <f>IF('Market Penetration'!U21=0,0,1000*U21*('Market Data'!$E$51+'Market Data'!$O$51+'Market Data'!$Y$51)/('Market Penetration'!U21*('Market Data'!$C$51+'Market Data'!$M$51+'Market Data'!$W$51)))</f>
        <v>0</v>
      </c>
    </row>
    <row r="22" spans="1:43" ht="15" x14ac:dyDescent="0.2">
      <c r="A22" s="402">
        <v>2020</v>
      </c>
      <c r="B22" s="426">
        <f t="shared" si="12"/>
        <v>1</v>
      </c>
      <c r="C22" s="427">
        <f>'7&amp;8 Sleep'!$M89+'7&amp;8 Sleep'!$Z89</f>
        <v>0</v>
      </c>
      <c r="D22" s="427">
        <f>'7&amp;8 Sleep'!$M141+'7&amp;8 Sleep'!$Z141</f>
        <v>0</v>
      </c>
      <c r="E22" s="700">
        <f>'7&amp;8 Sleep'!$M193+'7&amp;8 Sleep'!$Z193</f>
        <v>0</v>
      </c>
      <c r="F22" s="427">
        <f>'7&amp;8 Sleep'!$M246+'7&amp;8 Sleep'!$Z246</f>
        <v>0</v>
      </c>
      <c r="G22" s="658">
        <f>'7&amp;8 Sleep'!$M299+'7&amp;8 Sleep'!$Z299</f>
        <v>0</v>
      </c>
      <c r="H22" s="854">
        <f t="shared" si="13"/>
        <v>1</v>
      </c>
      <c r="I22" s="658">
        <f>'7&amp;8 Day'!$M89+'7&amp;8 Day'!$Z89</f>
        <v>0</v>
      </c>
      <c r="J22" s="658">
        <f>'7&amp;8 Day'!$M141+'7&amp;8 Day'!$Z141</f>
        <v>0</v>
      </c>
      <c r="K22" s="658">
        <f>'7&amp;8 Day'!$M193+'7&amp;8 Day'!$Z193</f>
        <v>0</v>
      </c>
      <c r="L22" s="658">
        <f>'7&amp;8 Day'!$M246+'7&amp;8 Day'!$Z246</f>
        <v>0</v>
      </c>
      <c r="M22" s="705">
        <f>'7&amp;8 Day'!$M299+'7&amp;8 Day'!$Z299</f>
        <v>0</v>
      </c>
      <c r="N22" s="426">
        <f t="shared" si="14"/>
        <v>1</v>
      </c>
      <c r="O22" s="427">
        <f>'7&amp;8 SU'!$M89+'7&amp;8 SU'!$Z89</f>
        <v>0</v>
      </c>
      <c r="P22" s="427">
        <f>'7&amp;8 SU'!$M141+'7&amp;8 SU'!$Z141</f>
        <v>0</v>
      </c>
      <c r="Q22" s="700">
        <f>'7&amp;8 SU'!$M193+'7&amp;8 SU'!$Z193</f>
        <v>0</v>
      </c>
      <c r="R22" s="427">
        <f>'7&amp;8 SU'!$M246+'7&amp;8 SU'!$Z246</f>
        <v>0</v>
      </c>
      <c r="S22" s="658">
        <f>'7&amp;8 SU'!$M299+'7&amp;8 SU'!$Z299</f>
        <v>0</v>
      </c>
      <c r="T22" s="426">
        <f>B22*'Market Data'!$E$52+H22*'Market Data'!$O$52+N22*+N22*'Market Data'!$Y$52</f>
        <v>1</v>
      </c>
      <c r="U22" s="428">
        <f>SUM(C22:G22)*'Market Data'!$E$52+SUM(I22:M22)*'Market Data'!$O$52+SUM(O22:S22)*+N22*'Market Data'!$Y$52</f>
        <v>0</v>
      </c>
      <c r="W22" s="402">
        <v>2020</v>
      </c>
      <c r="X22" s="463">
        <f>IF('Market Penetration'!B22=0,0,1000*B22*'Market Data'!$E$51/('Market Penetration'!B22*'Market Data'!$C$51))</f>
        <v>114290.39175651137</v>
      </c>
      <c r="Y22" s="464">
        <f>IF('Market Penetration'!C22=0,0,1000*C22*'Market Data'!$E$51/('Market Penetration'!C22*'Market Data'!$C$51))</f>
        <v>0</v>
      </c>
      <c r="Z22" s="464">
        <f>IF('Market Penetration'!D22=0,0,1000*D22*'Market Data'!$E$51/('Market Penetration'!D22*'Market Data'!$C$51))</f>
        <v>0</v>
      </c>
      <c r="AA22" s="695">
        <f>IF('Market Penetration'!E22=0,0,1000*E22*'Market Data'!$E$51/('Market Penetration'!E22*'Market Data'!$C$51))</f>
        <v>0</v>
      </c>
      <c r="AB22" s="464">
        <f>IF('Market Penetration'!F22=0,0,1000*F22*'Market Data'!$E$51/('Market Penetration'!F22*'Market Data'!$C$51))</f>
        <v>0</v>
      </c>
      <c r="AC22" s="690">
        <f>IF('Market Penetration'!G22=0,0,1000*G22*'Market Data'!$E$51/('Market Penetration'!G22*'Market Data'!$C$51))</f>
        <v>0</v>
      </c>
      <c r="AD22" s="463">
        <f>IF('Market Penetration'!H22=0,0,1000*H22*'Market Data'!$O$51/('Market Penetration'!H22*'Market Data'!$M$51))</f>
        <v>76984.800905352895</v>
      </c>
      <c r="AE22" s="464">
        <f>IF('Market Penetration'!I22=0,0,1000*I22*'Market Data'!$O$51/('Market Penetration'!I22*'Market Data'!$M$51))</f>
        <v>0</v>
      </c>
      <c r="AF22" s="464">
        <f>IF('Market Penetration'!J22=0,0,1000*J22*'Market Data'!$O$51/('Market Penetration'!J22*'Market Data'!$M$51))</f>
        <v>0</v>
      </c>
      <c r="AG22" s="464">
        <f>IF('Market Penetration'!K22=0,0,1000*K22*'Market Data'!$O$51/('Market Penetration'!K22*'Market Data'!$M$51))</f>
        <v>0</v>
      </c>
      <c r="AH22" s="464">
        <f>IF('Market Penetration'!L22=0,0,1000*L22*'Market Data'!$O$51/('Market Penetration'!L22*'Market Data'!$M$51))</f>
        <v>0</v>
      </c>
      <c r="AI22" s="465">
        <f>IF('Market Penetration'!M22=0,0,1000*M22*'Market Data'!$O$51/('Market Penetration'!M22*'Market Data'!$M$51))</f>
        <v>0</v>
      </c>
      <c r="AJ22" s="463">
        <f>IF('Market Penetration'!N22=0,0,1000*N22*'Market Data'!$Y$51/('Market Penetration'!N22*'Market Data'!$W$51))</f>
        <v>27261.021505205488</v>
      </c>
      <c r="AK22" s="464">
        <f>IF('Market Penetration'!O22=0,0,1000*O22*'Market Data'!$Y$51/('Market Penetration'!O22*'Market Data'!$W$51))</f>
        <v>0</v>
      </c>
      <c r="AL22" s="464">
        <f>IF('Market Penetration'!P22=0,0,1000*P22*'Market Data'!$Y$51/('Market Penetration'!P22*'Market Data'!$W$51))</f>
        <v>0</v>
      </c>
      <c r="AM22" s="695">
        <f>IF('Market Penetration'!Q22=0,0,1000*Q22*'Market Data'!$Y$51/('Market Penetration'!Q22*'Market Data'!$W$51))</f>
        <v>0</v>
      </c>
      <c r="AN22" s="464">
        <f>IF('Market Penetration'!R22=0,0,1000*R22*'Market Data'!$Y$51/('Market Penetration'!R22*'Market Data'!$W$51))</f>
        <v>0</v>
      </c>
      <c r="AO22" s="690">
        <f>IF('Market Penetration'!S22=0,0,1000*S22*'Market Data'!$Y$51/('Market Penetration'!S22*'Market Data'!$W$51))</f>
        <v>0</v>
      </c>
      <c r="AP22" s="463">
        <f>IF('Market Penetration'!T22=0,0,1000*T22*('Market Data'!$E$51+'Market Data'!$O$51+'Market Data'!$Y$51)/('Market Penetration'!T22*('Market Data'!$C$51+'Market Data'!$M$51+'Market Data'!$W$51)))</f>
        <v>81431.79238084791</v>
      </c>
      <c r="AQ22" s="465">
        <f>IF('Market Penetration'!U22=0,0,1000*U22*('Market Data'!$E$51+'Market Data'!$O$51+'Market Data'!$Y$51)/('Market Penetration'!U22*('Market Data'!$C$51+'Market Data'!$M$51+'Market Data'!$W$51)))</f>
        <v>0</v>
      </c>
    </row>
    <row r="23" spans="1:43" ht="15" x14ac:dyDescent="0.2">
      <c r="A23" s="429">
        <v>2021</v>
      </c>
      <c r="B23" s="430">
        <f t="shared" si="12"/>
        <v>1</v>
      </c>
      <c r="C23" s="431">
        <f>'7&amp;8 Sleep'!$M90+'7&amp;8 Sleep'!$Z90</f>
        <v>0</v>
      </c>
      <c r="D23" s="431">
        <f>'7&amp;8 Sleep'!$M142+'7&amp;8 Sleep'!$Z142</f>
        <v>0</v>
      </c>
      <c r="E23" s="701">
        <f>'7&amp;8 Sleep'!$M194+'7&amp;8 Sleep'!$Z194</f>
        <v>0</v>
      </c>
      <c r="F23" s="431">
        <f>'7&amp;8 Sleep'!$M247+'7&amp;8 Sleep'!$Z247</f>
        <v>0</v>
      </c>
      <c r="G23" s="659">
        <f>'7&amp;8 Sleep'!$M300+'7&amp;8 Sleep'!$Z300</f>
        <v>0</v>
      </c>
      <c r="H23" s="855">
        <f t="shared" si="13"/>
        <v>0.96473415876553392</v>
      </c>
      <c r="I23" s="659">
        <f>'7&amp;8 Day'!$M90+'7&amp;8 Day'!$Z90</f>
        <v>2.1253673284782906E-2</v>
      </c>
      <c r="J23" s="659">
        <f>'7&amp;8 Day'!$M142+'7&amp;8 Day'!$Z142</f>
        <v>1.4012167949683206E-2</v>
      </c>
      <c r="K23" s="659">
        <f>'7&amp;8 Day'!$M194+'7&amp;8 Day'!$Z194</f>
        <v>0</v>
      </c>
      <c r="L23" s="659">
        <f>'7&amp;8 Day'!$M247+'7&amp;8 Day'!$Z247</f>
        <v>0</v>
      </c>
      <c r="M23" s="706">
        <f>'7&amp;8 Day'!$M300+'7&amp;8 Day'!$Z300</f>
        <v>0</v>
      </c>
      <c r="N23" s="430">
        <f t="shared" si="14"/>
        <v>1</v>
      </c>
      <c r="O23" s="431">
        <f>'7&amp;8 SU'!$M90+'7&amp;8 SU'!$Z90</f>
        <v>0</v>
      </c>
      <c r="P23" s="431">
        <f>'7&amp;8 SU'!$M142+'7&amp;8 SU'!$Z142</f>
        <v>0</v>
      </c>
      <c r="Q23" s="701">
        <f>'7&amp;8 SU'!$M194+'7&amp;8 SU'!$Z194</f>
        <v>0</v>
      </c>
      <c r="R23" s="431">
        <f>'7&amp;8 SU'!$M247+'7&amp;8 SU'!$Z247</f>
        <v>0</v>
      </c>
      <c r="S23" s="659">
        <f>'7&amp;8 SU'!$M300+'7&amp;8 SU'!$Z300</f>
        <v>0</v>
      </c>
      <c r="T23" s="433">
        <f>B23*'Market Data'!$E$52+H23*'Market Data'!$O$52+N23*+N23*'Market Data'!$Y$52</f>
        <v>0.99146946296636718</v>
      </c>
      <c r="U23" s="434">
        <f>SUM(C23:G23)*'Market Data'!$E$52+SUM(I23:M23)*'Market Data'!$O$52+SUM(O23:S23)*+N23*'Market Data'!$Y$52</f>
        <v>8.5305370336327194E-3</v>
      </c>
      <c r="W23" s="429">
        <v>2021</v>
      </c>
      <c r="X23" s="466">
        <f>IF('Market Penetration'!B23=0,0,1000*B23*'Market Data'!$E$51/('Market Penetration'!B23*'Market Data'!$C$51))</f>
        <v>114290.39175651137</v>
      </c>
      <c r="Y23" s="467">
        <f>IF('Market Penetration'!C23=0,0,1000*C23*'Market Data'!$E$51/('Market Penetration'!C23*'Market Data'!$C$51))</f>
        <v>0</v>
      </c>
      <c r="Z23" s="467">
        <f>IF('Market Penetration'!D23=0,0,1000*D23*'Market Data'!$E$51/('Market Penetration'!D23*'Market Data'!$C$51))</f>
        <v>0</v>
      </c>
      <c r="AA23" s="696">
        <f>IF('Market Penetration'!E23=0,0,1000*E23*'Market Data'!$E$51/('Market Penetration'!E23*'Market Data'!$C$51))</f>
        <v>0</v>
      </c>
      <c r="AB23" s="467">
        <f>IF('Market Penetration'!F23=0,0,1000*F23*'Market Data'!$E$51/('Market Penetration'!F23*'Market Data'!$C$51))</f>
        <v>0</v>
      </c>
      <c r="AC23" s="691">
        <f>IF('Market Penetration'!G23=0,0,1000*G23*'Market Data'!$E$51/('Market Penetration'!G23*'Market Data'!$C$51))</f>
        <v>0</v>
      </c>
      <c r="AD23" s="466">
        <f>IF('Market Penetration'!H23=0,0,1000*H23*'Market Data'!$O$51/('Market Penetration'!H23*'Market Data'!$M$51))</f>
        <v>76640.915008361961</v>
      </c>
      <c r="AE23" s="467">
        <f>IF('Market Penetration'!I23=0,0,1000*I23*'Market Data'!$O$51/('Market Penetration'!I23*'Market Data'!$M$51))</f>
        <v>91226.413387916269</v>
      </c>
      <c r="AF23" s="467">
        <f>IF('Market Penetration'!J23=0,0,1000*J23*'Market Data'!$O$51/('Market Penetration'!J23*'Market Data'!$M$51))</f>
        <v>82969.828471106492</v>
      </c>
      <c r="AG23" s="467">
        <f>IF('Market Penetration'!K23=0,0,1000*K23*'Market Data'!$O$51/('Market Penetration'!K23*'Market Data'!$M$51))</f>
        <v>0</v>
      </c>
      <c r="AH23" s="467">
        <f>IF('Market Penetration'!L23=0,0,1000*L23*'Market Data'!$O$51/('Market Penetration'!L23*'Market Data'!$M$51))</f>
        <v>0</v>
      </c>
      <c r="AI23" s="860">
        <f>IF('Market Penetration'!M23=0,0,1000*M23*'Market Data'!$O$51/('Market Penetration'!M23*'Market Data'!$M$51))</f>
        <v>0</v>
      </c>
      <c r="AJ23" s="466">
        <f>IF('Market Penetration'!N23=0,0,1000*N23*'Market Data'!$Y$51/('Market Penetration'!N23*'Market Data'!$W$51))</f>
        <v>27261.021505205488</v>
      </c>
      <c r="AK23" s="467">
        <f>IF('Market Penetration'!O23=0,0,1000*O23*'Market Data'!$Y$51/('Market Penetration'!O23*'Market Data'!$W$51))</f>
        <v>0</v>
      </c>
      <c r="AL23" s="467">
        <f>IF('Market Penetration'!P23=0,0,1000*P23*'Market Data'!$Y$51/('Market Penetration'!P23*'Market Data'!$W$51))</f>
        <v>0</v>
      </c>
      <c r="AM23" s="696">
        <f>IF('Market Penetration'!Q23=0,0,1000*Q23*'Market Data'!$Y$51/('Market Penetration'!Q23*'Market Data'!$W$51))</f>
        <v>0</v>
      </c>
      <c r="AN23" s="467">
        <f>IF('Market Penetration'!R23=0,0,1000*R23*'Market Data'!$Y$51/('Market Penetration'!R23*'Market Data'!$W$51))</f>
        <v>0</v>
      </c>
      <c r="AO23" s="691">
        <f>IF('Market Penetration'!S23=0,0,1000*S23*'Market Data'!$Y$51/('Market Penetration'!S23*'Market Data'!$W$51))</f>
        <v>0</v>
      </c>
      <c r="AP23" s="468">
        <f>IF('Market Penetration'!T23=0,0,1000*T23*('Market Data'!$E$51+'Market Data'!$O$51+'Market Data'!$Y$51)/('Market Penetration'!T23*('Market Data'!$C$51+'Market Data'!$M$51+'Market Data'!$W$51)))</f>
        <v>81381.327776067934</v>
      </c>
      <c r="AQ23" s="469">
        <f>IF('Market Penetration'!U23=0,0,1000*U23*('Market Data'!$E$51+'Market Data'!$O$51+'Market Data'!$Y$51)/('Market Penetration'!U23*('Market Data'!$C$51+'Market Data'!$M$51+'Market Data'!$W$51)))</f>
        <v>87756.561447294502</v>
      </c>
    </row>
    <row r="24" spans="1:43" ht="15" x14ac:dyDescent="0.2">
      <c r="A24" s="403">
        <v>2022</v>
      </c>
      <c r="B24" s="423">
        <f t="shared" si="12"/>
        <v>0.97500126354324201</v>
      </c>
      <c r="C24" s="424">
        <f>'7&amp;8 Sleep'!$M91+'7&amp;8 Sleep'!$Z91</f>
        <v>1.5928931240959662E-2</v>
      </c>
      <c r="D24" s="424">
        <f>'7&amp;8 Sleep'!$M143+'7&amp;8 Sleep'!$Z143</f>
        <v>9.0698052157983603E-3</v>
      </c>
      <c r="E24" s="699">
        <f>'7&amp;8 Sleep'!$M195+'7&amp;8 Sleep'!$Z195</f>
        <v>0</v>
      </c>
      <c r="F24" s="424">
        <f>'7&amp;8 Sleep'!$M248+'7&amp;8 Sleep'!$Z248</f>
        <v>0</v>
      </c>
      <c r="G24" s="657">
        <f>'7&amp;8 Sleep'!$M301+'7&amp;8 Sleep'!$Z301</f>
        <v>0</v>
      </c>
      <c r="H24" s="853">
        <f t="shared" si="13"/>
        <v>0.91334194003108427</v>
      </c>
      <c r="I24" s="657">
        <f>'7&amp;8 Day'!$M91+'7&amp;8 Day'!$Z91</f>
        <v>5.1302847321071564E-2</v>
      </c>
      <c r="J24" s="657">
        <f>'7&amp;8 Day'!$M143+'7&amp;8 Day'!$Z143</f>
        <v>3.5355212647844178E-2</v>
      </c>
      <c r="K24" s="657">
        <f>'7&amp;8 Day'!$M195+'7&amp;8 Day'!$Z195</f>
        <v>0</v>
      </c>
      <c r="L24" s="657">
        <f>'7&amp;8 Day'!$M248+'7&amp;8 Day'!$Z248</f>
        <v>0</v>
      </c>
      <c r="M24" s="704">
        <f>'7&amp;8 Day'!$M301+'7&amp;8 Day'!$Z301</f>
        <v>0</v>
      </c>
      <c r="N24" s="423">
        <f t="shared" si="14"/>
        <v>0.96947894335037121</v>
      </c>
      <c r="O24" s="424">
        <f>'7&amp;8 SU'!$M91+'7&amp;8 SU'!$Z91</f>
        <v>1.3442526151545836E-2</v>
      </c>
      <c r="P24" s="424">
        <f>'7&amp;8 SU'!$M143+'7&amp;8 SU'!$Z143</f>
        <v>1.5346331006377958E-2</v>
      </c>
      <c r="Q24" s="699">
        <f>'7&amp;8 SU'!$M195+'7&amp;8 SU'!$Z195</f>
        <v>1.7321994917049374E-3</v>
      </c>
      <c r="R24" s="424">
        <f>'7&amp;8 SU'!$M248+'7&amp;8 SU'!$Z248</f>
        <v>0</v>
      </c>
      <c r="S24" s="657">
        <f>'7&amp;8 SU'!$M301+'7&amp;8 SU'!$Z301</f>
        <v>0</v>
      </c>
      <c r="T24" s="423">
        <f>B24*'Market Data'!$E$52+H24*'Market Data'!$O$52+N24*+N24*'Market Data'!$Y$52</f>
        <v>0.95693757112704292</v>
      </c>
      <c r="U24" s="425">
        <f>SUM(C24:G24)*'Market Data'!$E$52+SUM(I24:M24)*'Market Data'!$O$52+SUM(O24:S24)*+N24*'Market Data'!$Y$52</f>
        <v>4.0325349123884226E-2</v>
      </c>
      <c r="W24" s="403">
        <v>2022</v>
      </c>
      <c r="X24" s="460">
        <f>IF('Market Penetration'!B24=0,0,1000*B24*'Market Data'!$E$51/('Market Penetration'!B24*'Market Data'!$C$51))</f>
        <v>114221.2637172859</v>
      </c>
      <c r="Y24" s="461">
        <f>IF('Market Penetration'!C24=0,0,1000*C24*'Market Data'!$E$51/('Market Penetration'!C24*'Market Data'!$C$51))</f>
        <v>106807.56329719957</v>
      </c>
      <c r="Z24" s="461">
        <f>IF('Market Penetration'!D24=0,0,1000*D24*'Market Data'!$E$51/('Market Penetration'!D24*'Market Data'!$C$51))</f>
        <v>140769.36289023803</v>
      </c>
      <c r="AA24" s="694">
        <f>IF('Market Penetration'!E24=0,0,1000*E24*'Market Data'!$E$51/('Market Penetration'!E24*'Market Data'!$C$51))</f>
        <v>0</v>
      </c>
      <c r="AB24" s="461">
        <f>IF('Market Penetration'!F24=0,0,1000*F24*'Market Data'!$E$51/('Market Penetration'!F24*'Market Data'!$C$51))</f>
        <v>0</v>
      </c>
      <c r="AC24" s="689">
        <f>IF('Market Penetration'!G24=0,0,1000*G24*'Market Data'!$E$51/('Market Penetration'!G24*'Market Data'!$C$51))</f>
        <v>0</v>
      </c>
      <c r="AD24" s="460">
        <f>IF('Market Penetration'!H24=0,0,1000*H24*'Market Data'!$O$51/('Market Penetration'!H24*'Market Data'!$M$51))</f>
        <v>76098.68438595219</v>
      </c>
      <c r="AE24" s="461">
        <f>IF('Market Penetration'!I24=0,0,1000*I24*'Market Data'!$O$51/('Market Penetration'!I24*'Market Data'!$M$51))</f>
        <v>86480.542696537508</v>
      </c>
      <c r="AF24" s="461">
        <f>IF('Market Penetration'!J24=0,0,1000*J24*'Market Data'!$O$51/('Market Penetration'!J24*'Market Data'!$M$51))</f>
        <v>89671.590906356083</v>
      </c>
      <c r="AG24" s="461">
        <f>IF('Market Penetration'!K24=0,0,1000*K24*'Market Data'!$O$51/('Market Penetration'!K24*'Market Data'!$M$51))</f>
        <v>0</v>
      </c>
      <c r="AH24" s="461">
        <f>IF('Market Penetration'!L24=0,0,1000*L24*'Market Data'!$O$51/('Market Penetration'!L24*'Market Data'!$M$51))</f>
        <v>0</v>
      </c>
      <c r="AI24" s="462">
        <f>IF('Market Penetration'!M24=0,0,1000*M24*'Market Data'!$O$51/('Market Penetration'!M24*'Market Data'!$M$51))</f>
        <v>0</v>
      </c>
      <c r="AJ24" s="460">
        <f>IF('Market Penetration'!N24=0,0,1000*N24*'Market Data'!$Y$51/('Market Penetration'!N24*'Market Data'!$W$51))</f>
        <v>27142.522953793545</v>
      </c>
      <c r="AK24" s="461">
        <f>IF('Market Penetration'!O24=0,0,1000*O24*'Market Data'!$Y$51/('Market Penetration'!O24*'Market Data'!$W$51))</f>
        <v>29343.386941581935</v>
      </c>
      <c r="AL24" s="461">
        <f>IF('Market Penetration'!P24=0,0,1000*P24*'Market Data'!$Y$51/('Market Penetration'!P24*'Market Data'!$W$51))</f>
        <v>31417.848370165455</v>
      </c>
      <c r="AM24" s="694">
        <f>IF('Market Penetration'!Q24=0,0,1000*Q24*'Market Data'!$Y$51/('Market Penetration'!Q24*'Market Data'!$W$51))</f>
        <v>97554.651970270163</v>
      </c>
      <c r="AN24" s="461">
        <f>IF('Market Penetration'!R24=0,0,1000*R24*'Market Data'!$Y$51/('Market Penetration'!R24*'Market Data'!$W$51))</f>
        <v>0</v>
      </c>
      <c r="AO24" s="689">
        <f>IF('Market Penetration'!S24=0,0,1000*S24*'Market Data'!$Y$51/('Market Penetration'!S24*'Market Data'!$W$51))</f>
        <v>0</v>
      </c>
      <c r="AP24" s="460">
        <f>IF('Market Penetration'!T24=0,0,1000*T24*('Market Data'!$E$51+'Market Data'!$O$51+'Market Data'!$Y$51)/('Market Penetration'!T24*('Market Data'!$C$51+'Market Data'!$M$51+'Market Data'!$W$51)))</f>
        <v>81013.244836137019</v>
      </c>
      <c r="AQ24" s="462">
        <f>IF('Market Penetration'!U24=0,0,1000*U24*('Market Data'!$E$51+'Market Data'!$O$51+'Market Data'!$Y$51)/('Market Penetration'!U24*('Market Data'!$C$51+'Market Data'!$M$51+'Market Data'!$W$51)))</f>
        <v>86146.244413679466</v>
      </c>
    </row>
    <row r="25" spans="1:43" ht="15" x14ac:dyDescent="0.2">
      <c r="A25" s="403">
        <v>2023</v>
      </c>
      <c r="B25" s="423">
        <f t="shared" si="12"/>
        <v>0.93551636818153605</v>
      </c>
      <c r="C25" s="424">
        <f>'7&amp;8 Sleep'!$M92+'7&amp;8 Sleep'!$Z92</f>
        <v>3.8506518821436485E-2</v>
      </c>
      <c r="D25" s="424">
        <f>'7&amp;8 Sleep'!$M144+'7&amp;8 Sleep'!$Z144</f>
        <v>2.5977112997027468E-2</v>
      </c>
      <c r="E25" s="699">
        <f>'7&amp;8 Sleep'!$M196+'7&amp;8 Sleep'!$Z196</f>
        <v>0</v>
      </c>
      <c r="F25" s="424">
        <f>'7&amp;8 Sleep'!$M249+'7&amp;8 Sleep'!$Z249</f>
        <v>0</v>
      </c>
      <c r="G25" s="657">
        <f>'7&amp;8 Sleep'!$M302+'7&amp;8 Sleep'!$Z302</f>
        <v>0</v>
      </c>
      <c r="H25" s="853">
        <f t="shared" si="13"/>
        <v>0.81488274037403319</v>
      </c>
      <c r="I25" s="657">
        <f>'7&amp;8 Day'!$M92+'7&amp;8 Day'!$Z92</f>
        <v>0.10754991219209312</v>
      </c>
      <c r="J25" s="657">
        <f>'7&amp;8 Day'!$M144+'7&amp;8 Day'!$Z144</f>
        <v>7.7567347433873696E-2</v>
      </c>
      <c r="K25" s="657">
        <f>'7&amp;8 Day'!$M196+'7&amp;8 Day'!$Z196</f>
        <v>0</v>
      </c>
      <c r="L25" s="657">
        <f>'7&amp;8 Day'!$M249+'7&amp;8 Day'!$Z249</f>
        <v>0</v>
      </c>
      <c r="M25" s="704">
        <f>'7&amp;8 Day'!$M302+'7&amp;8 Day'!$Z302</f>
        <v>0</v>
      </c>
      <c r="N25" s="423">
        <f t="shared" si="14"/>
        <v>0.92650026900292881</v>
      </c>
      <c r="O25" s="424">
        <f>'7&amp;8 SU'!$M92+'7&amp;8 SU'!$Z92</f>
        <v>3.261961184850494E-2</v>
      </c>
      <c r="P25" s="424">
        <f>'7&amp;8 SU'!$M144+'7&amp;8 SU'!$Z144</f>
        <v>3.521953764949521E-2</v>
      </c>
      <c r="Q25" s="699">
        <f>'7&amp;8 SU'!$M196+'7&amp;8 SU'!$Z196</f>
        <v>5.6605814990710124E-3</v>
      </c>
      <c r="R25" s="424">
        <f>'7&amp;8 SU'!$M249+'7&amp;8 SU'!$Z249</f>
        <v>0</v>
      </c>
      <c r="S25" s="657">
        <f>'7&amp;8 SU'!$M302+'7&amp;8 SU'!$Z302</f>
        <v>0</v>
      </c>
      <c r="T25" s="423">
        <f>B25*'Market Data'!$E$52+H25*'Market Data'!$O$52+N25*+N25*'Market Data'!$Y$52</f>
        <v>0.89942059047205669</v>
      </c>
      <c r="U25" s="425">
        <f>SUM(C25:G25)*'Market Data'!$E$52+SUM(I25:M25)*'Market Data'!$O$52+SUM(O25:S25)*+N25*'Market Data'!$Y$52</f>
        <v>9.3988070716060398E-2</v>
      </c>
      <c r="W25" s="403">
        <v>2023</v>
      </c>
      <c r="X25" s="460">
        <f>IF('Market Penetration'!B25=0,0,1000*B25*'Market Data'!$E$51/('Market Penetration'!B25*'Market Data'!$C$51))</f>
        <v>114033.10442279154</v>
      </c>
      <c r="Y25" s="461">
        <f>IF('Market Penetration'!C25=0,0,1000*C25*'Market Data'!$E$51/('Market Penetration'!C25*'Market Data'!$C$51))</f>
        <v>107468.34577715541</v>
      </c>
      <c r="Z25" s="461">
        <f>IF('Market Penetration'!D25=0,0,1000*D25*'Market Data'!$E$51/('Market Penetration'!D25*'Market Data'!$C$51))</f>
        <v>138592.93523795556</v>
      </c>
      <c r="AA25" s="694">
        <f>IF('Market Penetration'!E25=0,0,1000*E25*'Market Data'!$E$51/('Market Penetration'!E25*'Market Data'!$C$51))</f>
        <v>0</v>
      </c>
      <c r="AB25" s="461">
        <f>IF('Market Penetration'!F25=0,0,1000*F25*'Market Data'!$E$51/('Market Penetration'!F25*'Market Data'!$C$51))</f>
        <v>0</v>
      </c>
      <c r="AC25" s="689">
        <f>IF('Market Penetration'!G25=0,0,1000*G25*'Market Data'!$E$51/('Market Penetration'!G25*'Market Data'!$C$51))</f>
        <v>0</v>
      </c>
      <c r="AD25" s="460">
        <f>IF('Market Penetration'!H25=0,0,1000*H25*'Market Data'!$O$51/('Market Penetration'!H25*'Market Data'!$M$51))</f>
        <v>74333.980858799099</v>
      </c>
      <c r="AE25" s="461">
        <f>IF('Market Penetration'!I25=0,0,1000*I25*'Market Data'!$O$51/('Market Penetration'!I25*'Market Data'!$M$51))</f>
        <v>83395.096074227244</v>
      </c>
      <c r="AF25" s="461">
        <f>IF('Market Penetration'!J25=0,0,1000*J25*'Market Data'!$O$51/('Market Penetration'!J25*'Market Data'!$M$51))</f>
        <v>105178.73047419776</v>
      </c>
      <c r="AG25" s="461">
        <f>IF('Market Penetration'!K25=0,0,1000*K25*'Market Data'!$O$51/('Market Penetration'!K25*'Market Data'!$M$51))</f>
        <v>0</v>
      </c>
      <c r="AH25" s="461">
        <f>IF('Market Penetration'!L25=0,0,1000*L25*'Market Data'!$O$51/('Market Penetration'!L25*'Market Data'!$M$51))</f>
        <v>0</v>
      </c>
      <c r="AI25" s="462">
        <f>IF('Market Penetration'!M25=0,0,1000*M25*'Market Data'!$O$51/('Market Penetration'!M25*'Market Data'!$M$51))</f>
        <v>0</v>
      </c>
      <c r="AJ25" s="460">
        <f>IF('Market Penetration'!N25=0,0,1000*N25*'Market Data'!$Y$51/('Market Penetration'!N25*'Market Data'!$W$51))</f>
        <v>26964.948765811416</v>
      </c>
      <c r="AK25" s="461">
        <f>IF('Market Penetration'!O25=0,0,1000*O25*'Market Data'!$Y$51/('Market Penetration'!O25*'Market Data'!$W$51))</f>
        <v>28752.767191183062</v>
      </c>
      <c r="AL25" s="461">
        <f>IF('Market Penetration'!P25=0,0,1000*P25*'Market Data'!$Y$51/('Market Penetration'!P25*'Market Data'!$W$51))</f>
        <v>31311.594004243365</v>
      </c>
      <c r="AM25" s="694">
        <f>IF('Market Penetration'!Q25=0,0,1000*Q25*'Market Data'!$Y$51/('Market Penetration'!Q25*'Market Data'!$W$51))</f>
        <v>88881.269987293112</v>
      </c>
      <c r="AN25" s="461">
        <f>IF('Market Penetration'!R25=0,0,1000*R25*'Market Data'!$Y$51/('Market Penetration'!R25*'Market Data'!$W$51))</f>
        <v>0</v>
      </c>
      <c r="AO25" s="689">
        <f>IF('Market Penetration'!S25=0,0,1000*S25*'Market Data'!$Y$51/('Market Penetration'!S25*'Market Data'!$W$51))</f>
        <v>0</v>
      </c>
      <c r="AP25" s="460">
        <f>IF('Market Penetration'!T25=0,0,1000*T25*('Market Data'!$E$51+'Market Data'!$O$51+'Market Data'!$Y$51)/('Market Penetration'!T25*('Market Data'!$C$51+'Market Data'!$M$51+'Market Data'!$W$51)))</f>
        <v>80185.417436978998</v>
      </c>
      <c r="AQ25" s="462">
        <f>IF('Market Penetration'!U25=0,0,1000*U25*('Market Data'!$E$51+'Market Data'!$O$51+'Market Data'!$Y$51)/('Market Penetration'!U25*('Market Data'!$C$51+'Market Data'!$M$51+'Market Data'!$W$51)))</f>
        <v>88379.847169240311</v>
      </c>
    </row>
    <row r="26" spans="1:43" ht="15" x14ac:dyDescent="0.2">
      <c r="A26" s="403">
        <v>2024</v>
      </c>
      <c r="B26" s="423">
        <f t="shared" si="12"/>
        <v>0.84210443039600769</v>
      </c>
      <c r="C26" s="424">
        <f>'7&amp;8 Sleep'!$M93+'7&amp;8 Sleep'!$Z93</f>
        <v>9.1397921213851346E-2</v>
      </c>
      <c r="D26" s="424">
        <f>'7&amp;8 Sleep'!$M145+'7&amp;8 Sleep'!$Z145</f>
        <v>6.6497648390141037E-2</v>
      </c>
      <c r="E26" s="699">
        <f>'7&amp;8 Sleep'!$M197+'7&amp;8 Sleep'!$Z197</f>
        <v>0</v>
      </c>
      <c r="F26" s="424">
        <f>'7&amp;8 Sleep'!$M250+'7&amp;8 Sleep'!$Z250</f>
        <v>0</v>
      </c>
      <c r="G26" s="657">
        <f>'7&amp;8 Sleep'!$M303+'7&amp;8 Sleep'!$Z303</f>
        <v>0</v>
      </c>
      <c r="H26" s="853">
        <f t="shared" si="13"/>
        <v>0.6855328581761535</v>
      </c>
      <c r="I26" s="657">
        <f>'7&amp;8 Day'!$M93+'7&amp;8 Day'!$Z93</f>
        <v>0.16814041051209749</v>
      </c>
      <c r="J26" s="657">
        <f>'7&amp;8 Day'!$M145+'7&amp;8 Day'!$Z145</f>
        <v>0.14632673131174898</v>
      </c>
      <c r="K26" s="657">
        <f>'7&amp;8 Day'!$M197+'7&amp;8 Day'!$Z197</f>
        <v>0</v>
      </c>
      <c r="L26" s="657">
        <f>'7&amp;8 Day'!$M250+'7&amp;8 Day'!$Z250</f>
        <v>0</v>
      </c>
      <c r="M26" s="704">
        <f>'7&amp;8 Day'!$M303+'7&amp;8 Day'!$Z303</f>
        <v>0</v>
      </c>
      <c r="N26" s="423">
        <f t="shared" si="14"/>
        <v>0.85150688705888999</v>
      </c>
      <c r="O26" s="424">
        <f>'7&amp;8 SU'!$M93+'7&amp;8 SU'!$Z93</f>
        <v>6.5039633530284593E-2</v>
      </c>
      <c r="P26" s="424">
        <f>'7&amp;8 SU'!$M145+'7&amp;8 SU'!$Z145</f>
        <v>6.7054888099945892E-2</v>
      </c>
      <c r="Q26" s="699">
        <f>'7&amp;8 SU'!$M197+'7&amp;8 SU'!$Z197</f>
        <v>1.6398591310879462E-2</v>
      </c>
      <c r="R26" s="424">
        <f>'7&amp;8 SU'!$M250+'7&amp;8 SU'!$Z250</f>
        <v>0</v>
      </c>
      <c r="S26" s="657">
        <f>'7&amp;8 SU'!$M303+'7&amp;8 SU'!$Z303</f>
        <v>0</v>
      </c>
      <c r="T26" s="423">
        <f>B26*'Market Data'!$E$52+H26*'Market Data'!$O$52+N26*+N26*'Market Data'!$Y$52</f>
        <v>0.79373496434018209</v>
      </c>
      <c r="U26" s="425">
        <f>SUM(C26:G26)*'Market Data'!$E$52+SUM(I26:M26)*'Market Data'!$O$52+SUM(O26:S26)*+N26*'Market Data'!$Y$52</f>
        <v>0.19294840979808461</v>
      </c>
      <c r="W26" s="403">
        <v>2024</v>
      </c>
      <c r="X26" s="460">
        <f>IF('Market Penetration'!B26=0,0,1000*B26*'Market Data'!$E$51/('Market Penetration'!B26*'Market Data'!$C$51))</f>
        <v>113050.52611377821</v>
      </c>
      <c r="Y26" s="461">
        <f>IF('Market Penetration'!C26=0,0,1000*C26*'Market Data'!$E$51/('Market Penetration'!C26*'Market Data'!$C$51))</f>
        <v>112681.61810870325</v>
      </c>
      <c r="Z26" s="461">
        <f>IF('Market Penetration'!D26=0,0,1000*D26*'Market Data'!$E$51/('Market Penetration'!D26*'Market Data'!$C$51))</f>
        <v>135819.12585027103</v>
      </c>
      <c r="AA26" s="694">
        <f>IF('Market Penetration'!E26=0,0,1000*E26*'Market Data'!$E$51/('Market Penetration'!E26*'Market Data'!$C$51))</f>
        <v>0</v>
      </c>
      <c r="AB26" s="461">
        <f>IF('Market Penetration'!F26=0,0,1000*F26*'Market Data'!$E$51/('Market Penetration'!F26*'Market Data'!$C$51))</f>
        <v>0</v>
      </c>
      <c r="AC26" s="689">
        <f>IF('Market Penetration'!G26=0,0,1000*G26*'Market Data'!$E$51/('Market Penetration'!G26*'Market Data'!$C$51))</f>
        <v>0</v>
      </c>
      <c r="AD26" s="460">
        <f>IF('Market Penetration'!H26=0,0,1000*H26*'Market Data'!$O$51/('Market Penetration'!H26*'Market Data'!$M$51))</f>
        <v>68509.744843053311</v>
      </c>
      <c r="AE26" s="461">
        <f>IF('Market Penetration'!I26=0,0,1000*I26*'Market Data'!$O$51/('Market Penetration'!I26*'Market Data'!$M$51))</f>
        <v>100995.02013942011</v>
      </c>
      <c r="AF26" s="461">
        <f>IF('Market Penetration'!J26=0,0,1000*J26*'Market Data'!$O$51/('Market Penetration'!J26*'Market Data'!$M$51))</f>
        <v>110989.55136282946</v>
      </c>
      <c r="AG26" s="461">
        <f>IF('Market Penetration'!K26=0,0,1000*K26*'Market Data'!$O$51/('Market Penetration'!K26*'Market Data'!$M$51))</f>
        <v>0</v>
      </c>
      <c r="AH26" s="461">
        <f>IF('Market Penetration'!L26=0,0,1000*L26*'Market Data'!$O$51/('Market Penetration'!L26*'Market Data'!$M$51))</f>
        <v>0</v>
      </c>
      <c r="AI26" s="462">
        <f>IF('Market Penetration'!M26=0,0,1000*M26*'Market Data'!$O$51/('Market Penetration'!M26*'Market Data'!$M$51))</f>
        <v>0</v>
      </c>
      <c r="AJ26" s="460">
        <f>IF('Market Penetration'!N26=0,0,1000*N26*'Market Data'!$Y$51/('Market Penetration'!N26*'Market Data'!$W$51))</f>
        <v>26434.068676714982</v>
      </c>
      <c r="AK26" s="461">
        <f>IF('Market Penetration'!O26=0,0,1000*O26*'Market Data'!$Y$51/('Market Penetration'!O26*'Market Data'!$W$51))</f>
        <v>28824.602444397777</v>
      </c>
      <c r="AL26" s="461">
        <f>IF('Market Penetration'!P26=0,0,1000*P26*'Market Data'!$Y$51/('Market Penetration'!P26*'Market Data'!$W$51))</f>
        <v>33339.608493750085</v>
      </c>
      <c r="AM26" s="694">
        <f>IF('Market Penetration'!Q26=0,0,1000*Q26*'Market Data'!$Y$51/('Market Penetration'!Q26*'Market Data'!$W$51))</f>
        <v>81072.420313633847</v>
      </c>
      <c r="AN26" s="461">
        <f>IF('Market Penetration'!R26=0,0,1000*R26*'Market Data'!$Y$51/('Market Penetration'!R26*'Market Data'!$W$51))</f>
        <v>0</v>
      </c>
      <c r="AO26" s="689">
        <f>IF('Market Penetration'!S26=0,0,1000*S26*'Market Data'!$Y$51/('Market Penetration'!S26*'Market Data'!$W$51))</f>
        <v>0</v>
      </c>
      <c r="AP26" s="460">
        <f>IF('Market Penetration'!T26=0,0,1000*T26*('Market Data'!$E$51+'Market Data'!$O$51+'Market Data'!$Y$51)/('Market Penetration'!T26*('Market Data'!$C$51+'Market Data'!$M$51+'Market Data'!$W$51)))</f>
        <v>77149.273421222693</v>
      </c>
      <c r="AQ26" s="462">
        <f>IF('Market Penetration'!U26=0,0,1000*U26*('Market Data'!$E$51+'Market Data'!$O$51+'Market Data'!$Y$51)/('Market Penetration'!U26*('Market Data'!$C$51+'Market Data'!$M$51+'Market Data'!$W$51)))</f>
        <v>96865.795657550174</v>
      </c>
    </row>
    <row r="27" spans="1:43" ht="15" x14ac:dyDescent="0.2">
      <c r="A27" s="402">
        <v>2025</v>
      </c>
      <c r="B27" s="426">
        <f t="shared" si="12"/>
        <v>0.68419332819043133</v>
      </c>
      <c r="C27" s="427">
        <f>'7&amp;8 Sleep'!$M94+'7&amp;8 Sleep'!$Z94</f>
        <v>0.18410656562789671</v>
      </c>
      <c r="D27" s="427">
        <f>'7&amp;8 Sleep'!$M146+'7&amp;8 Sleep'!$Z146</f>
        <v>0.13170010618167194</v>
      </c>
      <c r="E27" s="700">
        <f>'7&amp;8 Sleep'!$M198+'7&amp;8 Sleep'!$Z198</f>
        <v>0</v>
      </c>
      <c r="F27" s="427">
        <f>'7&amp;8 Sleep'!$M251+'7&amp;8 Sleep'!$Z251</f>
        <v>0</v>
      </c>
      <c r="G27" s="658">
        <f>'7&amp;8 Sleep'!$M304+'7&amp;8 Sleep'!$Z304</f>
        <v>0</v>
      </c>
      <c r="H27" s="854">
        <f t="shared" si="13"/>
        <v>0.55929421987437</v>
      </c>
      <c r="I27" s="658">
        <f>'7&amp;8 Day'!$M94+'7&amp;8 Day'!$Z94</f>
        <v>0.22799318582076217</v>
      </c>
      <c r="J27" s="658">
        <f>'7&amp;8 Day'!$M146+'7&amp;8 Day'!$Z146</f>
        <v>0.21271259430486777</v>
      </c>
      <c r="K27" s="658">
        <f>'7&amp;8 Day'!$M198+'7&amp;8 Day'!$Z198</f>
        <v>0</v>
      </c>
      <c r="L27" s="658">
        <f>'7&amp;8 Day'!$M251+'7&amp;8 Day'!$Z251</f>
        <v>0</v>
      </c>
      <c r="M27" s="705">
        <f>'7&amp;8 Day'!$M304+'7&amp;8 Day'!$Z304</f>
        <v>0</v>
      </c>
      <c r="N27" s="426">
        <f t="shared" si="14"/>
        <v>0.79800390094000928</v>
      </c>
      <c r="O27" s="427">
        <f>'7&amp;8 SU'!$M94+'7&amp;8 SU'!$Z94</f>
        <v>7.0530247530251527E-2</v>
      </c>
      <c r="P27" s="427">
        <f>'7&amp;8 SU'!$M146+'7&amp;8 SU'!$Z146</f>
        <v>9.419040372435275E-2</v>
      </c>
      <c r="Q27" s="700">
        <f>'7&amp;8 SU'!$M198+'7&amp;8 SU'!$Z198</f>
        <v>3.7275447805386455E-2</v>
      </c>
      <c r="R27" s="427">
        <f>'7&amp;8 SU'!$M251+'7&amp;8 SU'!$Z251</f>
        <v>0</v>
      </c>
      <c r="S27" s="658">
        <f>'7&amp;8 SU'!$M304+'7&amp;8 SU'!$Z304</f>
        <v>0</v>
      </c>
      <c r="T27" s="426">
        <f>B27*'Market Data'!$E$52+H27*'Market Data'!$O$52+N27*+N27*'Market Data'!$Y$52</f>
        <v>0.64973194885052277</v>
      </c>
      <c r="U27" s="428">
        <f>SUM(C27:G27)*'Market Data'!$E$52+SUM(I27:M27)*'Market Data'!$O$52+SUM(O27:S27)*+N27*'Market Data'!$Y$52</f>
        <v>0.33215336270747325</v>
      </c>
      <c r="W27" s="402">
        <v>2025</v>
      </c>
      <c r="X27" s="463">
        <f>IF('Market Penetration'!B27=0,0,1000*B27*'Market Data'!$E$51/('Market Penetration'!B27*'Market Data'!$C$51))</f>
        <v>110731.17076723205</v>
      </c>
      <c r="Y27" s="464">
        <f>IF('Market Penetration'!C27=0,0,1000*C27*'Market Data'!$E$51/('Market Penetration'!C27*'Market Data'!$C$51))</f>
        <v>115510.894321895</v>
      </c>
      <c r="Z27" s="464">
        <f>IF('Market Penetration'!D27=0,0,1000*D27*'Market Data'!$E$51/('Market Penetration'!D27*'Market Data'!$C$51))</f>
        <v>134810.50441363631</v>
      </c>
      <c r="AA27" s="695">
        <f>IF('Market Penetration'!E27=0,0,1000*E27*'Market Data'!$E$51/('Market Penetration'!E27*'Market Data'!$C$51))</f>
        <v>0</v>
      </c>
      <c r="AB27" s="464">
        <f>IF('Market Penetration'!F27=0,0,1000*F27*'Market Data'!$E$51/('Market Penetration'!F27*'Market Data'!$C$51))</f>
        <v>0</v>
      </c>
      <c r="AC27" s="690">
        <f>IF('Market Penetration'!G27=0,0,1000*G27*'Market Data'!$E$51/('Market Penetration'!G27*'Market Data'!$C$51))</f>
        <v>0</v>
      </c>
      <c r="AD27" s="463">
        <f>IF('Market Penetration'!H27=0,0,1000*H27*'Market Data'!$O$51/('Market Penetration'!H27*'Market Data'!$M$51))</f>
        <v>62264.913163545767</v>
      </c>
      <c r="AE27" s="464">
        <f>IF('Market Penetration'!I27=0,0,1000*I27*'Market Data'!$O$51/('Market Penetration'!I27*'Market Data'!$M$51))</f>
        <v>108938.69629896728</v>
      </c>
      <c r="AF27" s="464">
        <f>IF('Market Penetration'!J27=0,0,1000*J27*'Market Data'!$O$51/('Market Penetration'!J27*'Market Data'!$M$51))</f>
        <v>111122.03411450167</v>
      </c>
      <c r="AG27" s="464">
        <f>IF('Market Penetration'!K27=0,0,1000*K27*'Market Data'!$O$51/('Market Penetration'!K27*'Market Data'!$M$51))</f>
        <v>0</v>
      </c>
      <c r="AH27" s="464">
        <f>IF('Market Penetration'!L27=0,0,1000*L27*'Market Data'!$O$51/('Market Penetration'!L27*'Market Data'!$M$51))</f>
        <v>0</v>
      </c>
      <c r="AI27" s="465">
        <f>IF('Market Penetration'!M27=0,0,1000*M27*'Market Data'!$O$51/('Market Penetration'!M27*'Market Data'!$M$51))</f>
        <v>0</v>
      </c>
      <c r="AJ27" s="463">
        <f>IF('Market Penetration'!N27=0,0,1000*N27*'Market Data'!$Y$51/('Market Penetration'!N27*'Market Data'!$W$51))</f>
        <v>24884.681420592337</v>
      </c>
      <c r="AK27" s="464">
        <f>IF('Market Penetration'!O27=0,0,1000*O27*'Market Data'!$Y$51/('Market Penetration'!O27*'Market Data'!$W$51))</f>
        <v>36141.03771097766</v>
      </c>
      <c r="AL27" s="464">
        <f>IF('Market Penetration'!P27=0,0,1000*P27*'Market Data'!$Y$51/('Market Penetration'!P27*'Market Data'!$W$51))</f>
        <v>43540.208386949147</v>
      </c>
      <c r="AM27" s="695">
        <f>IF('Market Penetration'!Q27=0,0,1000*Q27*'Market Data'!$Y$51/('Market Penetration'!Q27*'Market Data'!$W$51))</f>
        <v>74624.283409314899</v>
      </c>
      <c r="AN27" s="464">
        <f>IF('Market Penetration'!R27=0,0,1000*R27*'Market Data'!$Y$51/('Market Penetration'!R27*'Market Data'!$W$51))</f>
        <v>0</v>
      </c>
      <c r="AO27" s="690">
        <f>IF('Market Penetration'!S27=0,0,1000*S27*'Market Data'!$Y$51/('Market Penetration'!S27*'Market Data'!$W$51))</f>
        <v>0</v>
      </c>
      <c r="AP27" s="463">
        <f>IF('Market Penetration'!T27=0,0,1000*T27*('Market Data'!$E$51+'Market Data'!$O$51+'Market Data'!$Y$51)/('Market Penetration'!T27*('Market Data'!$C$51+'Market Data'!$M$51+'Market Data'!$W$51)))</f>
        <v>70786.56211187852</v>
      </c>
      <c r="AQ27" s="465">
        <f>IF('Market Penetration'!U27=0,0,1000*U27*('Market Data'!$E$51+'Market Data'!$O$51+'Market Data'!$Y$51)/('Market Penetration'!U27*('Market Data'!$C$51+'Market Data'!$M$51+'Market Data'!$W$51)))</f>
        <v>107095.49852392904</v>
      </c>
    </row>
    <row r="28" spans="1:43" ht="15" x14ac:dyDescent="0.2">
      <c r="A28" s="429">
        <v>2026</v>
      </c>
      <c r="B28" s="430">
        <f t="shared" si="12"/>
        <v>0.59878394650201161</v>
      </c>
      <c r="C28" s="431">
        <f>'7&amp;8 Sleep'!$M95+'7&amp;8 Sleep'!$Z95</f>
        <v>0.22489262946611011</v>
      </c>
      <c r="D28" s="431">
        <f>'7&amp;8 Sleep'!$M147+'7&amp;8 Sleep'!$Z147</f>
        <v>0.17632342403187831</v>
      </c>
      <c r="E28" s="701">
        <f>'7&amp;8 Sleep'!$M199+'7&amp;8 Sleep'!$Z199</f>
        <v>0</v>
      </c>
      <c r="F28" s="431">
        <f>'7&amp;8 Sleep'!$M252+'7&amp;8 Sleep'!$Z252</f>
        <v>0</v>
      </c>
      <c r="G28" s="659">
        <f>'7&amp;8 Sleep'!$M305+'7&amp;8 Sleep'!$Z305</f>
        <v>0</v>
      </c>
      <c r="H28" s="855">
        <f t="shared" si="13"/>
        <v>0.42185190520958338</v>
      </c>
      <c r="I28" s="659">
        <f>'7&amp;8 Day'!$M95+'7&amp;8 Day'!$Z95</f>
        <v>0.29398468256832411</v>
      </c>
      <c r="J28" s="659">
        <f>'7&amp;8 Day'!$M147+'7&amp;8 Day'!$Z147</f>
        <v>0.28416341222209252</v>
      </c>
      <c r="K28" s="659">
        <f>'7&amp;8 Day'!$M199+'7&amp;8 Day'!$Z199</f>
        <v>0</v>
      </c>
      <c r="L28" s="659">
        <f>'7&amp;8 Day'!$M252+'7&amp;8 Day'!$Z252</f>
        <v>0</v>
      </c>
      <c r="M28" s="706">
        <f>'7&amp;8 Day'!$M305+'7&amp;8 Day'!$Z305</f>
        <v>0</v>
      </c>
      <c r="N28" s="430">
        <f t="shared" si="14"/>
        <v>0.68717531326492987</v>
      </c>
      <c r="O28" s="431">
        <f>'7&amp;8 SU'!$M95+'7&amp;8 SU'!$Z95</f>
        <v>0.10454512282177919</v>
      </c>
      <c r="P28" s="431">
        <f>'7&amp;8 SU'!$M147+'7&amp;8 SU'!$Z147</f>
        <v>0.14970513353419737</v>
      </c>
      <c r="Q28" s="701">
        <f>'7&amp;8 SU'!$M199+'7&amp;8 SU'!$Z199</f>
        <v>5.8573533506374641E-2</v>
      </c>
      <c r="R28" s="431">
        <f>'7&amp;8 SU'!$M252+'7&amp;8 SU'!$Z252</f>
        <v>8.968727190431292E-7</v>
      </c>
      <c r="S28" s="659">
        <f>'7&amp;8 SU'!$M305+'7&amp;8 SU'!$Z305</f>
        <v>0</v>
      </c>
      <c r="T28" s="433">
        <f>B28*'Market Data'!$E$52+H28*'Market Data'!$O$52+N28*+N28*'Market Data'!$Y$52</f>
        <v>0.54463448223965016</v>
      </c>
      <c r="U28" s="434">
        <f>SUM(C28:G28)*'Market Data'!$E$52+SUM(I28:M28)*'Market Data'!$O$52+SUM(O28:S28)*+N28*'Market Data'!$Y$52</f>
        <v>0.42731189809371301</v>
      </c>
      <c r="W28" s="429">
        <v>2026</v>
      </c>
      <c r="X28" s="466">
        <f>IF('Market Penetration'!B28=0,0,1000*B28*'Market Data'!$E$51/('Market Penetration'!B28*'Market Data'!$C$51))</f>
        <v>111590.59495008249</v>
      </c>
      <c r="Y28" s="467">
        <f>IF('Market Penetration'!C28=0,0,1000*C28*'Market Data'!$E$51/('Market Penetration'!C28*'Market Data'!$C$51))</f>
        <v>106963.12869159353</v>
      </c>
      <c r="Z28" s="467">
        <f>IF('Market Penetration'!D28=0,0,1000*D28*'Market Data'!$E$51/('Market Penetration'!D28*'Market Data'!$C$51))</f>
        <v>137621.78925068633</v>
      </c>
      <c r="AA28" s="696">
        <f>IF('Market Penetration'!E28=0,0,1000*E28*'Market Data'!$E$51/('Market Penetration'!E28*'Market Data'!$C$51))</f>
        <v>0</v>
      </c>
      <c r="AB28" s="467">
        <f>IF('Market Penetration'!F28=0,0,1000*F28*'Market Data'!$E$51/('Market Penetration'!F28*'Market Data'!$C$51))</f>
        <v>0</v>
      </c>
      <c r="AC28" s="691">
        <f>IF('Market Penetration'!G28=0,0,1000*G28*'Market Data'!$E$51/('Market Penetration'!G28*'Market Data'!$C$51))</f>
        <v>0</v>
      </c>
      <c r="AD28" s="466">
        <f>IF('Market Penetration'!H28=0,0,1000*H28*'Market Data'!$O$51/('Market Penetration'!H28*'Market Data'!$M$51))</f>
        <v>55706.55138150719</v>
      </c>
      <c r="AE28" s="467">
        <f>IF('Market Penetration'!I28=0,0,1000*I28*'Market Data'!$O$51/('Market Penetration'!I28*'Market Data'!$M$51))</f>
        <v>106033.24374855626</v>
      </c>
      <c r="AF28" s="467">
        <f>IF('Market Penetration'!J28=0,0,1000*J28*'Market Data'!$O$51/('Market Penetration'!J28*'Market Data'!$M$51))</f>
        <v>107464.49092139062</v>
      </c>
      <c r="AG28" s="467">
        <f>IF('Market Penetration'!K28=0,0,1000*K28*'Market Data'!$O$51/('Market Penetration'!K28*'Market Data'!$M$51))</f>
        <v>0</v>
      </c>
      <c r="AH28" s="467">
        <f>IF('Market Penetration'!L28=0,0,1000*L28*'Market Data'!$O$51/('Market Penetration'!L28*'Market Data'!$M$51))</f>
        <v>0</v>
      </c>
      <c r="AI28" s="860">
        <f>IF('Market Penetration'!M28=0,0,1000*M28*'Market Data'!$O$51/('Market Penetration'!M28*'Market Data'!$M$51))</f>
        <v>0</v>
      </c>
      <c r="AJ28" s="466">
        <f>IF('Market Penetration'!N28=0,0,1000*N28*'Market Data'!$Y$51/('Market Penetration'!N28*'Market Data'!$W$51))</f>
        <v>23164.285157351991</v>
      </c>
      <c r="AK28" s="467">
        <f>IF('Market Penetration'!O28=0,0,1000*O28*'Market Data'!$Y$51/('Market Penetration'!O28*'Market Data'!$W$51))</f>
        <v>39362.017724647405</v>
      </c>
      <c r="AL28" s="467">
        <f>IF('Market Penetration'!P28=0,0,1000*P28*'Market Data'!$Y$51/('Market Penetration'!P28*'Market Data'!$W$51))</f>
        <v>42303.92757950649</v>
      </c>
      <c r="AM28" s="696">
        <f>IF('Market Penetration'!Q28=0,0,1000*Q28*'Market Data'!$Y$51/('Market Penetration'!Q28*'Market Data'!$W$51))</f>
        <v>71229.256713712384</v>
      </c>
      <c r="AN28" s="467">
        <f>IF('Market Penetration'!R28=0,0,1000*R28*'Market Data'!$Y$51/('Market Penetration'!R28*'Market Data'!$W$51))</f>
        <v>224999.99999999997</v>
      </c>
      <c r="AO28" s="691">
        <f>IF('Market Penetration'!S28=0,0,1000*S28*'Market Data'!$Y$51/('Market Penetration'!S28*'Market Data'!$W$51))</f>
        <v>0</v>
      </c>
      <c r="AP28" s="468">
        <f>IF('Market Penetration'!T28=0,0,1000*T28*('Market Data'!$E$51+'Market Data'!$O$51+'Market Data'!$Y$51)/('Market Penetration'!T28*('Market Data'!$C$51+'Market Data'!$M$51+'Market Data'!$W$51)))</f>
        <v>67414.841267562297</v>
      </c>
      <c r="AQ28" s="469">
        <f>IF('Market Penetration'!U28=0,0,1000*U28*('Market Data'!$E$51+'Market Data'!$O$51+'Market Data'!$Y$51)/('Market Penetration'!U28*('Market Data'!$C$51+'Market Data'!$M$51+'Market Data'!$W$51)))</f>
        <v>101707.88175079037</v>
      </c>
    </row>
    <row r="29" spans="1:43" ht="15" x14ac:dyDescent="0.2">
      <c r="A29" s="403">
        <v>2027</v>
      </c>
      <c r="B29" s="423">
        <f t="shared" si="12"/>
        <v>0.52515790500456005</v>
      </c>
      <c r="C29" s="424">
        <f>'7&amp;8 Sleep'!$M96+'7&amp;8 Sleep'!$Z96</f>
        <v>0.28083845692270154</v>
      </c>
      <c r="D29" s="424">
        <f>'7&amp;8 Sleep'!$M148+'7&amp;8 Sleep'!$Z148</f>
        <v>0.1940036380727384</v>
      </c>
      <c r="E29" s="699">
        <f>'7&amp;8 Sleep'!$M200+'7&amp;8 Sleep'!$Z200</f>
        <v>0</v>
      </c>
      <c r="F29" s="424">
        <f>'7&amp;8 Sleep'!$M253+'7&amp;8 Sleep'!$Z253</f>
        <v>0</v>
      </c>
      <c r="G29" s="657">
        <f>'7&amp;8 Sleep'!$M306+'7&amp;8 Sleep'!$Z306</f>
        <v>0</v>
      </c>
      <c r="H29" s="853">
        <f t="shared" si="13"/>
        <v>0.34349137881498559</v>
      </c>
      <c r="I29" s="657">
        <f>'7&amp;8 Day'!$M96+'7&amp;8 Day'!$Z96</f>
        <v>0.33209024097497086</v>
      </c>
      <c r="J29" s="657">
        <f>'7&amp;8 Day'!$M148+'7&amp;8 Day'!$Z148</f>
        <v>0.3244183802100436</v>
      </c>
      <c r="K29" s="657">
        <f>'7&amp;8 Day'!$M200+'7&amp;8 Day'!$Z200</f>
        <v>0</v>
      </c>
      <c r="L29" s="657">
        <f>'7&amp;8 Day'!$M253+'7&amp;8 Day'!$Z253</f>
        <v>0</v>
      </c>
      <c r="M29" s="704">
        <f>'7&amp;8 Day'!$M306+'7&amp;8 Day'!$Z306</f>
        <v>0</v>
      </c>
      <c r="N29" s="423">
        <f t="shared" si="14"/>
        <v>0.61508590263243912</v>
      </c>
      <c r="O29" s="424">
        <f>'7&amp;8 SU'!$M96+'7&amp;8 SU'!$Z96</f>
        <v>0.11337134559649019</v>
      </c>
      <c r="P29" s="424">
        <f>'7&amp;8 SU'!$M148+'7&amp;8 SU'!$Z148</f>
        <v>0.19521487153470823</v>
      </c>
      <c r="Q29" s="699">
        <f>'7&amp;8 SU'!$M200+'7&amp;8 SU'!$Z200</f>
        <v>7.6315905095283382E-2</v>
      </c>
      <c r="R29" s="424">
        <f>'7&amp;8 SU'!$M253+'7&amp;8 SU'!$Z253</f>
        <v>1.1975141079020346E-5</v>
      </c>
      <c r="S29" s="657">
        <f>'7&amp;8 SU'!$M306+'7&amp;8 SU'!$Z306</f>
        <v>0</v>
      </c>
      <c r="T29" s="423">
        <f>B29*'Market Data'!$E$52+H29*'Market Data'!$O$52+N29*+N29*'Market Data'!$Y$52</f>
        <v>0.46804693018621968</v>
      </c>
      <c r="U29" s="425">
        <f>SUM(C29:G29)*'Market Data'!$E$52+SUM(I29:M29)*'Market Data'!$O$52+SUM(O29:S29)*+N29*'Market Data'!$Y$52</f>
        <v>0.49743458661932149</v>
      </c>
      <c r="W29" s="403">
        <v>2027</v>
      </c>
      <c r="X29" s="460">
        <f>IF('Market Penetration'!B29=0,0,1000*B29*'Market Data'!$E$51/('Market Penetration'!B29*'Market Data'!$C$51))</f>
        <v>111160.80878778188</v>
      </c>
      <c r="Y29" s="461">
        <f>IF('Market Penetration'!C29=0,0,1000*C29*'Market Data'!$E$51/('Market Penetration'!C29*'Market Data'!$C$51))</f>
        <v>106826.95597097813</v>
      </c>
      <c r="Z29" s="461">
        <f>IF('Market Penetration'!D29=0,0,1000*D29*'Market Data'!$E$51/('Market Penetration'!D29*'Market Data'!$C$51))</f>
        <v>138928.91151532112</v>
      </c>
      <c r="AA29" s="694">
        <f>IF('Market Penetration'!E29=0,0,1000*E29*'Market Data'!$E$51/('Market Penetration'!E29*'Market Data'!$C$51))</f>
        <v>0</v>
      </c>
      <c r="AB29" s="461">
        <f>IF('Market Penetration'!F29=0,0,1000*F29*'Market Data'!$E$51/('Market Penetration'!F29*'Market Data'!$C$51))</f>
        <v>0</v>
      </c>
      <c r="AC29" s="689">
        <f>IF('Market Penetration'!G29=0,0,1000*G29*'Market Data'!$E$51/('Market Penetration'!G29*'Market Data'!$C$51))</f>
        <v>0</v>
      </c>
      <c r="AD29" s="460">
        <f>IF('Market Penetration'!H29=0,0,1000*H29*'Market Data'!$O$51/('Market Penetration'!H29*'Market Data'!$M$51))</f>
        <v>51047.030947158804</v>
      </c>
      <c r="AE29" s="461">
        <f>IF('Market Penetration'!I29=0,0,1000*I29*'Market Data'!$O$51/('Market Penetration'!I29*'Market Data'!$M$51))</f>
        <v>104360.85646468302</v>
      </c>
      <c r="AF29" s="461">
        <f>IF('Market Penetration'!J29=0,0,1000*J29*'Market Data'!$O$51/('Market Penetration'!J29*'Market Data'!$M$51))</f>
        <v>105381.17554148527</v>
      </c>
      <c r="AG29" s="461">
        <f>IF('Market Penetration'!K29=0,0,1000*K29*'Market Data'!$O$51/('Market Penetration'!K29*'Market Data'!$M$51))</f>
        <v>0</v>
      </c>
      <c r="AH29" s="461">
        <f>IF('Market Penetration'!L29=0,0,1000*L29*'Market Data'!$O$51/('Market Penetration'!L29*'Market Data'!$M$51))</f>
        <v>0</v>
      </c>
      <c r="AI29" s="462">
        <f>IF('Market Penetration'!M29=0,0,1000*M29*'Market Data'!$O$51/('Market Penetration'!M29*'Market Data'!$M$51))</f>
        <v>0</v>
      </c>
      <c r="AJ29" s="460">
        <f>IF('Market Penetration'!N29=0,0,1000*N29*'Market Data'!$Y$51/('Market Penetration'!N29*'Market Data'!$W$51))</f>
        <v>21549.473521145817</v>
      </c>
      <c r="AK29" s="461">
        <f>IF('Market Penetration'!O29=0,0,1000*O29*'Market Data'!$Y$51/('Market Penetration'!O29*'Market Data'!$W$51))</f>
        <v>48187.94893976493</v>
      </c>
      <c r="AL29" s="461">
        <f>IF('Market Penetration'!P29=0,0,1000*P29*'Market Data'!$Y$51/('Market Penetration'!P29*'Market Data'!$W$51))</f>
        <v>41872.369954808171</v>
      </c>
      <c r="AM29" s="694">
        <f>IF('Market Penetration'!Q29=0,0,1000*Q29*'Market Data'!$Y$51/('Market Penetration'!Q29*'Market Data'!$W$51))</f>
        <v>67863.069996635721</v>
      </c>
      <c r="AN29" s="461">
        <f>IF('Market Penetration'!R29=0,0,1000*R29*'Market Data'!$Y$51/('Market Penetration'!R29*'Market Data'!$W$51))</f>
        <v>213638.06368167853</v>
      </c>
      <c r="AO29" s="689">
        <f>IF('Market Penetration'!S29=0,0,1000*S29*'Market Data'!$Y$51/('Market Penetration'!S29*'Market Data'!$W$51))</f>
        <v>0</v>
      </c>
      <c r="AP29" s="460">
        <f>IF('Market Penetration'!T29=0,0,1000*T29*('Market Data'!$E$51+'Market Data'!$O$51+'Market Data'!$Y$51)/('Market Penetration'!T29*('Market Data'!$C$51+'Market Data'!$M$51+'Market Data'!$W$51)))</f>
        <v>63721.228487824294</v>
      </c>
      <c r="AQ29" s="462">
        <f>IF('Market Penetration'!U29=0,0,1000*U29*('Market Data'!$E$51+'Market Data'!$O$51+'Market Data'!$Y$51)/('Market Penetration'!U29*('Market Data'!$C$51+'Market Data'!$M$51+'Market Data'!$W$51)))</f>
        <v>100797.52012525915</v>
      </c>
    </row>
    <row r="30" spans="1:43" ht="15" x14ac:dyDescent="0.2">
      <c r="A30" s="403">
        <v>2028</v>
      </c>
      <c r="B30" s="423">
        <f t="shared" si="12"/>
        <v>0.47944976320534782</v>
      </c>
      <c r="C30" s="424">
        <f>'7&amp;8 Sleep'!$M97+'7&amp;8 Sleep'!$Z97</f>
        <v>0.29276057644526754</v>
      </c>
      <c r="D30" s="424">
        <f>'7&amp;8 Sleep'!$M149+'7&amp;8 Sleep'!$Z149</f>
        <v>0.22778966034938467</v>
      </c>
      <c r="E30" s="699">
        <f>'7&amp;8 Sleep'!$M201+'7&amp;8 Sleep'!$Z201</f>
        <v>0</v>
      </c>
      <c r="F30" s="424">
        <f>'7&amp;8 Sleep'!$M254+'7&amp;8 Sleep'!$Z254</f>
        <v>0</v>
      </c>
      <c r="G30" s="657">
        <f>'7&amp;8 Sleep'!$M307+'7&amp;8 Sleep'!$Z307</f>
        <v>0</v>
      </c>
      <c r="H30" s="853">
        <f t="shared" si="13"/>
        <v>0.28763822364099734</v>
      </c>
      <c r="I30" s="657">
        <f>'7&amp;8 Day'!$M97+'7&amp;8 Day'!$Z97</f>
        <v>0.36028787583100375</v>
      </c>
      <c r="J30" s="657">
        <f>'7&amp;8 Day'!$M149+'7&amp;8 Day'!$Z149</f>
        <v>0.35207390052799892</v>
      </c>
      <c r="K30" s="657">
        <f>'7&amp;8 Day'!$M201+'7&amp;8 Day'!$Z201</f>
        <v>0</v>
      </c>
      <c r="L30" s="657">
        <f>'7&amp;8 Day'!$M254+'7&amp;8 Day'!$Z254</f>
        <v>0</v>
      </c>
      <c r="M30" s="704">
        <f>'7&amp;8 Day'!$M307+'7&amp;8 Day'!$Z307</f>
        <v>0</v>
      </c>
      <c r="N30" s="423">
        <f t="shared" si="14"/>
        <v>0.56036426514205928</v>
      </c>
      <c r="O30" s="424">
        <f>'7&amp;8 SU'!$M97+'7&amp;8 SU'!$Z97</f>
        <v>0.13250407160511768</v>
      </c>
      <c r="P30" s="424">
        <f>'7&amp;8 SU'!$M149+'7&amp;8 SU'!$Z149</f>
        <v>0.21570633908897319</v>
      </c>
      <c r="Q30" s="699">
        <f>'7&amp;8 SU'!$M201+'7&amp;8 SU'!$Z201</f>
        <v>9.1305735238035909E-2</v>
      </c>
      <c r="R30" s="424">
        <f>'7&amp;8 SU'!$M254+'7&amp;8 SU'!$Z254</f>
        <v>1.1958892581396772E-4</v>
      </c>
      <c r="S30" s="657">
        <f>'7&amp;8 SU'!$M307+'7&amp;8 SU'!$Z307</f>
        <v>0</v>
      </c>
      <c r="T30" s="423">
        <f>B30*'Market Data'!$E$52+H30*'Market Data'!$O$52+N30*+N30*'Market Data'!$Y$52</f>
        <v>0.41821547611731419</v>
      </c>
      <c r="U30" s="425">
        <f>SUM(C30:G30)*'Market Data'!$E$52+SUM(I30:M30)*'Market Data'!$O$52+SUM(O30:S30)*+N30*'Market Data'!$Y$52</f>
        <v>0.54235869139392145</v>
      </c>
      <c r="W30" s="403">
        <v>2028</v>
      </c>
      <c r="X30" s="460">
        <f>IF('Market Penetration'!B30=0,0,1000*B30*'Market Data'!$E$51/('Market Penetration'!B30*'Market Data'!$C$51))</f>
        <v>109976.91670178511</v>
      </c>
      <c r="Y30" s="461">
        <f>IF('Market Penetration'!C30=0,0,1000*C30*'Market Data'!$E$51/('Market Penetration'!C30*'Market Data'!$C$51))</f>
        <v>106940.65079689454</v>
      </c>
      <c r="Z30" s="461">
        <f>IF('Market Penetration'!D30=0,0,1000*D30*'Market Data'!$E$51/('Market Penetration'!D30*'Market Data'!$C$51))</f>
        <v>137845.96359241905</v>
      </c>
      <c r="AA30" s="694">
        <f>IF('Market Penetration'!E30=0,0,1000*E30*'Market Data'!$E$51/('Market Penetration'!E30*'Market Data'!$C$51))</f>
        <v>0</v>
      </c>
      <c r="AB30" s="461">
        <f>IF('Market Penetration'!F30=0,0,1000*F30*'Market Data'!$E$51/('Market Penetration'!F30*'Market Data'!$C$51))</f>
        <v>0</v>
      </c>
      <c r="AC30" s="689">
        <f>IF('Market Penetration'!G30=0,0,1000*G30*'Market Data'!$E$51/('Market Penetration'!G30*'Market Data'!$C$51))</f>
        <v>0</v>
      </c>
      <c r="AD30" s="460">
        <f>IF('Market Penetration'!H30=0,0,1000*H30*'Market Data'!$O$51/('Market Penetration'!H30*'Market Data'!$M$51))</f>
        <v>47374.715109789868</v>
      </c>
      <c r="AE30" s="461">
        <f>IF('Market Penetration'!I30=0,0,1000*I30*'Market Data'!$O$51/('Market Penetration'!I30*'Market Data'!$M$51))</f>
        <v>102590.37144203312</v>
      </c>
      <c r="AF30" s="461">
        <f>IF('Market Penetration'!J30=0,0,1000*J30*'Market Data'!$O$51/('Market Penetration'!J30*'Market Data'!$M$51))</f>
        <v>103365.27357686333</v>
      </c>
      <c r="AG30" s="461">
        <f>IF('Market Penetration'!K30=0,0,1000*K30*'Market Data'!$O$51/('Market Penetration'!K30*'Market Data'!$M$51))</f>
        <v>0</v>
      </c>
      <c r="AH30" s="461">
        <f>IF('Market Penetration'!L30=0,0,1000*L30*'Market Data'!$O$51/('Market Penetration'!L30*'Market Data'!$M$51))</f>
        <v>0</v>
      </c>
      <c r="AI30" s="462">
        <f>IF('Market Penetration'!M30=0,0,1000*M30*'Market Data'!$O$51/('Market Penetration'!M30*'Market Data'!$M$51))</f>
        <v>0</v>
      </c>
      <c r="AJ30" s="460">
        <f>IF('Market Penetration'!N30=0,0,1000*N30*'Market Data'!$Y$51/('Market Penetration'!N30*'Market Data'!$W$51))</f>
        <v>20465.80498213289</v>
      </c>
      <c r="AK30" s="461">
        <f>IF('Market Penetration'!O30=0,0,1000*O30*'Market Data'!$Y$51/('Market Penetration'!O30*'Market Data'!$W$51))</f>
        <v>48598.602307277419</v>
      </c>
      <c r="AL30" s="461">
        <f>IF('Market Penetration'!P30=0,0,1000*P30*'Market Data'!$Y$51/('Market Penetration'!P30*'Market Data'!$W$51))</f>
        <v>41953.59473545738</v>
      </c>
      <c r="AM30" s="694">
        <f>IF('Market Penetration'!Q30=0,0,1000*Q30*'Market Data'!$Y$51/('Market Penetration'!Q30*'Market Data'!$W$51))</f>
        <v>63706.610059687133</v>
      </c>
      <c r="AN30" s="461">
        <f>IF('Market Penetration'!R30=0,0,1000*R30*'Market Data'!$Y$51/('Market Penetration'!R30*'Market Data'!$W$51))</f>
        <v>190149.79206971769</v>
      </c>
      <c r="AO30" s="689">
        <f>IF('Market Penetration'!S30=0,0,1000*S30*'Market Data'!$Y$51/('Market Penetration'!S30*'Market Data'!$W$51))</f>
        <v>0</v>
      </c>
      <c r="AP30" s="460">
        <f>IF('Market Penetration'!T30=0,0,1000*T30*('Market Data'!$E$51+'Market Data'!$O$51+'Market Data'!$Y$51)/('Market Penetration'!T30*('Market Data'!$C$51+'Market Data'!$M$51+'Market Data'!$W$51)))</f>
        <v>61159.120520719443</v>
      </c>
      <c r="AQ30" s="462">
        <f>IF('Market Penetration'!U30=0,0,1000*U30*('Market Data'!$E$51+'Market Data'!$O$51+'Market Data'!$Y$51)/('Market Penetration'!U30*('Market Data'!$C$51+'Market Data'!$M$51+'Market Data'!$W$51)))</f>
        <v>99660.51051379343</v>
      </c>
    </row>
    <row r="31" spans="1:43" ht="15" x14ac:dyDescent="0.2">
      <c r="A31" s="403">
        <v>2029</v>
      </c>
      <c r="B31" s="423">
        <f t="shared" si="12"/>
        <v>0.4739160042438324</v>
      </c>
      <c r="C31" s="424">
        <f>'7&amp;8 Sleep'!$M98+'7&amp;8 Sleep'!$Z98</f>
        <v>0.30692085019144022</v>
      </c>
      <c r="D31" s="424">
        <f>'7&amp;8 Sleep'!$M150+'7&amp;8 Sleep'!$Z150</f>
        <v>0.21916314556472735</v>
      </c>
      <c r="E31" s="699">
        <f>'7&amp;8 Sleep'!$M202+'7&amp;8 Sleep'!$Z202</f>
        <v>0</v>
      </c>
      <c r="F31" s="424">
        <f>'7&amp;8 Sleep'!$M255+'7&amp;8 Sleep'!$Z255</f>
        <v>0</v>
      </c>
      <c r="G31" s="657">
        <f>'7&amp;8 Sleep'!$M308+'7&amp;8 Sleep'!$Z308</f>
        <v>0</v>
      </c>
      <c r="H31" s="853">
        <f t="shared" si="13"/>
        <v>0.26123962744286855</v>
      </c>
      <c r="I31" s="657">
        <f>'7&amp;8 Day'!$M98+'7&amp;8 Day'!$Z98</f>
        <v>0.37174623021347708</v>
      </c>
      <c r="J31" s="657">
        <f>'7&amp;8 Day'!$M150+'7&amp;8 Day'!$Z150</f>
        <v>0.36701414234365431</v>
      </c>
      <c r="K31" s="657">
        <f>'7&amp;8 Day'!$M202+'7&amp;8 Day'!$Z202</f>
        <v>0</v>
      </c>
      <c r="L31" s="657">
        <f>'7&amp;8 Day'!$M255+'7&amp;8 Day'!$Z255</f>
        <v>0</v>
      </c>
      <c r="M31" s="704">
        <f>'7&amp;8 Day'!$M308+'7&amp;8 Day'!$Z308</f>
        <v>0</v>
      </c>
      <c r="N31" s="423">
        <f t="shared" si="14"/>
        <v>0.53738345801871201</v>
      </c>
      <c r="O31" s="424">
        <f>'7&amp;8 SU'!$M98+'7&amp;8 SU'!$Z98</f>
        <v>0.14108728656848835</v>
      </c>
      <c r="P31" s="424">
        <f>'7&amp;8 SU'!$M150+'7&amp;8 SU'!$Z150</f>
        <v>0.22020584202293342</v>
      </c>
      <c r="Q31" s="699">
        <f>'7&amp;8 SU'!$M202+'7&amp;8 SU'!$Z202</f>
        <v>0.1007210904028063</v>
      </c>
      <c r="R31" s="424">
        <f>'7&amp;8 SU'!$M255+'7&amp;8 SU'!$Z255</f>
        <v>6.0232298705998678E-4</v>
      </c>
      <c r="S31" s="657">
        <f>'7&amp;8 SU'!$M308+'7&amp;8 SU'!$Z308</f>
        <v>0</v>
      </c>
      <c r="T31" s="423">
        <f>B31*'Market Data'!$E$52+H31*'Market Data'!$O$52+N31*+N31*'Market Data'!$Y$52</f>
        <v>0.4058686027172464</v>
      </c>
      <c r="U31" s="425">
        <f>SUM(C31:G31)*'Market Data'!$E$52+SUM(I31:M31)*'Market Data'!$O$52+SUM(O31:S31)*+N31*'Market Data'!$Y$52</f>
        <v>0.55264468261298449</v>
      </c>
      <c r="W31" s="403">
        <v>2029</v>
      </c>
      <c r="X31" s="460">
        <f>IF('Market Penetration'!B31=0,0,1000*B31*'Market Data'!$E$51/('Market Penetration'!B31*'Market Data'!$C$51))</f>
        <v>110300.64300898278</v>
      </c>
      <c r="Y31" s="461">
        <f>IF('Market Penetration'!C31=0,0,1000*C31*'Market Data'!$E$51/('Market Penetration'!C31*'Market Data'!$C$51))</f>
        <v>106766.33178063645</v>
      </c>
      <c r="Z31" s="461">
        <f>IF('Market Penetration'!D31=0,0,1000*D31*'Market Data'!$E$51/('Market Penetration'!D31*'Market Data'!$C$51))</f>
        <v>138854.91888051157</v>
      </c>
      <c r="AA31" s="694">
        <f>IF('Market Penetration'!E31=0,0,1000*E31*'Market Data'!$E$51/('Market Penetration'!E31*'Market Data'!$C$51))</f>
        <v>0</v>
      </c>
      <c r="AB31" s="461">
        <f>IF('Market Penetration'!F31=0,0,1000*F31*'Market Data'!$E$51/('Market Penetration'!F31*'Market Data'!$C$51))</f>
        <v>0</v>
      </c>
      <c r="AC31" s="689">
        <f>IF('Market Penetration'!G31=0,0,1000*G31*'Market Data'!$E$51/('Market Penetration'!G31*'Market Data'!$C$51))</f>
        <v>0</v>
      </c>
      <c r="AD31" s="460">
        <f>IF('Market Penetration'!H31=0,0,1000*H31*'Market Data'!$O$51/('Market Penetration'!H31*'Market Data'!$M$51))</f>
        <v>45573.534696377756</v>
      </c>
      <c r="AE31" s="461">
        <f>IF('Market Penetration'!I31=0,0,1000*I31*'Market Data'!$O$51/('Market Penetration'!I31*'Market Data'!$M$51))</f>
        <v>101649.42506595704</v>
      </c>
      <c r="AF31" s="461">
        <f>IF('Market Penetration'!J31=0,0,1000*J31*'Market Data'!$O$51/('Market Penetration'!J31*'Market Data'!$M$51))</f>
        <v>101943.54718227855</v>
      </c>
      <c r="AG31" s="461">
        <f>IF('Market Penetration'!K31=0,0,1000*K31*'Market Data'!$O$51/('Market Penetration'!K31*'Market Data'!$M$51))</f>
        <v>0</v>
      </c>
      <c r="AH31" s="461">
        <f>IF('Market Penetration'!L31=0,0,1000*L31*'Market Data'!$O$51/('Market Penetration'!L31*'Market Data'!$M$51))</f>
        <v>0</v>
      </c>
      <c r="AI31" s="462">
        <f>IF('Market Penetration'!M31=0,0,1000*M31*'Market Data'!$O$51/('Market Penetration'!M31*'Market Data'!$M$51))</f>
        <v>0</v>
      </c>
      <c r="AJ31" s="460">
        <f>IF('Market Penetration'!N31=0,0,1000*N31*'Market Data'!$Y$51/('Market Penetration'!N31*'Market Data'!$W$51))</f>
        <v>19887.741275429402</v>
      </c>
      <c r="AK31" s="461">
        <f>IF('Market Penetration'!O31=0,0,1000*O31*'Market Data'!$Y$51/('Market Penetration'!O31*'Market Data'!$W$51))</f>
        <v>50591.092084379343</v>
      </c>
      <c r="AL31" s="461">
        <f>IF('Market Penetration'!P31=0,0,1000*P31*'Market Data'!$Y$51/('Market Penetration'!P31*'Market Data'!$W$51))</f>
        <v>42204.552692352547</v>
      </c>
      <c r="AM31" s="694">
        <f>IF('Market Penetration'!Q31=0,0,1000*Q31*'Market Data'!$Y$51/('Market Penetration'!Q31*'Market Data'!$W$51))</f>
        <v>60981.038696502364</v>
      </c>
      <c r="AN31" s="461">
        <f>IF('Market Penetration'!R31=0,0,1000*R31*'Market Data'!$Y$51/('Market Penetration'!R31*'Market Data'!$W$51))</f>
        <v>170584.62999180314</v>
      </c>
      <c r="AO31" s="689">
        <f>IF('Market Penetration'!S31=0,0,1000*S31*'Market Data'!$Y$51/('Market Penetration'!S31*'Market Data'!$W$51))</f>
        <v>0</v>
      </c>
      <c r="AP31" s="460">
        <f>IF('Market Penetration'!T31=0,0,1000*T31*('Market Data'!$E$51+'Market Data'!$O$51+'Market Data'!$Y$51)/('Market Penetration'!T31*('Market Data'!$C$51+'Market Data'!$M$51+'Market Data'!$W$51)))</f>
        <v>60742.953553433072</v>
      </c>
      <c r="AQ31" s="462">
        <f>IF('Market Penetration'!U31=0,0,1000*U31*('Market Data'!$E$51+'Market Data'!$O$51+'Market Data'!$Y$51)/('Market Penetration'!U31*('Market Data'!$C$51+'Market Data'!$M$51+'Market Data'!$W$51)))</f>
        <v>98713.40881768112</v>
      </c>
    </row>
    <row r="32" spans="1:43" ht="15" x14ac:dyDescent="0.2">
      <c r="A32" s="402">
        <v>2030</v>
      </c>
      <c r="B32" s="426">
        <f t="shared" si="12"/>
        <v>0.46575297916417924</v>
      </c>
      <c r="C32" s="427">
        <f>'7&amp;8 Sleep'!$M99+'7&amp;8 Sleep'!$Z99</f>
        <v>0.30018362719385988</v>
      </c>
      <c r="D32" s="427">
        <f>'7&amp;8 Sleep'!$M151+'7&amp;8 Sleep'!$Z151</f>
        <v>0.23406339364196085</v>
      </c>
      <c r="E32" s="700">
        <f>'7&amp;8 Sleep'!$M203+'7&amp;8 Sleep'!$Z203</f>
        <v>0</v>
      </c>
      <c r="F32" s="427">
        <f>'7&amp;8 Sleep'!$M256+'7&amp;8 Sleep'!$Z256</f>
        <v>0</v>
      </c>
      <c r="G32" s="658">
        <f>'7&amp;8 Sleep'!$M309+'7&amp;8 Sleep'!$Z309</f>
        <v>0</v>
      </c>
      <c r="H32" s="854">
        <f t="shared" si="13"/>
        <v>0.23305555771560593</v>
      </c>
      <c r="I32" s="658">
        <f>'7&amp;8 Day'!$M99+'7&amp;8 Day'!$Z99</f>
        <v>0.38412206433386065</v>
      </c>
      <c r="J32" s="658">
        <f>'7&amp;8 Day'!$M151+'7&amp;8 Day'!$Z151</f>
        <v>0.38282237795053337</v>
      </c>
      <c r="K32" s="658">
        <f>'7&amp;8 Day'!$M203+'7&amp;8 Day'!$Z203</f>
        <v>0</v>
      </c>
      <c r="L32" s="658">
        <f>'7&amp;8 Day'!$M256+'7&amp;8 Day'!$Z256</f>
        <v>0</v>
      </c>
      <c r="M32" s="705">
        <f>'7&amp;8 Day'!$M309+'7&amp;8 Day'!$Z309</f>
        <v>0</v>
      </c>
      <c r="N32" s="426">
        <f t="shared" si="14"/>
        <v>0.51632468237731544</v>
      </c>
      <c r="O32" s="427">
        <f>'7&amp;8 SU'!$M99+'7&amp;8 SU'!$Z99</f>
        <v>0.14907328888190222</v>
      </c>
      <c r="P32" s="427">
        <f>'7&amp;8 SU'!$M151+'7&amp;8 SU'!$Z151</f>
        <v>0.22140755968630008</v>
      </c>
      <c r="Q32" s="700">
        <f>'7&amp;8 SU'!$M203+'7&amp;8 SU'!$Z203</f>
        <v>0.11088916988529202</v>
      </c>
      <c r="R32" s="427">
        <f>'7&amp;8 SU'!$M256+'7&amp;8 SU'!$Z256</f>
        <v>2.3052991691902306E-3</v>
      </c>
      <c r="S32" s="658">
        <f>'7&amp;8 SU'!$M309+'7&amp;8 SU'!$Z309</f>
        <v>0</v>
      </c>
      <c r="T32" s="426">
        <f>B32*'Market Data'!$E$52+H32*'Market Data'!$O$52+N32*+N32*'Market Data'!$Y$52</f>
        <v>0.39160474106700338</v>
      </c>
      <c r="U32" s="428">
        <f>SUM(C32:G32)*'Market Data'!$E$52+SUM(I32:M32)*'Market Data'!$O$52+SUM(O32:S32)*+N32*'Market Data'!$Y$52</f>
        <v>0.56502002680428054</v>
      </c>
      <c r="W32" s="402">
        <v>2030</v>
      </c>
      <c r="X32" s="463">
        <f>IF('Market Penetration'!B32=0,0,1000*B32*'Market Data'!$E$51/('Market Penetration'!B32*'Market Data'!$C$51))</f>
        <v>109532.6577889623</v>
      </c>
      <c r="Y32" s="464">
        <f>IF('Market Penetration'!C32=0,0,1000*C32*'Market Data'!$E$51/('Market Penetration'!C32*'Market Data'!$C$51))</f>
        <v>106957.36677575533</v>
      </c>
      <c r="Z32" s="464">
        <f>IF('Market Penetration'!D32=0,0,1000*D32*'Market Data'!$E$51/('Market Penetration'!D32*'Market Data'!$C$51))</f>
        <v>138426.51826114013</v>
      </c>
      <c r="AA32" s="695">
        <f>IF('Market Penetration'!E32=0,0,1000*E32*'Market Data'!$E$51/('Market Penetration'!E32*'Market Data'!$C$51))</f>
        <v>0</v>
      </c>
      <c r="AB32" s="464">
        <f>IF('Market Penetration'!F32=0,0,1000*F32*'Market Data'!$E$51/('Market Penetration'!F32*'Market Data'!$C$51))</f>
        <v>0</v>
      </c>
      <c r="AC32" s="690">
        <f>IF('Market Penetration'!G32=0,0,1000*G32*'Market Data'!$E$51/('Market Penetration'!G32*'Market Data'!$C$51))</f>
        <v>0</v>
      </c>
      <c r="AD32" s="463">
        <f>IF('Market Penetration'!H32=0,0,1000*H32*'Market Data'!$O$51/('Market Penetration'!H32*'Market Data'!$M$51))</f>
        <v>43677.833096239701</v>
      </c>
      <c r="AE32" s="464">
        <f>IF('Market Penetration'!I32=0,0,1000*I32*'Market Data'!$O$51/('Market Penetration'!I32*'Market Data'!$M$51))</f>
        <v>100153.00530803471</v>
      </c>
      <c r="AF32" s="464">
        <f>IF('Market Penetration'!J32=0,0,1000*J32*'Market Data'!$O$51/('Market Penetration'!J32*'Market Data'!$M$51))</f>
        <v>100256.25211288809</v>
      </c>
      <c r="AG32" s="464">
        <f>IF('Market Penetration'!K32=0,0,1000*K32*'Market Data'!$O$51/('Market Penetration'!K32*'Market Data'!$M$51))</f>
        <v>0</v>
      </c>
      <c r="AH32" s="464">
        <f>IF('Market Penetration'!L32=0,0,1000*L32*'Market Data'!$O$51/('Market Penetration'!L32*'Market Data'!$M$51))</f>
        <v>0</v>
      </c>
      <c r="AI32" s="465">
        <f>IF('Market Penetration'!M32=0,0,1000*M32*'Market Data'!$O$51/('Market Penetration'!M32*'Market Data'!$M$51))</f>
        <v>0</v>
      </c>
      <c r="AJ32" s="463">
        <f>IF('Market Penetration'!N32=0,0,1000*N32*'Market Data'!$Y$51/('Market Penetration'!N32*'Market Data'!$W$51))</f>
        <v>19449.822903353801</v>
      </c>
      <c r="AK32" s="464">
        <f>IF('Market Penetration'!O32=0,0,1000*O32*'Market Data'!$Y$51/('Market Penetration'!O32*'Market Data'!$W$51))</f>
        <v>50011.697543844828</v>
      </c>
      <c r="AL32" s="464">
        <f>IF('Market Penetration'!P32=0,0,1000*P32*'Market Data'!$Y$51/('Market Penetration'!P32*'Market Data'!$W$51))</f>
        <v>42492.141847609266</v>
      </c>
      <c r="AM32" s="695">
        <f>IF('Market Penetration'!Q32=0,0,1000*Q32*'Market Data'!$Y$51/('Market Penetration'!Q32*'Market Data'!$W$51))</f>
        <v>57461.868272401487</v>
      </c>
      <c r="AN32" s="464">
        <f>IF('Market Penetration'!R32=0,0,1000*R32*'Market Data'!$Y$51/('Market Penetration'!R32*'Market Data'!$W$51))</f>
        <v>155713.38506696004</v>
      </c>
      <c r="AO32" s="690">
        <f>IF('Market Penetration'!S32=0,0,1000*S32*'Market Data'!$Y$51/('Market Penetration'!S32*'Market Data'!$W$51))</f>
        <v>0</v>
      </c>
      <c r="AP32" s="463">
        <f>IF('Market Penetration'!T32=0,0,1000*T32*('Market Data'!$E$51+'Market Data'!$O$51+'Market Data'!$Y$51)/('Market Penetration'!T32*('Market Data'!$C$51+'Market Data'!$M$51+'Market Data'!$W$51)))</f>
        <v>60120.931734317339</v>
      </c>
      <c r="AQ32" s="465">
        <f>IF('Market Penetration'!U32=0,0,1000*U32*('Market Data'!$E$51+'Market Data'!$O$51+'Market Data'!$Y$51)/('Market Penetration'!U32*('Market Data'!$C$51+'Market Data'!$M$51+'Market Data'!$W$51)))</f>
        <v>97981.506238219459</v>
      </c>
    </row>
    <row r="33" spans="1:43" ht="15" x14ac:dyDescent="0.2">
      <c r="A33" s="429">
        <v>2031</v>
      </c>
      <c r="B33" s="430">
        <f t="shared" si="12"/>
        <v>0.46651202140700188</v>
      </c>
      <c r="C33" s="431">
        <f>'7&amp;8 Sleep'!$M100+'7&amp;8 Sleep'!$Z100</f>
        <v>0.29458940799379474</v>
      </c>
      <c r="D33" s="431">
        <f>'7&amp;8 Sleep'!$M152+'7&amp;8 Sleep'!$Z152</f>
        <v>0.23889857059920339</v>
      </c>
      <c r="E33" s="701">
        <f>'7&amp;8 Sleep'!$M204+'7&amp;8 Sleep'!$Z204</f>
        <v>0</v>
      </c>
      <c r="F33" s="431">
        <f>'7&amp;8 Sleep'!$M257+'7&amp;8 Sleep'!$Z257</f>
        <v>0</v>
      </c>
      <c r="G33" s="659">
        <f>'7&amp;8 Sleep'!$M310+'7&amp;8 Sleep'!$Z310</f>
        <v>0</v>
      </c>
      <c r="H33" s="855">
        <f t="shared" si="13"/>
        <v>0.23133988820145768</v>
      </c>
      <c r="I33" s="659">
        <f>'7&amp;8 Day'!$M100+'7&amp;8 Day'!$Z100</f>
        <v>0.38441479290923553</v>
      </c>
      <c r="J33" s="659">
        <f>'7&amp;8 Day'!$M152+'7&amp;8 Day'!$Z152</f>
        <v>0.38424254263205371</v>
      </c>
      <c r="K33" s="659">
        <f>'7&amp;8 Day'!$M204+'7&amp;8 Day'!$Z204</f>
        <v>2.7762572530622703E-6</v>
      </c>
      <c r="L33" s="659">
        <f>'7&amp;8 Day'!$M257+'7&amp;8 Day'!$Z257</f>
        <v>0</v>
      </c>
      <c r="M33" s="706">
        <f>'7&amp;8 Day'!$M310+'7&amp;8 Day'!$Z310</f>
        <v>0</v>
      </c>
      <c r="N33" s="430">
        <f t="shared" si="14"/>
        <v>0.51401362802523254</v>
      </c>
      <c r="O33" s="431">
        <f>'7&amp;8 SU'!$M100+'7&amp;8 SU'!$Z100</f>
        <v>0.15102373772924338</v>
      </c>
      <c r="P33" s="431">
        <f>'7&amp;8 SU'!$M152+'7&amp;8 SU'!$Z152</f>
        <v>0.22006297026548102</v>
      </c>
      <c r="Q33" s="701">
        <f>'7&amp;8 SU'!$M204+'7&amp;8 SU'!$Z204</f>
        <v>0.11102382899208368</v>
      </c>
      <c r="R33" s="431">
        <f>'7&amp;8 SU'!$M257+'7&amp;8 SU'!$Z257</f>
        <v>3.8758349879594012E-3</v>
      </c>
      <c r="S33" s="659">
        <f>'7&amp;8 SU'!$M310+'7&amp;8 SU'!$Z310</f>
        <v>0</v>
      </c>
      <c r="T33" s="433">
        <f>B33*'Market Data'!$E$52+H33*'Market Data'!$O$52+N33*+N33*'Market Data'!$Y$52</f>
        <v>0.39148356044135063</v>
      </c>
      <c r="U33" s="434">
        <f>SUM(C33:G33)*'Market Data'!$E$52+SUM(I33:M33)*'Market Data'!$O$52+SUM(O33:S33)*+N33*'Market Data'!$Y$52</f>
        <v>0.56493395575648353</v>
      </c>
      <c r="W33" s="429">
        <v>2031</v>
      </c>
      <c r="X33" s="466">
        <f>IF('Market Penetration'!B33=0,0,1000*B33*'Market Data'!$E$51/('Market Penetration'!B33*'Market Data'!$C$51))</f>
        <v>109340.18050108664</v>
      </c>
      <c r="Y33" s="467">
        <f>IF('Market Penetration'!C33=0,0,1000*C33*'Market Data'!$E$51/('Market Penetration'!C33*'Market Data'!$C$51))</f>
        <v>107086.47437519299</v>
      </c>
      <c r="Z33" s="467">
        <f>IF('Market Penetration'!D33=0,0,1000*D33*'Market Data'!$E$51/('Market Penetration'!D33*'Market Data'!$C$51))</f>
        <v>137925.66568659703</v>
      </c>
      <c r="AA33" s="696">
        <f>IF('Market Penetration'!E33=0,0,1000*E33*'Market Data'!$E$51/('Market Penetration'!E33*'Market Data'!$C$51))</f>
        <v>0</v>
      </c>
      <c r="AB33" s="467">
        <f>IF('Market Penetration'!F33=0,0,1000*F33*'Market Data'!$E$51/('Market Penetration'!F33*'Market Data'!$C$51))</f>
        <v>0</v>
      </c>
      <c r="AC33" s="691">
        <f>IF('Market Penetration'!G33=0,0,1000*G33*'Market Data'!$E$51/('Market Penetration'!G33*'Market Data'!$C$51))</f>
        <v>0</v>
      </c>
      <c r="AD33" s="466">
        <f>IF('Market Penetration'!H33=0,0,1000*H33*'Market Data'!$O$51/('Market Penetration'!H33*'Market Data'!$M$51))</f>
        <v>43590.269343297114</v>
      </c>
      <c r="AE33" s="467">
        <f>IF('Market Penetration'!I33=0,0,1000*I33*'Market Data'!$O$51/('Market Penetration'!I33*'Market Data'!$M$51))</f>
        <v>100054.07297108353</v>
      </c>
      <c r="AF33" s="467">
        <f>IF('Market Penetration'!J33=0,0,1000*J33*'Market Data'!$O$51/('Market Penetration'!J33*'Market Data'!$M$51))</f>
        <v>100054.07297108353</v>
      </c>
      <c r="AG33" s="467">
        <f>IF('Market Penetration'!K33=0,0,1000*K33*'Market Data'!$O$51/('Market Penetration'!K33*'Market Data'!$M$51))</f>
        <v>220702.9179341534</v>
      </c>
      <c r="AH33" s="467">
        <f>IF('Market Penetration'!L33=0,0,1000*L33*'Market Data'!$O$51/('Market Penetration'!L33*'Market Data'!$M$51))</f>
        <v>0</v>
      </c>
      <c r="AI33" s="860">
        <f>IF('Market Penetration'!M33=0,0,1000*M33*'Market Data'!$O$51/('Market Penetration'!M33*'Market Data'!$M$51))</f>
        <v>0</v>
      </c>
      <c r="AJ33" s="466">
        <f>IF('Market Penetration'!N33=0,0,1000*N33*'Market Data'!$Y$51/('Market Penetration'!N33*'Market Data'!$W$51))</f>
        <v>19396.513643137932</v>
      </c>
      <c r="AK33" s="467">
        <f>IF('Market Penetration'!O33=0,0,1000*O33*'Market Data'!$Y$51/('Market Penetration'!O33*'Market Data'!$W$51))</f>
        <v>49488.492411676882</v>
      </c>
      <c r="AL33" s="467">
        <f>IF('Market Penetration'!P33=0,0,1000*P33*'Market Data'!$Y$51/('Market Penetration'!P33*'Market Data'!$W$51))</f>
        <v>42618.277362134548</v>
      </c>
      <c r="AM33" s="696">
        <f>IF('Market Penetration'!Q33=0,0,1000*Q33*'Market Data'!$Y$51/('Market Penetration'!Q33*'Market Data'!$W$51))</f>
        <v>57198.573643190757</v>
      </c>
      <c r="AN33" s="467">
        <f>IF('Market Penetration'!R33=0,0,1000*R33*'Market Data'!$Y$51/('Market Penetration'!R33*'Market Data'!$W$51))</f>
        <v>150223.22709480906</v>
      </c>
      <c r="AO33" s="691">
        <f>IF('Market Penetration'!S33=0,0,1000*S33*'Market Data'!$Y$51/('Market Penetration'!S33*'Market Data'!$W$51))</f>
        <v>0</v>
      </c>
      <c r="AP33" s="468">
        <f>IF('Market Penetration'!T33=0,0,1000*T33*('Market Data'!$E$51+'Market Data'!$O$51+'Market Data'!$Y$51)/('Market Penetration'!T33*('Market Data'!$C$51+'Market Data'!$M$51+'Market Data'!$W$51)))</f>
        <v>60115.491027656608</v>
      </c>
      <c r="AQ33" s="469">
        <f>IF('Market Penetration'!U33=0,0,1000*U33*('Market Data'!$E$51+'Market Data'!$O$51+'Market Data'!$Y$51)/('Market Penetration'!U33*('Market Data'!$C$51+'Market Data'!$M$51+'Market Data'!$W$51)))</f>
        <v>97942.35578397577</v>
      </c>
    </row>
    <row r="34" spans="1:43" ht="15" x14ac:dyDescent="0.2">
      <c r="A34" s="403">
        <v>2032</v>
      </c>
      <c r="B34" s="423">
        <f t="shared" si="12"/>
        <v>0.4703059032412662</v>
      </c>
      <c r="C34" s="424">
        <f>'7&amp;8 Sleep'!$M101+'7&amp;8 Sleep'!$Z101</f>
        <v>0.2889263980489466</v>
      </c>
      <c r="D34" s="424">
        <f>'7&amp;8 Sleep'!$M153+'7&amp;8 Sleep'!$Z153</f>
        <v>0.2407676987097872</v>
      </c>
      <c r="E34" s="699">
        <f>'7&amp;8 Sleep'!$M205+'7&amp;8 Sleep'!$Z205</f>
        <v>0</v>
      </c>
      <c r="F34" s="424">
        <f>'7&amp;8 Sleep'!$M258+'7&amp;8 Sleep'!$Z258</f>
        <v>0</v>
      </c>
      <c r="G34" s="657">
        <f>'7&amp;8 Sleep'!$M311+'7&amp;8 Sleep'!$Z311</f>
        <v>0</v>
      </c>
      <c r="H34" s="853">
        <f t="shared" si="13"/>
        <v>0.22424415250814755</v>
      </c>
      <c r="I34" s="657">
        <f>'7&amp;8 Day'!$M101+'7&amp;8 Day'!$Z101</f>
        <v>0.38808522253877215</v>
      </c>
      <c r="J34" s="657">
        <f>'7&amp;8 Day'!$M153+'7&amp;8 Day'!$Z153</f>
        <v>0.38722647513996045</v>
      </c>
      <c r="K34" s="657">
        <f>'7&amp;8 Day'!$M205+'7&amp;8 Day'!$Z205</f>
        <v>4.4414981311981748E-4</v>
      </c>
      <c r="L34" s="657">
        <f>'7&amp;8 Day'!$M258+'7&amp;8 Day'!$Z258</f>
        <v>0</v>
      </c>
      <c r="M34" s="704">
        <f>'7&amp;8 Day'!$M311+'7&amp;8 Day'!$Z311</f>
        <v>0</v>
      </c>
      <c r="N34" s="423">
        <f t="shared" si="14"/>
        <v>0.50564917853714886</v>
      </c>
      <c r="O34" s="424">
        <f>'7&amp;8 SU'!$M101+'7&amp;8 SU'!$Z101</f>
        <v>0.15127822449828809</v>
      </c>
      <c r="P34" s="424">
        <f>'7&amp;8 SU'!$M153+'7&amp;8 SU'!$Z153</f>
        <v>0.22605192672361546</v>
      </c>
      <c r="Q34" s="699">
        <f>'7&amp;8 SU'!$M205+'7&amp;8 SU'!$Z205</f>
        <v>0.11130030066553256</v>
      </c>
      <c r="R34" s="424">
        <f>'7&amp;8 SU'!$M258+'7&amp;8 SU'!$Z258</f>
        <v>5.7203695754149478E-3</v>
      </c>
      <c r="S34" s="657">
        <f>'7&amp;8 SU'!$M311+'7&amp;8 SU'!$Z311</f>
        <v>0</v>
      </c>
      <c r="T34" s="423">
        <f>B34*'Market Data'!$E$52+H34*'Market Data'!$O$52+N34*+N34*'Market Data'!$Y$52</f>
        <v>0.39153823808993576</v>
      </c>
      <c r="U34" s="425">
        <f>SUM(C34:G34)*'Market Data'!$E$52+SUM(I34:M34)*'Market Data'!$O$52+SUM(O34:S34)*+N34*'Market Data'!$Y$52</f>
        <v>0.56412916759996978</v>
      </c>
      <c r="W34" s="403">
        <v>2032</v>
      </c>
      <c r="X34" s="460">
        <f>IF('Market Penetration'!B34=0,0,1000*B34*'Market Data'!$E$51/('Market Penetration'!B34*'Market Data'!$C$51))</f>
        <v>109152.70919069186</v>
      </c>
      <c r="Y34" s="461">
        <f>IF('Market Penetration'!C34=0,0,1000*C34*'Market Data'!$E$51/('Market Penetration'!C34*'Market Data'!$C$51))</f>
        <v>107160.3239556078</v>
      </c>
      <c r="Z34" s="461">
        <f>IF('Market Penetration'!D34=0,0,1000*D34*'Market Data'!$E$51/('Market Penetration'!D34*'Market Data'!$C$51))</f>
        <v>137996.43878395626</v>
      </c>
      <c r="AA34" s="694">
        <f>IF('Market Penetration'!E34=0,0,1000*E34*'Market Data'!$E$51/('Market Penetration'!E34*'Market Data'!$C$51))</f>
        <v>0</v>
      </c>
      <c r="AB34" s="461">
        <f>IF('Market Penetration'!F34=0,0,1000*F34*'Market Data'!$E$51/('Market Penetration'!F34*'Market Data'!$C$51))</f>
        <v>0</v>
      </c>
      <c r="AC34" s="689">
        <f>IF('Market Penetration'!G34=0,0,1000*G34*'Market Data'!$E$51/('Market Penetration'!G34*'Market Data'!$C$51))</f>
        <v>0</v>
      </c>
      <c r="AD34" s="460">
        <f>IF('Market Penetration'!H34=0,0,1000*H34*'Market Data'!$O$51/('Market Penetration'!H34*'Market Data'!$M$51))</f>
        <v>43048.580285770018</v>
      </c>
      <c r="AE34" s="461">
        <f>IF('Market Penetration'!I34=0,0,1000*I34*'Market Data'!$O$51/('Market Penetration'!I34*'Market Data'!$M$51))</f>
        <v>99592.628145979892</v>
      </c>
      <c r="AF34" s="461">
        <f>IF('Market Penetration'!J34=0,0,1000*J34*'Market Data'!$O$51/('Market Penetration'!J34*'Market Data'!$M$51))</f>
        <v>99755.788019950487</v>
      </c>
      <c r="AG34" s="461">
        <f>IF('Market Penetration'!K34=0,0,1000*K34*'Market Data'!$O$51/('Market Penetration'!K34*'Market Data'!$M$51))</f>
        <v>220861.04114199674</v>
      </c>
      <c r="AH34" s="461">
        <f>IF('Market Penetration'!L34=0,0,1000*L34*'Market Data'!$O$51/('Market Penetration'!L34*'Market Data'!$M$51))</f>
        <v>0</v>
      </c>
      <c r="AI34" s="462">
        <f>IF('Market Penetration'!M34=0,0,1000*M34*'Market Data'!$O$51/('Market Penetration'!M34*'Market Data'!$M$51))</f>
        <v>0</v>
      </c>
      <c r="AJ34" s="460">
        <f>IF('Market Penetration'!N34=0,0,1000*N34*'Market Data'!$Y$51/('Market Penetration'!N34*'Market Data'!$W$51))</f>
        <v>19283.761823950535</v>
      </c>
      <c r="AK34" s="461">
        <f>IF('Market Penetration'!O34=0,0,1000*O34*'Market Data'!$Y$51/('Market Penetration'!O34*'Market Data'!$W$51))</f>
        <v>49156.004320497064</v>
      </c>
      <c r="AL34" s="461">
        <f>IF('Market Penetration'!P34=0,0,1000*P34*'Market Data'!$Y$51/('Market Penetration'!P34*'Market Data'!$W$51))</f>
        <v>41951.261610824418</v>
      </c>
      <c r="AM34" s="694">
        <f>IF('Market Penetration'!Q34=0,0,1000*Q34*'Market Data'!$Y$51/('Market Penetration'!Q34*'Market Data'!$W$51))</f>
        <v>56908.373684644597</v>
      </c>
      <c r="AN34" s="461">
        <f>IF('Market Penetration'!R34=0,0,1000*R34*'Market Data'!$Y$51/('Market Penetration'!R34*'Market Data'!$W$51))</f>
        <v>146020.1729728565</v>
      </c>
      <c r="AO34" s="689">
        <f>IF('Market Penetration'!S34=0,0,1000*S34*'Market Data'!$Y$51/('Market Penetration'!S34*'Market Data'!$W$51))</f>
        <v>0</v>
      </c>
      <c r="AP34" s="460">
        <f>IF('Market Penetration'!T34=0,0,1000*T34*('Market Data'!$E$51+'Market Data'!$O$51+'Market Data'!$Y$51)/('Market Penetration'!T34*('Market Data'!$C$51+'Market Data'!$M$51+'Market Data'!$W$51)))</f>
        <v>60314.583143468655</v>
      </c>
      <c r="AQ34" s="462">
        <f>IF('Market Penetration'!U34=0,0,1000*U34*('Market Data'!$E$51+'Market Data'!$O$51+'Market Data'!$Y$51)/('Market Penetration'!U34*('Market Data'!$C$51+'Market Data'!$M$51+'Market Data'!$W$51)))</f>
        <v>97454.95519436842</v>
      </c>
    </row>
    <row r="35" spans="1:43" ht="15" x14ac:dyDescent="0.2">
      <c r="A35" s="403">
        <v>2033</v>
      </c>
      <c r="B35" s="423">
        <f t="shared" si="12"/>
        <v>0.45691749919576075</v>
      </c>
      <c r="C35" s="424">
        <f>'7&amp;8 Sleep'!$M102+'7&amp;8 Sleep'!$Z102</f>
        <v>0.2764426782503826</v>
      </c>
      <c r="D35" s="424">
        <f>'7&amp;8 Sleep'!$M154+'7&amp;8 Sleep'!$Z154</f>
        <v>0.26663982255385671</v>
      </c>
      <c r="E35" s="699">
        <f>'7&amp;8 Sleep'!$M206+'7&amp;8 Sleep'!$Z206</f>
        <v>0</v>
      </c>
      <c r="F35" s="424">
        <f>'7&amp;8 Sleep'!$M259+'7&amp;8 Sleep'!$Z259</f>
        <v>0</v>
      </c>
      <c r="G35" s="657">
        <f>'7&amp;8 Sleep'!$M312+'7&amp;8 Sleep'!$Z312</f>
        <v>0</v>
      </c>
      <c r="H35" s="853">
        <f t="shared" si="13"/>
        <v>0.21723749264960601</v>
      </c>
      <c r="I35" s="657">
        <f>'7&amp;8 Day'!$M102+'7&amp;8 Day'!$Z102</f>
        <v>0.3894695206156002</v>
      </c>
      <c r="J35" s="657">
        <f>'7&amp;8 Day'!$M154+'7&amp;8 Day'!$Z154</f>
        <v>0.38929500539371648</v>
      </c>
      <c r="K35" s="657">
        <f>'7&amp;8 Day'!$M206+'7&amp;8 Day'!$Z206</f>
        <v>3.9979813410772769E-3</v>
      </c>
      <c r="L35" s="657">
        <f>'7&amp;8 Day'!$M259+'7&amp;8 Day'!$Z259</f>
        <v>0</v>
      </c>
      <c r="M35" s="704">
        <f>'7&amp;8 Day'!$M312+'7&amp;8 Day'!$Z312</f>
        <v>0</v>
      </c>
      <c r="N35" s="423">
        <f t="shared" si="14"/>
        <v>0.49996910997068311</v>
      </c>
      <c r="O35" s="424">
        <f>'7&amp;8 SU'!$M102+'7&amp;8 SU'!$Z102</f>
        <v>0.1544369692632174</v>
      </c>
      <c r="P35" s="424">
        <f>'7&amp;8 SU'!$M154+'7&amp;8 SU'!$Z154</f>
        <v>0.22515185404784671</v>
      </c>
      <c r="Q35" s="699">
        <f>'7&amp;8 SU'!$M206+'7&amp;8 SU'!$Z206</f>
        <v>0.11241438168237614</v>
      </c>
      <c r="R35" s="424">
        <f>'7&amp;8 SU'!$M259+'7&amp;8 SU'!$Z259</f>
        <v>8.0276850358765844E-3</v>
      </c>
      <c r="S35" s="657">
        <f>'7&amp;8 SU'!$M312+'7&amp;8 SU'!$Z312</f>
        <v>0</v>
      </c>
      <c r="T35" s="423">
        <f>B35*'Market Data'!$E$52+H35*'Market Data'!$O$52+N35*+N35*'Market Data'!$Y$52</f>
        <v>0.38038193851842411</v>
      </c>
      <c r="U35" s="425">
        <f>SUM(C35:G35)*'Market Data'!$E$52+SUM(I35:M35)*'Market Data'!$O$52+SUM(O35:S35)*+N35*'Market Data'!$Y$52</f>
        <v>0.57477608766915644</v>
      </c>
      <c r="W35" s="403">
        <v>2033</v>
      </c>
      <c r="X35" s="460">
        <f>IF('Market Penetration'!B35=0,0,1000*B35*'Market Data'!$E$51/('Market Penetration'!B35*'Market Data'!$C$51))</f>
        <v>107950.41499355514</v>
      </c>
      <c r="Y35" s="461">
        <f>IF('Market Penetration'!C35=0,0,1000*C35*'Market Data'!$E$51/('Market Penetration'!C35*'Market Data'!$C$51))</f>
        <v>107125.55761014707</v>
      </c>
      <c r="Z35" s="461">
        <f>IF('Market Penetration'!D35=0,0,1000*D35*'Market Data'!$E$51/('Market Penetration'!D35*'Market Data'!$C$51))</f>
        <v>137696.40673408055</v>
      </c>
      <c r="AA35" s="694">
        <f>IF('Market Penetration'!E35=0,0,1000*E35*'Market Data'!$E$51/('Market Penetration'!E35*'Market Data'!$C$51))</f>
        <v>0</v>
      </c>
      <c r="AB35" s="461">
        <f>IF('Market Penetration'!F35=0,0,1000*F35*'Market Data'!$E$51/('Market Penetration'!F35*'Market Data'!$C$51))</f>
        <v>0</v>
      </c>
      <c r="AC35" s="689">
        <f>IF('Market Penetration'!G35=0,0,1000*G35*'Market Data'!$E$51/('Market Penetration'!G35*'Market Data'!$C$51))</f>
        <v>0</v>
      </c>
      <c r="AD35" s="460">
        <f>IF('Market Penetration'!H35=0,0,1000*H35*'Market Data'!$O$51/('Market Penetration'!H35*'Market Data'!$M$51))</f>
        <v>42468.769459813782</v>
      </c>
      <c r="AE35" s="461">
        <f>IF('Market Penetration'!I35=0,0,1000*I35*'Market Data'!$O$51/('Market Penetration'!I35*'Market Data'!$M$51))</f>
        <v>99133.692513237096</v>
      </c>
      <c r="AF35" s="461">
        <f>IF('Market Penetration'!J35=0,0,1000*J35*'Market Data'!$O$51/('Market Penetration'!J35*'Market Data'!$M$51))</f>
        <v>99133.692513237082</v>
      </c>
      <c r="AG35" s="461">
        <f>IF('Market Penetration'!K35=0,0,1000*K35*'Market Data'!$O$51/('Market Penetration'!K35*'Market Data'!$M$51))</f>
        <v>214392.3775504287</v>
      </c>
      <c r="AH35" s="461">
        <f>IF('Market Penetration'!L35=0,0,1000*L35*'Market Data'!$O$51/('Market Penetration'!L35*'Market Data'!$M$51))</f>
        <v>0</v>
      </c>
      <c r="AI35" s="462">
        <f>IF('Market Penetration'!M35=0,0,1000*M35*'Market Data'!$O$51/('Market Penetration'!M35*'Market Data'!$M$51))</f>
        <v>0</v>
      </c>
      <c r="AJ35" s="460">
        <f>IF('Market Penetration'!N35=0,0,1000*N35*'Market Data'!$Y$51/('Market Penetration'!N35*'Market Data'!$W$51))</f>
        <v>19188.617273121257</v>
      </c>
      <c r="AK35" s="461">
        <f>IF('Market Penetration'!O35=0,0,1000*O35*'Market Data'!$Y$51/('Market Penetration'!O35*'Market Data'!$W$51))</f>
        <v>48372.020143275149</v>
      </c>
      <c r="AL35" s="461">
        <f>IF('Market Penetration'!P35=0,0,1000*P35*'Market Data'!$Y$51/('Market Penetration'!P35*'Market Data'!$W$51))</f>
        <v>41907.205092869699</v>
      </c>
      <c r="AM35" s="694">
        <f>IF('Market Penetration'!Q35=0,0,1000*Q35*'Market Data'!$Y$51/('Market Penetration'!Q35*'Market Data'!$W$51))</f>
        <v>56077.896412541624</v>
      </c>
      <c r="AN35" s="461">
        <f>IF('Market Penetration'!R35=0,0,1000*R35*'Market Data'!$Y$51/('Market Penetration'!R35*'Market Data'!$W$51))</f>
        <v>140900.2978723569</v>
      </c>
      <c r="AO35" s="689">
        <f>IF('Market Penetration'!S35=0,0,1000*S35*'Market Data'!$Y$51/('Market Penetration'!S35*'Market Data'!$W$51))</f>
        <v>0</v>
      </c>
      <c r="AP35" s="460">
        <f>IF('Market Penetration'!T35=0,0,1000*T35*('Market Data'!$E$51+'Market Data'!$O$51+'Market Data'!$Y$51)/('Market Penetration'!T35*('Market Data'!$C$51+'Market Data'!$M$51+'Market Data'!$W$51)))</f>
        <v>59405.111695705804</v>
      </c>
      <c r="AQ35" s="462">
        <f>IF('Market Penetration'!U35=0,0,1000*U35*('Market Data'!$E$51+'Market Data'!$O$51+'Market Data'!$Y$51)/('Market Penetration'!U35*('Market Data'!$C$51+'Market Data'!$M$51+'Market Data'!$W$51)))</f>
        <v>97800.42296555065</v>
      </c>
    </row>
    <row r="36" spans="1:43" ht="15" x14ac:dyDescent="0.2">
      <c r="A36" s="403">
        <v>2034</v>
      </c>
      <c r="B36" s="423">
        <f t="shared" si="12"/>
        <v>0.45193470874893937</v>
      </c>
      <c r="C36" s="424">
        <f>'7&amp;8 Sleep'!$M103+'7&amp;8 Sleep'!$Z103</f>
        <v>0.27582637756335704</v>
      </c>
      <c r="D36" s="424">
        <f>'7&amp;8 Sleep'!$M155+'7&amp;8 Sleep'!$Z155</f>
        <v>0.27223891368770353</v>
      </c>
      <c r="E36" s="699">
        <f>'7&amp;8 Sleep'!$M207+'7&amp;8 Sleep'!$Z207</f>
        <v>0</v>
      </c>
      <c r="F36" s="424">
        <f>'7&amp;8 Sleep'!$M260+'7&amp;8 Sleep'!$Z260</f>
        <v>0</v>
      </c>
      <c r="G36" s="657">
        <f>'7&amp;8 Sleep'!$M313+'7&amp;8 Sleep'!$Z313</f>
        <v>0</v>
      </c>
      <c r="H36" s="853">
        <f t="shared" si="13"/>
        <v>0.21717643221692118</v>
      </c>
      <c r="I36" s="657">
        <f>'7&amp;8 Day'!$M103+'7&amp;8 Day'!$Z103</f>
        <v>0.3854704485015768</v>
      </c>
      <c r="J36" s="657">
        <f>'7&amp;8 Day'!$M155+'7&amp;8 Day'!$Z155</f>
        <v>0.38529772520157757</v>
      </c>
      <c r="K36" s="657">
        <f>'7&amp;8 Day'!$M207+'7&amp;8 Day'!$Z207</f>
        <v>1.2055394079924422E-2</v>
      </c>
      <c r="L36" s="657">
        <f>'7&amp;8 Day'!$M260+'7&amp;8 Day'!$Z260</f>
        <v>0</v>
      </c>
      <c r="M36" s="704">
        <f>'7&amp;8 Day'!$M313+'7&amp;8 Day'!$Z313</f>
        <v>0</v>
      </c>
      <c r="N36" s="423">
        <f t="shared" si="14"/>
        <v>0.49728358675646089</v>
      </c>
      <c r="O36" s="424">
        <f>'7&amp;8 SU'!$M103+'7&amp;8 SU'!$Z103</f>
        <v>0.15452747487176183</v>
      </c>
      <c r="P36" s="424">
        <f>'7&amp;8 SU'!$M155+'7&amp;8 SU'!$Z155</f>
        <v>0.22448964371921565</v>
      </c>
      <c r="Q36" s="699">
        <f>'7&amp;8 SU'!$M207+'7&amp;8 SU'!$Z207</f>
        <v>0.11311691813126568</v>
      </c>
      <c r="R36" s="424">
        <f>'7&amp;8 SU'!$M260+'7&amp;8 SU'!$Z260</f>
        <v>1.0582376521295966E-2</v>
      </c>
      <c r="S36" s="657">
        <f>'7&amp;8 SU'!$M313+'7&amp;8 SU'!$Z313</f>
        <v>0</v>
      </c>
      <c r="T36" s="423">
        <f>B36*'Market Data'!$E$52+H36*'Market Data'!$O$52+N36*+N36*'Market Data'!$Y$52</f>
        <v>0.37679635379508769</v>
      </c>
      <c r="U36" s="425">
        <f>SUM(C36:G36)*'Market Data'!$E$52+SUM(I36:M36)*'Market Data'!$O$52+SUM(O36:S36)*+N36*'Market Data'!$Y$52</f>
        <v>0.57812083894790756</v>
      </c>
      <c r="W36" s="403">
        <v>2034</v>
      </c>
      <c r="X36" s="460">
        <f>IF('Market Penetration'!B36=0,0,1000*B36*'Market Data'!$E$51/('Market Penetration'!B36*'Market Data'!$C$51))</f>
        <v>107612.25102470488</v>
      </c>
      <c r="Y36" s="461">
        <f>IF('Market Penetration'!C36=0,0,1000*C36*'Market Data'!$E$51/('Market Penetration'!C36*'Market Data'!$C$51))</f>
        <v>107123.41601847007</v>
      </c>
      <c r="Z36" s="461">
        <f>IF('Market Penetration'!D36=0,0,1000*D36*'Market Data'!$E$51/('Market Penetration'!D36*'Market Data'!$C$51))</f>
        <v>137832.95288817678</v>
      </c>
      <c r="AA36" s="694">
        <f>IF('Market Penetration'!E36=0,0,1000*E36*'Market Data'!$E$51/('Market Penetration'!E36*'Market Data'!$C$51))</f>
        <v>0</v>
      </c>
      <c r="AB36" s="461">
        <f>IF('Market Penetration'!F36=0,0,1000*F36*'Market Data'!$E$51/('Market Penetration'!F36*'Market Data'!$C$51))</f>
        <v>0</v>
      </c>
      <c r="AC36" s="689">
        <f>IF('Market Penetration'!G36=0,0,1000*G36*'Market Data'!$E$51/('Market Penetration'!G36*'Market Data'!$C$51))</f>
        <v>0</v>
      </c>
      <c r="AD36" s="460">
        <f>IF('Market Penetration'!H36=0,0,1000*H36*'Market Data'!$O$51/('Market Penetration'!H36*'Market Data'!$M$51))</f>
        <v>42461.931401864647</v>
      </c>
      <c r="AE36" s="461">
        <f>IF('Market Penetration'!I36=0,0,1000*I36*'Market Data'!$O$51/('Market Penetration'!I36*'Market Data'!$M$51))</f>
        <v>98633.874406187329</v>
      </c>
      <c r="AF36" s="461">
        <f>IF('Market Penetration'!J36=0,0,1000*J36*'Market Data'!$O$51/('Market Penetration'!J36*'Market Data'!$M$51))</f>
        <v>98633.874406187329</v>
      </c>
      <c r="AG36" s="461">
        <f>IF('Market Penetration'!K36=0,0,1000*K36*'Market Data'!$O$51/('Market Penetration'!K36*'Market Data'!$M$51))</f>
        <v>199179.64658450897</v>
      </c>
      <c r="AH36" s="461">
        <f>IF('Market Penetration'!L36=0,0,1000*L36*'Market Data'!$O$51/('Market Penetration'!L36*'Market Data'!$M$51))</f>
        <v>0</v>
      </c>
      <c r="AI36" s="462">
        <f>IF('Market Penetration'!M36=0,0,1000*M36*'Market Data'!$O$51/('Market Penetration'!M36*'Market Data'!$M$51))</f>
        <v>0</v>
      </c>
      <c r="AJ36" s="460">
        <f>IF('Market Penetration'!N36=0,0,1000*N36*'Market Data'!$Y$51/('Market Penetration'!N36*'Market Data'!$W$51))</f>
        <v>19126.258459656983</v>
      </c>
      <c r="AK36" s="461">
        <f>IF('Market Penetration'!O36=0,0,1000*O36*'Market Data'!$Y$51/('Market Penetration'!O36*'Market Data'!$W$51))</f>
        <v>48252.066637947559</v>
      </c>
      <c r="AL36" s="461">
        <f>IF('Market Penetration'!P36=0,0,1000*P36*'Market Data'!$Y$51/('Market Penetration'!P36*'Market Data'!$W$51))</f>
        <v>41793.580082618675</v>
      </c>
      <c r="AM36" s="694">
        <f>IF('Market Penetration'!Q36=0,0,1000*Q36*'Market Data'!$Y$51/('Market Penetration'!Q36*'Market Data'!$W$51))</f>
        <v>55732.836798192584</v>
      </c>
      <c r="AN36" s="461">
        <f>IF('Market Penetration'!R36=0,0,1000*R36*'Market Data'!$Y$51/('Market Penetration'!R36*'Market Data'!$W$51))</f>
        <v>134221.57126617545</v>
      </c>
      <c r="AO36" s="689">
        <f>IF('Market Penetration'!S36=0,0,1000*S36*'Market Data'!$Y$51/('Market Penetration'!S36*'Market Data'!$W$51))</f>
        <v>0</v>
      </c>
      <c r="AP36" s="460">
        <f>IF('Market Penetration'!T36=0,0,1000*T36*('Market Data'!$E$51+'Market Data'!$O$51+'Market Data'!$Y$51)/('Market Penetration'!T36*('Market Data'!$C$51+'Market Data'!$M$51+'Market Data'!$W$51)))</f>
        <v>59096.0082518485</v>
      </c>
      <c r="AQ36" s="462">
        <f>IF('Market Penetration'!U36=0,0,1000*U36*('Market Data'!$E$51+'Market Data'!$O$51+'Market Data'!$Y$51)/('Market Penetration'!U36*('Market Data'!$C$51+'Market Data'!$M$51+'Market Data'!$W$51)))</f>
        <v>97916.67150364496</v>
      </c>
    </row>
    <row r="37" spans="1:43" ht="15" x14ac:dyDescent="0.2">
      <c r="A37" s="402">
        <v>2035</v>
      </c>
      <c r="B37" s="426">
        <f t="shared" si="12"/>
        <v>0.44802692476997885</v>
      </c>
      <c r="C37" s="427">
        <f>'7&amp;8 Sleep'!$M104+'7&amp;8 Sleep'!$Z104</f>
        <v>0.27400486324740425</v>
      </c>
      <c r="D37" s="427">
        <f>'7&amp;8 Sleep'!$M156+'7&amp;8 Sleep'!$Z156</f>
        <v>0.2779682119826169</v>
      </c>
      <c r="E37" s="700">
        <f>'7&amp;8 Sleep'!$M208+'7&amp;8 Sleep'!$Z208</f>
        <v>0</v>
      </c>
      <c r="F37" s="427">
        <f>'7&amp;8 Sleep'!$M261+'7&amp;8 Sleep'!$Z261</f>
        <v>0</v>
      </c>
      <c r="G37" s="658">
        <f>'7&amp;8 Sleep'!$M314+'7&amp;8 Sleep'!$Z314</f>
        <v>0</v>
      </c>
      <c r="H37" s="854">
        <f t="shared" si="13"/>
        <v>0.21653437298031319</v>
      </c>
      <c r="I37" s="658">
        <f>'7&amp;8 Day'!$M104+'7&amp;8 Day'!$Z104</f>
        <v>0.37656611201148638</v>
      </c>
      <c r="J37" s="658">
        <f>'7&amp;8 Day'!$M156+'7&amp;8 Day'!$Z156</f>
        <v>0.37639737860588462</v>
      </c>
      <c r="K37" s="658">
        <f>'7&amp;8 Day'!$M208+'7&amp;8 Day'!$Z208</f>
        <v>3.0502136402315853E-2</v>
      </c>
      <c r="L37" s="658">
        <f>'7&amp;8 Day'!$M261+'7&amp;8 Day'!$Z261</f>
        <v>0</v>
      </c>
      <c r="M37" s="705">
        <f>'7&amp;8 Day'!$M314+'7&amp;8 Day'!$Z314</f>
        <v>0</v>
      </c>
      <c r="N37" s="426">
        <f t="shared" si="14"/>
        <v>0.49723864977918342</v>
      </c>
      <c r="O37" s="427">
        <f>'7&amp;8 SU'!$M104+'7&amp;8 SU'!$Z104</f>
        <v>0.15428255467763288</v>
      </c>
      <c r="P37" s="427">
        <f>'7&amp;8 SU'!$M156+'7&amp;8 SU'!$Z156</f>
        <v>0.22073736709800923</v>
      </c>
      <c r="Q37" s="700">
        <f>'7&amp;8 SU'!$M208+'7&amp;8 SU'!$Z208</f>
        <v>0.11339575377271553</v>
      </c>
      <c r="R37" s="427">
        <f>'7&amp;8 SU'!$M261+'7&amp;8 SU'!$Z261</f>
        <v>1.4345674672458926E-2</v>
      </c>
      <c r="S37" s="658">
        <f>'7&amp;8 SU'!$M314+'7&amp;8 SU'!$Z314</f>
        <v>0</v>
      </c>
      <c r="T37" s="426">
        <f>B37*'Market Data'!$E$52+H37*'Market Data'!$O$52+N37*+N37*'Market Data'!$Y$52</f>
        <v>0.37402495967350669</v>
      </c>
      <c r="U37" s="428">
        <f>SUM(C37:G37)*'Market Data'!$E$52+SUM(I37:M37)*'Market Data'!$O$52+SUM(O37:S37)*+N37*'Market Data'!$Y$52</f>
        <v>0.58088820319293799</v>
      </c>
      <c r="W37" s="402">
        <v>2035</v>
      </c>
      <c r="X37" s="463">
        <f>IF('Market Penetration'!B37=0,0,1000*B37*'Market Data'!$E$51/('Market Penetration'!B37*'Market Data'!$C$51))</f>
        <v>107309.85995503759</v>
      </c>
      <c r="Y37" s="464">
        <f>IF('Market Penetration'!C37=0,0,1000*C37*'Market Data'!$E$51/('Market Penetration'!C37*'Market Data'!$C$51))</f>
        <v>107488.47026168127</v>
      </c>
      <c r="Z37" s="464">
        <f>IF('Market Penetration'!D37=0,0,1000*D37*'Market Data'!$E$51/('Market Penetration'!D37*'Market Data'!$C$51))</f>
        <v>137240.52867838065</v>
      </c>
      <c r="AA37" s="695">
        <f>IF('Market Penetration'!E37=0,0,1000*E37*'Market Data'!$E$51/('Market Penetration'!E37*'Market Data'!$C$51))</f>
        <v>0</v>
      </c>
      <c r="AB37" s="464">
        <f>IF('Market Penetration'!F37=0,0,1000*F37*'Market Data'!$E$51/('Market Penetration'!F37*'Market Data'!$C$51))</f>
        <v>0</v>
      </c>
      <c r="AC37" s="690">
        <f>IF('Market Penetration'!G37=0,0,1000*G37*'Market Data'!$E$51/('Market Penetration'!G37*'Market Data'!$C$51))</f>
        <v>0</v>
      </c>
      <c r="AD37" s="463">
        <f>IF('Market Penetration'!H37=0,0,1000*H37*'Market Data'!$O$51/('Market Penetration'!H37*'Market Data'!$M$51))</f>
        <v>42504.876334407418</v>
      </c>
      <c r="AE37" s="464">
        <f>IF('Market Penetration'!I37=0,0,1000*I37*'Market Data'!$O$51/('Market Penetration'!I37*'Market Data'!$M$51))</f>
        <v>97537.491370067131</v>
      </c>
      <c r="AF37" s="464">
        <f>IF('Market Penetration'!J37=0,0,1000*J37*'Market Data'!$O$51/('Market Penetration'!J37*'Market Data'!$M$51))</f>
        <v>97537.491370067102</v>
      </c>
      <c r="AG37" s="464">
        <f>IF('Market Penetration'!K37=0,0,1000*K37*'Market Data'!$O$51/('Market Penetration'!K37*'Market Data'!$M$51))</f>
        <v>173800.28173638711</v>
      </c>
      <c r="AH37" s="464">
        <f>IF('Market Penetration'!L37=0,0,1000*L37*'Market Data'!$O$51/('Market Penetration'!L37*'Market Data'!$M$51))</f>
        <v>0</v>
      </c>
      <c r="AI37" s="465">
        <f>IF('Market Penetration'!M37=0,0,1000*M37*'Market Data'!$O$51/('Market Penetration'!M37*'Market Data'!$M$51))</f>
        <v>0</v>
      </c>
      <c r="AJ37" s="463">
        <f>IF('Market Penetration'!N37=0,0,1000*N37*'Market Data'!$Y$51/('Market Penetration'!N37*'Market Data'!$W$51))</f>
        <v>19125.510517842402</v>
      </c>
      <c r="AK37" s="464">
        <f>IF('Market Penetration'!O37=0,0,1000*O37*'Market Data'!$Y$51/('Market Penetration'!O37*'Market Data'!$W$51))</f>
        <v>48007.460645664447</v>
      </c>
      <c r="AL37" s="464">
        <f>IF('Market Penetration'!P37=0,0,1000*P37*'Market Data'!$Y$51/('Market Penetration'!P37*'Market Data'!$W$51))</f>
        <v>41807.884322256476</v>
      </c>
      <c r="AM37" s="695">
        <f>IF('Market Penetration'!Q37=0,0,1000*Q37*'Market Data'!$Y$51/('Market Penetration'!Q37*'Market Data'!$W$51))</f>
        <v>54658.37649150053</v>
      </c>
      <c r="AN37" s="464">
        <f>IF('Market Penetration'!R37=0,0,1000*R37*'Market Data'!$Y$51/('Market Penetration'!R37*'Market Data'!$W$51))</f>
        <v>124152.61344781873</v>
      </c>
      <c r="AO37" s="690">
        <f>IF('Market Penetration'!S37=0,0,1000*S37*'Market Data'!$Y$51/('Market Penetration'!S37*'Market Data'!$W$51))</f>
        <v>0</v>
      </c>
      <c r="AP37" s="463">
        <f>IF('Market Penetration'!T37=0,0,1000*T37*('Market Data'!$E$51+'Market Data'!$O$51+'Market Data'!$Y$51)/('Market Penetration'!T37*('Market Data'!$C$51+'Market Data'!$M$51+'Market Data'!$W$51)))</f>
        <v>58859.402884680283</v>
      </c>
      <c r="AQ37" s="465">
        <f>IF('Market Penetration'!U37=0,0,1000*U37*('Market Data'!$E$51+'Market Data'!$O$51+'Market Data'!$Y$51)/('Market Penetration'!U37*('Market Data'!$C$51+'Market Data'!$M$51+'Market Data'!$W$51)))</f>
        <v>98029.167471513647</v>
      </c>
    </row>
    <row r="38" spans="1:43" ht="15" x14ac:dyDescent="0.2">
      <c r="A38" s="429">
        <v>2036</v>
      </c>
      <c r="B38" s="430">
        <f t="shared" si="12"/>
        <v>0.41939878973669109</v>
      </c>
      <c r="C38" s="431">
        <f>'7&amp;8 Sleep'!$M105+'7&amp;8 Sleep'!$Z105</f>
        <v>0.21913461720827299</v>
      </c>
      <c r="D38" s="431">
        <f>'7&amp;8 Sleep'!$M157+'7&amp;8 Sleep'!$Z157</f>
        <v>0.36146659305503592</v>
      </c>
      <c r="E38" s="701">
        <f>'7&amp;8 Sleep'!$M209+'7&amp;8 Sleep'!$Z209</f>
        <v>0</v>
      </c>
      <c r="F38" s="431">
        <f>'7&amp;8 Sleep'!$M262+'7&amp;8 Sleep'!$Z262</f>
        <v>0</v>
      </c>
      <c r="G38" s="659">
        <f>'7&amp;8 Sleep'!$M315+'7&amp;8 Sleep'!$Z315</f>
        <v>0</v>
      </c>
      <c r="H38" s="855">
        <f t="shared" si="13"/>
        <v>0.21127802864078926</v>
      </c>
      <c r="I38" s="659">
        <f>'7&amp;8 Day'!$M105+'7&amp;8 Day'!$Z105</f>
        <v>0.37563697002964219</v>
      </c>
      <c r="J38" s="659">
        <f>'7&amp;8 Day'!$M157+'7&amp;8 Day'!$Z157</f>
        <v>0.37381270002192207</v>
      </c>
      <c r="K38" s="659">
        <f>'7&amp;8 Day'!$M209+'7&amp;8 Day'!$Z209</f>
        <v>3.9272301307646487E-2</v>
      </c>
      <c r="L38" s="659">
        <f>'7&amp;8 Day'!$M262+'7&amp;8 Day'!$Z262</f>
        <v>0</v>
      </c>
      <c r="M38" s="706">
        <f>'7&amp;8 Day'!$M315+'7&amp;8 Day'!$Z315</f>
        <v>0</v>
      </c>
      <c r="N38" s="430">
        <f t="shared" si="14"/>
        <v>0.48235156535702572</v>
      </c>
      <c r="O38" s="431">
        <f>'7&amp;8 SU'!$M105+'7&amp;8 SU'!$Z105</f>
        <v>0.15927802976250394</v>
      </c>
      <c r="P38" s="431">
        <f>'7&amp;8 SU'!$M157+'7&amp;8 SU'!$Z157</f>
        <v>0.23302221132930986</v>
      </c>
      <c r="Q38" s="701">
        <f>'7&amp;8 SU'!$M209+'7&amp;8 SU'!$Z209</f>
        <v>0.10967095866500144</v>
      </c>
      <c r="R38" s="431">
        <f>'7&amp;8 SU'!$M262+'7&amp;8 SU'!$Z262</f>
        <v>1.5677234886158978E-2</v>
      </c>
      <c r="S38" s="659">
        <f>'7&amp;8 SU'!$M315+'7&amp;8 SU'!$Z315</f>
        <v>0</v>
      </c>
      <c r="T38" s="433">
        <f>B38*'Market Data'!$E$52+H38*'Market Data'!$O$52+N38*+N38*'Market Data'!$Y$52</f>
        <v>0.35230980551429725</v>
      </c>
      <c r="U38" s="434">
        <f>SUM(C38:G38)*'Market Data'!$E$52+SUM(I38:M38)*'Market Data'!$O$52+SUM(O38:S38)*+N38*'Market Data'!$Y$52</f>
        <v>0.60126830733201253</v>
      </c>
      <c r="W38" s="429">
        <v>2036</v>
      </c>
      <c r="X38" s="466">
        <f>IF('Market Penetration'!B38=0,0,1000*B38*'Market Data'!$E$51/('Market Penetration'!B38*'Market Data'!$C$51))</f>
        <v>102481.56853375345</v>
      </c>
      <c r="Y38" s="467">
        <f>IF('Market Penetration'!C38=0,0,1000*C38*'Market Data'!$E$51/('Market Penetration'!C38*'Market Data'!$C$51))</f>
        <v>112248.60908683884</v>
      </c>
      <c r="Z38" s="467">
        <f>IF('Market Penetration'!D38=0,0,1000*D38*'Market Data'!$E$51/('Market Penetration'!D38*'Market Data'!$C$51))</f>
        <v>133629.80521171822</v>
      </c>
      <c r="AA38" s="696">
        <f>IF('Market Penetration'!E38=0,0,1000*E38*'Market Data'!$E$51/('Market Penetration'!E38*'Market Data'!$C$51))</f>
        <v>0</v>
      </c>
      <c r="AB38" s="467">
        <f>IF('Market Penetration'!F38=0,0,1000*F38*'Market Data'!$E$51/('Market Penetration'!F38*'Market Data'!$C$51))</f>
        <v>0</v>
      </c>
      <c r="AC38" s="691">
        <f>IF('Market Penetration'!G38=0,0,1000*G38*'Market Data'!$E$51/('Market Penetration'!G38*'Market Data'!$C$51))</f>
        <v>0</v>
      </c>
      <c r="AD38" s="466">
        <f>IF('Market Penetration'!H38=0,0,1000*H38*'Market Data'!$O$51/('Market Penetration'!H38*'Market Data'!$M$51))</f>
        <v>42232.840050166174</v>
      </c>
      <c r="AE38" s="467">
        <f>IF('Market Penetration'!I38=0,0,1000*I38*'Market Data'!$O$51/('Market Penetration'!I38*'Market Data'!$M$51))</f>
        <v>96499.168900290286</v>
      </c>
      <c r="AF38" s="467">
        <f>IF('Market Penetration'!J38=0,0,1000*J38*'Market Data'!$O$51/('Market Penetration'!J38*'Market Data'!$M$51))</f>
        <v>96884.185518540849</v>
      </c>
      <c r="AG38" s="467">
        <f>IF('Market Penetration'!K38=0,0,1000*K38*'Market Data'!$O$51/('Market Penetration'!K38*'Market Data'!$M$51))</f>
        <v>166484.78139227102</v>
      </c>
      <c r="AH38" s="467">
        <f>IF('Market Penetration'!L38=0,0,1000*L38*'Market Data'!$O$51/('Market Penetration'!L38*'Market Data'!$M$51))</f>
        <v>0</v>
      </c>
      <c r="AI38" s="860">
        <f>IF('Market Penetration'!M38=0,0,1000*M38*'Market Data'!$O$51/('Market Penetration'!M38*'Market Data'!$M$51))</f>
        <v>0</v>
      </c>
      <c r="AJ38" s="466">
        <f>IF('Market Penetration'!N38=0,0,1000*N38*'Market Data'!$Y$51/('Market Penetration'!N38*'Market Data'!$W$51))</f>
        <v>18900.569124204958</v>
      </c>
      <c r="AK38" s="467">
        <f>IF('Market Penetration'!O38=0,0,1000*O38*'Market Data'!$Y$51/('Market Penetration'!O38*'Market Data'!$W$51))</f>
        <v>47163.533140528845</v>
      </c>
      <c r="AL38" s="467">
        <f>IF('Market Penetration'!P38=0,0,1000*P38*'Market Data'!$Y$51/('Market Penetration'!P38*'Market Data'!$W$51))</f>
        <v>41062.004530950624</v>
      </c>
      <c r="AM38" s="696">
        <f>IF('Market Penetration'!Q38=0,0,1000*Q38*'Market Data'!$Y$51/('Market Penetration'!Q38*'Market Data'!$W$51))</f>
        <v>55409.147288557957</v>
      </c>
      <c r="AN38" s="467">
        <f>IF('Market Penetration'!R38=0,0,1000*R38*'Market Data'!$Y$51/('Market Penetration'!R38*'Market Data'!$W$51))</f>
        <v>120031.53040026881</v>
      </c>
      <c r="AO38" s="691">
        <f>IF('Market Penetration'!S38=0,0,1000*S38*'Market Data'!$Y$51/('Market Penetration'!S38*'Market Data'!$W$51))</f>
        <v>0</v>
      </c>
      <c r="AP38" s="468">
        <f>IF('Market Penetration'!T38=0,0,1000*T38*('Market Data'!$E$51+'Market Data'!$O$51+'Market Data'!$Y$51)/('Market Penetration'!T38*('Market Data'!$C$51+'Market Data'!$M$51+'Market Data'!$W$51)))</f>
        <v>56511.975563478933</v>
      </c>
      <c r="AQ38" s="469">
        <f>IF('Market Penetration'!U38=0,0,1000*U38*('Market Data'!$E$51+'Market Data'!$O$51+'Market Data'!$Y$51)/('Market Penetration'!U38*('Market Data'!$C$51+'Market Data'!$M$51+'Market Data'!$W$51)))</f>
        <v>99449.508223420082</v>
      </c>
    </row>
    <row r="39" spans="1:43" ht="15" x14ac:dyDescent="0.2">
      <c r="A39" s="403">
        <v>2037</v>
      </c>
      <c r="B39" s="423">
        <f t="shared" si="12"/>
        <v>0.39984908475159064</v>
      </c>
      <c r="C39" s="424">
        <f>'7&amp;8 Sleep'!$M106+'7&amp;8 Sleep'!$Z106</f>
        <v>0.20429912891693064</v>
      </c>
      <c r="D39" s="424">
        <f>'7&amp;8 Sleep'!$M158+'7&amp;8 Sleep'!$Z158</f>
        <v>0.39585178633147872</v>
      </c>
      <c r="E39" s="699">
        <f>'7&amp;8 Sleep'!$M210+'7&amp;8 Sleep'!$Z210</f>
        <v>0</v>
      </c>
      <c r="F39" s="424">
        <f>'7&amp;8 Sleep'!$M263+'7&amp;8 Sleep'!$Z263</f>
        <v>0</v>
      </c>
      <c r="G39" s="657">
        <f>'7&amp;8 Sleep'!$M316+'7&amp;8 Sleep'!$Z316</f>
        <v>0</v>
      </c>
      <c r="H39" s="853">
        <f t="shared" si="13"/>
        <v>0.20431769904067998</v>
      </c>
      <c r="I39" s="657">
        <f>'7&amp;8 Day'!$M106+'7&amp;8 Day'!$Z106</f>
        <v>0.37472721649029023</v>
      </c>
      <c r="J39" s="657">
        <f>'7&amp;8 Day'!$M158+'7&amp;8 Day'!$Z158</f>
        <v>0.37296080186942399</v>
      </c>
      <c r="K39" s="657">
        <f>'7&amp;8 Day'!$M210+'7&amp;8 Day'!$Z210</f>
        <v>4.7994282599605781E-2</v>
      </c>
      <c r="L39" s="657">
        <f>'7&amp;8 Day'!$M263+'7&amp;8 Day'!$Z263</f>
        <v>0</v>
      </c>
      <c r="M39" s="704">
        <f>'7&amp;8 Day'!$M316+'7&amp;8 Day'!$Z316</f>
        <v>0</v>
      </c>
      <c r="N39" s="423">
        <f t="shared" si="14"/>
        <v>0.48193230905204854</v>
      </c>
      <c r="O39" s="424">
        <f>'7&amp;8 SU'!$M106+'7&amp;8 SU'!$Z106</f>
        <v>0.15859998147260221</v>
      </c>
      <c r="P39" s="424">
        <f>'7&amp;8 SU'!$M158+'7&amp;8 SU'!$Z158</f>
        <v>0.23237583850220672</v>
      </c>
      <c r="Q39" s="699">
        <f>'7&amp;8 SU'!$M210+'7&amp;8 SU'!$Z210</f>
        <v>0.11033910348063886</v>
      </c>
      <c r="R39" s="424">
        <f>'7&amp;8 SU'!$M263+'7&amp;8 SU'!$Z263</f>
        <v>1.675276749250381E-2</v>
      </c>
      <c r="S39" s="657">
        <f>'7&amp;8 SU'!$M316+'7&amp;8 SU'!$Z316</f>
        <v>0</v>
      </c>
      <c r="T39" s="423">
        <f>B39*'Market Data'!$E$52+H39*'Market Data'!$O$52+N39*+N39*'Market Data'!$Y$52</f>
        <v>0.33752230509452036</v>
      </c>
      <c r="U39" s="425">
        <f>SUM(C39:G39)*'Market Data'!$E$52+SUM(I39:M39)*'Market Data'!$O$52+SUM(O39:S39)*+N39*'Market Data'!$Y$52</f>
        <v>0.61601820951411379</v>
      </c>
      <c r="W39" s="403">
        <v>2037</v>
      </c>
      <c r="X39" s="460">
        <f>IF('Market Penetration'!B39=0,0,1000*B39*'Market Data'!$E$51/('Market Penetration'!B39*'Market Data'!$C$51))</f>
        <v>99174.312204790884</v>
      </c>
      <c r="Y39" s="461">
        <f>IF('Market Penetration'!C39=0,0,1000*C39*'Market Data'!$E$51/('Market Penetration'!C39*'Market Data'!$C$51))</f>
        <v>121072.68390335073</v>
      </c>
      <c r="Z39" s="461">
        <f>IF('Market Penetration'!D39=0,0,1000*D39*'Market Data'!$E$51/('Market Penetration'!D39*'Market Data'!$C$51))</f>
        <v>130624.65983629531</v>
      </c>
      <c r="AA39" s="694">
        <f>IF('Market Penetration'!E39=0,0,1000*E39*'Market Data'!$E$51/('Market Penetration'!E39*'Market Data'!$C$51))</f>
        <v>0</v>
      </c>
      <c r="AB39" s="461">
        <f>IF('Market Penetration'!F39=0,0,1000*F39*'Market Data'!$E$51/('Market Penetration'!F39*'Market Data'!$C$51))</f>
        <v>0</v>
      </c>
      <c r="AC39" s="689">
        <f>IF('Market Penetration'!G39=0,0,1000*G39*'Market Data'!$E$51/('Market Penetration'!G39*'Market Data'!$C$51))</f>
        <v>0</v>
      </c>
      <c r="AD39" s="460">
        <f>IF('Market Penetration'!H39=0,0,1000*H39*'Market Data'!$O$51/('Market Penetration'!H39*'Market Data'!$M$51))</f>
        <v>41678.695857561863</v>
      </c>
      <c r="AE39" s="461">
        <f>IF('Market Penetration'!I39=0,0,1000*I39*'Market Data'!$O$51/('Market Penetration'!I39*'Market Data'!$M$51))</f>
        <v>95892.111096777619</v>
      </c>
      <c r="AF39" s="461">
        <f>IF('Market Penetration'!J39=0,0,1000*J39*'Market Data'!$O$51/('Market Penetration'!J39*'Market Data'!$M$51))</f>
        <v>96126.2869044791</v>
      </c>
      <c r="AG39" s="461">
        <f>IF('Market Penetration'!K39=0,0,1000*K39*'Market Data'!$O$51/('Market Penetration'!K39*'Market Data'!$M$51))</f>
        <v>160160.9290610076</v>
      </c>
      <c r="AH39" s="461">
        <f>IF('Market Penetration'!L39=0,0,1000*L39*'Market Data'!$O$51/('Market Penetration'!L39*'Market Data'!$M$51))</f>
        <v>0</v>
      </c>
      <c r="AI39" s="462">
        <f>IF('Market Penetration'!M39=0,0,1000*M39*'Market Data'!$O$51/('Market Penetration'!M39*'Market Data'!$M$51))</f>
        <v>0</v>
      </c>
      <c r="AJ39" s="460">
        <f>IF('Market Penetration'!N39=0,0,1000*N39*'Market Data'!$Y$51/('Market Penetration'!N39*'Market Data'!$W$51))</f>
        <v>18887.999929958249</v>
      </c>
      <c r="AK39" s="461">
        <f>IF('Market Penetration'!O39=0,0,1000*O39*'Market Data'!$Y$51/('Market Penetration'!O39*'Market Data'!$W$51))</f>
        <v>47117.691865028217</v>
      </c>
      <c r="AL39" s="461">
        <f>IF('Market Penetration'!P39=0,0,1000*P39*'Market Data'!$Y$51/('Market Penetration'!P39*'Market Data'!$W$51))</f>
        <v>41028.230274953865</v>
      </c>
      <c r="AM39" s="694">
        <f>IF('Market Penetration'!Q39=0,0,1000*Q39*'Market Data'!$Y$51/('Market Penetration'!Q39*'Market Data'!$W$51))</f>
        <v>55347.304033475455</v>
      </c>
      <c r="AN39" s="461">
        <f>IF('Market Penetration'!R39=0,0,1000*R39*'Market Data'!$Y$51/('Market Penetration'!R39*'Market Data'!$W$51))</f>
        <v>116559.11513933887</v>
      </c>
      <c r="AO39" s="689">
        <f>IF('Market Penetration'!S39=0,0,1000*S39*'Market Data'!$Y$51/('Market Penetration'!S39*'Market Data'!$W$51))</f>
        <v>0</v>
      </c>
      <c r="AP39" s="460">
        <f>IF('Market Penetration'!T39=0,0,1000*T39*('Market Data'!$E$51+'Market Data'!$O$51+'Market Data'!$Y$51)/('Market Penetration'!T39*('Market Data'!$C$51+'Market Data'!$M$51+'Market Data'!$W$51)))</f>
        <v>54713.217652507949</v>
      </c>
      <c r="AQ39" s="462">
        <f>IF('Market Penetration'!U39=0,0,1000*U39*('Market Data'!$E$51+'Market Data'!$O$51+'Market Data'!$Y$51)/('Market Penetration'!U39*('Market Data'!$C$51+'Market Data'!$M$51+'Market Data'!$W$51)))</f>
        <v>100800.1839922511</v>
      </c>
    </row>
    <row r="40" spans="1:43" ht="15" x14ac:dyDescent="0.2">
      <c r="A40" s="403">
        <v>2038</v>
      </c>
      <c r="B40" s="423">
        <f t="shared" si="12"/>
        <v>0.3548255118632202</v>
      </c>
      <c r="C40" s="424">
        <f>'7&amp;8 Sleep'!$M107+'7&amp;8 Sleep'!$Z107</f>
        <v>0.24182327651210453</v>
      </c>
      <c r="D40" s="424">
        <f>'7&amp;8 Sleep'!$M159+'7&amp;8 Sleep'!$Z159</f>
        <v>0.40335121162467524</v>
      </c>
      <c r="E40" s="699">
        <f>'7&amp;8 Sleep'!$M211+'7&amp;8 Sleep'!$Z211</f>
        <v>0</v>
      </c>
      <c r="F40" s="424">
        <f>'7&amp;8 Sleep'!$M264+'7&amp;8 Sleep'!$Z264</f>
        <v>0</v>
      </c>
      <c r="G40" s="657">
        <f>'7&amp;8 Sleep'!$M317+'7&amp;8 Sleep'!$Z317</f>
        <v>0</v>
      </c>
      <c r="H40" s="853">
        <f t="shared" si="13"/>
        <v>0.20431656217020655</v>
      </c>
      <c r="I40" s="657">
        <f>'7&amp;8 Day'!$M107+'7&amp;8 Day'!$Z107</f>
        <v>0.36890563545363453</v>
      </c>
      <c r="J40" s="657">
        <f>'7&amp;8 Day'!$M159+'7&amp;8 Day'!$Z159</f>
        <v>0.36874033458818156</v>
      </c>
      <c r="K40" s="657">
        <f>'7&amp;8 Day'!$M211+'7&amp;8 Day'!$Z211</f>
        <v>5.8037467787977415E-2</v>
      </c>
      <c r="L40" s="657">
        <f>'7&amp;8 Day'!$M264+'7&amp;8 Day'!$Z264</f>
        <v>0</v>
      </c>
      <c r="M40" s="704">
        <f>'7&amp;8 Day'!$M317+'7&amp;8 Day'!$Z317</f>
        <v>0</v>
      </c>
      <c r="N40" s="423">
        <f t="shared" si="14"/>
        <v>0.48191317384073806</v>
      </c>
      <c r="O40" s="424">
        <f>'7&amp;8 SU'!$M107+'7&amp;8 SU'!$Z107</f>
        <v>0.15920004732268012</v>
      </c>
      <c r="P40" s="424">
        <f>'7&amp;8 SU'!$M159+'7&amp;8 SU'!$Z159</f>
        <v>0.22847550072687586</v>
      </c>
      <c r="Q40" s="699">
        <f>'7&amp;8 SU'!$M211+'7&amp;8 SU'!$Z211</f>
        <v>0.11226163897520858</v>
      </c>
      <c r="R40" s="424">
        <f>'7&amp;8 SU'!$M264+'7&amp;8 SU'!$Z264</f>
        <v>1.8149639134497401E-2</v>
      </c>
      <c r="S40" s="657">
        <f>'7&amp;8 SU'!$M317+'7&amp;8 SU'!$Z317</f>
        <v>0</v>
      </c>
      <c r="T40" s="423">
        <f>B40*'Market Data'!$E$52+H40*'Market Data'!$O$52+N40*+N40*'Market Data'!$Y$52</f>
        <v>0.30742530316434852</v>
      </c>
      <c r="U40" s="425">
        <f>SUM(C40:G40)*'Market Data'!$E$52+SUM(I40:M40)*'Market Data'!$O$52+SUM(O40:S40)*+N40*'Market Data'!$Y$52</f>
        <v>0.64611349542901231</v>
      </c>
      <c r="W40" s="403">
        <v>2038</v>
      </c>
      <c r="X40" s="460">
        <f>IF('Market Penetration'!B40=0,0,1000*B40*'Market Data'!$E$51/('Market Penetration'!B40*'Market Data'!$C$51))</f>
        <v>94584.217857370197</v>
      </c>
      <c r="Y40" s="461">
        <f>IF('Market Penetration'!C40=0,0,1000*C40*'Market Data'!$E$51/('Market Penetration'!C40*'Market Data'!$C$51))</f>
        <v>131480.11054403917</v>
      </c>
      <c r="Z40" s="461">
        <f>IF('Market Penetration'!D40=0,0,1000*D40*'Market Data'!$E$51/('Market Penetration'!D40*'Market Data'!$C$51))</f>
        <v>127684.02887533509</v>
      </c>
      <c r="AA40" s="694">
        <f>IF('Market Penetration'!E40=0,0,1000*E40*'Market Data'!$E$51/('Market Penetration'!E40*'Market Data'!$C$51))</f>
        <v>0</v>
      </c>
      <c r="AB40" s="461">
        <f>IF('Market Penetration'!F40=0,0,1000*F40*'Market Data'!$E$51/('Market Penetration'!F40*'Market Data'!$C$51))</f>
        <v>0</v>
      </c>
      <c r="AC40" s="689">
        <f>IF('Market Penetration'!G40=0,0,1000*G40*'Market Data'!$E$51/('Market Penetration'!G40*'Market Data'!$C$51))</f>
        <v>0</v>
      </c>
      <c r="AD40" s="460">
        <f>IF('Market Penetration'!H40=0,0,1000*H40*'Market Data'!$O$51/('Market Penetration'!H40*'Market Data'!$M$51))</f>
        <v>41678.562190234865</v>
      </c>
      <c r="AE40" s="461">
        <f>IF('Market Penetration'!I40=0,0,1000*I40*'Market Data'!$O$51/('Market Penetration'!I40*'Market Data'!$M$51))</f>
        <v>95650.828019523426</v>
      </c>
      <c r="AF40" s="461">
        <f>IF('Market Penetration'!J40=0,0,1000*J40*'Market Data'!$O$51/('Market Penetration'!J40*'Market Data'!$M$51))</f>
        <v>95650.828019523426</v>
      </c>
      <c r="AG40" s="461">
        <f>IF('Market Penetration'!K40=0,0,1000*K40*'Market Data'!$O$51/('Market Penetration'!K40*'Market Data'!$M$51))</f>
        <v>154553.41039542563</v>
      </c>
      <c r="AH40" s="461">
        <f>IF('Market Penetration'!L40=0,0,1000*L40*'Market Data'!$O$51/('Market Penetration'!L40*'Market Data'!$M$51))</f>
        <v>0</v>
      </c>
      <c r="AI40" s="462">
        <f>IF('Market Penetration'!M40=0,0,1000*M40*'Market Data'!$O$51/('Market Penetration'!M40*'Market Data'!$M$51))</f>
        <v>0</v>
      </c>
      <c r="AJ40" s="460">
        <f>IF('Market Penetration'!N40=0,0,1000*N40*'Market Data'!$Y$51/('Market Penetration'!N40*'Market Data'!$W$51))</f>
        <v>18888.3489516052</v>
      </c>
      <c r="AK40" s="461">
        <f>IF('Market Penetration'!O40=0,0,1000*O40*'Market Data'!$Y$51/('Market Penetration'!O40*'Market Data'!$W$51))</f>
        <v>46977.466829183693</v>
      </c>
      <c r="AL40" s="461">
        <f>IF('Market Penetration'!P40=0,0,1000*P40*'Market Data'!$Y$51/('Market Penetration'!P40*'Market Data'!$W$51))</f>
        <v>41113.924324238345</v>
      </c>
      <c r="AM40" s="694">
        <f>IF('Market Penetration'!Q40=0,0,1000*Q40*'Market Data'!$Y$51/('Market Penetration'!Q40*'Market Data'!$W$51))</f>
        <v>54433.533980912573</v>
      </c>
      <c r="AN40" s="461">
        <f>IF('Market Penetration'!R40=0,0,1000*R40*'Market Data'!$Y$51/('Market Penetration'!R40*'Market Data'!$W$51))</f>
        <v>113238.45510075938</v>
      </c>
      <c r="AO40" s="689">
        <f>IF('Market Penetration'!S40=0,0,1000*S40*'Market Data'!$Y$51/('Market Penetration'!S40*'Market Data'!$W$51))</f>
        <v>0</v>
      </c>
      <c r="AP40" s="460">
        <f>IF('Market Penetration'!T40=0,0,1000*T40*('Market Data'!$E$51+'Market Data'!$O$51+'Market Data'!$Y$51)/('Market Penetration'!T40*('Market Data'!$C$51+'Market Data'!$M$51+'Market Data'!$W$51)))</f>
        <v>51396.873504070179</v>
      </c>
      <c r="AQ40" s="462">
        <f>IF('Market Penetration'!U40=0,0,1000*U40*('Market Data'!$E$51+'Market Data'!$O$51+'Market Data'!$Y$51)/('Market Penetration'!U40*('Market Data'!$C$51+'Market Data'!$M$51+'Market Data'!$W$51)))</f>
        <v>102576.98952387352</v>
      </c>
    </row>
    <row r="41" spans="1:43" ht="15" x14ac:dyDescent="0.2">
      <c r="A41" s="403">
        <v>2039</v>
      </c>
      <c r="B41" s="423">
        <f t="shared" si="12"/>
        <v>0.30958236773128567</v>
      </c>
      <c r="C41" s="424">
        <f>'7&amp;8 Sleep'!$M108+'7&amp;8 Sleep'!$Z108</f>
        <v>0.29041562794972592</v>
      </c>
      <c r="D41" s="424">
        <f>'7&amp;8 Sleep'!$M160+'7&amp;8 Sleep'!$Z160</f>
        <v>0.40000200431898847</v>
      </c>
      <c r="E41" s="699">
        <f>'7&amp;8 Sleep'!$M212+'7&amp;8 Sleep'!$Z212</f>
        <v>0</v>
      </c>
      <c r="F41" s="424">
        <f>'7&amp;8 Sleep'!$M265+'7&amp;8 Sleep'!$Z265</f>
        <v>0</v>
      </c>
      <c r="G41" s="657">
        <f>'7&amp;8 Sleep'!$M318+'7&amp;8 Sleep'!$Z318</f>
        <v>0</v>
      </c>
      <c r="H41" s="853">
        <f t="shared" si="13"/>
        <v>0.20379545055426318</v>
      </c>
      <c r="I41" s="657">
        <f>'7&amp;8 Day'!$M108+'7&amp;8 Day'!$Z108</f>
        <v>0.36184714514013894</v>
      </c>
      <c r="J41" s="657">
        <f>'7&amp;8 Day'!$M160+'7&amp;8 Day'!$Z160</f>
        <v>0.36150846182622443</v>
      </c>
      <c r="K41" s="657">
        <f>'7&amp;8 Day'!$M212+'7&amp;8 Day'!$Z212</f>
        <v>7.2839789078543465E-2</v>
      </c>
      <c r="L41" s="657">
        <f>'7&amp;8 Day'!$M265+'7&amp;8 Day'!$Z265</f>
        <v>0</v>
      </c>
      <c r="M41" s="704">
        <f>'7&amp;8 Day'!$M318+'7&amp;8 Day'!$Z318</f>
        <v>9.1534008299635896E-6</v>
      </c>
      <c r="N41" s="423">
        <f t="shared" si="14"/>
        <v>0.48092431133040181</v>
      </c>
      <c r="O41" s="424">
        <f>'7&amp;8 SU'!$M108+'7&amp;8 SU'!$Z108</f>
        <v>0.16078909509017048</v>
      </c>
      <c r="P41" s="424">
        <f>'7&amp;8 SU'!$M160+'7&amp;8 SU'!$Z160</f>
        <v>0.22647573850358743</v>
      </c>
      <c r="Q41" s="699">
        <f>'7&amp;8 SU'!$M212+'7&amp;8 SU'!$Z212</f>
        <v>0.11157687557124958</v>
      </c>
      <c r="R41" s="424">
        <f>'7&amp;8 SU'!$M265+'7&amp;8 SU'!$Z265</f>
        <v>2.0194641921410707E-2</v>
      </c>
      <c r="S41" s="657">
        <f>'7&amp;8 SU'!$M318+'7&amp;8 SU'!$Z318</f>
        <v>3.9337583179959625E-5</v>
      </c>
      <c r="T41" s="423">
        <f>B41*'Market Data'!$E$52+H41*'Market Data'!$O$52+N41*+N41*'Market Data'!$Y$52</f>
        <v>0.27697202539862992</v>
      </c>
      <c r="U41" s="425">
        <f>SUM(C41:G41)*'Market Data'!$E$52+SUM(I41:M41)*'Market Data'!$O$52+SUM(O41:S41)*+N41*'Market Data'!$Y$52</f>
        <v>0.67647809357977762</v>
      </c>
      <c r="W41" s="403">
        <v>2039</v>
      </c>
      <c r="X41" s="460">
        <f>IF('Market Penetration'!B41=0,0,1000*B41*'Market Data'!$E$51/('Market Penetration'!B41*'Market Data'!$C$51))</f>
        <v>91289.095316700346</v>
      </c>
      <c r="Y41" s="461">
        <f>IF('Market Penetration'!C41=0,0,1000*C41*'Market Data'!$E$51/('Market Penetration'!C41*'Market Data'!$C$51))</f>
        <v>132785.31081503493</v>
      </c>
      <c r="Z41" s="461">
        <f>IF('Market Penetration'!D41=0,0,1000*D41*'Market Data'!$E$51/('Market Penetration'!D41*'Market Data'!$C$51))</f>
        <v>126131.68178676357</v>
      </c>
      <c r="AA41" s="694">
        <f>IF('Market Penetration'!E41=0,0,1000*E41*'Market Data'!$E$51/('Market Penetration'!E41*'Market Data'!$C$51))</f>
        <v>0</v>
      </c>
      <c r="AB41" s="461">
        <f>IF('Market Penetration'!F41=0,0,1000*F41*'Market Data'!$E$51/('Market Penetration'!F41*'Market Data'!$C$51))</f>
        <v>0</v>
      </c>
      <c r="AC41" s="689">
        <f>IF('Market Penetration'!G41=0,0,1000*G41*'Market Data'!$E$51/('Market Penetration'!G41*'Market Data'!$C$51))</f>
        <v>0</v>
      </c>
      <c r="AD41" s="460">
        <f>IF('Market Penetration'!H41=0,0,1000*H41*'Market Data'!$O$51/('Market Penetration'!H41*'Market Data'!$M$51))</f>
        <v>41677.935614293579</v>
      </c>
      <c r="AE41" s="461">
        <f>IF('Market Penetration'!I41=0,0,1000*I41*'Market Data'!$O$51/('Market Penetration'!I41*'Market Data'!$M$51))</f>
        <v>95074.389759856524</v>
      </c>
      <c r="AF41" s="461">
        <f>IF('Market Penetration'!J41=0,0,1000*J41*'Market Data'!$O$51/('Market Penetration'!J41*'Market Data'!$M$51))</f>
        <v>95175.070134112058</v>
      </c>
      <c r="AG41" s="461">
        <f>IF('Market Penetration'!K41=0,0,1000*K41*'Market Data'!$O$51/('Market Penetration'!K41*'Market Data'!$M$51))</f>
        <v>147014.21060249154</v>
      </c>
      <c r="AH41" s="461">
        <f>IF('Market Penetration'!L41=0,0,1000*L41*'Market Data'!$O$51/('Market Penetration'!L41*'Market Data'!$M$51))</f>
        <v>0</v>
      </c>
      <c r="AI41" s="462">
        <f>IF('Market Penetration'!M41=0,0,1000*M41*'Market Data'!$O$51/('Market Penetration'!M41*'Market Data'!$M$51))</f>
        <v>157147.42276614078</v>
      </c>
      <c r="AJ41" s="460">
        <f>IF('Market Penetration'!N41=0,0,1000*N41*'Market Data'!$Y$51/('Market Penetration'!N41*'Market Data'!$W$51))</f>
        <v>18860.990680133331</v>
      </c>
      <c r="AK41" s="461">
        <f>IF('Market Penetration'!O41=0,0,1000*O41*'Market Data'!$Y$51/('Market Penetration'!O41*'Market Data'!$W$51))</f>
        <v>46507.818795167244</v>
      </c>
      <c r="AL41" s="461">
        <f>IF('Market Penetration'!P41=0,0,1000*P41*'Market Data'!$Y$51/('Market Penetration'!P41*'Market Data'!$W$51))</f>
        <v>41215.231234847983</v>
      </c>
      <c r="AM41" s="694">
        <f>IF('Market Penetration'!Q41=0,0,1000*Q41*'Market Data'!$Y$51/('Market Penetration'!Q41*'Market Data'!$W$51))</f>
        <v>54537.37719025914</v>
      </c>
      <c r="AN41" s="461">
        <f>IF('Market Penetration'!R41=0,0,1000*R41*'Market Data'!$Y$51/('Market Penetration'!R41*'Market Data'!$W$51))</f>
        <v>108911.38353015682</v>
      </c>
      <c r="AO41" s="689">
        <f>IF('Market Penetration'!S41=0,0,1000*S41*'Market Data'!$Y$51/('Market Penetration'!S41*'Market Data'!$W$51))</f>
        <v>71616.08895539795</v>
      </c>
      <c r="AP41" s="460">
        <f>IF('Market Penetration'!T41=0,0,1000*T41*('Market Data'!$E$51+'Market Data'!$O$51+'Market Data'!$Y$51)/('Market Penetration'!T41*('Market Data'!$C$51+'Market Data'!$M$51+'Market Data'!$W$51)))</f>
        <v>48284.532465336415</v>
      </c>
      <c r="AQ41" s="462">
        <f>IF('Market Penetration'!U41=0,0,1000*U41*('Market Data'!$E$51+'Market Data'!$O$51+'Market Data'!$Y$51)/('Market Penetration'!U41*('Market Data'!$C$51+'Market Data'!$M$51+'Market Data'!$W$51)))</f>
        <v>103374.28828669795</v>
      </c>
    </row>
    <row r="42" spans="1:43" ht="15" x14ac:dyDescent="0.2">
      <c r="A42" s="402">
        <v>2040</v>
      </c>
      <c r="B42" s="426">
        <f t="shared" si="12"/>
        <v>0.26564930244567453</v>
      </c>
      <c r="C42" s="427">
        <f>'7&amp;8 Sleep'!$M109+'7&amp;8 Sleep'!$Z109</f>
        <v>0.32718663432259237</v>
      </c>
      <c r="D42" s="427">
        <f>'7&amp;8 Sleep'!$M161+'7&amp;8 Sleep'!$Z161</f>
        <v>0.40716406323173315</v>
      </c>
      <c r="E42" s="700">
        <f>'7&amp;8 Sleep'!$M213+'7&amp;8 Sleep'!$Z213</f>
        <v>0</v>
      </c>
      <c r="F42" s="427">
        <f>'7&amp;8 Sleep'!$M266+'7&amp;8 Sleep'!$Z266</f>
        <v>0</v>
      </c>
      <c r="G42" s="658">
        <f>'7&amp;8 Sleep'!$M319+'7&amp;8 Sleep'!$Z319</f>
        <v>0</v>
      </c>
      <c r="H42" s="854">
        <f t="shared" si="13"/>
        <v>0.20379529659447926</v>
      </c>
      <c r="I42" s="658">
        <f>'7&amp;8 Day'!$M109+'7&amp;8 Day'!$Z109</f>
        <v>0.35202180175320597</v>
      </c>
      <c r="J42" s="658">
        <f>'7&amp;8 Day'!$M161+'7&amp;8 Day'!$Z161</f>
        <v>0.3516875209883864</v>
      </c>
      <c r="K42" s="658">
        <f>'7&amp;8 Day'!$M213+'7&amp;8 Day'!$Z213</f>
        <v>8.5754354512781489E-2</v>
      </c>
      <c r="L42" s="658">
        <f>'7&amp;8 Day'!$M266+'7&amp;8 Day'!$Z266</f>
        <v>0</v>
      </c>
      <c r="M42" s="705">
        <f>'7&amp;8 Day'!$M319+'7&amp;8 Day'!$Z319</f>
        <v>6.7410261511468735E-3</v>
      </c>
      <c r="N42" s="426">
        <f t="shared" si="14"/>
        <v>0.4809240384906005</v>
      </c>
      <c r="O42" s="427">
        <f>'7&amp;8 SU'!$M109+'7&amp;8 SU'!$Z109</f>
        <v>0.15983346016661693</v>
      </c>
      <c r="P42" s="427">
        <f>'7&amp;8 SU'!$M161+'7&amp;8 SU'!$Z161</f>
        <v>0.22543769450878387</v>
      </c>
      <c r="Q42" s="700">
        <f>'7&amp;8 SU'!$M213+'7&amp;8 SU'!$Z213</f>
        <v>0.11073263433580094</v>
      </c>
      <c r="R42" s="427">
        <f>'7&amp;8 SU'!$M266+'7&amp;8 SU'!$Z266</f>
        <v>2.2772028790740865E-2</v>
      </c>
      <c r="S42" s="658">
        <f>'7&amp;8 SU'!$M319+'7&amp;8 SU'!$Z319</f>
        <v>3.0014370745691982E-4</v>
      </c>
      <c r="T42" s="426">
        <f>B42*'Market Data'!$E$52+H42*'Market Data'!$O$52+N42*+N42*'Market Data'!$Y$52</f>
        <v>0.24760581884281618</v>
      </c>
      <c r="U42" s="428">
        <f>SUM(C42:G42)*'Market Data'!$E$52+SUM(I42:M42)*'Market Data'!$O$52+SUM(O42:S42)*+N42*'Market Data'!$Y$52</f>
        <v>0.70584427566775254</v>
      </c>
      <c r="W42" s="402">
        <v>2040</v>
      </c>
      <c r="X42" s="463">
        <f>IF('Market Penetration'!B42=0,0,1000*B42*'Market Data'!$E$51/('Market Penetration'!B42*'Market Data'!$C$51))</f>
        <v>88578.339004666675</v>
      </c>
      <c r="Y42" s="464">
        <f>IF('Market Penetration'!C42=0,0,1000*C42*'Market Data'!$E$51/('Market Penetration'!C42*'Market Data'!$C$51))</f>
        <v>130227.0642356694</v>
      </c>
      <c r="Z42" s="464">
        <f>IF('Market Penetration'!D42=0,0,1000*D42*'Market Data'!$E$51/('Market Penetration'!D42*'Market Data'!$C$51))</f>
        <v>125738.64347788721</v>
      </c>
      <c r="AA42" s="695">
        <f>IF('Market Penetration'!E42=0,0,1000*E42*'Market Data'!$E$51/('Market Penetration'!E42*'Market Data'!$C$51))</f>
        <v>0</v>
      </c>
      <c r="AB42" s="464">
        <f>IF('Market Penetration'!F42=0,0,1000*F42*'Market Data'!$E$51/('Market Penetration'!F42*'Market Data'!$C$51))</f>
        <v>0</v>
      </c>
      <c r="AC42" s="690">
        <f>IF('Market Penetration'!G42=0,0,1000*G42*'Market Data'!$E$51/('Market Penetration'!G42*'Market Data'!$C$51))</f>
        <v>0</v>
      </c>
      <c r="AD42" s="463">
        <f>IF('Market Penetration'!H42=0,0,1000*H42*'Market Data'!$O$51/('Market Penetration'!H42*'Market Data'!$M$51))</f>
        <v>41677.917477994786</v>
      </c>
      <c r="AE42" s="464">
        <f>IF('Market Penetration'!I42=0,0,1000*I42*'Market Data'!$O$51/('Market Penetration'!I42*'Market Data'!$M$51))</f>
        <v>94437.695469137194</v>
      </c>
      <c r="AF42" s="464">
        <f>IF('Market Penetration'!J42=0,0,1000*J42*'Market Data'!$O$51/('Market Penetration'!J42*'Market Data'!$M$51))</f>
        <v>94539.490006441367</v>
      </c>
      <c r="AG42" s="464">
        <f>IF('Market Penetration'!K42=0,0,1000*K42*'Market Data'!$O$51/('Market Penetration'!K42*'Market Data'!$M$51))</f>
        <v>139370.94880883527</v>
      </c>
      <c r="AH42" s="464">
        <f>IF('Market Penetration'!L42=0,0,1000*L42*'Market Data'!$O$51/('Market Penetration'!L42*'Market Data'!$M$51))</f>
        <v>0</v>
      </c>
      <c r="AI42" s="465">
        <f>IF('Market Penetration'!M42=0,0,1000*M42*'Market Data'!$O$51/('Market Penetration'!M42*'Market Data'!$M$51))</f>
        <v>182427.12325607112</v>
      </c>
      <c r="AJ42" s="463">
        <f>IF('Market Penetration'!N42=0,0,1000*N42*'Market Data'!$Y$51/('Market Penetration'!N42*'Market Data'!$W$51))</f>
        <v>18860.984328233237</v>
      </c>
      <c r="AK42" s="464">
        <f>IF('Market Penetration'!O42=0,0,1000*O42*'Market Data'!$Y$51/('Market Penetration'!O42*'Market Data'!$W$51))</f>
        <v>46398.540019858374</v>
      </c>
      <c r="AL42" s="464">
        <f>IF('Market Penetration'!P42=0,0,1000*P42*'Market Data'!$Y$51/('Market Penetration'!P42*'Market Data'!$W$51))</f>
        <v>41128.859368224832</v>
      </c>
      <c r="AM42" s="695">
        <f>IF('Market Penetration'!Q42=0,0,1000*Q42*'Market Data'!$Y$51/('Market Penetration'!Q42*'Market Data'!$W$51))</f>
        <v>54413.498166672194</v>
      </c>
      <c r="AN42" s="464">
        <f>IF('Market Penetration'!R42=0,0,1000*R42*'Market Data'!$Y$51/('Market Penetration'!R42*'Market Data'!$W$51))</f>
        <v>104078.90008069215</v>
      </c>
      <c r="AO42" s="690">
        <f>IF('Market Penetration'!S42=0,0,1000*S42*'Market Data'!$Y$51/('Market Penetration'!S42*'Market Data'!$W$51))</f>
        <v>71590.187312641923</v>
      </c>
      <c r="AP42" s="463">
        <f>IF('Market Penetration'!T42=0,0,1000*T42*('Market Data'!$E$51+'Market Data'!$O$51+'Market Data'!$Y$51)/('Market Penetration'!T42*('Market Data'!$C$51+'Market Data'!$M$51+'Market Data'!$W$51)))</f>
        <v>45232.327024270671</v>
      </c>
      <c r="AQ42" s="465">
        <f>IF('Market Penetration'!U42=0,0,1000*U42*('Market Data'!$E$51+'Market Data'!$O$51+'Market Data'!$Y$51)/('Market Penetration'!U42*('Market Data'!$C$51+'Market Data'!$M$51+'Market Data'!$W$51)))</f>
        <v>103707.1972970096</v>
      </c>
    </row>
    <row r="43" spans="1:43" ht="15" x14ac:dyDescent="0.2">
      <c r="A43" s="403">
        <v>2041</v>
      </c>
      <c r="B43" s="430">
        <f t="shared" si="12"/>
        <v>0.23062681734927137</v>
      </c>
      <c r="C43" s="431">
        <f>'7&amp;8 Sleep'!$M110+'7&amp;8 Sleep'!$Z110</f>
        <v>0.3520341054494357</v>
      </c>
      <c r="D43" s="431">
        <f>'7&amp;8 Sleep'!$M162+'7&amp;8 Sleep'!$Z162</f>
        <v>0.41733055486797072</v>
      </c>
      <c r="E43" s="701">
        <f>'7&amp;8 Sleep'!$M214+'7&amp;8 Sleep'!$Z214</f>
        <v>0</v>
      </c>
      <c r="F43" s="431">
        <f>'7&amp;8 Sleep'!$M267+'7&amp;8 Sleep'!$Z267</f>
        <v>8.5223333221384425E-6</v>
      </c>
      <c r="G43" s="659">
        <f>'7&amp;8 Sleep'!$M320+'7&amp;8 Sleep'!$Z320</f>
        <v>0</v>
      </c>
      <c r="H43" s="855">
        <f t="shared" si="13"/>
        <v>0.20023128967991799</v>
      </c>
      <c r="I43" s="659">
        <f>'7&amp;8 Day'!$M110+'7&amp;8 Day'!$Z110</f>
        <v>0.32037522203688218</v>
      </c>
      <c r="J43" s="659">
        <f>'7&amp;8 Day'!$M162+'7&amp;8 Day'!$Z162</f>
        <v>0.32022593919016951</v>
      </c>
      <c r="K43" s="659">
        <f>'7&amp;8 Day'!$M214+'7&amp;8 Day'!$Z214</f>
        <v>0.10049618740630716</v>
      </c>
      <c r="L43" s="659">
        <f>'7&amp;8 Day'!$M267+'7&amp;8 Day'!$Z267</f>
        <v>0</v>
      </c>
      <c r="M43" s="706">
        <f>'7&amp;8 Day'!$M320+'7&amp;8 Day'!$Z320</f>
        <v>5.8671361686723177E-2</v>
      </c>
      <c r="N43" s="430">
        <f t="shared" si="14"/>
        <v>0.47281192064858946</v>
      </c>
      <c r="O43" s="431">
        <f>'7&amp;8 SU'!$M110+'7&amp;8 SU'!$Z110</f>
        <v>0.15963914506308791</v>
      </c>
      <c r="P43" s="431">
        <f>'7&amp;8 SU'!$M162+'7&amp;8 SU'!$Z162</f>
        <v>0.22953675899188025</v>
      </c>
      <c r="Q43" s="701">
        <f>'7&amp;8 SU'!$M214+'7&amp;8 SU'!$Z214</f>
        <v>0.10916820363791677</v>
      </c>
      <c r="R43" s="431">
        <f>'7&amp;8 SU'!$M267+'7&amp;8 SU'!$Z267</f>
        <v>2.7052779702843061E-2</v>
      </c>
      <c r="S43" s="659">
        <f>'7&amp;8 SU'!$M320+'7&amp;8 SU'!$Z320</f>
        <v>1.7911919556825818E-3</v>
      </c>
      <c r="T43" s="433">
        <f>B43*'Market Data'!$E$52+H43*'Market Data'!$O$52+N43*+N43*'Market Data'!$Y$52</f>
        <v>0.22263983392606412</v>
      </c>
      <c r="U43" s="434">
        <f>SUM(C43:G43)*'Market Data'!$E$52+SUM(I43:M43)*'Market Data'!$O$52+SUM(O43:S43)*+N43*'Market Data'!$Y$52</f>
        <v>0.7300827787767038</v>
      </c>
      <c r="W43" s="403">
        <v>2041</v>
      </c>
      <c r="X43" s="466">
        <f>IF('Market Penetration'!B43=0,0,1000*B43*'Market Data'!$E$51/('Market Penetration'!B43*'Market Data'!$C$51))</f>
        <v>86399.259920938697</v>
      </c>
      <c r="Y43" s="467">
        <f>IF('Market Penetration'!C43=0,0,1000*C43*'Market Data'!$E$51/('Market Penetration'!C43*'Market Data'!$C$51))</f>
        <v>128683.4012642126</v>
      </c>
      <c r="Z43" s="467">
        <f>IF('Market Penetration'!D43=0,0,1000*D43*'Market Data'!$E$51/('Market Penetration'!D43*'Market Data'!$C$51))</f>
        <v>124776.26555336901</v>
      </c>
      <c r="AA43" s="696">
        <f>IF('Market Penetration'!E43=0,0,1000*E43*'Market Data'!$E$51/('Market Penetration'!E43*'Market Data'!$C$51))</f>
        <v>0</v>
      </c>
      <c r="AB43" s="467">
        <f>IF('Market Penetration'!F43=0,0,1000*F43*'Market Data'!$E$51/('Market Penetration'!F43*'Market Data'!$C$51))</f>
        <v>238771.07529067885</v>
      </c>
      <c r="AC43" s="691">
        <f>IF('Market Penetration'!G43=0,0,1000*G43*'Market Data'!$E$51/('Market Penetration'!G43*'Market Data'!$C$51))</f>
        <v>0</v>
      </c>
      <c r="AD43" s="466">
        <f>IF('Market Penetration'!H43=0,0,1000*H43*'Market Data'!$O$51/('Market Penetration'!H43*'Market Data'!$M$51))</f>
        <v>41331.526291069647</v>
      </c>
      <c r="AE43" s="467">
        <f>IF('Market Penetration'!I43=0,0,1000*I43*'Market Data'!$O$51/('Market Penetration'!I43*'Market Data'!$M$51))</f>
        <v>92580.686316015985</v>
      </c>
      <c r="AF43" s="467">
        <f>IF('Market Penetration'!J43=0,0,1000*J43*'Market Data'!$O$51/('Market Penetration'!J43*'Market Data'!$M$51))</f>
        <v>92579.8374738907</v>
      </c>
      <c r="AG43" s="467">
        <f>IF('Market Penetration'!K43=0,0,1000*K43*'Market Data'!$O$51/('Market Penetration'!K43*'Market Data'!$M$51))</f>
        <v>128614.78472411107</v>
      </c>
      <c r="AH43" s="467">
        <f>IF('Market Penetration'!L43=0,0,1000*L43*'Market Data'!$O$51/('Market Penetration'!L43*'Market Data'!$M$51))</f>
        <v>0</v>
      </c>
      <c r="AI43" s="860">
        <f>IF('Market Penetration'!M43=0,0,1000*M43*'Market Data'!$O$51/('Market Penetration'!M43*'Market Data'!$M$51))</f>
        <v>132061.71665341625</v>
      </c>
      <c r="AJ43" s="466">
        <f>IF('Market Penetration'!N43=0,0,1000*N43*'Market Data'!$Y$51/('Market Penetration'!N43*'Market Data'!$W$51))</f>
        <v>18750.953475978586</v>
      </c>
      <c r="AK43" s="467">
        <f>IF('Market Penetration'!O43=0,0,1000*O43*'Market Data'!$Y$51/('Market Penetration'!O43*'Market Data'!$W$51))</f>
        <v>46046.005160668683</v>
      </c>
      <c r="AL43" s="467">
        <f>IF('Market Penetration'!P43=0,0,1000*P43*'Market Data'!$Y$51/('Market Penetration'!P43*'Market Data'!$W$51))</f>
        <v>40448.472619226501</v>
      </c>
      <c r="AM43" s="696">
        <f>IF('Market Penetration'!Q43=0,0,1000*Q43*'Market Data'!$Y$51/('Market Penetration'!Q43*'Market Data'!$W$51))</f>
        <v>54065.340094343352</v>
      </c>
      <c r="AN43" s="467">
        <f>IF('Market Penetration'!R43=0,0,1000*R43*'Market Data'!$Y$51/('Market Penetration'!R43*'Market Data'!$W$51))</f>
        <v>96425.34927662772</v>
      </c>
      <c r="AO43" s="691">
        <f>IF('Market Penetration'!S43=0,0,1000*S43*'Market Data'!$Y$51/('Market Penetration'!S43*'Market Data'!$W$51))</f>
        <v>70056.888268057824</v>
      </c>
      <c r="AP43" s="468">
        <f>IF('Market Penetration'!T43=0,0,1000*T43*('Market Data'!$E$51+'Market Data'!$O$51+'Market Data'!$Y$51)/('Market Penetration'!T43*('Market Data'!$C$51+'Market Data'!$M$51+'Market Data'!$W$51)))</f>
        <v>42672.789415970401</v>
      </c>
      <c r="AQ43" s="469">
        <f>IF('Market Penetration'!U43=0,0,1000*U43*('Market Data'!$E$51+'Market Data'!$O$51+'Market Data'!$Y$51)/('Market Penetration'!U43*('Market Data'!$C$51+'Market Data'!$M$51+'Market Data'!$W$51)))</f>
        <v>103369.52369667533</v>
      </c>
    </row>
    <row r="44" spans="1:43" ht="15" x14ac:dyDescent="0.2">
      <c r="A44" s="403">
        <v>2042</v>
      </c>
      <c r="B44" s="423">
        <f t="shared" si="12"/>
        <v>0.21099325940629732</v>
      </c>
      <c r="C44" s="424">
        <f>'7&amp;8 Sleep'!$M111+'7&amp;8 Sleep'!$Z111</f>
        <v>0.36683570749533823</v>
      </c>
      <c r="D44" s="424">
        <f>'7&amp;8 Sleep'!$M163+'7&amp;8 Sleep'!$Z163</f>
        <v>0.42158901861412856</v>
      </c>
      <c r="E44" s="699">
        <f>'7&amp;8 Sleep'!$M215+'7&amp;8 Sleep'!$Z215</f>
        <v>0</v>
      </c>
      <c r="F44" s="424">
        <f>'7&amp;8 Sleep'!$M268+'7&amp;8 Sleep'!$Z268</f>
        <v>5.8201448423591596E-4</v>
      </c>
      <c r="G44" s="657">
        <f>'7&amp;8 Sleep'!$M321+'7&amp;8 Sleep'!$Z321</f>
        <v>0</v>
      </c>
      <c r="H44" s="853">
        <f t="shared" si="13"/>
        <v>0.19555182538958282</v>
      </c>
      <c r="I44" s="657">
        <f>'7&amp;8 Day'!$M111+'7&amp;8 Day'!$Z111</f>
        <v>0.28495372356183474</v>
      </c>
      <c r="J44" s="657">
        <f>'7&amp;8 Day'!$M163+'7&amp;8 Day'!$Z163</f>
        <v>0.28482604023961899</v>
      </c>
      <c r="K44" s="657">
        <f>'7&amp;8 Day'!$M215+'7&amp;8 Day'!$Z215</f>
        <v>0.12649237341669672</v>
      </c>
      <c r="L44" s="657">
        <f>'7&amp;8 Day'!$M268+'7&amp;8 Day'!$Z268</f>
        <v>0</v>
      </c>
      <c r="M44" s="704">
        <f>'7&amp;8 Day'!$M321+'7&amp;8 Day'!$Z321</f>
        <v>0.10817603739226674</v>
      </c>
      <c r="N44" s="423">
        <f t="shared" si="14"/>
        <v>0.46594002308024618</v>
      </c>
      <c r="O44" s="424">
        <f>'7&amp;8 SU'!$M111+'7&amp;8 SU'!$Z111</f>
        <v>0.15614643296347525</v>
      </c>
      <c r="P44" s="424">
        <f>'7&amp;8 SU'!$M163+'7&amp;8 SU'!$Z163</f>
        <v>0.22668098399892012</v>
      </c>
      <c r="Q44" s="699">
        <f>'7&amp;8 SU'!$M215+'7&amp;8 SU'!$Z215</f>
        <v>0.10984361226478057</v>
      </c>
      <c r="R44" s="424">
        <f>'7&amp;8 SU'!$M268+'7&amp;8 SU'!$Z268</f>
        <v>3.4234462606908211E-2</v>
      </c>
      <c r="S44" s="657">
        <f>'7&amp;8 SU'!$M321+'7&amp;8 SU'!$Z321</f>
        <v>7.154485085669752E-3</v>
      </c>
      <c r="T44" s="423">
        <f>B44*'Market Data'!$E$52+H44*'Market Data'!$O$52+N44*+N44*'Market Data'!$Y$52</f>
        <v>0.2078057469183377</v>
      </c>
      <c r="U44" s="425">
        <f>SUM(C44:G44)*'Market Data'!$E$52+SUM(I44:M44)*'Market Data'!$O$52+SUM(O44:S44)*+N44*'Market Data'!$Y$52</f>
        <v>0.74430060495545791</v>
      </c>
      <c r="W44" s="403">
        <v>2042</v>
      </c>
      <c r="X44" s="460">
        <f>IF('Market Penetration'!B44=0,0,1000*B44*'Market Data'!$E$51/('Market Penetration'!B44*'Market Data'!$C$51))</f>
        <v>85061.987949077899</v>
      </c>
      <c r="Y44" s="461">
        <f>IF('Market Penetration'!C44=0,0,1000*C44*'Market Data'!$E$51/('Market Penetration'!C44*'Market Data'!$C$51))</f>
        <v>127670.26378607108</v>
      </c>
      <c r="Z44" s="461">
        <f>IF('Market Penetration'!D44=0,0,1000*D44*'Market Data'!$E$51/('Market Penetration'!D44*'Market Data'!$C$51))</f>
        <v>124239.10048251116</v>
      </c>
      <c r="AA44" s="694">
        <f>IF('Market Penetration'!E44=0,0,1000*E44*'Market Data'!$E$51/('Market Penetration'!E44*'Market Data'!$C$51))</f>
        <v>0</v>
      </c>
      <c r="AB44" s="461">
        <f>IF('Market Penetration'!F44=0,0,1000*F44*'Market Data'!$E$51/('Market Penetration'!F44*'Market Data'!$C$51))</f>
        <v>232512.61414679934</v>
      </c>
      <c r="AC44" s="689">
        <f>IF('Market Penetration'!G44=0,0,1000*G44*'Market Data'!$E$51/('Market Penetration'!G44*'Market Data'!$C$51))</f>
        <v>0</v>
      </c>
      <c r="AD44" s="460">
        <f>IF('Market Penetration'!H44=0,0,1000*H44*'Market Data'!$O$51/('Market Penetration'!H44*'Market Data'!$M$51))</f>
        <v>41072.249281310898</v>
      </c>
      <c r="AE44" s="461">
        <f>IF('Market Penetration'!I44=0,0,1000*I44*'Market Data'!$O$51/('Market Penetration'!I44*'Market Data'!$M$51))</f>
        <v>92201.735608041679</v>
      </c>
      <c r="AF44" s="461">
        <f>IF('Market Penetration'!J44=0,0,1000*J44*'Market Data'!$O$51/('Market Penetration'!J44*'Market Data'!$M$51))</f>
        <v>92201.735608041679</v>
      </c>
      <c r="AG44" s="461">
        <f>IF('Market Penetration'!K44=0,0,1000*K44*'Market Data'!$O$51/('Market Penetration'!K44*'Market Data'!$M$51))</f>
        <v>117929.40367376406</v>
      </c>
      <c r="AH44" s="461">
        <f>IF('Market Penetration'!L44=0,0,1000*L44*'Market Data'!$O$51/('Market Penetration'!L44*'Market Data'!$M$51))</f>
        <v>0</v>
      </c>
      <c r="AI44" s="462">
        <f>IF('Market Penetration'!M44=0,0,1000*M44*'Market Data'!$O$51/('Market Penetration'!M44*'Market Data'!$M$51))</f>
        <v>110825.68442083475</v>
      </c>
      <c r="AJ44" s="460">
        <f>IF('Market Penetration'!N44=0,0,1000*N44*'Market Data'!$Y$51/('Market Penetration'!N44*'Market Data'!$W$51))</f>
        <v>18629.323793409942</v>
      </c>
      <c r="AK44" s="461">
        <f>IF('Market Penetration'!O44=0,0,1000*O44*'Market Data'!$Y$51/('Market Penetration'!O44*'Market Data'!$W$51))</f>
        <v>45550.591923503147</v>
      </c>
      <c r="AL44" s="461">
        <f>IF('Market Penetration'!P44=0,0,1000*P44*'Market Data'!$Y$51/('Market Penetration'!P44*'Market Data'!$W$51))</f>
        <v>40074.532734336317</v>
      </c>
      <c r="AM44" s="694">
        <f>IF('Market Penetration'!Q44=0,0,1000*Q44*'Market Data'!$Y$51/('Market Penetration'!Q44*'Market Data'!$W$51))</f>
        <v>52825.926622593994</v>
      </c>
      <c r="AN44" s="461">
        <f>IF('Market Penetration'!R44=0,0,1000*R44*'Market Data'!$Y$51/('Market Penetration'!R44*'Market Data'!$W$51))</f>
        <v>85830.563611248363</v>
      </c>
      <c r="AO44" s="689">
        <f>IF('Market Penetration'!S44=0,0,1000*S44*'Market Data'!$Y$51/('Market Penetration'!S44*'Market Data'!$W$51))</f>
        <v>65861.511805418791</v>
      </c>
      <c r="AP44" s="460">
        <f>IF('Market Penetration'!T44=0,0,1000*T44*('Market Data'!$E$51+'Market Data'!$O$51+'Market Data'!$Y$51)/('Market Penetration'!T44*('Market Data'!$C$51+'Market Data'!$M$51+'Market Data'!$W$51)))</f>
        <v>41127.979324587228</v>
      </c>
      <c r="AQ44" s="462">
        <f>IF('Market Penetration'!U44=0,0,1000*U44*('Market Data'!$E$51+'Market Data'!$O$51+'Market Data'!$Y$51)/('Market Penetration'!U44*('Market Data'!$C$51+'Market Data'!$M$51+'Market Data'!$W$51)))</f>
        <v>102980.97061313741</v>
      </c>
    </row>
    <row r="45" spans="1:43" ht="15" x14ac:dyDescent="0.2">
      <c r="A45" s="403">
        <v>2043</v>
      </c>
      <c r="B45" s="423">
        <f t="shared" si="12"/>
        <v>0.20779517281267224</v>
      </c>
      <c r="C45" s="424">
        <f>'7&amp;8 Sleep'!$M112+'7&amp;8 Sleep'!$Z112</f>
        <v>0.370824673206192</v>
      </c>
      <c r="D45" s="424">
        <f>'7&amp;8 Sleep'!$M164+'7&amp;8 Sleep'!$Z164</f>
        <v>0.4190871693093573</v>
      </c>
      <c r="E45" s="699">
        <f>'7&amp;8 Sleep'!$M216+'7&amp;8 Sleep'!$Z216</f>
        <v>0</v>
      </c>
      <c r="F45" s="424">
        <f>'7&amp;8 Sleep'!$M269+'7&amp;8 Sleep'!$Z269</f>
        <v>2.2929846717783722E-3</v>
      </c>
      <c r="G45" s="657">
        <f>'7&amp;8 Sleep'!$M322+'7&amp;8 Sleep'!$Z322</f>
        <v>0</v>
      </c>
      <c r="H45" s="853">
        <f t="shared" si="13"/>
        <v>0.19368290714679959</v>
      </c>
      <c r="I45" s="657">
        <f>'7&amp;8 Day'!$M112+'7&amp;8 Day'!$Z112</f>
        <v>0.26244768846477828</v>
      </c>
      <c r="J45" s="657">
        <f>'7&amp;8 Day'!$M164+'7&amp;8 Day'!$Z164</f>
        <v>0.26211258749833394</v>
      </c>
      <c r="K45" s="657">
        <f>'7&amp;8 Day'!$M216+'7&amp;8 Day'!$Z216</f>
        <v>0.15478480886735368</v>
      </c>
      <c r="L45" s="657">
        <f>'7&amp;8 Day'!$M269+'7&amp;8 Day'!$Z269</f>
        <v>3.6171884556503934E-4</v>
      </c>
      <c r="M45" s="704">
        <f>'7&amp;8 Day'!$M322+'7&amp;8 Day'!$Z322</f>
        <v>0.12661028917716938</v>
      </c>
      <c r="N45" s="423">
        <f t="shared" si="14"/>
        <v>0.46592367348699293</v>
      </c>
      <c r="O45" s="424">
        <f>'7&amp;8 SU'!$M112+'7&amp;8 SU'!$Z112</f>
        <v>0.15234270161616667</v>
      </c>
      <c r="P45" s="424">
        <f>'7&amp;8 SU'!$M164+'7&amp;8 SU'!$Z164</f>
        <v>0.21704176891398425</v>
      </c>
      <c r="Q45" s="699">
        <f>'7&amp;8 SU'!$M216+'7&amp;8 SU'!$Z216</f>
        <v>0.10520862407234938</v>
      </c>
      <c r="R45" s="424">
        <f>'7&amp;8 SU'!$M269+'7&amp;8 SU'!$Z269</f>
        <v>4.3619223073937244E-2</v>
      </c>
      <c r="S45" s="657">
        <f>'7&amp;8 SU'!$M322+'7&amp;8 SU'!$Z322</f>
        <v>1.5864008836569632E-2</v>
      </c>
      <c r="T45" s="423">
        <f>B45*'Market Data'!$E$52+H45*'Market Data'!$O$52+N45*+N45*'Market Data'!$Y$52</f>
        <v>0.20521460898238394</v>
      </c>
      <c r="U45" s="425">
        <f>SUM(C45:G45)*'Market Data'!$E$52+SUM(I45:M45)*'Market Data'!$O$52+SUM(O45:S45)*+N45*'Market Data'!$Y$52</f>
        <v>0.74689027668592878</v>
      </c>
      <c r="W45" s="403">
        <v>2043</v>
      </c>
      <c r="X45" s="460">
        <f>IF('Market Penetration'!B45=0,0,1000*B45*'Market Data'!$E$51/('Market Penetration'!B45*'Market Data'!$C$51))</f>
        <v>85303.055796308341</v>
      </c>
      <c r="Y45" s="461">
        <f>IF('Market Penetration'!C45=0,0,1000*C45*'Market Data'!$E$51/('Market Penetration'!C45*'Market Data'!$C$51))</f>
        <v>127098.70326342</v>
      </c>
      <c r="Z45" s="461">
        <f>IF('Market Penetration'!D45=0,0,1000*D45*'Market Data'!$E$51/('Market Penetration'!D45*'Market Data'!$C$51))</f>
        <v>123812.55395531937</v>
      </c>
      <c r="AA45" s="694">
        <f>IF('Market Penetration'!E45=0,0,1000*E45*'Market Data'!$E$51/('Market Penetration'!E45*'Market Data'!$C$51))</f>
        <v>0</v>
      </c>
      <c r="AB45" s="461">
        <f>IF('Market Penetration'!F45=0,0,1000*F45*'Market Data'!$E$51/('Market Penetration'!F45*'Market Data'!$C$51))</f>
        <v>204472.70091786573</v>
      </c>
      <c r="AC45" s="689">
        <f>IF('Market Penetration'!G45=0,0,1000*G45*'Market Data'!$E$51/('Market Penetration'!G45*'Market Data'!$C$51))</f>
        <v>0</v>
      </c>
      <c r="AD45" s="460">
        <f>IF('Market Penetration'!H45=0,0,1000*H45*'Market Data'!$O$51/('Market Penetration'!H45*'Market Data'!$M$51))</f>
        <v>40911.379484129153</v>
      </c>
      <c r="AE45" s="461">
        <f>IF('Market Penetration'!I45=0,0,1000*I45*'Market Data'!$O$51/('Market Penetration'!I45*'Market Data'!$M$51))</f>
        <v>93503.376347182479</v>
      </c>
      <c r="AF45" s="461">
        <f>IF('Market Penetration'!J45=0,0,1000*J45*'Market Data'!$O$51/('Market Penetration'!J45*'Market Data'!$M$51))</f>
        <v>93655.213361265822</v>
      </c>
      <c r="AG45" s="461">
        <f>IF('Market Penetration'!K45=0,0,1000*K45*'Market Data'!$O$51/('Market Penetration'!K45*'Market Data'!$M$51))</f>
        <v>108907.91678370572</v>
      </c>
      <c r="AH45" s="461">
        <f>IF('Market Penetration'!L45=0,0,1000*L45*'Market Data'!$O$51/('Market Penetration'!L45*'Market Data'!$M$51))</f>
        <v>51635.890784033872</v>
      </c>
      <c r="AI45" s="462">
        <f>IF('Market Penetration'!M45=0,0,1000*M45*'Market Data'!$O$51/('Market Penetration'!M45*'Market Data'!$M$51))</f>
        <v>103643.18805526117</v>
      </c>
      <c r="AJ45" s="460">
        <f>IF('Market Penetration'!N45=0,0,1000*N45*'Market Data'!$Y$51/('Market Penetration'!N45*'Market Data'!$W$51))</f>
        <v>18629.732534589471</v>
      </c>
      <c r="AK45" s="461">
        <f>IF('Market Penetration'!O45=0,0,1000*O45*'Market Data'!$Y$51/('Market Penetration'!O45*'Market Data'!$W$51))</f>
        <v>44882.5590857961</v>
      </c>
      <c r="AL45" s="461">
        <f>IF('Market Penetration'!P45=0,0,1000*P45*'Market Data'!$Y$51/('Market Penetration'!P45*'Market Data'!$W$51))</f>
        <v>39862.508217015638</v>
      </c>
      <c r="AM45" s="694">
        <f>IF('Market Penetration'!Q45=0,0,1000*Q45*'Market Data'!$Y$51/('Market Penetration'!Q45*'Market Data'!$W$51))</f>
        <v>52922.024122833027</v>
      </c>
      <c r="AN45" s="461">
        <f>IF('Market Penetration'!R45=0,0,1000*R45*'Market Data'!$Y$51/('Market Penetration'!R45*'Market Data'!$W$51))</f>
        <v>74760.787346921585</v>
      </c>
      <c r="AO45" s="689">
        <f>IF('Market Penetration'!S45=0,0,1000*S45*'Market Data'!$Y$51/('Market Penetration'!S45*'Market Data'!$W$51))</f>
        <v>60486.171526173028</v>
      </c>
      <c r="AP45" s="460">
        <f>IF('Market Penetration'!T45=0,0,1000*T45*('Market Data'!$E$51+'Market Data'!$O$51+'Market Data'!$Y$51)/('Market Penetration'!T45*('Market Data'!$C$51+'Market Data'!$M$51+'Market Data'!$W$51)))</f>
        <v>40909.832192634494</v>
      </c>
      <c r="AQ45" s="462">
        <f>IF('Market Penetration'!U45=0,0,1000*U45*('Market Data'!$E$51+'Market Data'!$O$51+'Market Data'!$Y$51)/('Market Penetration'!U45*('Market Data'!$C$51+'Market Data'!$M$51+'Market Data'!$W$51)))</f>
        <v>102821.5087039713</v>
      </c>
    </row>
    <row r="46" spans="1:43" ht="15" x14ac:dyDescent="0.2">
      <c r="A46" s="403">
        <v>2044</v>
      </c>
      <c r="B46" s="423">
        <f t="shared" si="12"/>
        <v>0.20683104912696759</v>
      </c>
      <c r="C46" s="424">
        <f>'7&amp;8 Sleep'!$M113+'7&amp;8 Sleep'!$Z113</f>
        <v>0.36946290744104177</v>
      </c>
      <c r="D46" s="424">
        <f>'7&amp;8 Sleep'!$M165+'7&amp;8 Sleep'!$Z165</f>
        <v>0.41757398007967084</v>
      </c>
      <c r="E46" s="699">
        <f>'7&amp;8 Sleep'!$M217+'7&amp;8 Sleep'!$Z217</f>
        <v>0</v>
      </c>
      <c r="F46" s="424">
        <f>'7&amp;8 Sleep'!$M270+'7&amp;8 Sleep'!$Z270</f>
        <v>6.1320633523198574E-3</v>
      </c>
      <c r="G46" s="657">
        <f>'7&amp;8 Sleep'!$M323+'7&amp;8 Sleep'!$Z323</f>
        <v>0</v>
      </c>
      <c r="H46" s="853">
        <f t="shared" si="13"/>
        <v>0.18782434688190497</v>
      </c>
      <c r="I46" s="657">
        <f>'7&amp;8 Day'!$M113+'7&amp;8 Day'!$Z113</f>
        <v>0.24703557983844121</v>
      </c>
      <c r="J46" s="657">
        <f>'7&amp;8 Day'!$M165+'7&amp;8 Day'!$Z165</f>
        <v>0.24692488704543258</v>
      </c>
      <c r="K46" s="657">
        <f>'7&amp;8 Day'!$M217+'7&amp;8 Day'!$Z217</f>
        <v>0.17749112635267283</v>
      </c>
      <c r="L46" s="657">
        <f>'7&amp;8 Day'!$M270+'7&amp;8 Day'!$Z270</f>
        <v>3.4298100831146776E-3</v>
      </c>
      <c r="M46" s="704">
        <f>'7&amp;8 Day'!$M323+'7&amp;8 Day'!$Z323</f>
        <v>0.13729424979843377</v>
      </c>
      <c r="N46" s="423">
        <f t="shared" si="14"/>
        <v>0.46204347788782818</v>
      </c>
      <c r="O46" s="424">
        <f>'7&amp;8 SU'!$M113+'7&amp;8 SU'!$Z113</f>
        <v>0.14565865891437604</v>
      </c>
      <c r="P46" s="424">
        <f>'7&amp;8 SU'!$M165+'7&amp;8 SU'!$Z165</f>
        <v>0.2072082016713126</v>
      </c>
      <c r="Q46" s="699">
        <f>'7&amp;8 SU'!$M217+'7&amp;8 SU'!$Z217</f>
        <v>0.102397035950828</v>
      </c>
      <c r="R46" s="424">
        <f>'7&amp;8 SU'!$M270+'7&amp;8 SU'!$Z270</f>
        <v>5.555573957659582E-2</v>
      </c>
      <c r="S46" s="657">
        <f>'7&amp;8 SU'!$M323+'7&amp;8 SU'!$Z323</f>
        <v>2.7136885999059401E-2</v>
      </c>
      <c r="T46" s="423">
        <f>B46*'Market Data'!$E$52+H46*'Market Data'!$O$52+N46*+N46*'Market Data'!$Y$52</f>
        <v>0.20283011512362642</v>
      </c>
      <c r="U46" s="425">
        <f>SUM(C46:G46)*'Market Data'!$E$52+SUM(I46:M46)*'Market Data'!$O$52+SUM(O46:S46)*+N46*'Market Data'!$Y$52</f>
        <v>0.74892680078338902</v>
      </c>
      <c r="W46" s="403">
        <v>2044</v>
      </c>
      <c r="X46" s="460">
        <f>IF('Market Penetration'!B46=0,0,1000*B46*'Market Data'!$E$51/('Market Penetration'!B46*'Market Data'!$C$51))</f>
        <v>85604.612452433648</v>
      </c>
      <c r="Y46" s="461">
        <f>IF('Market Penetration'!C46=0,0,1000*C46*'Market Data'!$E$51/('Market Penetration'!C46*'Market Data'!$C$51))</f>
        <v>126692.34367467918</v>
      </c>
      <c r="Z46" s="461">
        <f>IF('Market Penetration'!D46=0,0,1000*D46*'Market Data'!$E$51/('Market Penetration'!D46*'Market Data'!$C$51))</f>
        <v>123462.32934398304</v>
      </c>
      <c r="AA46" s="694">
        <f>IF('Market Penetration'!E46=0,0,1000*E46*'Market Data'!$E$51/('Market Penetration'!E46*'Market Data'!$C$51))</f>
        <v>0</v>
      </c>
      <c r="AB46" s="461">
        <f>IF('Market Penetration'!F46=0,0,1000*F46*'Market Data'!$E$51/('Market Penetration'!F46*'Market Data'!$C$51))</f>
        <v>174688.95433774038</v>
      </c>
      <c r="AC46" s="689">
        <f>IF('Market Penetration'!G46=0,0,1000*G46*'Market Data'!$E$51/('Market Penetration'!G46*'Market Data'!$C$51))</f>
        <v>0</v>
      </c>
      <c r="AD46" s="460">
        <f>IF('Market Penetration'!H46=0,0,1000*H46*'Market Data'!$O$51/('Market Penetration'!H46*'Market Data'!$M$51))</f>
        <v>40400.45371307763</v>
      </c>
      <c r="AE46" s="461">
        <f>IF('Market Penetration'!I46=0,0,1000*I46*'Market Data'!$O$51/('Market Penetration'!I46*'Market Data'!$M$51))</f>
        <v>95871.477072066031</v>
      </c>
      <c r="AF46" s="461">
        <f>IF('Market Penetration'!J46=0,0,1000*J46*'Market Data'!$O$51/('Market Penetration'!J46*'Market Data'!$M$51))</f>
        <v>95871.477072066031</v>
      </c>
      <c r="AG46" s="461">
        <f>IF('Market Penetration'!K46=0,0,1000*K46*'Market Data'!$O$51/('Market Penetration'!K46*'Market Data'!$M$51))</f>
        <v>102468.47523661231</v>
      </c>
      <c r="AH46" s="461">
        <f>IF('Market Penetration'!L46=0,0,1000*L46*'Market Data'!$O$51/('Market Penetration'!L46*'Market Data'!$M$51))</f>
        <v>50934.388622790626</v>
      </c>
      <c r="AI46" s="462">
        <f>IF('Market Penetration'!M46=0,0,1000*M46*'Market Data'!$O$51/('Market Penetration'!M46*'Market Data'!$M$51))</f>
        <v>98865.228761649036</v>
      </c>
      <c r="AJ46" s="460">
        <f>IF('Market Penetration'!N46=0,0,1000*N46*'Market Data'!$Y$51/('Market Penetration'!N46*'Market Data'!$W$51))</f>
        <v>18530.749272813962</v>
      </c>
      <c r="AK46" s="461">
        <f>IF('Market Penetration'!O46=0,0,1000*O46*'Market Data'!$Y$51/('Market Penetration'!O46*'Market Data'!$W$51))</f>
        <v>45068.537238357807</v>
      </c>
      <c r="AL46" s="461">
        <f>IF('Market Penetration'!P46=0,0,1000*P46*'Market Data'!$Y$51/('Market Penetration'!P46*'Market Data'!$W$51))</f>
        <v>39964.796036663014</v>
      </c>
      <c r="AM46" s="694">
        <f>IF('Market Penetration'!Q46=0,0,1000*Q46*'Market Data'!$Y$51/('Market Penetration'!Q46*'Market Data'!$W$51))</f>
        <v>52227.192748939073</v>
      </c>
      <c r="AN46" s="461">
        <f>IF('Market Penetration'!R46=0,0,1000*R46*'Market Data'!$Y$51/('Market Penetration'!R46*'Market Data'!$W$51))</f>
        <v>63635.926537209205</v>
      </c>
      <c r="AO46" s="689">
        <f>IF('Market Penetration'!S46=0,0,1000*S46*'Market Data'!$Y$51/('Market Penetration'!S46*'Market Data'!$W$51))</f>
        <v>54470.527441449995</v>
      </c>
      <c r="AP46" s="460">
        <f>IF('Market Penetration'!T46=0,0,1000*T46*('Market Data'!$E$51+'Market Data'!$O$51+'Market Data'!$Y$51)/('Market Penetration'!T46*('Market Data'!$C$51+'Market Data'!$M$51+'Market Data'!$W$51)))</f>
        <v>40764.87836701949</v>
      </c>
      <c r="AQ46" s="462">
        <f>IF('Market Penetration'!U46=0,0,1000*U46*('Market Data'!$E$51+'Market Data'!$O$51+'Market Data'!$Y$51)/('Market Penetration'!U46*('Market Data'!$C$51+'Market Data'!$M$51+'Market Data'!$W$51)))</f>
        <v>102528.01407334222</v>
      </c>
    </row>
    <row r="47" spans="1:43" ht="15" x14ac:dyDescent="0.2">
      <c r="A47" s="402">
        <v>2045</v>
      </c>
      <c r="B47" s="426">
        <f t="shared" si="12"/>
        <v>0.20735978516350495</v>
      </c>
      <c r="C47" s="427">
        <f>'7&amp;8 Sleep'!$M114+'7&amp;8 Sleep'!$Z114</f>
        <v>0.36802435587783366</v>
      </c>
      <c r="D47" s="427">
        <f>'7&amp;8 Sleep'!$M166+'7&amp;8 Sleep'!$Z166</f>
        <v>0.41192975162800699</v>
      </c>
      <c r="E47" s="700">
        <f>'7&amp;8 Sleep'!$M218+'7&amp;8 Sleep'!$Z218</f>
        <v>5.0713692537220211E-5</v>
      </c>
      <c r="F47" s="427">
        <f>'7&amp;8 Sleep'!$M271+'7&amp;8 Sleep'!$Z271</f>
        <v>1.2635393638117189E-2</v>
      </c>
      <c r="G47" s="658">
        <f>'7&amp;8 Sleep'!$M324+'7&amp;8 Sleep'!$Z324</f>
        <v>0</v>
      </c>
      <c r="H47" s="854">
        <f t="shared" si="13"/>
        <v>0.14403341310098727</v>
      </c>
      <c r="I47" s="658">
        <f>'7&amp;8 Day'!$M114+'7&amp;8 Day'!$Z114</f>
        <v>0.24593830752129683</v>
      </c>
      <c r="J47" s="658">
        <f>'7&amp;8 Day'!$M166+'7&amp;8 Day'!$Z166</f>
        <v>0.24566849084050421</v>
      </c>
      <c r="K47" s="658">
        <f>'7&amp;8 Day'!$M218+'7&amp;8 Day'!$Z218</f>
        <v>0.20080466864404062</v>
      </c>
      <c r="L47" s="658">
        <f>'7&amp;8 Day'!$M271+'7&amp;8 Day'!$Z271</f>
        <v>9.3997072484169938E-3</v>
      </c>
      <c r="M47" s="705">
        <f>'7&amp;8 Day'!$M324+'7&amp;8 Day'!$Z324</f>
        <v>0.15415541264475408</v>
      </c>
      <c r="N47" s="426">
        <f t="shared" si="14"/>
        <v>0.4489447588766784</v>
      </c>
      <c r="O47" s="427">
        <f>'7&amp;8 SU'!$M114+'7&amp;8 SU'!$Z114</f>
        <v>0.13939270007318544</v>
      </c>
      <c r="P47" s="427">
        <f>'7&amp;8 SU'!$M166+'7&amp;8 SU'!$Z166</f>
        <v>0.20144444747393572</v>
      </c>
      <c r="Q47" s="700">
        <f>'7&amp;8 SU'!$M218+'7&amp;8 SU'!$Z218</f>
        <v>9.7662954498559607E-2</v>
      </c>
      <c r="R47" s="427">
        <f>'7&amp;8 SU'!$M271+'7&amp;8 SU'!$Z271</f>
        <v>7.0589276963066702E-2</v>
      </c>
      <c r="S47" s="658">
        <f>'7&amp;8 SU'!$M324+'7&amp;8 SU'!$Z324</f>
        <v>4.196586211457419E-2</v>
      </c>
      <c r="T47" s="426">
        <f>B47*'Market Data'!$E$52+H47*'Market Data'!$O$52+N47*+N47*'Market Data'!$Y$52</f>
        <v>0.19152073348449961</v>
      </c>
      <c r="U47" s="428">
        <f>SUM(C47:G47)*'Market Data'!$E$52+SUM(I47:M47)*'Market Data'!$O$52+SUM(O47:S47)*+N47*'Market Data'!$Y$52</f>
        <v>0.75906151016408829</v>
      </c>
      <c r="W47" s="402">
        <v>2045</v>
      </c>
      <c r="X47" s="463">
        <f>IF('Market Penetration'!B47=0,0,1000*B47*'Market Data'!$E$51/('Market Penetration'!B47*'Market Data'!$C$51))</f>
        <v>85689.200379274043</v>
      </c>
      <c r="Y47" s="464">
        <f>IF('Market Penetration'!C47=0,0,1000*C47*'Market Data'!$E$51/('Market Penetration'!C47*'Market Data'!$C$51))</f>
        <v>126494.63766414656</v>
      </c>
      <c r="Z47" s="464">
        <f>IF('Market Penetration'!D47=0,0,1000*D47*'Market Data'!$E$51/('Market Penetration'!D47*'Market Data'!$C$51))</f>
        <v>123345.97877718126</v>
      </c>
      <c r="AA47" s="695">
        <f>IF('Market Penetration'!E47=0,0,1000*E47*'Market Data'!$E$51/('Market Penetration'!E47*'Market Data'!$C$51))</f>
        <v>127783.70047955409</v>
      </c>
      <c r="AB47" s="464">
        <f>IF('Market Penetration'!F47=0,0,1000*F47*'Market Data'!$E$51/('Market Penetration'!F47*'Market Data'!$C$51))</f>
        <v>157344.52028016752</v>
      </c>
      <c r="AC47" s="690">
        <f>IF('Market Penetration'!G47=0,0,1000*G47*'Market Data'!$E$51/('Market Penetration'!G47*'Market Data'!$C$51))</f>
        <v>0</v>
      </c>
      <c r="AD47" s="463">
        <f>IF('Market Penetration'!H47=0,0,1000*H47*'Market Data'!$O$51/('Market Penetration'!H47*'Market Data'!$M$51))</f>
        <v>37087.309190160806</v>
      </c>
      <c r="AE47" s="464">
        <f>IF('Market Penetration'!I47=0,0,1000*I47*'Market Data'!$O$51/('Market Penetration'!I47*'Market Data'!$M$51))</f>
        <v>95553.360783725642</v>
      </c>
      <c r="AF47" s="464">
        <f>IF('Market Penetration'!J47=0,0,1000*J47*'Market Data'!$O$51/('Market Penetration'!J47*'Market Data'!$M$51))</f>
        <v>95678.840371013066</v>
      </c>
      <c r="AG47" s="464">
        <f>IF('Market Penetration'!K47=0,0,1000*K47*'Market Data'!$O$51/('Market Penetration'!K47*'Market Data'!$M$51))</f>
        <v>96535.958167382414</v>
      </c>
      <c r="AH47" s="464">
        <f>IF('Market Penetration'!L47=0,0,1000*L47*'Market Data'!$O$51/('Market Penetration'!L47*'Market Data'!$M$51))</f>
        <v>49122.862993218441</v>
      </c>
      <c r="AI47" s="465">
        <f>IF('Market Penetration'!M47=0,0,1000*M47*'Market Data'!$O$51/('Market Penetration'!M47*'Market Data'!$M$51))</f>
        <v>91053.275897315107</v>
      </c>
      <c r="AJ47" s="463">
        <f>IF('Market Penetration'!N47=0,0,1000*N47*'Market Data'!$Y$51/('Market Penetration'!N47*'Market Data'!$W$51))</f>
        <v>18337.867322920345</v>
      </c>
      <c r="AK47" s="464">
        <f>IF('Market Penetration'!O47=0,0,1000*O47*'Market Data'!$Y$51/('Market Penetration'!O47*'Market Data'!$W$51))</f>
        <v>45177.665830809012</v>
      </c>
      <c r="AL47" s="464">
        <f>IF('Market Penetration'!P47=0,0,1000*P47*'Market Data'!$Y$51/('Market Penetration'!P47*'Market Data'!$W$51))</f>
        <v>39618.31330049791</v>
      </c>
      <c r="AM47" s="695">
        <f>IF('Market Penetration'!Q47=0,0,1000*Q47*'Market Data'!$Y$51/('Market Penetration'!Q47*'Market Data'!$W$51))</f>
        <v>52370.560441074347</v>
      </c>
      <c r="AN47" s="464">
        <f>IF('Market Penetration'!R47=0,0,1000*R47*'Market Data'!$Y$51/('Market Penetration'!R47*'Market Data'!$W$51))</f>
        <v>54543.512786661493</v>
      </c>
      <c r="AO47" s="690">
        <f>IF('Market Penetration'!S47=0,0,1000*S47*'Market Data'!$Y$51/('Market Penetration'!S47*'Market Data'!$W$51))</f>
        <v>48154.760122340413</v>
      </c>
      <c r="AP47" s="463">
        <f>IF('Market Penetration'!T47=0,0,1000*T47*('Market Data'!$E$51+'Market Data'!$O$51+'Market Data'!$Y$51)/('Market Penetration'!T47*('Market Data'!$C$51+'Market Data'!$M$51+'Market Data'!$W$51)))</f>
        <v>40299.378309918393</v>
      </c>
      <c r="AQ47" s="465">
        <f>IF('Market Penetration'!U47=0,0,1000*U47*('Market Data'!$E$51+'Market Data'!$O$51+'Market Data'!$Y$51)/('Market Penetration'!U47*('Market Data'!$C$51+'Market Data'!$M$51+'Market Data'!$W$51)))</f>
        <v>100834.88146225672</v>
      </c>
    </row>
    <row r="48" spans="1:43" ht="15" x14ac:dyDescent="0.2">
      <c r="A48" s="403">
        <v>2046</v>
      </c>
      <c r="B48" s="430">
        <f t="shared" si="12"/>
        <v>0.20934320733122636</v>
      </c>
      <c r="C48" s="431">
        <f>'7&amp;8 Sleep'!$M115+'7&amp;8 Sleep'!$Z115</f>
        <v>0.36283695714761266</v>
      </c>
      <c r="D48" s="431">
        <f>'7&amp;8 Sleep'!$M167+'7&amp;8 Sleep'!$Z167</f>
        <v>0.40734023449632961</v>
      </c>
      <c r="E48" s="701">
        <f>'7&amp;8 Sleep'!$M219+'7&amp;8 Sleep'!$Z219</f>
        <v>1.5211894680285001E-3</v>
      </c>
      <c r="F48" s="431">
        <f>'7&amp;8 Sleep'!$M272+'7&amp;8 Sleep'!$Z272</f>
        <v>1.8958411556802866E-2</v>
      </c>
      <c r="G48" s="659">
        <f>'7&amp;8 Sleep'!$M325+'7&amp;8 Sleep'!$Z325</f>
        <v>0</v>
      </c>
      <c r="H48" s="855">
        <f t="shared" si="13"/>
        <v>0.12576592666593722</v>
      </c>
      <c r="I48" s="659">
        <f>'7&amp;8 Day'!$M115+'7&amp;8 Day'!$Z115</f>
        <v>0.24431001026217458</v>
      </c>
      <c r="J48" s="659">
        <f>'7&amp;8 Day'!$M167+'7&amp;8 Day'!$Z167</f>
        <v>0.24344804758733057</v>
      </c>
      <c r="K48" s="659">
        <f>'7&amp;8 Day'!$M219+'7&amp;8 Day'!$Z219</f>
        <v>0.21228940890706474</v>
      </c>
      <c r="L48" s="659">
        <f>'7&amp;8 Day'!$M272+'7&amp;8 Day'!$Z272</f>
        <v>1.3425936573507557E-2</v>
      </c>
      <c r="M48" s="706">
        <f>'7&amp;8 Day'!$M325+'7&amp;8 Day'!$Z325</f>
        <v>0.16076067000398528</v>
      </c>
      <c r="N48" s="430">
        <f t="shared" si="14"/>
        <v>0.44894475815870982</v>
      </c>
      <c r="O48" s="431">
        <f>'7&amp;8 SU'!$M115+'7&amp;8 SU'!$Z115</f>
        <v>0.13370346499433206</v>
      </c>
      <c r="P48" s="431">
        <f>'7&amp;8 SU'!$M167+'7&amp;8 SU'!$Z167</f>
        <v>0.19178001504533335</v>
      </c>
      <c r="Q48" s="701">
        <f>'7&amp;8 SU'!$M219+'7&amp;8 SU'!$Z219</f>
        <v>9.4402985022815467E-2</v>
      </c>
      <c r="R48" s="431">
        <f>'7&amp;8 SU'!$M272+'7&amp;8 SU'!$Z272</f>
        <v>7.9921335363178747E-2</v>
      </c>
      <c r="S48" s="659">
        <f>'7&amp;8 SU'!$M325+'7&amp;8 SU'!$Z325</f>
        <v>5.1247441415630507E-2</v>
      </c>
      <c r="T48" s="433">
        <f>B48*'Market Data'!$E$52+H48*'Market Data'!$O$52+N48*+N48*'Market Data'!$Y$52</f>
        <v>0.18842774568368106</v>
      </c>
      <c r="U48" s="434">
        <f>SUM(C48:G48)*'Market Data'!$E$52+SUM(I48:M48)*'Market Data'!$O$52+SUM(O48:S48)*+N48*'Market Data'!$Y$52</f>
        <v>0.76215449790052059</v>
      </c>
      <c r="W48" s="403">
        <v>2046</v>
      </c>
      <c r="X48" s="466">
        <f>IF('Market Penetration'!B48=0,0,1000*B48*'Market Data'!$E$51/('Market Penetration'!B48*'Market Data'!$C$51))</f>
        <v>86183.27444308385</v>
      </c>
      <c r="Y48" s="467">
        <f>IF('Market Penetration'!C48=0,0,1000*C48*'Market Data'!$E$51/('Market Penetration'!C48*'Market Data'!$C$51))</f>
        <v>126393.60497719972</v>
      </c>
      <c r="Z48" s="467">
        <f>IF('Market Penetration'!D48=0,0,1000*D48*'Market Data'!$E$51/('Market Penetration'!D48*'Market Data'!$C$51))</f>
        <v>123032.20086275699</v>
      </c>
      <c r="AA48" s="696">
        <f>IF('Market Penetration'!E48=0,0,1000*E48*'Market Data'!$E$51/('Market Penetration'!E48*'Market Data'!$C$51))</f>
        <v>124542.28751296097</v>
      </c>
      <c r="AB48" s="467">
        <f>IF('Market Penetration'!F48=0,0,1000*F48*'Market Data'!$E$51/('Market Penetration'!F48*'Market Data'!$C$51))</f>
        <v>149458.17340786272</v>
      </c>
      <c r="AC48" s="691">
        <f>IF('Market Penetration'!G48=0,0,1000*G48*'Market Data'!$E$51/('Market Penetration'!G48*'Market Data'!$C$51))</f>
        <v>0</v>
      </c>
      <c r="AD48" s="466">
        <f>IF('Market Penetration'!H48=0,0,1000*H48*'Market Data'!$O$51/('Market Penetration'!H48*'Market Data'!$M$51))</f>
        <v>35971.06945227574</v>
      </c>
      <c r="AE48" s="467">
        <f>IF('Market Penetration'!I48=0,0,1000*I48*'Market Data'!$O$51/('Market Penetration'!I48*'Market Data'!$M$51))</f>
        <v>95392.865144277195</v>
      </c>
      <c r="AF48" s="467">
        <f>IF('Market Penetration'!J48=0,0,1000*J48*'Market Data'!$O$51/('Market Penetration'!J48*'Market Data'!$M$51))</f>
        <v>95740.811356337479</v>
      </c>
      <c r="AG48" s="467">
        <f>IF('Market Penetration'!K48=0,0,1000*K48*'Market Data'!$O$51/('Market Penetration'!K48*'Market Data'!$M$51))</f>
        <v>92955.524850960559</v>
      </c>
      <c r="AH48" s="467">
        <f>IF('Market Penetration'!L48=0,0,1000*L48*'Market Data'!$O$51/('Market Penetration'!L48*'Market Data'!$M$51))</f>
        <v>46838.232462249282</v>
      </c>
      <c r="AI48" s="860">
        <f>IF('Market Penetration'!M48=0,0,1000*M48*'Market Data'!$O$51/('Market Penetration'!M48*'Market Data'!$M$51))</f>
        <v>88379.811064583686</v>
      </c>
      <c r="AJ48" s="466">
        <f>IF('Market Penetration'!N48=0,0,1000*N48*'Market Data'!$Y$51/('Market Penetration'!N48*'Market Data'!$W$51))</f>
        <v>18337.867305500571</v>
      </c>
      <c r="AK48" s="467">
        <f>IF('Market Penetration'!O48=0,0,1000*O48*'Market Data'!$Y$51/('Market Penetration'!O48*'Market Data'!$W$51))</f>
        <v>45755.810826191024</v>
      </c>
      <c r="AL48" s="467">
        <f>IF('Market Penetration'!P48=0,0,1000*P48*'Market Data'!$Y$51/('Market Penetration'!P48*'Market Data'!$W$51))</f>
        <v>40043.939301306164</v>
      </c>
      <c r="AM48" s="696">
        <f>IF('Market Penetration'!Q48=0,0,1000*Q48*'Market Data'!$Y$51/('Market Penetration'!Q48*'Market Data'!$W$51))</f>
        <v>53061.886280563354</v>
      </c>
      <c r="AN48" s="467">
        <f>IF('Market Penetration'!R48=0,0,1000*R48*'Market Data'!$Y$51/('Market Penetration'!R48*'Market Data'!$W$51))</f>
        <v>50973.631027370255</v>
      </c>
      <c r="AO48" s="691">
        <f>IF('Market Penetration'!S48=0,0,1000*S48*'Market Data'!$Y$51/('Market Penetration'!S48*'Market Data'!$W$51))</f>
        <v>44866.731753431173</v>
      </c>
      <c r="AP48" s="468">
        <f>IF('Market Penetration'!T48=0,0,1000*T48*('Market Data'!$E$51+'Market Data'!$O$51+'Market Data'!$Y$51)/('Market Penetration'!T48*('Market Data'!$C$51+'Market Data'!$M$51+'Market Data'!$W$51)))</f>
        <v>40392.938051040379</v>
      </c>
      <c r="AQ48" s="469">
        <f>IF('Market Penetration'!U48=0,0,1000*U48*('Market Data'!$E$51+'Market Data'!$O$51+'Market Data'!$Y$51)/('Market Penetration'!U48*('Market Data'!$C$51+'Market Data'!$M$51+'Market Data'!$W$51)))</f>
        <v>100081.38182452929</v>
      </c>
    </row>
    <row r="49" spans="1:43" ht="15" x14ac:dyDescent="0.2">
      <c r="A49" s="403">
        <v>2047</v>
      </c>
      <c r="B49" s="423">
        <f t="shared" si="12"/>
        <v>0.19943766823555531</v>
      </c>
      <c r="C49" s="424">
        <f>'7&amp;8 Sleep'!$M116+'7&amp;8 Sleep'!$Z116</f>
        <v>0.35691139316353138</v>
      </c>
      <c r="D49" s="424">
        <f>'7&amp;8 Sleep'!$M168+'7&amp;8 Sleep'!$Z168</f>
        <v>0.40636024101261392</v>
      </c>
      <c r="E49" s="699">
        <f>'7&amp;8 Sleep'!$M220+'7&amp;8 Sleep'!$Z220</f>
        <v>9.3260162876312794E-3</v>
      </c>
      <c r="F49" s="424">
        <f>'7&amp;8 Sleep'!$M273+'7&amp;8 Sleep'!$Z273</f>
        <v>2.7964681300668086E-2</v>
      </c>
      <c r="G49" s="657">
        <f>'7&amp;8 Sleep'!$M326+'7&amp;8 Sleep'!$Z326</f>
        <v>0</v>
      </c>
      <c r="H49" s="853">
        <f t="shared" si="13"/>
        <v>0.10686041252995948</v>
      </c>
      <c r="I49" s="657">
        <f>'7&amp;8 Day'!$M116+'7&amp;8 Day'!$Z116</f>
        <v>0.2432661612581003</v>
      </c>
      <c r="J49" s="657">
        <f>'7&amp;8 Day'!$M168+'7&amp;8 Day'!$Z168</f>
        <v>0.24295754760506205</v>
      </c>
      <c r="K49" s="657">
        <f>'7&amp;8 Day'!$M220+'7&amp;8 Day'!$Z220</f>
        <v>0.22112298392657986</v>
      </c>
      <c r="L49" s="657">
        <f>'7&amp;8 Day'!$M273+'7&amp;8 Day'!$Z273</f>
        <v>1.7772253093433978E-2</v>
      </c>
      <c r="M49" s="704">
        <f>'7&amp;8 Day'!$M326+'7&amp;8 Day'!$Z326</f>
        <v>0.16802064158686425</v>
      </c>
      <c r="N49" s="423">
        <f t="shared" si="14"/>
        <v>0.4488940403571644</v>
      </c>
      <c r="O49" s="424">
        <f>'7&amp;8 SU'!$M116+'7&amp;8 SU'!$Z116</f>
        <v>0.1312768732798229</v>
      </c>
      <c r="P49" s="424">
        <f>'7&amp;8 SU'!$M168+'7&amp;8 SU'!$Z168</f>
        <v>0.1819416877031087</v>
      </c>
      <c r="Q49" s="699">
        <f>'7&amp;8 SU'!$M220+'7&amp;8 SU'!$Z220</f>
        <v>9.3418829699287623E-2</v>
      </c>
      <c r="R49" s="424">
        <f>'7&amp;8 SU'!$M273+'7&amp;8 SU'!$Z273</f>
        <v>8.491956208041633E-2</v>
      </c>
      <c r="S49" s="657">
        <f>'7&amp;8 SU'!$M326+'7&amp;8 SU'!$Z326</f>
        <v>5.9549006880200074E-2</v>
      </c>
      <c r="T49" s="423">
        <f>B49*'Market Data'!$E$52+H49*'Market Data'!$O$52+N49*+N49*'Market Data'!$Y$52</f>
        <v>0.17722941085751828</v>
      </c>
      <c r="U49" s="425">
        <f>SUM(C49:G49)*'Market Data'!$E$52+SUM(I49:M49)*'Market Data'!$O$52+SUM(O49:S49)*+N49*'Market Data'!$Y$52</f>
        <v>0.77334828443501979</v>
      </c>
      <c r="W49" s="403">
        <v>2047</v>
      </c>
      <c r="X49" s="460">
        <f>IF('Market Penetration'!B49=0,0,1000*B49*'Market Data'!$E$51/('Market Penetration'!B49*'Market Data'!$C$51))</f>
        <v>85234.901115402507</v>
      </c>
      <c r="Y49" s="461">
        <f>IF('Market Penetration'!C49=0,0,1000*C49*'Market Data'!$E$51/('Market Penetration'!C49*'Market Data'!$C$51))</f>
        <v>126230.64196805665</v>
      </c>
      <c r="Z49" s="461">
        <f>IF('Market Penetration'!D49=0,0,1000*D49*'Market Data'!$E$51/('Market Penetration'!D49*'Market Data'!$C$51))</f>
        <v>122735.59066551524</v>
      </c>
      <c r="AA49" s="694">
        <f>IF('Market Penetration'!E49=0,0,1000*E49*'Market Data'!$E$51/('Market Penetration'!E49*'Market Data'!$C$51))</f>
        <v>122417.20596041664</v>
      </c>
      <c r="AB49" s="461">
        <f>IF('Market Penetration'!F49=0,0,1000*F49*'Market Data'!$E$51/('Market Penetration'!F49*'Market Data'!$C$51))</f>
        <v>143197.91424553355</v>
      </c>
      <c r="AC49" s="689">
        <f>IF('Market Penetration'!G49=0,0,1000*G49*'Market Data'!$E$51/('Market Penetration'!G49*'Market Data'!$C$51))</f>
        <v>0</v>
      </c>
      <c r="AD49" s="460">
        <f>IF('Market Penetration'!H49=0,0,1000*H49*'Market Data'!$O$51/('Market Penetration'!H49*'Market Data'!$M$51))</f>
        <v>34613.711939070701</v>
      </c>
      <c r="AE49" s="461">
        <f>IF('Market Penetration'!I49=0,0,1000*I49*'Market Data'!$O$51/('Market Penetration'!I49*'Market Data'!$M$51))</f>
        <v>95182.176226686526</v>
      </c>
      <c r="AF49" s="461">
        <f>IF('Market Penetration'!J49=0,0,1000*J49*'Market Data'!$O$51/('Market Penetration'!J49*'Market Data'!$M$51))</f>
        <v>95352.15130419757</v>
      </c>
      <c r="AG49" s="461">
        <f>IF('Market Penetration'!K49=0,0,1000*K49*'Market Data'!$O$51/('Market Penetration'!K49*'Market Data'!$M$51))</f>
        <v>90732.698659565009</v>
      </c>
      <c r="AH49" s="461">
        <f>IF('Market Penetration'!L49=0,0,1000*L49*'Market Data'!$O$51/('Market Penetration'!L49*'Market Data'!$M$51))</f>
        <v>45304.091848071235</v>
      </c>
      <c r="AI49" s="462">
        <f>IF('Market Penetration'!M49=0,0,1000*M49*'Market Data'!$O$51/('Market Penetration'!M49*'Market Data'!$M$51))</f>
        <v>85325.113977275178</v>
      </c>
      <c r="AJ49" s="460">
        <f>IF('Market Penetration'!N49=0,0,1000*N49*'Market Data'!$Y$51/('Market Penetration'!N49*'Market Data'!$W$51))</f>
        <v>18339.004771712702</v>
      </c>
      <c r="AK49" s="461">
        <f>IF('Market Penetration'!O49=0,0,1000*O49*'Market Data'!$Y$51/('Market Penetration'!O49*'Market Data'!$W$51))</f>
        <v>45956.030794894476</v>
      </c>
      <c r="AL49" s="461">
        <f>IF('Market Penetration'!P49=0,0,1000*P49*'Market Data'!$Y$51/('Market Penetration'!P49*'Market Data'!$W$51))</f>
        <v>40566.119393159082</v>
      </c>
      <c r="AM49" s="694">
        <f>IF('Market Penetration'!Q49=0,0,1000*Q49*'Market Data'!$Y$51/('Market Penetration'!Q49*'Market Data'!$W$51))</f>
        <v>53158.500922201849</v>
      </c>
      <c r="AN49" s="461">
        <f>IF('Market Penetration'!R49=0,0,1000*R49*'Market Data'!$Y$51/('Market Penetration'!R49*'Market Data'!$W$51))</f>
        <v>49559.100498793188</v>
      </c>
      <c r="AO49" s="689">
        <f>IF('Market Penetration'!S49=0,0,1000*S49*'Market Data'!$Y$51/('Market Penetration'!S49*'Market Data'!$W$51))</f>
        <v>42768.753372338186</v>
      </c>
      <c r="AP49" s="460">
        <f>IF('Market Penetration'!T49=0,0,1000*T49*('Market Data'!$E$51+'Market Data'!$O$51+'Market Data'!$Y$51)/('Market Penetration'!T49*('Market Data'!$C$51+'Market Data'!$M$51+'Market Data'!$W$51)))</f>
        <v>39332.609079799266</v>
      </c>
      <c r="AQ49" s="462">
        <f>IF('Market Penetration'!U49=0,0,1000*U49*('Market Data'!$E$51+'Market Data'!$O$51+'Market Data'!$Y$51)/('Market Penetration'!U49*('Market Data'!$C$51+'Market Data'!$M$51+'Market Data'!$W$51)))</f>
        <v>99474.966125544684</v>
      </c>
    </row>
    <row r="50" spans="1:43" ht="15" x14ac:dyDescent="0.2">
      <c r="A50" s="403">
        <v>2048</v>
      </c>
      <c r="B50" s="423">
        <f t="shared" si="12"/>
        <v>0.19844520144736466</v>
      </c>
      <c r="C50" s="424">
        <f>'7&amp;8 Sleep'!$M117+'7&amp;8 Sleep'!$Z117</f>
        <v>0.34544354797661919</v>
      </c>
      <c r="D50" s="424">
        <f>'7&amp;8 Sleep'!$M169+'7&amp;8 Sleep'!$Z169</f>
        <v>0.39199108422306833</v>
      </c>
      <c r="E50" s="699">
        <f>'7&amp;8 Sleep'!$M221+'7&amp;8 Sleep'!$Z221</f>
        <v>2.6929460502001738E-2</v>
      </c>
      <c r="F50" s="424">
        <f>'7&amp;8 Sleep'!$M274+'7&amp;8 Sleep'!$Z274</f>
        <v>3.7190705850946054E-2</v>
      </c>
      <c r="G50" s="657">
        <f>'7&amp;8 Sleep'!$M327+'7&amp;8 Sleep'!$Z327</f>
        <v>0</v>
      </c>
      <c r="H50" s="853">
        <f t="shared" si="13"/>
        <v>9.2994355121360006E-2</v>
      </c>
      <c r="I50" s="657">
        <f>'7&amp;8 Day'!$M117+'7&amp;8 Day'!$Z117</f>
        <v>0.24248490494261427</v>
      </c>
      <c r="J50" s="657">
        <f>'7&amp;8 Day'!$M169+'7&amp;8 Day'!$Z169</f>
        <v>0.24237625123609935</v>
      </c>
      <c r="K50" s="657">
        <f>'7&amp;8 Day'!$M221+'7&amp;8 Day'!$Z221</f>
        <v>0.22777082699632467</v>
      </c>
      <c r="L50" s="657">
        <f>'7&amp;8 Day'!$M274+'7&amp;8 Day'!$Z274</f>
        <v>2.0628586740624517E-2</v>
      </c>
      <c r="M50" s="704">
        <f>'7&amp;8 Day'!$M327+'7&amp;8 Day'!$Z327</f>
        <v>0.17374507496297723</v>
      </c>
      <c r="N50" s="423">
        <f t="shared" si="14"/>
        <v>0.44886608606640932</v>
      </c>
      <c r="O50" s="424">
        <f>'7&amp;8 SU'!$M117+'7&amp;8 SU'!$Z117</f>
        <v>0.12924980384480433</v>
      </c>
      <c r="P50" s="424">
        <f>'7&amp;8 SU'!$M169+'7&amp;8 SU'!$Z169</f>
        <v>0.17644555344444074</v>
      </c>
      <c r="Q50" s="699">
        <f>'7&amp;8 SU'!$M221+'7&amp;8 SU'!$Z221</f>
        <v>9.2163023218905016E-2</v>
      </c>
      <c r="R50" s="424">
        <f>'7&amp;8 SU'!$M274+'7&amp;8 SU'!$Z274</f>
        <v>8.8282216054042129E-2</v>
      </c>
      <c r="S50" s="657">
        <f>'7&amp;8 SU'!$M327+'7&amp;8 SU'!$Z327</f>
        <v>6.4993317371398476E-2</v>
      </c>
      <c r="T50" s="423">
        <f>B50*'Market Data'!$E$52+H50*'Market Data'!$O$52+N50*+N50*'Market Data'!$Y$52</f>
        <v>0.17320967329527792</v>
      </c>
      <c r="U50" s="425">
        <f>SUM(C50:G50)*'Market Data'!$E$52+SUM(I50:M50)*'Market Data'!$O$52+SUM(O50:S50)*+N50*'Market Data'!$Y$52</f>
        <v>0.77736551510098828</v>
      </c>
      <c r="W50" s="403">
        <v>2048</v>
      </c>
      <c r="X50" s="460">
        <f>IF('Market Penetration'!B50=0,0,1000*B50*'Market Data'!$E$51/('Market Penetration'!B50*'Market Data'!$C$51))</f>
        <v>85017.904820595824</v>
      </c>
      <c r="Y50" s="461">
        <f>IF('Market Penetration'!C50=0,0,1000*C50*'Market Data'!$E$51/('Market Penetration'!C50*'Market Data'!$C$51))</f>
        <v>126217.49293941789</v>
      </c>
      <c r="Z50" s="461">
        <f>IF('Market Penetration'!D50=0,0,1000*D50*'Market Data'!$E$51/('Market Penetration'!D50*'Market Data'!$C$51))</f>
        <v>123034.88064792899</v>
      </c>
      <c r="AA50" s="694">
        <f>IF('Market Penetration'!E50=0,0,1000*E50*'Market Data'!$E$51/('Market Penetration'!E50*'Market Data'!$C$51))</f>
        <v>120131.56790264607</v>
      </c>
      <c r="AB50" s="461">
        <f>IF('Market Penetration'!F50=0,0,1000*F50*'Market Data'!$E$51/('Market Penetration'!F50*'Market Data'!$C$51))</f>
        <v>138558.98140113798</v>
      </c>
      <c r="AC50" s="689">
        <f>IF('Market Penetration'!G50=0,0,1000*G50*'Market Data'!$E$51/('Market Penetration'!G50*'Market Data'!$C$51))</f>
        <v>0</v>
      </c>
      <c r="AD50" s="460">
        <f>IF('Market Penetration'!H50=0,0,1000*H50*'Market Data'!$O$51/('Market Penetration'!H50*'Market Data'!$M$51))</f>
        <v>33953.806218169098</v>
      </c>
      <c r="AE50" s="461">
        <f>IF('Market Penetration'!I50=0,0,1000*I50*'Market Data'!$O$51/('Market Penetration'!I50*'Market Data'!$M$51))</f>
        <v>95017.755152297046</v>
      </c>
      <c r="AF50" s="461">
        <f>IF('Market Penetration'!J50=0,0,1000*J50*'Market Data'!$O$51/('Market Penetration'!J50*'Market Data'!$M$51))</f>
        <v>95017.755152297061</v>
      </c>
      <c r="AG50" s="461">
        <f>IF('Market Penetration'!K50=0,0,1000*K50*'Market Data'!$O$51/('Market Penetration'!K50*'Market Data'!$M$51))</f>
        <v>88904.072235448039</v>
      </c>
      <c r="AH50" s="461">
        <f>IF('Market Penetration'!L50=0,0,1000*L50*'Market Data'!$O$51/('Market Penetration'!L50*'Market Data'!$M$51))</f>
        <v>44351.707666997027</v>
      </c>
      <c r="AI50" s="462">
        <f>IF('Market Penetration'!M50=0,0,1000*M50*'Market Data'!$O$51/('Market Penetration'!M50*'Market Data'!$M$51))</f>
        <v>81925.005125487165</v>
      </c>
      <c r="AJ50" s="460">
        <f>IF('Market Penetration'!N50=0,0,1000*N50*'Market Data'!$Y$51/('Market Penetration'!N50*'Market Data'!$W$51))</f>
        <v>18339.565439738362</v>
      </c>
      <c r="AK50" s="461">
        <f>IF('Market Penetration'!O50=0,0,1000*O50*'Market Data'!$Y$51/('Market Penetration'!O50*'Market Data'!$W$51))</f>
        <v>46049.250805263138</v>
      </c>
      <c r="AL50" s="461">
        <f>IF('Market Penetration'!P50=0,0,1000*P50*'Market Data'!$Y$51/('Market Penetration'!P50*'Market Data'!$W$51))</f>
        <v>40843.938542247037</v>
      </c>
      <c r="AM50" s="694">
        <f>IF('Market Penetration'!Q50=0,0,1000*Q50*'Market Data'!$Y$51/('Market Penetration'!Q50*'Market Data'!$W$51))</f>
        <v>53574.795385640253</v>
      </c>
      <c r="AN50" s="461">
        <f>IF('Market Penetration'!R50=0,0,1000*R50*'Market Data'!$Y$51/('Market Penetration'!R50*'Market Data'!$W$51))</f>
        <v>48795.263475390464</v>
      </c>
      <c r="AO50" s="689">
        <f>IF('Market Penetration'!S50=0,0,1000*S50*'Market Data'!$Y$51/('Market Penetration'!S50*'Market Data'!$W$51))</f>
        <v>41908.085503040231</v>
      </c>
      <c r="AP50" s="460">
        <f>IF('Market Penetration'!T50=0,0,1000*T50*('Market Data'!$E$51+'Market Data'!$O$51+'Market Data'!$Y$51)/('Market Penetration'!T50*('Market Data'!$C$51+'Market Data'!$M$51+'Market Data'!$W$51)))</f>
        <v>39208.727975207352</v>
      </c>
      <c r="AQ50" s="462">
        <f>IF('Market Penetration'!U50=0,0,1000*U50*('Market Data'!$E$51+'Market Data'!$O$51+'Market Data'!$Y$51)/('Market Penetration'!U50*('Market Data'!$C$51+'Market Data'!$M$51+'Market Data'!$W$51)))</f>
        <v>98868.942865135483</v>
      </c>
    </row>
    <row r="51" spans="1:43" ht="15" x14ac:dyDescent="0.2">
      <c r="A51" s="403">
        <v>2049</v>
      </c>
      <c r="B51" s="423">
        <f t="shared" si="12"/>
        <v>0.19515145283872903</v>
      </c>
      <c r="C51" s="424">
        <f>'7&amp;8 Sleep'!$M118+'7&amp;8 Sleep'!$Z118</f>
        <v>0.32692353791740225</v>
      </c>
      <c r="D51" s="424">
        <f>'7&amp;8 Sleep'!$M170+'7&amp;8 Sleep'!$Z170</f>
        <v>0.37295341971484108</v>
      </c>
      <c r="E51" s="699">
        <f>'7&amp;8 Sleep'!$M222+'7&amp;8 Sleep'!$Z222</f>
        <v>5.605362097632792E-2</v>
      </c>
      <c r="F51" s="424">
        <f>'7&amp;8 Sleep'!$M275+'7&amp;8 Sleep'!$Z275</f>
        <v>4.8917968552699732E-2</v>
      </c>
      <c r="G51" s="657">
        <f>'7&amp;8 Sleep'!$M328+'7&amp;8 Sleep'!$Z328</f>
        <v>0</v>
      </c>
      <c r="H51" s="853">
        <f t="shared" si="13"/>
        <v>8.486917905568403E-2</v>
      </c>
      <c r="I51" s="657">
        <f>'7&amp;8 Day'!$M118+'7&amp;8 Day'!$Z118</f>
        <v>0.24074882355859575</v>
      </c>
      <c r="J51" s="657">
        <f>'7&amp;8 Day'!$M170+'7&amp;8 Day'!$Z170</f>
        <v>0.24044943882884146</v>
      </c>
      <c r="K51" s="657">
        <f>'7&amp;8 Day'!$M222+'7&amp;8 Day'!$Z222</f>
        <v>0.23063919998279853</v>
      </c>
      <c r="L51" s="657">
        <f>'7&amp;8 Day'!$M275+'7&amp;8 Day'!$Z275</f>
        <v>2.2655336734479975E-2</v>
      </c>
      <c r="M51" s="704">
        <f>'7&amp;8 Day'!$M328+'7&amp;8 Day'!$Z328</f>
        <v>0.18063802183960034</v>
      </c>
      <c r="N51" s="423">
        <f t="shared" si="14"/>
        <v>0.44883067212166261</v>
      </c>
      <c r="O51" s="424">
        <f>'7&amp;8 SU'!$M118+'7&amp;8 SU'!$Z118</f>
        <v>0.12651507295685607</v>
      </c>
      <c r="P51" s="424">
        <f>'7&amp;8 SU'!$M170+'7&amp;8 SU'!$Z170</f>
        <v>0.17186330741260061</v>
      </c>
      <c r="Q51" s="699">
        <f>'7&amp;8 SU'!$M222+'7&amp;8 SU'!$Z222</f>
        <v>9.3003181909603175E-2</v>
      </c>
      <c r="R51" s="424">
        <f>'7&amp;8 SU'!$M275+'7&amp;8 SU'!$Z275</f>
        <v>8.9491856074074894E-2</v>
      </c>
      <c r="S51" s="657">
        <f>'7&amp;8 SU'!$M328+'7&amp;8 SU'!$Z328</f>
        <v>7.0295909525202593E-2</v>
      </c>
      <c r="T51" s="423">
        <f>B51*'Market Data'!$E$52+H51*'Market Data'!$O$52+N51*+N51*'Market Data'!$Y$52</f>
        <v>0.16903976653396555</v>
      </c>
      <c r="U51" s="425">
        <f>SUM(C51:G51)*'Market Data'!$E$52+SUM(I51:M51)*'Market Data'!$O$52+SUM(O51:S51)*+N51*'Market Data'!$Y$52</f>
        <v>0.78153224599614002</v>
      </c>
      <c r="W51" s="403">
        <v>2049</v>
      </c>
      <c r="X51" s="460">
        <f>IF('Market Penetration'!B51=0,0,1000*B51*'Market Data'!$E$51/('Market Penetration'!B51*'Market Data'!$C$51))</f>
        <v>85068.09305970979</v>
      </c>
      <c r="Y51" s="461">
        <f>IF('Market Penetration'!C51=0,0,1000*C51*'Market Data'!$E$51/('Market Penetration'!C51*'Market Data'!$C$51))</f>
        <v>126581.22514595935</v>
      </c>
      <c r="Z51" s="461">
        <f>IF('Market Penetration'!D51=0,0,1000*D51*'Market Data'!$E$51/('Market Penetration'!D51*'Market Data'!$C$51))</f>
        <v>122976.76355147852</v>
      </c>
      <c r="AA51" s="694">
        <f>IF('Market Penetration'!E51=0,0,1000*E51*'Market Data'!$E$51/('Market Penetration'!E51*'Market Data'!$C$51))</f>
        <v>117374.57204243269</v>
      </c>
      <c r="AB51" s="461">
        <f>IF('Market Penetration'!F51=0,0,1000*F51*'Market Data'!$E$51/('Market Penetration'!F51*'Market Data'!$C$51))</f>
        <v>134913.98404067947</v>
      </c>
      <c r="AC51" s="689">
        <f>IF('Market Penetration'!G51=0,0,1000*G51*'Market Data'!$E$51/('Market Penetration'!G51*'Market Data'!$C$51))</f>
        <v>0</v>
      </c>
      <c r="AD51" s="460">
        <f>IF('Market Penetration'!H51=0,0,1000*H51*'Market Data'!$O$51/('Market Penetration'!H51*'Market Data'!$M$51))</f>
        <v>33969.874416572537</v>
      </c>
      <c r="AE51" s="461">
        <f>IF('Market Penetration'!I51=0,0,1000*I51*'Market Data'!$O$51/('Market Penetration'!I51*'Market Data'!$M$51))</f>
        <v>94875.144539185712</v>
      </c>
      <c r="AF51" s="461">
        <f>IF('Market Penetration'!J51=0,0,1000*J51*'Market Data'!$O$51/('Market Penetration'!J51*'Market Data'!$M$51))</f>
        <v>95026.293856006407</v>
      </c>
      <c r="AG51" s="461">
        <f>IF('Market Penetration'!K51=0,0,1000*K51*'Market Data'!$O$51/('Market Penetration'!K51*'Market Data'!$M$51))</f>
        <v>88349.449865988645</v>
      </c>
      <c r="AH51" s="461">
        <f>IF('Market Penetration'!L51=0,0,1000*L51*'Market Data'!$O$51/('Market Penetration'!L51*'Market Data'!$M$51))</f>
        <v>43517.666203931127</v>
      </c>
      <c r="AI51" s="462">
        <f>IF('Market Penetration'!M51=0,0,1000*M51*'Market Data'!$O$51/('Market Penetration'!M51*'Market Data'!$M$51))</f>
        <v>78805.62477514187</v>
      </c>
      <c r="AJ51" s="460">
        <f>IF('Market Penetration'!N51=0,0,1000*N51*'Market Data'!$Y$51/('Market Penetration'!N51*'Market Data'!$W$51))</f>
        <v>18340.20684715638</v>
      </c>
      <c r="AK51" s="461">
        <f>IF('Market Penetration'!O51=0,0,1000*O51*'Market Data'!$Y$51/('Market Penetration'!O51*'Market Data'!$W$51))</f>
        <v>46475.455459201112</v>
      </c>
      <c r="AL51" s="461">
        <f>IF('Market Penetration'!P51=0,0,1000*P51*'Market Data'!$Y$51/('Market Penetration'!P51*'Market Data'!$W$51))</f>
        <v>41173.144859586297</v>
      </c>
      <c r="AM51" s="694">
        <f>IF('Market Penetration'!Q51=0,0,1000*Q51*'Market Data'!$Y$51/('Market Penetration'!Q51*'Market Data'!$W$51))</f>
        <v>53037.286788824422</v>
      </c>
      <c r="AN51" s="461">
        <f>IF('Market Penetration'!R51=0,0,1000*R51*'Market Data'!$Y$51/('Market Penetration'!R51*'Market Data'!$W$51))</f>
        <v>48389.498490974562</v>
      </c>
      <c r="AO51" s="689">
        <f>IF('Market Penetration'!S51=0,0,1000*S51*'Market Data'!$Y$51/('Market Penetration'!S51*'Market Data'!$W$51))</f>
        <v>41094.01211379841</v>
      </c>
      <c r="AP51" s="460">
        <f>IF('Market Penetration'!T51=0,0,1000*T51*('Market Data'!$E$51+'Market Data'!$O$51+'Market Data'!$Y$51)/('Market Penetration'!T51*('Market Data'!$C$51+'Market Data'!$M$51+'Market Data'!$W$51)))</f>
        <v>39017.50717477993</v>
      </c>
      <c r="AQ51" s="462">
        <f>IF('Market Penetration'!U51=0,0,1000*U51*('Market Data'!$E$51+'Market Data'!$O$51+'Market Data'!$Y$51)/('Market Penetration'!U51*('Market Data'!$C$51+'Market Data'!$M$51+'Market Data'!$W$51)))</f>
        <v>98333.057560152025</v>
      </c>
    </row>
    <row r="52" spans="1:43" ht="16" thickBot="1" x14ac:dyDescent="0.25">
      <c r="A52" s="404">
        <v>2050</v>
      </c>
      <c r="B52" s="435">
        <f t="shared" si="12"/>
        <v>0.19646977459487247</v>
      </c>
      <c r="C52" s="436">
        <f>'7&amp;8 Sleep'!$M119+'7&amp;8 Sleep'!$Z119</f>
        <v>0.3030986653860574</v>
      </c>
      <c r="D52" s="436">
        <f>'7&amp;8 Sleep'!$M171+'7&amp;8 Sleep'!$Z171</f>
        <v>0.3445598742204905</v>
      </c>
      <c r="E52" s="702">
        <f>'7&amp;8 Sleep'!$M223+'7&amp;8 Sleep'!$Z223</f>
        <v>9.726571981986061E-2</v>
      </c>
      <c r="F52" s="436">
        <f>'7&amp;8 Sleep'!$M276+'7&amp;8 Sleep'!$Z276</f>
        <v>5.8605965978718935E-2</v>
      </c>
      <c r="G52" s="660">
        <f>'7&amp;8 Sleep'!$M329+'7&amp;8 Sleep'!$Z329</f>
        <v>0</v>
      </c>
      <c r="H52" s="856">
        <f t="shared" si="13"/>
        <v>7.6058361686366593E-2</v>
      </c>
      <c r="I52" s="660">
        <f>'7&amp;8 Day'!$M119+'7&amp;8 Day'!$Z119</f>
        <v>0.24006689652754987</v>
      </c>
      <c r="J52" s="660">
        <f>'7&amp;8 Day'!$M171+'7&amp;8 Day'!$Z171</f>
        <v>0.23995932629291836</v>
      </c>
      <c r="K52" s="660">
        <f>'7&amp;8 Day'!$M223+'7&amp;8 Day'!$Z223</f>
        <v>0.23271533144323414</v>
      </c>
      <c r="L52" s="660">
        <f>'7&amp;8 Day'!$M276+'7&amp;8 Day'!$Z276</f>
        <v>2.4743967019402083E-2</v>
      </c>
      <c r="M52" s="707">
        <f>'7&amp;8 Day'!$M329+'7&amp;8 Day'!$Z329</f>
        <v>0.18645611703052906</v>
      </c>
      <c r="N52" s="435">
        <f t="shared" si="14"/>
        <v>0.43555844250336473</v>
      </c>
      <c r="O52" s="436">
        <f>'7&amp;8 SU'!$M119+'7&amp;8 SU'!$Z119</f>
        <v>0.12657000350650266</v>
      </c>
      <c r="P52" s="436">
        <f>'7&amp;8 SU'!$M171+'7&amp;8 SU'!$Z171</f>
        <v>0.17785094606302781</v>
      </c>
      <c r="Q52" s="702">
        <f>'7&amp;8 SU'!$M223+'7&amp;8 SU'!$Z223</f>
        <v>9.2859983183361472E-2</v>
      </c>
      <c r="R52" s="436">
        <f>'7&amp;8 SU'!$M276+'7&amp;8 SU'!$Z276</f>
        <v>9.3016857177257245E-2</v>
      </c>
      <c r="S52" s="660">
        <f>'7&amp;8 SU'!$M329+'7&amp;8 SU'!$Z329</f>
        <v>7.4143767566486149E-2</v>
      </c>
      <c r="T52" s="435">
        <f>B52*'Market Data'!$E$52+H52*'Market Data'!$O$52+N52*+N52*'Market Data'!$Y$52</f>
        <v>0.16673707348889749</v>
      </c>
      <c r="U52" s="437">
        <f>SUM(C52:G52)*'Market Data'!$E$52+SUM(I52:M52)*'Market Data'!$O$52+SUM(O52:S52)*+N52*'Market Data'!$Y$52</f>
        <v>0.7826447066278841</v>
      </c>
      <c r="W52" s="404">
        <v>2050</v>
      </c>
      <c r="X52" s="470">
        <f>IF('Market Penetration'!B52=0,0,1000*B52*'Market Data'!$E$51/('Market Penetration'!B52*'Market Data'!$C$51))</f>
        <v>85229.231329725182</v>
      </c>
      <c r="Y52" s="471">
        <f>IF('Market Penetration'!C52=0,0,1000*C52*'Market Data'!$E$51/('Market Penetration'!C52*'Market Data'!$C$51))</f>
        <v>127734.16882837743</v>
      </c>
      <c r="Z52" s="471">
        <f>IF('Market Penetration'!D52=0,0,1000*D52*'Market Data'!$E$51/('Market Penetration'!D52*'Market Data'!$C$51))</f>
        <v>123951.62316905354</v>
      </c>
      <c r="AA52" s="697">
        <f>IF('Market Penetration'!E52=0,0,1000*E52*'Market Data'!$E$51/('Market Penetration'!E52*'Market Data'!$C$51))</f>
        <v>114496.73704794064</v>
      </c>
      <c r="AB52" s="471">
        <f>IF('Market Penetration'!F52=0,0,1000*F52*'Market Data'!$E$51/('Market Penetration'!F52*'Market Data'!$C$51))</f>
        <v>132513.67555120392</v>
      </c>
      <c r="AC52" s="692">
        <f>IF('Market Penetration'!G52=0,0,1000*G52*'Market Data'!$E$51/('Market Penetration'!G52*'Market Data'!$C$51))</f>
        <v>0</v>
      </c>
      <c r="AD52" s="470">
        <f>IF('Market Penetration'!H52=0,0,1000*H52*'Market Data'!$O$51/('Market Penetration'!H52*'Market Data'!$M$51))</f>
        <v>34174.083764044044</v>
      </c>
      <c r="AE52" s="471">
        <f>IF('Market Penetration'!I52=0,0,1000*I52*'Market Data'!$O$51/('Market Penetration'!I52*'Market Data'!$M$51))</f>
        <v>94877.380993378596</v>
      </c>
      <c r="AF52" s="471">
        <f>IF('Market Penetration'!J52=0,0,1000*J52*'Market Data'!$O$51/('Market Penetration'!J52*'Market Data'!$M$51))</f>
        <v>94877.380993378567</v>
      </c>
      <c r="AG52" s="471">
        <f>IF('Market Penetration'!K52=0,0,1000*K52*'Market Data'!$O$51/('Market Penetration'!K52*'Market Data'!$M$51))</f>
        <v>87757.431714183665</v>
      </c>
      <c r="AH52" s="471">
        <f>IF('Market Penetration'!L52=0,0,1000*L52*'Market Data'!$O$51/('Market Penetration'!L52*'Market Data'!$M$51))</f>
        <v>43055.775685089749</v>
      </c>
      <c r="AI52" s="472">
        <f>IF('Market Penetration'!M52=0,0,1000*M52*'Market Data'!$O$51/('Market Penetration'!M52*'Market Data'!$M$51))</f>
        <v>75243.804434225734</v>
      </c>
      <c r="AJ52" s="470">
        <f>IF('Market Penetration'!N52=0,0,1000*N52*'Market Data'!$Y$51/('Market Penetration'!N52*'Market Data'!$W$51))</f>
        <v>18141.807419220484</v>
      </c>
      <c r="AK52" s="471">
        <f>IF('Market Penetration'!O52=0,0,1000*O52*'Market Data'!$Y$51/('Market Penetration'!O52*'Market Data'!$W$51))</f>
        <v>46281.291614373273</v>
      </c>
      <c r="AL52" s="471">
        <f>IF('Market Penetration'!P52=0,0,1000*P52*'Market Data'!$Y$51/('Market Penetration'!P52*'Market Data'!$W$51))</f>
        <v>40443.137220217941</v>
      </c>
      <c r="AM52" s="697">
        <f>IF('Market Penetration'!Q52=0,0,1000*Q52*'Market Data'!$Y$51/('Market Penetration'!Q52*'Market Data'!$W$51))</f>
        <v>52880.214170625943</v>
      </c>
      <c r="AN52" s="471">
        <f>IF('Market Penetration'!R52=0,0,1000*R52*'Market Data'!$Y$51/('Market Penetration'!R52*'Market Data'!$W$51))</f>
        <v>47665.448771087256</v>
      </c>
      <c r="AO52" s="692">
        <f>IF('Market Penetration'!S52=0,0,1000*S52*'Market Data'!$Y$51/('Market Penetration'!S52*'Market Data'!$W$51))</f>
        <v>40427.061102572763</v>
      </c>
      <c r="AP52" s="470">
        <f>IF('Market Penetration'!T52=0,0,1000*T52*('Market Data'!$E$51+'Market Data'!$O$51+'Market Data'!$Y$51)/('Market Penetration'!T52*('Market Data'!$C$51+'Market Data'!$M$51+'Market Data'!$W$51)))</f>
        <v>39396.647044090649</v>
      </c>
      <c r="AQ52" s="472">
        <f>IF('Market Penetration'!U52=0,0,1000*U52*('Market Data'!$E$51+'Market Data'!$O$51+'Market Data'!$Y$51)/('Market Penetration'!U52*('Market Data'!$C$51+'Market Data'!$M$51+'Market Data'!$W$51)))</f>
        <v>97247.704821078878</v>
      </c>
    </row>
    <row r="53" spans="1:43" x14ac:dyDescent="0.2">
      <c r="A53" s="398"/>
      <c r="B53" s="398"/>
    </row>
    <row r="54" spans="1:43" x14ac:dyDescent="0.2">
      <c r="A54" s="408" t="str">
        <f>"Run id: '"&amp;'Run Model'!B3&amp;"'"</f>
        <v>Run id: 'Testing Aug 24 FY2020 Final Run'</v>
      </c>
      <c r="B54" s="398"/>
      <c r="F54" s="1284"/>
      <c r="O54" s="1284"/>
      <c r="T54" s="1284"/>
    </row>
    <row r="55" spans="1:43" x14ac:dyDescent="0.2">
      <c r="A55" s="408" t="s">
        <v>126</v>
      </c>
      <c r="B55" s="398"/>
    </row>
    <row r="56" spans="1:43" x14ac:dyDescent="0.2">
      <c r="A56" s="473" t="str">
        <f>"Combination, Centrally Refueled: " &amp;TEXT(RtimeCls1Cent1,"mm/dd/yyyy hh:mm")</f>
        <v>Combination, Centrally Refueled: 07/21/2020 15:48</v>
      </c>
      <c r="B56" s="399"/>
    </row>
    <row r="57" spans="1:43" x14ac:dyDescent="0.2">
      <c r="A57" s="473" t="str">
        <f>"Combination, Non-Centrally Refueled: " &amp;TEXT(RtimeCls1NCent1,"mm/dd/yyyy hh:mm")</f>
        <v>Combination, Non-Centrally Refueled: 07/21/2020 15:48</v>
      </c>
    </row>
    <row r="58" spans="1:43" x14ac:dyDescent="0.2">
      <c r="A58" s="473" t="str">
        <f>"Single Unit, Centrally Refueled: " &amp;TEXT(RtimeCls2Cent1,"mm/dd/yyyy hh:mm")</f>
        <v>Single Unit, Centrally Refueled: 07/21/2020 15:48</v>
      </c>
    </row>
    <row r="59" spans="1:43" x14ac:dyDescent="0.2">
      <c r="A59" s="473" t="str">
        <f>"Single Unit, Non-Centrally Refueled: " &amp;TEXT(RtimeCls2NCent1,"mm/dd/yyyy hh:mm")</f>
        <v>Single Unit, Non-Centrally Refueled: 07/21/2020 15:48</v>
      </c>
    </row>
  </sheetData>
  <mergeCells count="18">
    <mergeCell ref="B5:G5"/>
    <mergeCell ref="B4:G4"/>
    <mergeCell ref="AP5:AQ5"/>
    <mergeCell ref="AP4:AQ4"/>
    <mergeCell ref="A3:U3"/>
    <mergeCell ref="W3:AQ3"/>
    <mergeCell ref="T5:U5"/>
    <mergeCell ref="T4:U4"/>
    <mergeCell ref="N5:S5"/>
    <mergeCell ref="N4:S4"/>
    <mergeCell ref="X4:AC4"/>
    <mergeCell ref="AD4:AI4"/>
    <mergeCell ref="AJ4:AO4"/>
    <mergeCell ref="X5:AC5"/>
    <mergeCell ref="AD5:AI5"/>
    <mergeCell ref="AJ5:AO5"/>
    <mergeCell ref="H5:M5"/>
    <mergeCell ref="H4:M4"/>
  </mergeCells>
  <phoneticPr fontId="59" type="noConversion"/>
  <conditionalFormatting sqref="B6:S52 X6:AO52">
    <cfRule type="expression" dxfId="24" priority="1">
      <formula>B$7="not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MktPen">
    <tabColor indexed="17"/>
    <pageSetUpPr fitToPage="1"/>
  </sheetPr>
  <dimension ref="A1:Z59"/>
  <sheetViews>
    <sheetView showZeros="0" zoomScale="70" zoomScaleNormal="70" workbookViewId="0">
      <pane ySplit="8" topLeftCell="A29" activePane="bottomLeft" state="frozen"/>
      <selection pane="bottomLeft" activeCell="F47" sqref="F47"/>
    </sheetView>
  </sheetViews>
  <sheetFormatPr baseColWidth="10" defaultColWidth="9.1640625" defaultRowHeight="14" x14ac:dyDescent="0.2"/>
  <cols>
    <col min="1" max="1" width="9.1640625" style="397"/>
    <col min="2" max="2" width="13.33203125" style="397" customWidth="1"/>
    <col min="3" max="7" width="10.5" style="397" customWidth="1"/>
    <col min="8" max="8" width="13.83203125" style="397" customWidth="1"/>
    <col min="9" max="13" width="10.5" style="397" customWidth="1"/>
    <col min="14" max="14" width="13.33203125" style="397" customWidth="1"/>
    <col min="15" max="15" width="11.33203125" style="397" bestFit="1" customWidth="1"/>
    <col min="16" max="17" width="9.1640625" style="397"/>
    <col min="18" max="18" width="10.5" style="397" customWidth="1"/>
    <col min="19" max="20" width="9.1640625" style="397"/>
    <col min="21" max="21" width="11.6640625" style="397" customWidth="1"/>
    <col min="22" max="25" width="9.1640625" style="397"/>
    <col min="26" max="26" width="9.5" style="397" customWidth="1"/>
    <col min="27" max="16384" width="9.1640625" style="397"/>
  </cols>
  <sheetData>
    <row r="1" spans="1:26" x14ac:dyDescent="0.2">
      <c r="A1" s="861" t="s">
        <v>261</v>
      </c>
    </row>
    <row r="3" spans="1:26" ht="20" thickBot="1" x14ac:dyDescent="0.3">
      <c r="A3" s="1600" t="s">
        <v>128</v>
      </c>
      <c r="B3" s="1601"/>
      <c r="C3" s="1601"/>
      <c r="D3" s="1601"/>
      <c r="E3" s="1601"/>
      <c r="F3" s="1601"/>
      <c r="G3" s="1601"/>
      <c r="H3" s="1601"/>
      <c r="I3" s="1601"/>
      <c r="J3" s="1601"/>
      <c r="K3" s="1601"/>
      <c r="L3" s="1601"/>
      <c r="M3" s="1601"/>
      <c r="N3" s="1601"/>
      <c r="O3" s="1601"/>
      <c r="P3" s="1601"/>
      <c r="Q3" s="1601"/>
      <c r="R3" s="1601"/>
      <c r="S3" s="1601"/>
      <c r="T3" s="1601"/>
      <c r="U3" s="1601"/>
    </row>
    <row r="4" spans="1:26" ht="15" x14ac:dyDescent="0.2">
      <c r="A4" s="400"/>
      <c r="B4" s="1602" t="s">
        <v>249</v>
      </c>
      <c r="C4" s="1603"/>
      <c r="D4" s="1603"/>
      <c r="E4" s="1603"/>
      <c r="F4" s="1603"/>
      <c r="G4" s="1604"/>
      <c r="H4" s="1602" t="s">
        <v>250</v>
      </c>
      <c r="I4" s="1603"/>
      <c r="J4" s="1603"/>
      <c r="K4" s="1603"/>
      <c r="L4" s="1603"/>
      <c r="M4" s="1604"/>
      <c r="N4" s="1602" t="s">
        <v>154</v>
      </c>
      <c r="O4" s="1603"/>
      <c r="P4" s="1603"/>
      <c r="Q4" s="1603"/>
      <c r="R4" s="1603"/>
      <c r="S4" s="1604"/>
      <c r="T4" s="1609" t="s">
        <v>153</v>
      </c>
      <c r="U4" s="1610"/>
    </row>
    <row r="5" spans="1:26" ht="15" x14ac:dyDescent="0.2">
      <c r="A5" s="401"/>
      <c r="B5" s="1605" t="s">
        <v>129</v>
      </c>
      <c r="C5" s="1606"/>
      <c r="D5" s="1606"/>
      <c r="E5" s="1606"/>
      <c r="F5" s="1606"/>
      <c r="G5" s="1607"/>
      <c r="H5" s="1605" t="s">
        <v>129</v>
      </c>
      <c r="I5" s="1606"/>
      <c r="J5" s="1606"/>
      <c r="K5" s="1606"/>
      <c r="L5" s="1606"/>
      <c r="M5" s="1607"/>
      <c r="N5" s="1605" t="s">
        <v>129</v>
      </c>
      <c r="O5" s="1606"/>
      <c r="P5" s="1606"/>
      <c r="Q5" s="1606"/>
      <c r="R5" s="1606"/>
      <c r="S5" s="1607"/>
      <c r="T5" s="1608" t="s">
        <v>129</v>
      </c>
      <c r="U5" s="1587"/>
    </row>
    <row r="6" spans="1:26"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9"/>
      <c r="U6" s="650"/>
      <c r="V6" s="397" t="s">
        <v>360</v>
      </c>
    </row>
    <row r="7" spans="1:26" s="848" customFormat="1" ht="32" x14ac:dyDescent="0.15">
      <c r="A7" s="842"/>
      <c r="B7" s="1103" t="str">
        <f t="shared" ref="B7:G7" si="0">INDEX(TECH_OPT_DESC_Cls1,MATCH(B6,TECH_OPT_ROWS_Cls1,0))</f>
        <v>Conventional Diesel ICE</v>
      </c>
      <c r="C7" s="1104" t="str">
        <f t="shared" si="0"/>
        <v>Adv Conv</v>
      </c>
      <c r="D7" s="1104" t="str">
        <f t="shared" si="0"/>
        <v>HEV</v>
      </c>
      <c r="E7" s="1104" t="str">
        <f t="shared" si="0"/>
        <v>BEV</v>
      </c>
      <c r="F7" s="1104" t="str">
        <f t="shared" si="0"/>
        <v>FCEV</v>
      </c>
      <c r="G7" s="1105">
        <f t="shared" si="0"/>
        <v>0</v>
      </c>
      <c r="H7" s="1103" t="str">
        <f t="shared" ref="H7:M7" si="1">INDEX(TECH_OPT_DESC_Cls2,MATCH(H6,TECH_OPT_ROWS_Cls2,0))</f>
        <v>Conventional Diesel ICE</v>
      </c>
      <c r="I7" s="1104" t="str">
        <f t="shared" si="1"/>
        <v>Adv Conv</v>
      </c>
      <c r="J7" s="1104" t="str">
        <f t="shared" si="1"/>
        <v>ISG</v>
      </c>
      <c r="K7" s="1104" t="str">
        <f t="shared" si="1"/>
        <v>PHEV</v>
      </c>
      <c r="L7" s="1104" t="str">
        <f t="shared" si="1"/>
        <v>BEV</v>
      </c>
      <c r="M7" s="1105" t="str">
        <f t="shared" si="1"/>
        <v>FCHEV</v>
      </c>
      <c r="N7" s="1103" t="str">
        <f t="shared" ref="N7:S7" si="2">INDEX(TECH_OPT_DESC_Cls3,MATCH(N6,TECH_OPT_ROWS_Cls3,0))</f>
        <v>Conventional Diesel ICE</v>
      </c>
      <c r="O7" s="1104" t="str">
        <f t="shared" si="2"/>
        <v>Adv Conv</v>
      </c>
      <c r="P7" s="1104" t="str">
        <f t="shared" si="2"/>
        <v>ISG</v>
      </c>
      <c r="Q7" s="1104" t="str">
        <f t="shared" si="2"/>
        <v>HEV</v>
      </c>
      <c r="R7" s="1104" t="str">
        <f t="shared" si="2"/>
        <v>PHEV</v>
      </c>
      <c r="S7" s="1105" t="str">
        <f t="shared" si="2"/>
        <v>BEV</v>
      </c>
      <c r="T7" s="846" t="s">
        <v>70</v>
      </c>
      <c r="U7" s="847" t="s">
        <v>138</v>
      </c>
      <c r="V7" s="848" t="s">
        <v>321</v>
      </c>
      <c r="W7" s="848" t="s">
        <v>322</v>
      </c>
      <c r="X7" s="848" t="s">
        <v>324</v>
      </c>
      <c r="Y7" s="848" t="s">
        <v>323</v>
      </c>
      <c r="Z7" s="848" t="s">
        <v>359</v>
      </c>
    </row>
    <row r="8" spans="1:26"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9" t="str">
        <f t="shared" ref="H8:M8" si="4">INDEX(TECH_OPT_FUEL1_Cls2,MATCH(H6,TECH_OPT_ROWS_Cls2,0))</f>
        <v>Diesel</v>
      </c>
      <c r="I8" s="1107" t="str">
        <f t="shared" si="4"/>
        <v>Diesel</v>
      </c>
      <c r="J8" s="1107" t="str">
        <f t="shared" si="4"/>
        <v>Diesel</v>
      </c>
      <c r="K8" s="1107" t="str">
        <f t="shared" si="4"/>
        <v>Diesel</v>
      </c>
      <c r="L8" s="1107" t="str">
        <f t="shared" si="4"/>
        <v>Electricity</v>
      </c>
      <c r="M8" s="1108" t="str">
        <f t="shared" si="4"/>
        <v>Hydrogen</v>
      </c>
      <c r="N8" s="1106" t="str">
        <f t="shared" ref="N8:S8" si="5">INDEX(TECH_OPT_FUEL1_Cls3,MATCH(N6,TECH_OPT_ROWS_Cls3,0))</f>
        <v>Diesel</v>
      </c>
      <c r="O8" s="1107" t="str">
        <f t="shared" si="5"/>
        <v>Diesel</v>
      </c>
      <c r="P8" s="1107" t="str">
        <f t="shared" si="5"/>
        <v>Diesel</v>
      </c>
      <c r="Q8" s="1107" t="str">
        <f t="shared" si="5"/>
        <v>Diesel</v>
      </c>
      <c r="R8" s="1107" t="str">
        <f t="shared" si="5"/>
        <v>Diesel</v>
      </c>
      <c r="S8" s="1108" t="str">
        <f t="shared" si="5"/>
        <v>Electricity</v>
      </c>
      <c r="T8" s="665"/>
      <c r="U8" s="418"/>
    </row>
    <row r="9" spans="1:26" ht="16" thickTop="1" x14ac:dyDescent="0.2">
      <c r="A9" s="403">
        <v>2007</v>
      </c>
      <c r="B9" s="671">
        <f>1-SUM(C9:G9)</f>
        <v>1</v>
      </c>
      <c r="C9" s="672">
        <f>'7&amp;8 Sleep'!$N76+'7&amp;8 Sleep'!$AA76</f>
        <v>0</v>
      </c>
      <c r="D9" s="672">
        <f>'7&amp;8 Sleep'!$N128+'7&amp;8 Sleep'!$AA128</f>
        <v>0</v>
      </c>
      <c r="E9" s="672">
        <f>'7&amp;8 Sleep'!$N180+'7&amp;8 Sleep'!$AA180</f>
        <v>0</v>
      </c>
      <c r="F9" s="672">
        <f>'7&amp;8 Sleep'!$N233+'7&amp;8 Sleep'!$AA233</f>
        <v>0</v>
      </c>
      <c r="G9" s="673">
        <f>'7&amp;8 Sleep'!$N286+'7&amp;8 Sleep'!$AA286</f>
        <v>0</v>
      </c>
      <c r="H9" s="656">
        <f>1-SUM(I9:M9)</f>
        <v>1</v>
      </c>
      <c r="I9" s="656">
        <f>'7&amp;8 Day'!$N76+'7&amp;8 Day'!$AA76</f>
        <v>0</v>
      </c>
      <c r="J9" s="656">
        <f>'7&amp;8 Day'!$N128+'7&amp;8 Day'!$AA128</f>
        <v>0</v>
      </c>
      <c r="K9" s="656">
        <f>'7&amp;8 Day'!$N180+'7&amp;8 Day'!$AA180</f>
        <v>0</v>
      </c>
      <c r="L9" s="656">
        <f>'7&amp;8 Day'!$N233+'7&amp;8 Day'!$AA233</f>
        <v>0</v>
      </c>
      <c r="M9" s="656">
        <f>'7&amp;8 Day'!$N286+'7&amp;8 Day'!$AA286</f>
        <v>0</v>
      </c>
      <c r="N9" s="671">
        <f>1-SUM(O9:S9)</f>
        <v>1</v>
      </c>
      <c r="O9" s="672">
        <f>'7&amp;8 SU'!$N76+'7&amp;8 SU'!$AA76</f>
        <v>0</v>
      </c>
      <c r="P9" s="672">
        <f>'7&amp;8 SU'!$N128+'7&amp;8 SU'!$AA128</f>
        <v>0</v>
      </c>
      <c r="Q9" s="672">
        <f>'7&amp;8 SU'!$N180+'7&amp;8 SU'!$AA180</f>
        <v>0</v>
      </c>
      <c r="R9" s="672">
        <f>'7&amp;8 SU'!$N233+'7&amp;8 SU'!$AA233</f>
        <v>0</v>
      </c>
      <c r="S9" s="673">
        <f>'7&amp;8 SU'!$N286+'7&amp;8 SU'!$AA286</f>
        <v>0</v>
      </c>
      <c r="T9" s="663">
        <f>B9*'Market Data'!$C$52+H9*'Market Data'!$M$52+N9*'Market Data'!$W$52</f>
        <v>1</v>
      </c>
      <c r="U9" s="432">
        <f>SUM(C9:G9)*'Market Data'!$C$52+SUM(I9:M9)*'Market Data'!$M$52+SUM(O9:S9)*'Market Data'!$W$52</f>
        <v>0</v>
      </c>
      <c r="X9" s="117"/>
    </row>
    <row r="10" spans="1:26" ht="15" x14ac:dyDescent="0.2">
      <c r="A10" s="403">
        <v>2008</v>
      </c>
      <c r="B10" s="674">
        <f t="shared" ref="B10:B52" si="6">1-SUM(C10:G10)</f>
        <v>1</v>
      </c>
      <c r="C10" s="675">
        <f>'7&amp;8 Sleep'!$N77+'7&amp;8 Sleep'!$AA77</f>
        <v>0</v>
      </c>
      <c r="D10" s="675">
        <f>'7&amp;8 Sleep'!$N129+'7&amp;8 Sleep'!$AA129</f>
        <v>0</v>
      </c>
      <c r="E10" s="675">
        <f>'7&amp;8 Sleep'!$N181+'7&amp;8 Sleep'!$AA181</f>
        <v>0</v>
      </c>
      <c r="F10" s="675">
        <f>'7&amp;8 Sleep'!$N234+'7&amp;8 Sleep'!$AA234</f>
        <v>0</v>
      </c>
      <c r="G10" s="676">
        <f>'7&amp;8 Sleep'!$N287+'7&amp;8 Sleep'!$AA287</f>
        <v>0</v>
      </c>
      <c r="H10" s="657">
        <f t="shared" ref="H10:H52" si="7">1-SUM(I10:M10)</f>
        <v>1</v>
      </c>
      <c r="I10" s="657">
        <f>'7&amp;8 Day'!$N77+'7&amp;8 Day'!$AA77</f>
        <v>0</v>
      </c>
      <c r="J10" s="657">
        <f>'7&amp;8 Day'!$N129+'7&amp;8 Day'!$AA129</f>
        <v>0</v>
      </c>
      <c r="K10" s="657">
        <f>'7&amp;8 Day'!$N181+'7&amp;8 Day'!$AA181</f>
        <v>0</v>
      </c>
      <c r="L10" s="657">
        <f>'7&amp;8 Day'!$N234+'7&amp;8 Day'!$AA234</f>
        <v>0</v>
      </c>
      <c r="M10" s="657">
        <f>'7&amp;8 Day'!$N287+'7&amp;8 Day'!$AA287</f>
        <v>0</v>
      </c>
      <c r="N10" s="674">
        <f t="shared" ref="N10:N52" si="8">1-SUM(O10:S10)</f>
        <v>1</v>
      </c>
      <c r="O10" s="675">
        <f>'7&amp;8 SU'!$N77+'7&amp;8 SU'!$AA77</f>
        <v>0</v>
      </c>
      <c r="P10" s="675">
        <f>'7&amp;8 SU'!$N129+'7&amp;8 SU'!$AA129</f>
        <v>0</v>
      </c>
      <c r="Q10" s="675">
        <f>'7&amp;8 SU'!$N181+'7&amp;8 SU'!$AA181</f>
        <v>0</v>
      </c>
      <c r="R10" s="675">
        <f>'7&amp;8 SU'!$N234+'7&amp;8 SU'!$AA234</f>
        <v>0</v>
      </c>
      <c r="S10" s="676">
        <f>'7&amp;8 SU'!$N287+'7&amp;8 SU'!$AA287</f>
        <v>0</v>
      </c>
      <c r="T10" s="661">
        <f>B10*'Market Data'!$C$52+H10*'Market Data'!$M$52+N10*'Market Data'!$W$52</f>
        <v>1</v>
      </c>
      <c r="U10" s="425">
        <f>SUM(C10:G10)*'Market Data'!$C$52+SUM(I10:M10)*'Market Data'!$M$52+SUM(O10:S10)*'Market Data'!$W$52</f>
        <v>0</v>
      </c>
      <c r="X10" s="117"/>
    </row>
    <row r="11" spans="1:26" ht="15" x14ac:dyDescent="0.2">
      <c r="A11" s="403">
        <v>2009</v>
      </c>
      <c r="B11" s="674">
        <f t="shared" si="6"/>
        <v>1</v>
      </c>
      <c r="C11" s="675">
        <f>'7&amp;8 Sleep'!$N78+'7&amp;8 Sleep'!$AA78</f>
        <v>0</v>
      </c>
      <c r="D11" s="675">
        <f>'7&amp;8 Sleep'!$N130+'7&amp;8 Sleep'!$AA130</f>
        <v>0</v>
      </c>
      <c r="E11" s="675">
        <f>'7&amp;8 Sleep'!$N182+'7&amp;8 Sleep'!$AA182</f>
        <v>0</v>
      </c>
      <c r="F11" s="675">
        <f>'7&amp;8 Sleep'!$N235+'7&amp;8 Sleep'!$AA235</f>
        <v>0</v>
      </c>
      <c r="G11" s="676">
        <f>'7&amp;8 Sleep'!$N288+'7&amp;8 Sleep'!$AA288</f>
        <v>0</v>
      </c>
      <c r="H11" s="657">
        <f t="shared" si="7"/>
        <v>1</v>
      </c>
      <c r="I11" s="657">
        <f>'7&amp;8 Day'!$N78+'7&amp;8 Day'!$AA78</f>
        <v>0</v>
      </c>
      <c r="J11" s="657">
        <f>'7&amp;8 Day'!$N130+'7&amp;8 Day'!$AA130</f>
        <v>0</v>
      </c>
      <c r="K11" s="657">
        <f>'7&amp;8 Day'!$N182+'7&amp;8 Day'!$AA182</f>
        <v>0</v>
      </c>
      <c r="L11" s="657">
        <f>'7&amp;8 Day'!$N235+'7&amp;8 Day'!$AA235</f>
        <v>0</v>
      </c>
      <c r="M11" s="657">
        <f>'7&amp;8 Day'!$N288+'7&amp;8 Day'!$AA288</f>
        <v>0</v>
      </c>
      <c r="N11" s="674">
        <f t="shared" si="8"/>
        <v>1</v>
      </c>
      <c r="O11" s="675">
        <f>'7&amp;8 SU'!$N78+'7&amp;8 SU'!$AA78</f>
        <v>0</v>
      </c>
      <c r="P11" s="675">
        <f>'7&amp;8 SU'!$N130+'7&amp;8 SU'!$AA130</f>
        <v>0</v>
      </c>
      <c r="Q11" s="675">
        <f>'7&amp;8 SU'!$N182+'7&amp;8 SU'!$AA182</f>
        <v>0</v>
      </c>
      <c r="R11" s="675">
        <f>'7&amp;8 SU'!$N235+'7&amp;8 SU'!$AA235</f>
        <v>0</v>
      </c>
      <c r="S11" s="676">
        <f>'7&amp;8 SU'!$N288+'7&amp;8 SU'!$AA288</f>
        <v>0</v>
      </c>
      <c r="T11" s="661">
        <f>B11*'Market Data'!$C$52+H11*'Market Data'!$M$52+N11*'Market Data'!$W$52</f>
        <v>1</v>
      </c>
      <c r="U11" s="425">
        <f>SUM(C11:G11)*'Market Data'!$C$52+SUM(I11:M11)*'Market Data'!$M$52+SUM(O11:S11)*'Market Data'!$W$52</f>
        <v>0</v>
      </c>
      <c r="X11" s="117"/>
    </row>
    <row r="12" spans="1:26" ht="15" x14ac:dyDescent="0.2">
      <c r="A12" s="402">
        <v>2010</v>
      </c>
      <c r="B12" s="677">
        <f t="shared" si="6"/>
        <v>1</v>
      </c>
      <c r="C12" s="678">
        <f>'7&amp;8 Sleep'!$N79+'7&amp;8 Sleep'!$AA79</f>
        <v>0</v>
      </c>
      <c r="D12" s="678">
        <f>'7&amp;8 Sleep'!$N131+'7&amp;8 Sleep'!$AA131</f>
        <v>0</v>
      </c>
      <c r="E12" s="678">
        <f>'7&amp;8 Sleep'!$N183+'7&amp;8 Sleep'!$AA183</f>
        <v>0</v>
      </c>
      <c r="F12" s="678">
        <f>'7&amp;8 Sleep'!$N236+'7&amp;8 Sleep'!$AA236</f>
        <v>0</v>
      </c>
      <c r="G12" s="679">
        <f>'7&amp;8 Sleep'!$N289+'7&amp;8 Sleep'!$AA289</f>
        <v>0</v>
      </c>
      <c r="H12" s="658">
        <f t="shared" si="7"/>
        <v>1</v>
      </c>
      <c r="I12" s="658">
        <f>'7&amp;8 Day'!$N79+'7&amp;8 Day'!$AA79</f>
        <v>0</v>
      </c>
      <c r="J12" s="658">
        <f>'7&amp;8 Day'!$N131+'7&amp;8 Day'!$AA131</f>
        <v>0</v>
      </c>
      <c r="K12" s="658">
        <f>'7&amp;8 Day'!$N183+'7&amp;8 Day'!$AA183</f>
        <v>0</v>
      </c>
      <c r="L12" s="658">
        <f>'7&amp;8 Day'!$N236+'7&amp;8 Day'!$AA236</f>
        <v>0</v>
      </c>
      <c r="M12" s="658">
        <f>'7&amp;8 Day'!$N289+'7&amp;8 Day'!$AA289</f>
        <v>0</v>
      </c>
      <c r="N12" s="677">
        <f t="shared" si="8"/>
        <v>1</v>
      </c>
      <c r="O12" s="678">
        <f>'7&amp;8 SU'!$N79+'7&amp;8 SU'!$AA79</f>
        <v>0</v>
      </c>
      <c r="P12" s="678">
        <f>'7&amp;8 SU'!$N131+'7&amp;8 SU'!$AA131</f>
        <v>0</v>
      </c>
      <c r="Q12" s="678">
        <f>'7&amp;8 SU'!$N183+'7&amp;8 SU'!$AA183</f>
        <v>0</v>
      </c>
      <c r="R12" s="678">
        <f>'7&amp;8 SU'!$N236+'7&amp;8 SU'!$AA236</f>
        <v>0</v>
      </c>
      <c r="S12" s="679">
        <f>'7&amp;8 SU'!$N289+'7&amp;8 SU'!$AA289</f>
        <v>0</v>
      </c>
      <c r="T12" s="662">
        <f>B12*'Market Data'!$C$52+H12*'Market Data'!$M$52+N12*'Market Data'!$W$52</f>
        <v>1</v>
      </c>
      <c r="U12" s="428">
        <f>SUM(C12:G12)*'Market Data'!$C$52+SUM(I12:M12)*'Market Data'!$M$52+SUM(O12:S12)*'Market Data'!$W$52</f>
        <v>0</v>
      </c>
      <c r="X12" s="117"/>
    </row>
    <row r="13" spans="1:26" ht="15" x14ac:dyDescent="0.2">
      <c r="A13" s="648">
        <v>2011</v>
      </c>
      <c r="B13" s="682">
        <f t="shared" si="6"/>
        <v>1</v>
      </c>
      <c r="C13" s="683">
        <f>'7&amp;8 Sleep'!$N80+'7&amp;8 Sleep'!$AA80</f>
        <v>0</v>
      </c>
      <c r="D13" s="683">
        <f>'7&amp;8 Sleep'!$N132+'7&amp;8 Sleep'!$AA132</f>
        <v>0</v>
      </c>
      <c r="E13" s="683">
        <f>'7&amp;8 Sleep'!$N184+'7&amp;8 Sleep'!$AA184</f>
        <v>0</v>
      </c>
      <c r="F13" s="683">
        <f>'7&amp;8 Sleep'!$N237+'7&amp;8 Sleep'!$AA237</f>
        <v>0</v>
      </c>
      <c r="G13" s="684">
        <f>'7&amp;8 Sleep'!$N290+'7&amp;8 Sleep'!$AA290</f>
        <v>0</v>
      </c>
      <c r="H13" s="659">
        <f t="shared" si="7"/>
        <v>1</v>
      </c>
      <c r="I13" s="659">
        <f>'7&amp;8 Day'!$N80+'7&amp;8 Day'!$AA80</f>
        <v>0</v>
      </c>
      <c r="J13" s="659">
        <f>'7&amp;8 Day'!$N132+'7&amp;8 Day'!$AA132</f>
        <v>0</v>
      </c>
      <c r="K13" s="659">
        <f>'7&amp;8 Day'!$N184+'7&amp;8 Day'!$AA184</f>
        <v>0</v>
      </c>
      <c r="L13" s="659">
        <f>'7&amp;8 Day'!$N237+'7&amp;8 Day'!$AA237</f>
        <v>0</v>
      </c>
      <c r="M13" s="659">
        <f>'7&amp;8 Day'!$N290+'7&amp;8 Day'!$AA290</f>
        <v>0</v>
      </c>
      <c r="N13" s="682">
        <f t="shared" si="8"/>
        <v>1</v>
      </c>
      <c r="O13" s="683">
        <f>'7&amp;8 SU'!$N80+'7&amp;8 SU'!$AA80</f>
        <v>0</v>
      </c>
      <c r="P13" s="683">
        <f>'7&amp;8 SU'!$N132+'7&amp;8 SU'!$AA132</f>
        <v>0</v>
      </c>
      <c r="Q13" s="683">
        <f>'7&amp;8 SU'!$N184+'7&amp;8 SU'!$AA184</f>
        <v>0</v>
      </c>
      <c r="R13" s="683">
        <f>'7&amp;8 SU'!$N237+'7&amp;8 SU'!$AA237</f>
        <v>0</v>
      </c>
      <c r="S13" s="684">
        <f>'7&amp;8 SU'!$N290+'7&amp;8 SU'!$AA290</f>
        <v>0</v>
      </c>
      <c r="T13" s="663">
        <f>B13*'Market Data'!$C$52+H13*'Market Data'!$M$52+N13*'Market Data'!$W$52</f>
        <v>1</v>
      </c>
      <c r="U13" s="432">
        <f>SUM(C13:G13)*'Market Data'!$C$52+SUM(I13:M13)*'Market Data'!$M$52+SUM(O13:S13)*'Market Data'!$W$52</f>
        <v>0</v>
      </c>
      <c r="X13" s="117"/>
    </row>
    <row r="14" spans="1:26" ht="15" x14ac:dyDescent="0.2">
      <c r="A14" s="403">
        <v>2012</v>
      </c>
      <c r="B14" s="674">
        <f t="shared" si="6"/>
        <v>1</v>
      </c>
      <c r="C14" s="675">
        <f>'7&amp;8 Sleep'!$N81+'7&amp;8 Sleep'!$AA81</f>
        <v>0</v>
      </c>
      <c r="D14" s="675">
        <f>'7&amp;8 Sleep'!$N133+'7&amp;8 Sleep'!$AA133</f>
        <v>0</v>
      </c>
      <c r="E14" s="675">
        <f>'7&amp;8 Sleep'!$N185+'7&amp;8 Sleep'!$AA185</f>
        <v>0</v>
      </c>
      <c r="F14" s="675">
        <f>'7&amp;8 Sleep'!$N238+'7&amp;8 Sleep'!$AA238</f>
        <v>0</v>
      </c>
      <c r="G14" s="676">
        <f>'7&amp;8 Sleep'!$N291+'7&amp;8 Sleep'!$AA291</f>
        <v>0</v>
      </c>
      <c r="H14" s="657">
        <f t="shared" si="7"/>
        <v>1</v>
      </c>
      <c r="I14" s="657">
        <f>'7&amp;8 Day'!$N81+'7&amp;8 Day'!$AA81</f>
        <v>0</v>
      </c>
      <c r="J14" s="657">
        <f>'7&amp;8 Day'!$N133+'7&amp;8 Day'!$AA133</f>
        <v>0</v>
      </c>
      <c r="K14" s="657">
        <f>'7&amp;8 Day'!$N185+'7&amp;8 Day'!$AA185</f>
        <v>0</v>
      </c>
      <c r="L14" s="657">
        <f>'7&amp;8 Day'!$N238+'7&amp;8 Day'!$AA238</f>
        <v>0</v>
      </c>
      <c r="M14" s="657">
        <f>'7&amp;8 Day'!$N291+'7&amp;8 Day'!$AA291</f>
        <v>0</v>
      </c>
      <c r="N14" s="674">
        <f t="shared" si="8"/>
        <v>1</v>
      </c>
      <c r="O14" s="675">
        <f>'7&amp;8 SU'!$N81+'7&amp;8 SU'!$AA81</f>
        <v>0</v>
      </c>
      <c r="P14" s="675">
        <f>'7&amp;8 SU'!$N133+'7&amp;8 SU'!$AA133</f>
        <v>0</v>
      </c>
      <c r="Q14" s="675">
        <f>'7&amp;8 SU'!$N185+'7&amp;8 SU'!$AA185</f>
        <v>0</v>
      </c>
      <c r="R14" s="675">
        <f>'7&amp;8 SU'!$N238+'7&amp;8 SU'!$AA238</f>
        <v>0</v>
      </c>
      <c r="S14" s="676">
        <f>'7&amp;8 SU'!$N291+'7&amp;8 SU'!$AA291</f>
        <v>0</v>
      </c>
      <c r="T14" s="661">
        <f>B14*'Market Data'!$C$52+H14*'Market Data'!$M$52+N14*'Market Data'!$W$52</f>
        <v>1</v>
      </c>
      <c r="U14" s="425">
        <f>SUM(C14:G14)*'Market Data'!$C$52+SUM(I14:M14)*'Market Data'!$M$52+SUM(O14:S14)*'Market Data'!$W$52</f>
        <v>0</v>
      </c>
      <c r="X14" s="117"/>
    </row>
    <row r="15" spans="1:26" ht="15" x14ac:dyDescent="0.2">
      <c r="A15" s="403">
        <v>2013</v>
      </c>
      <c r="B15" s="674">
        <f t="shared" si="6"/>
        <v>1</v>
      </c>
      <c r="C15" s="675">
        <f>'7&amp;8 Sleep'!$N82+'7&amp;8 Sleep'!$AA82</f>
        <v>0</v>
      </c>
      <c r="D15" s="675">
        <f>'7&amp;8 Sleep'!$N134+'7&amp;8 Sleep'!$AA134</f>
        <v>0</v>
      </c>
      <c r="E15" s="675">
        <f>'7&amp;8 Sleep'!$N186+'7&amp;8 Sleep'!$AA186</f>
        <v>0</v>
      </c>
      <c r="F15" s="675">
        <f>'7&amp;8 Sleep'!$N239+'7&amp;8 Sleep'!$AA239</f>
        <v>0</v>
      </c>
      <c r="G15" s="676">
        <f>'7&amp;8 Sleep'!$N292+'7&amp;8 Sleep'!$AA292</f>
        <v>0</v>
      </c>
      <c r="H15" s="657">
        <f t="shared" si="7"/>
        <v>1</v>
      </c>
      <c r="I15" s="657">
        <f>'7&amp;8 Day'!$N82+'7&amp;8 Day'!$AA82</f>
        <v>0</v>
      </c>
      <c r="J15" s="657">
        <f>'7&amp;8 Day'!$N134+'7&amp;8 Day'!$AA134</f>
        <v>0</v>
      </c>
      <c r="K15" s="657">
        <f>'7&amp;8 Day'!$N186+'7&amp;8 Day'!$AA186</f>
        <v>0</v>
      </c>
      <c r="L15" s="657">
        <f>'7&amp;8 Day'!$N239+'7&amp;8 Day'!$AA239</f>
        <v>0</v>
      </c>
      <c r="M15" s="657">
        <f>'7&amp;8 Day'!$N292+'7&amp;8 Day'!$AA292</f>
        <v>0</v>
      </c>
      <c r="N15" s="674">
        <f t="shared" si="8"/>
        <v>1</v>
      </c>
      <c r="O15" s="675">
        <f>'7&amp;8 SU'!$N82+'7&amp;8 SU'!$AA82</f>
        <v>0</v>
      </c>
      <c r="P15" s="675">
        <f>'7&amp;8 SU'!$N134+'7&amp;8 SU'!$AA134</f>
        <v>0</v>
      </c>
      <c r="Q15" s="675">
        <f>'7&amp;8 SU'!$N186+'7&amp;8 SU'!$AA186</f>
        <v>0</v>
      </c>
      <c r="R15" s="675">
        <f>'7&amp;8 SU'!$N239+'7&amp;8 SU'!$AA239</f>
        <v>0</v>
      </c>
      <c r="S15" s="676">
        <f>'7&amp;8 SU'!$N292+'7&amp;8 SU'!$AA292</f>
        <v>0</v>
      </c>
      <c r="T15" s="661">
        <f>B15*'Market Data'!$C$52+H15*'Market Data'!$M$52+N15*'Market Data'!$W$52</f>
        <v>1</v>
      </c>
      <c r="U15" s="425">
        <f>SUM(C15:G15)*'Market Data'!$C$52+SUM(I15:M15)*'Market Data'!$M$52+SUM(O15:S15)*'Market Data'!$W$52</f>
        <v>0</v>
      </c>
      <c r="X15" s="117"/>
    </row>
    <row r="16" spans="1:26" ht="15" x14ac:dyDescent="0.2">
      <c r="A16" s="403">
        <v>2014</v>
      </c>
      <c r="B16" s="674">
        <f t="shared" si="6"/>
        <v>1</v>
      </c>
      <c r="C16" s="675">
        <f>'7&amp;8 Sleep'!$N83+'7&amp;8 Sleep'!$AA83</f>
        <v>0</v>
      </c>
      <c r="D16" s="675">
        <f>'7&amp;8 Sleep'!$N135+'7&amp;8 Sleep'!$AA135</f>
        <v>0</v>
      </c>
      <c r="E16" s="675">
        <f>'7&amp;8 Sleep'!$N187+'7&amp;8 Sleep'!$AA187</f>
        <v>0</v>
      </c>
      <c r="F16" s="675">
        <f>'7&amp;8 Sleep'!$N240+'7&amp;8 Sleep'!$AA240</f>
        <v>0</v>
      </c>
      <c r="G16" s="676">
        <f>'7&amp;8 Sleep'!$N293+'7&amp;8 Sleep'!$AA293</f>
        <v>0</v>
      </c>
      <c r="H16" s="657">
        <f t="shared" si="7"/>
        <v>1</v>
      </c>
      <c r="I16" s="657">
        <f>'7&amp;8 Day'!$N83+'7&amp;8 Day'!$AA83</f>
        <v>0</v>
      </c>
      <c r="J16" s="657">
        <f>'7&amp;8 Day'!$N135+'7&amp;8 Day'!$AA135</f>
        <v>0</v>
      </c>
      <c r="K16" s="657">
        <f>'7&amp;8 Day'!$N187+'7&amp;8 Day'!$AA187</f>
        <v>0</v>
      </c>
      <c r="L16" s="657">
        <f>'7&amp;8 Day'!$N240+'7&amp;8 Day'!$AA240</f>
        <v>0</v>
      </c>
      <c r="M16" s="657">
        <f>'7&amp;8 Day'!$N293+'7&amp;8 Day'!$AA293</f>
        <v>0</v>
      </c>
      <c r="N16" s="674">
        <f t="shared" si="8"/>
        <v>1</v>
      </c>
      <c r="O16" s="675">
        <f>'7&amp;8 SU'!$N83+'7&amp;8 SU'!$AA83</f>
        <v>0</v>
      </c>
      <c r="P16" s="675">
        <f>'7&amp;8 SU'!$N135+'7&amp;8 SU'!$AA135</f>
        <v>0</v>
      </c>
      <c r="Q16" s="675">
        <f>'7&amp;8 SU'!$N187+'7&amp;8 SU'!$AA187</f>
        <v>0</v>
      </c>
      <c r="R16" s="675">
        <f>'7&amp;8 SU'!$N240+'7&amp;8 SU'!$AA240</f>
        <v>0</v>
      </c>
      <c r="S16" s="676">
        <f>'7&amp;8 SU'!$N293+'7&amp;8 SU'!$AA293</f>
        <v>0</v>
      </c>
      <c r="T16" s="661">
        <f>B16*'Market Data'!$C$52+H16*'Market Data'!$M$52+N16*'Market Data'!$W$52</f>
        <v>1</v>
      </c>
      <c r="U16" s="425">
        <f>SUM(C16:G16)*'Market Data'!$C$52+SUM(I16:M16)*'Market Data'!$M$52+SUM(O16:S16)*'Market Data'!$W$52</f>
        <v>0</v>
      </c>
      <c r="X16" s="117"/>
    </row>
    <row r="17" spans="1:26" ht="15" x14ac:dyDescent="0.2">
      <c r="A17" s="402">
        <v>2015</v>
      </c>
      <c r="B17" s="677">
        <f t="shared" si="6"/>
        <v>1</v>
      </c>
      <c r="C17" s="678">
        <f>'7&amp;8 Sleep'!$N84+'7&amp;8 Sleep'!$AA84</f>
        <v>0</v>
      </c>
      <c r="D17" s="678">
        <f>'7&amp;8 Sleep'!$N136+'7&amp;8 Sleep'!$AA136</f>
        <v>0</v>
      </c>
      <c r="E17" s="678">
        <f>'7&amp;8 Sleep'!$N188+'7&amp;8 Sleep'!$AA188</f>
        <v>0</v>
      </c>
      <c r="F17" s="678">
        <f>'7&amp;8 Sleep'!$N241+'7&amp;8 Sleep'!$AA241</f>
        <v>0</v>
      </c>
      <c r="G17" s="679">
        <f>'7&amp;8 Sleep'!$N294+'7&amp;8 Sleep'!$AA294</f>
        <v>0</v>
      </c>
      <c r="H17" s="658">
        <f t="shared" si="7"/>
        <v>1</v>
      </c>
      <c r="I17" s="658">
        <f>'7&amp;8 Day'!$N84+'7&amp;8 Day'!$AA84</f>
        <v>0</v>
      </c>
      <c r="J17" s="658">
        <f>'7&amp;8 Day'!$N136+'7&amp;8 Day'!$AA136</f>
        <v>0</v>
      </c>
      <c r="K17" s="658">
        <f>'7&amp;8 Day'!$N188+'7&amp;8 Day'!$AA188</f>
        <v>0</v>
      </c>
      <c r="L17" s="658">
        <f>'7&amp;8 Day'!$N241+'7&amp;8 Day'!$AA241</f>
        <v>0</v>
      </c>
      <c r="M17" s="658">
        <f>'7&amp;8 Day'!$N294+'7&amp;8 Day'!$AA294</f>
        <v>0</v>
      </c>
      <c r="N17" s="677">
        <f t="shared" si="8"/>
        <v>1</v>
      </c>
      <c r="O17" s="678">
        <f>'7&amp;8 SU'!$N84+'7&amp;8 SU'!$AA84</f>
        <v>0</v>
      </c>
      <c r="P17" s="678">
        <f>'7&amp;8 SU'!$N136+'7&amp;8 SU'!$AA136</f>
        <v>0</v>
      </c>
      <c r="Q17" s="678">
        <f>'7&amp;8 SU'!$N188+'7&amp;8 SU'!$AA188</f>
        <v>0</v>
      </c>
      <c r="R17" s="678">
        <f>'7&amp;8 SU'!$N241+'7&amp;8 SU'!$AA241</f>
        <v>0</v>
      </c>
      <c r="S17" s="679">
        <f>'7&amp;8 SU'!$N294+'7&amp;8 SU'!$AA294</f>
        <v>0</v>
      </c>
      <c r="T17" s="662">
        <f>B17*'Market Data'!$C$52+H17*'Market Data'!$M$52+N17*'Market Data'!$W$52</f>
        <v>1</v>
      </c>
      <c r="U17" s="428">
        <f>SUM(C17:G17)*'Market Data'!$C$52+SUM(I17:M17)*'Market Data'!$M$52+SUM(O17:S17)*'Market Data'!$W$52</f>
        <v>0</v>
      </c>
      <c r="X17" s="117"/>
    </row>
    <row r="18" spans="1:26" ht="15" x14ac:dyDescent="0.2">
      <c r="A18" s="648">
        <v>2016</v>
      </c>
      <c r="B18" s="682">
        <f t="shared" si="6"/>
        <v>1</v>
      </c>
      <c r="C18" s="683">
        <f>'7&amp;8 Sleep'!$N85+'7&amp;8 Sleep'!$AA85</f>
        <v>0</v>
      </c>
      <c r="D18" s="683">
        <f>'7&amp;8 Sleep'!$N137+'7&amp;8 Sleep'!$AA137</f>
        <v>0</v>
      </c>
      <c r="E18" s="683">
        <f>'7&amp;8 Sleep'!$N189+'7&amp;8 Sleep'!$AA189</f>
        <v>0</v>
      </c>
      <c r="F18" s="683">
        <f>'7&amp;8 Sleep'!$N242+'7&amp;8 Sleep'!$AA242</f>
        <v>0</v>
      </c>
      <c r="G18" s="684">
        <f>'7&amp;8 Sleep'!$N295+'7&amp;8 Sleep'!$AA295</f>
        <v>0</v>
      </c>
      <c r="H18" s="659">
        <f t="shared" si="7"/>
        <v>1</v>
      </c>
      <c r="I18" s="659">
        <f>'7&amp;8 Day'!$N85+'7&amp;8 Day'!$AA85</f>
        <v>0</v>
      </c>
      <c r="J18" s="659">
        <f>'7&amp;8 Day'!$N137+'7&amp;8 Day'!$AA137</f>
        <v>0</v>
      </c>
      <c r="K18" s="659">
        <f>'7&amp;8 Day'!$N189+'7&amp;8 Day'!$AA189</f>
        <v>0</v>
      </c>
      <c r="L18" s="659">
        <f>'7&amp;8 Day'!$N242+'7&amp;8 Day'!$AA242</f>
        <v>0</v>
      </c>
      <c r="M18" s="659">
        <f>'7&amp;8 Day'!$N295+'7&amp;8 Day'!$AA295</f>
        <v>0</v>
      </c>
      <c r="N18" s="682">
        <f t="shared" si="8"/>
        <v>1</v>
      </c>
      <c r="O18" s="683">
        <f>'7&amp;8 SU'!$N85+'7&amp;8 SU'!$AA85</f>
        <v>0</v>
      </c>
      <c r="P18" s="683">
        <f>'7&amp;8 SU'!$N137+'7&amp;8 SU'!$AA137</f>
        <v>0</v>
      </c>
      <c r="Q18" s="683">
        <f>'7&amp;8 SU'!$N189+'7&amp;8 SU'!$AA189</f>
        <v>0</v>
      </c>
      <c r="R18" s="683">
        <f>'7&amp;8 SU'!$N242+'7&amp;8 SU'!$AA242</f>
        <v>0</v>
      </c>
      <c r="S18" s="684">
        <f>'7&amp;8 SU'!$N295+'7&amp;8 SU'!$AA295</f>
        <v>0</v>
      </c>
      <c r="T18" s="663">
        <f>B18*'Market Data'!$C$52+H18*'Market Data'!$M$52+N18*'Market Data'!$W$52</f>
        <v>1</v>
      </c>
      <c r="U18" s="432">
        <f>SUM(C18:G18)*'Market Data'!$C$52+SUM(I18:M18)*'Market Data'!$M$52+SUM(O18:S18)*'Market Data'!$W$52</f>
        <v>0</v>
      </c>
      <c r="X18" s="117"/>
    </row>
    <row r="19" spans="1:26" ht="15" x14ac:dyDescent="0.2">
      <c r="A19" s="403">
        <v>2017</v>
      </c>
      <c r="B19" s="674">
        <f t="shared" si="6"/>
        <v>1</v>
      </c>
      <c r="C19" s="675">
        <f>'7&amp;8 Sleep'!$N86+'7&amp;8 Sleep'!$AA86</f>
        <v>0</v>
      </c>
      <c r="D19" s="675">
        <f>'7&amp;8 Sleep'!$N138+'7&amp;8 Sleep'!$AA138</f>
        <v>0</v>
      </c>
      <c r="E19" s="675">
        <f>'7&amp;8 Sleep'!$N190+'7&amp;8 Sleep'!$AA190</f>
        <v>0</v>
      </c>
      <c r="F19" s="675">
        <f>'7&amp;8 Sleep'!$N243+'7&amp;8 Sleep'!$AA243</f>
        <v>0</v>
      </c>
      <c r="G19" s="676">
        <f>'7&amp;8 Sleep'!$N296+'7&amp;8 Sleep'!$AA296</f>
        <v>0</v>
      </c>
      <c r="H19" s="657">
        <f t="shared" si="7"/>
        <v>1</v>
      </c>
      <c r="I19" s="657">
        <f>'7&amp;8 Day'!$N86+'7&amp;8 Day'!$AA86</f>
        <v>0</v>
      </c>
      <c r="J19" s="657">
        <f>'7&amp;8 Day'!$N138+'7&amp;8 Day'!$AA138</f>
        <v>0</v>
      </c>
      <c r="K19" s="657">
        <f>'7&amp;8 Day'!$N190+'7&amp;8 Day'!$AA190</f>
        <v>0</v>
      </c>
      <c r="L19" s="657">
        <f>'7&amp;8 Day'!$N243+'7&amp;8 Day'!$AA243</f>
        <v>0</v>
      </c>
      <c r="M19" s="657">
        <f>'7&amp;8 Day'!$N296+'7&amp;8 Day'!$AA296</f>
        <v>0</v>
      </c>
      <c r="N19" s="674">
        <f t="shared" si="8"/>
        <v>1</v>
      </c>
      <c r="O19" s="675">
        <f>'7&amp;8 SU'!$N86+'7&amp;8 SU'!$AA86</f>
        <v>0</v>
      </c>
      <c r="P19" s="675">
        <f>'7&amp;8 SU'!$N138+'7&amp;8 SU'!$AA138</f>
        <v>0</v>
      </c>
      <c r="Q19" s="675">
        <f>'7&amp;8 SU'!$N190+'7&amp;8 SU'!$AA190</f>
        <v>0</v>
      </c>
      <c r="R19" s="675">
        <f>'7&amp;8 SU'!$N243+'7&amp;8 SU'!$AA243</f>
        <v>0</v>
      </c>
      <c r="S19" s="676">
        <f>'7&amp;8 SU'!$N296+'7&amp;8 SU'!$AA296</f>
        <v>0</v>
      </c>
      <c r="T19" s="661">
        <f>B19*'Market Data'!$C$52+H19*'Market Data'!$M$52+N19*'Market Data'!$W$52</f>
        <v>1</v>
      </c>
      <c r="U19" s="425">
        <f>SUM(C19:G19)*'Market Data'!$C$52+SUM(I19:M19)*'Market Data'!$M$52+SUM(O19:S19)*'Market Data'!$W$52</f>
        <v>0</v>
      </c>
      <c r="X19" s="117"/>
    </row>
    <row r="20" spans="1:26" ht="15" x14ac:dyDescent="0.2">
      <c r="A20" s="403">
        <v>2018</v>
      </c>
      <c r="B20" s="674">
        <f t="shared" si="6"/>
        <v>1</v>
      </c>
      <c r="C20" s="675">
        <f>'7&amp;8 Sleep'!$N87+'7&amp;8 Sleep'!$AA87</f>
        <v>0</v>
      </c>
      <c r="D20" s="675">
        <f>'7&amp;8 Sleep'!$N139+'7&amp;8 Sleep'!$AA139</f>
        <v>0</v>
      </c>
      <c r="E20" s="675">
        <f>'7&amp;8 Sleep'!$N191+'7&amp;8 Sleep'!$AA191</f>
        <v>0</v>
      </c>
      <c r="F20" s="675">
        <f>'7&amp;8 Sleep'!$N244+'7&amp;8 Sleep'!$AA244</f>
        <v>0</v>
      </c>
      <c r="G20" s="676">
        <f>'7&amp;8 Sleep'!$N297+'7&amp;8 Sleep'!$AA297</f>
        <v>0</v>
      </c>
      <c r="H20" s="657">
        <f t="shared" si="7"/>
        <v>1</v>
      </c>
      <c r="I20" s="657">
        <f>'7&amp;8 Day'!$N87+'7&amp;8 Day'!$AA87</f>
        <v>0</v>
      </c>
      <c r="J20" s="657">
        <f>'7&amp;8 Day'!$N139+'7&amp;8 Day'!$AA139</f>
        <v>0</v>
      </c>
      <c r="K20" s="657">
        <f>'7&amp;8 Day'!$N191+'7&amp;8 Day'!$AA191</f>
        <v>0</v>
      </c>
      <c r="L20" s="657">
        <f>'7&amp;8 Day'!$N244+'7&amp;8 Day'!$AA244</f>
        <v>0</v>
      </c>
      <c r="M20" s="657">
        <f>'7&amp;8 Day'!$N297+'7&amp;8 Day'!$AA297</f>
        <v>0</v>
      </c>
      <c r="N20" s="674">
        <f t="shared" si="8"/>
        <v>1</v>
      </c>
      <c r="O20" s="675">
        <f>'7&amp;8 SU'!$N87+'7&amp;8 SU'!$AA87</f>
        <v>0</v>
      </c>
      <c r="P20" s="675">
        <f>'7&amp;8 SU'!$N139+'7&amp;8 SU'!$AA139</f>
        <v>0</v>
      </c>
      <c r="Q20" s="675">
        <f>'7&amp;8 SU'!$N191+'7&amp;8 SU'!$AA191</f>
        <v>0</v>
      </c>
      <c r="R20" s="675">
        <f>'7&amp;8 SU'!$N244+'7&amp;8 SU'!$AA244</f>
        <v>0</v>
      </c>
      <c r="S20" s="676">
        <f>'7&amp;8 SU'!$N297+'7&amp;8 SU'!$AA297</f>
        <v>0</v>
      </c>
      <c r="T20" s="661">
        <f>B20*'Market Data'!$C$52+H20*'Market Data'!$M$52+N20*'Market Data'!$W$52</f>
        <v>1</v>
      </c>
      <c r="U20" s="425">
        <f>SUM(C20:G20)*'Market Data'!$C$52+SUM(I20:M20)*'Market Data'!$M$52+SUM(O20:S20)*'Market Data'!$W$52</f>
        <v>0</v>
      </c>
      <c r="V20" s="425">
        <f>D20*'Market Data'!$C$52+J20*'Market Data'!$M$52+P20*'Market Data'!$W$52</f>
        <v>0</v>
      </c>
      <c r="W20" s="425">
        <f>E20*'Market Data'!$C$52+Q20*'Market Data'!$W$52</f>
        <v>0</v>
      </c>
      <c r="X20" s="425">
        <f>F20*'Market Data'!$C$52+L20*'Market Data'!$M$52</f>
        <v>0</v>
      </c>
      <c r="Y20" s="425">
        <f>K20*'Market Data'!$M$52+R20*'Market Data'!$W$52</f>
        <v>0</v>
      </c>
      <c r="Z20" s="1284">
        <f>1-SUM(V20:Y20)</f>
        <v>1</v>
      </c>
    </row>
    <row r="21" spans="1:26" ht="15" x14ac:dyDescent="0.2">
      <c r="A21" s="403">
        <v>2019</v>
      </c>
      <c r="B21" s="674">
        <f t="shared" si="6"/>
        <v>1</v>
      </c>
      <c r="C21" s="675">
        <f>'7&amp;8 Sleep'!$N88+'7&amp;8 Sleep'!$AA88</f>
        <v>0</v>
      </c>
      <c r="D21" s="675">
        <f>'7&amp;8 Sleep'!$N140+'7&amp;8 Sleep'!$AA140</f>
        <v>0</v>
      </c>
      <c r="E21" s="675">
        <f>'7&amp;8 Sleep'!$N192+'7&amp;8 Sleep'!$AA192</f>
        <v>0</v>
      </c>
      <c r="F21" s="675">
        <f>'7&amp;8 Sleep'!$N245+'7&amp;8 Sleep'!$AA245</f>
        <v>0</v>
      </c>
      <c r="G21" s="676">
        <f>'7&amp;8 Sleep'!$N298+'7&amp;8 Sleep'!$AA298</f>
        <v>0</v>
      </c>
      <c r="H21" s="657">
        <f t="shared" si="7"/>
        <v>1</v>
      </c>
      <c r="I21" s="657">
        <f>'7&amp;8 Day'!$N88+'7&amp;8 Day'!$AA88</f>
        <v>0</v>
      </c>
      <c r="J21" s="657">
        <f>'7&amp;8 Day'!$N140+'7&amp;8 Day'!$AA140</f>
        <v>0</v>
      </c>
      <c r="K21" s="657">
        <f>'7&amp;8 Day'!$N192+'7&amp;8 Day'!$AA192</f>
        <v>0</v>
      </c>
      <c r="L21" s="657">
        <f>'7&amp;8 Day'!$N245+'7&amp;8 Day'!$AA245</f>
        <v>0</v>
      </c>
      <c r="M21" s="657">
        <f>'7&amp;8 Day'!$N298+'7&amp;8 Day'!$AA298</f>
        <v>0</v>
      </c>
      <c r="N21" s="674">
        <f t="shared" si="8"/>
        <v>1</v>
      </c>
      <c r="O21" s="675">
        <f>'7&amp;8 SU'!$N88+'7&amp;8 SU'!$AA88</f>
        <v>0</v>
      </c>
      <c r="P21" s="675">
        <f>'7&amp;8 SU'!$N140+'7&amp;8 SU'!$AA140</f>
        <v>0</v>
      </c>
      <c r="Q21" s="675">
        <f>'7&amp;8 SU'!$N192+'7&amp;8 SU'!$AA192</f>
        <v>0</v>
      </c>
      <c r="R21" s="675">
        <f>'7&amp;8 SU'!$N245+'7&amp;8 SU'!$AA245</f>
        <v>0</v>
      </c>
      <c r="S21" s="676">
        <f>'7&amp;8 SU'!$N298+'7&amp;8 SU'!$AA298</f>
        <v>0</v>
      </c>
      <c r="T21" s="661">
        <f>B21*'Market Data'!$C$52+H21*'Market Data'!$M$52+N21*'Market Data'!$W$52</f>
        <v>1</v>
      </c>
      <c r="U21" s="425">
        <f>SUM(C21:G21)*'Market Data'!$C$52+SUM(I21:M21)*'Market Data'!$M$52+SUM(O21:S21)*'Market Data'!$W$52</f>
        <v>0</v>
      </c>
      <c r="X21" s="117"/>
    </row>
    <row r="22" spans="1:26" ht="15" x14ac:dyDescent="0.2">
      <c r="A22" s="402">
        <v>2020</v>
      </c>
      <c r="B22" s="677">
        <f t="shared" si="6"/>
        <v>1</v>
      </c>
      <c r="C22" s="678">
        <f>'7&amp;8 Sleep'!$N89+'7&amp;8 Sleep'!$AA89</f>
        <v>0</v>
      </c>
      <c r="D22" s="678">
        <f>'7&amp;8 Sleep'!$N141+'7&amp;8 Sleep'!$AA141</f>
        <v>0</v>
      </c>
      <c r="E22" s="678">
        <f>'7&amp;8 Sleep'!$N193+'7&amp;8 Sleep'!$AA193</f>
        <v>0</v>
      </c>
      <c r="F22" s="678">
        <f>'7&amp;8 Sleep'!$N246+'7&amp;8 Sleep'!$AA246</f>
        <v>0</v>
      </c>
      <c r="G22" s="679">
        <f>'7&amp;8 Sleep'!$N299+'7&amp;8 Sleep'!$AA299</f>
        <v>0</v>
      </c>
      <c r="H22" s="658">
        <f t="shared" si="7"/>
        <v>1</v>
      </c>
      <c r="I22" s="658">
        <f>'7&amp;8 Day'!$N89+'7&amp;8 Day'!$AA89</f>
        <v>0</v>
      </c>
      <c r="J22" s="658">
        <f>'7&amp;8 Day'!$N141+'7&amp;8 Day'!$AA141</f>
        <v>0</v>
      </c>
      <c r="K22" s="658">
        <f>'7&amp;8 Day'!$N193+'7&amp;8 Day'!$AA193</f>
        <v>0</v>
      </c>
      <c r="L22" s="658">
        <f>'7&amp;8 Day'!$N246+'7&amp;8 Day'!$AA246</f>
        <v>0</v>
      </c>
      <c r="M22" s="658">
        <f>'7&amp;8 Day'!$N299+'7&amp;8 Day'!$AA299</f>
        <v>0</v>
      </c>
      <c r="N22" s="677">
        <f t="shared" si="8"/>
        <v>1</v>
      </c>
      <c r="O22" s="678">
        <f>'7&amp;8 SU'!$N89+'7&amp;8 SU'!$AA89</f>
        <v>0</v>
      </c>
      <c r="P22" s="678">
        <f>'7&amp;8 SU'!$N141+'7&amp;8 SU'!$AA141</f>
        <v>0</v>
      </c>
      <c r="Q22" s="678">
        <f>'7&amp;8 SU'!$N193+'7&amp;8 SU'!$AA193</f>
        <v>0</v>
      </c>
      <c r="R22" s="678">
        <f>'7&amp;8 SU'!$N246+'7&amp;8 SU'!$AA246</f>
        <v>0</v>
      </c>
      <c r="S22" s="679">
        <f>'7&amp;8 SU'!$N299+'7&amp;8 SU'!$AA299</f>
        <v>0</v>
      </c>
      <c r="T22" s="662">
        <f>B22*'Market Data'!$C$52+H22*'Market Data'!$M$52+N22*'Market Data'!$W$52</f>
        <v>1</v>
      </c>
      <c r="U22" s="428">
        <f>SUM(C22:G22)*'Market Data'!$C$52+SUM(I22:M22)*'Market Data'!$M$52+SUM(O22:S22)*'Market Data'!$W$52</f>
        <v>0</v>
      </c>
      <c r="X22" s="117"/>
    </row>
    <row r="23" spans="1:26" ht="15" x14ac:dyDescent="0.2">
      <c r="A23" s="648">
        <v>2021</v>
      </c>
      <c r="B23" s="682">
        <f t="shared" si="6"/>
        <v>1</v>
      </c>
      <c r="C23" s="683">
        <f>'7&amp;8 Sleep'!$N90+'7&amp;8 Sleep'!$AA90</f>
        <v>0</v>
      </c>
      <c r="D23" s="683">
        <f>'7&amp;8 Sleep'!$N142+'7&amp;8 Sleep'!$AA142</f>
        <v>0</v>
      </c>
      <c r="E23" s="683">
        <f>'7&amp;8 Sleep'!$N194+'7&amp;8 Sleep'!$AA194</f>
        <v>0</v>
      </c>
      <c r="F23" s="683">
        <f>'7&amp;8 Sleep'!$N247+'7&amp;8 Sleep'!$AA247</f>
        <v>0</v>
      </c>
      <c r="G23" s="684">
        <f>'7&amp;8 Sleep'!$N300+'7&amp;8 Sleep'!$AA300</f>
        <v>0</v>
      </c>
      <c r="H23" s="659">
        <f t="shared" si="7"/>
        <v>0.96906289716210325</v>
      </c>
      <c r="I23" s="659">
        <f>'7&amp;8 Day'!$N90+'7&amp;8 Day'!$AA90</f>
        <v>1.7935702452521934E-2</v>
      </c>
      <c r="J23" s="659">
        <f>'7&amp;8 Day'!$N142+'7&amp;8 Day'!$AA142</f>
        <v>1.3001400385374845E-2</v>
      </c>
      <c r="K23" s="659">
        <f>'7&amp;8 Day'!$N194+'7&amp;8 Day'!$AA194</f>
        <v>0</v>
      </c>
      <c r="L23" s="659">
        <f>'7&amp;8 Day'!$N247+'7&amp;8 Day'!$AA247</f>
        <v>0</v>
      </c>
      <c r="M23" s="659">
        <f>'7&amp;8 Day'!$N300+'7&amp;8 Day'!$AA300</f>
        <v>0</v>
      </c>
      <c r="N23" s="682">
        <f t="shared" si="8"/>
        <v>1</v>
      </c>
      <c r="O23" s="683">
        <f>'7&amp;8 SU'!$N90+'7&amp;8 SU'!$AA90</f>
        <v>0</v>
      </c>
      <c r="P23" s="683">
        <f>'7&amp;8 SU'!$N142+'7&amp;8 SU'!$AA142</f>
        <v>0</v>
      </c>
      <c r="Q23" s="683">
        <f>'7&amp;8 SU'!$N194+'7&amp;8 SU'!$AA194</f>
        <v>0</v>
      </c>
      <c r="R23" s="683">
        <f>'7&amp;8 SU'!$N247+'7&amp;8 SU'!$AA247</f>
        <v>0</v>
      </c>
      <c r="S23" s="684">
        <f>'7&amp;8 SU'!$N300+'7&amp;8 SU'!$AA300</f>
        <v>0</v>
      </c>
      <c r="T23" s="663">
        <f>B23*'Market Data'!$C$52+H23*'Market Data'!$M$52+N23*'Market Data'!$W$52</f>
        <v>0.99208427370941243</v>
      </c>
      <c r="U23" s="432">
        <f>SUM(C23:G23)*'Market Data'!$C$52+SUM(I23:M23)*'Market Data'!$M$52+SUM(O23:S23)*'Market Data'!$W$52</f>
        <v>7.9157262905875814E-3</v>
      </c>
      <c r="X23" s="117"/>
    </row>
    <row r="24" spans="1:26" ht="15" x14ac:dyDescent="0.2">
      <c r="A24" s="403">
        <v>2022</v>
      </c>
      <c r="B24" s="674">
        <f t="shared" si="6"/>
        <v>0.97559134566453543</v>
      </c>
      <c r="C24" s="675">
        <f>'7&amp;8 Sleep'!$N91+'7&amp;8 Sleep'!$AA91</f>
        <v>1.7044895844370841E-2</v>
      </c>
      <c r="D24" s="675">
        <f>'7&amp;8 Sleep'!$N143+'7&amp;8 Sleep'!$AA143</f>
        <v>7.3637584910937305E-3</v>
      </c>
      <c r="E24" s="675">
        <f>'7&amp;8 Sleep'!$N195+'7&amp;8 Sleep'!$AA195</f>
        <v>0</v>
      </c>
      <c r="F24" s="675">
        <f>'7&amp;8 Sleep'!$N248+'7&amp;8 Sleep'!$AA248</f>
        <v>0</v>
      </c>
      <c r="G24" s="676">
        <f>'7&amp;8 Sleep'!$N301+'7&amp;8 Sleep'!$AA301</f>
        <v>0</v>
      </c>
      <c r="H24" s="657">
        <f t="shared" si="7"/>
        <v>0.92397717489031461</v>
      </c>
      <c r="I24" s="657">
        <f>'7&amp;8 Day'!$N91+'7&amp;8 Day'!$AA91</f>
        <v>4.56696889698004E-2</v>
      </c>
      <c r="J24" s="657">
        <f>'7&amp;8 Day'!$N143+'7&amp;8 Day'!$AA143</f>
        <v>3.0353136139884988E-2</v>
      </c>
      <c r="K24" s="657">
        <f>'7&amp;8 Day'!$N195+'7&amp;8 Day'!$AA195</f>
        <v>0</v>
      </c>
      <c r="L24" s="657">
        <f>'7&amp;8 Day'!$N248+'7&amp;8 Day'!$AA248</f>
        <v>0</v>
      </c>
      <c r="M24" s="657">
        <f>'7&amp;8 Day'!$N301+'7&amp;8 Day'!$AA301</f>
        <v>0</v>
      </c>
      <c r="N24" s="674">
        <f t="shared" si="8"/>
        <v>0.97371148468807112</v>
      </c>
      <c r="O24" s="675">
        <f>'7&amp;8 SU'!$N91+'7&amp;8 SU'!$AA91</f>
        <v>1.2488571794085544E-2</v>
      </c>
      <c r="P24" s="675">
        <f>'7&amp;8 SU'!$N143+'7&amp;8 SU'!$AA143</f>
        <v>1.3315891485049781E-2</v>
      </c>
      <c r="Q24" s="675">
        <f>'7&amp;8 SU'!$N195+'7&amp;8 SU'!$AA195</f>
        <v>4.8405203279352691E-4</v>
      </c>
      <c r="R24" s="675">
        <f>'7&amp;8 SU'!$N248+'7&amp;8 SU'!$AA248</f>
        <v>0</v>
      </c>
      <c r="S24" s="676">
        <f>'7&amp;8 SU'!$N301+'7&amp;8 SU'!$AA301</f>
        <v>0</v>
      </c>
      <c r="T24" s="661">
        <f>B24*'Market Data'!$C$52+H24*'Market Data'!$M$52+N24*'Market Data'!$W$52</f>
        <v>0.96188150185894905</v>
      </c>
      <c r="U24" s="425">
        <f>SUM(C24:G24)*'Market Data'!$C$52+SUM(I24:M24)*'Market Data'!$M$52+SUM(O24:S24)*'Market Data'!$W$52</f>
        <v>3.8118498141050783E-2</v>
      </c>
      <c r="X24" s="117"/>
    </row>
    <row r="25" spans="1:26" ht="15" x14ac:dyDescent="0.2">
      <c r="A25" s="403">
        <v>2023</v>
      </c>
      <c r="B25" s="674">
        <f t="shared" si="6"/>
        <v>0.9376271281510995</v>
      </c>
      <c r="C25" s="675">
        <f>'7&amp;8 Sleep'!$N92+'7&amp;8 Sleep'!$AA92</f>
        <v>4.095089665199779E-2</v>
      </c>
      <c r="D25" s="675">
        <f>'7&amp;8 Sleep'!$N144+'7&amp;8 Sleep'!$AA144</f>
        <v>2.1421975196902743E-2</v>
      </c>
      <c r="E25" s="675">
        <f>'7&amp;8 Sleep'!$N196+'7&amp;8 Sleep'!$AA196</f>
        <v>0</v>
      </c>
      <c r="F25" s="675">
        <f>'7&amp;8 Sleep'!$N249+'7&amp;8 Sleep'!$AA249</f>
        <v>0</v>
      </c>
      <c r="G25" s="676">
        <f>'7&amp;8 Sleep'!$N302+'7&amp;8 Sleep'!$AA302</f>
        <v>0</v>
      </c>
      <c r="H25" s="657">
        <f t="shared" si="7"/>
        <v>0.84394222943701525</v>
      </c>
      <c r="I25" s="657">
        <f>'7&amp;8 Day'!$N92+'7&amp;8 Day'!$AA92</f>
        <v>9.9282919107461398E-2</v>
      </c>
      <c r="J25" s="657">
        <f>'7&amp;8 Day'!$N144+'7&amp;8 Day'!$AA144</f>
        <v>5.6774851455523329E-2</v>
      </c>
      <c r="K25" s="657">
        <f>'7&amp;8 Day'!$N196+'7&amp;8 Day'!$AA196</f>
        <v>0</v>
      </c>
      <c r="L25" s="657">
        <f>'7&amp;8 Day'!$N249+'7&amp;8 Day'!$AA249</f>
        <v>0</v>
      </c>
      <c r="M25" s="657">
        <f>'7&amp;8 Day'!$N302+'7&amp;8 Day'!$AA302</f>
        <v>0</v>
      </c>
      <c r="N25" s="674">
        <f t="shared" si="8"/>
        <v>0.936673159560794</v>
      </c>
      <c r="O25" s="675">
        <f>'7&amp;8 SU'!$N92+'7&amp;8 SU'!$AA92</f>
        <v>3.0927247251743915E-2</v>
      </c>
      <c r="P25" s="675">
        <f>'7&amp;8 SU'!$N144+'7&amp;8 SU'!$AA144</f>
        <v>3.0663420493257772E-2</v>
      </c>
      <c r="Q25" s="675">
        <f>'7&amp;8 SU'!$N196+'7&amp;8 SU'!$AA196</f>
        <v>1.7361726942043531E-3</v>
      </c>
      <c r="R25" s="675">
        <f>'7&amp;8 SU'!$N249+'7&amp;8 SU'!$AA249</f>
        <v>0</v>
      </c>
      <c r="S25" s="676">
        <f>'7&amp;8 SU'!$N302+'7&amp;8 SU'!$AA302</f>
        <v>0</v>
      </c>
      <c r="T25" s="661">
        <f>B25*'Market Data'!$C$52+H25*'Market Data'!$M$52+N25*'Market Data'!$W$52</f>
        <v>0.91340087920529411</v>
      </c>
      <c r="U25" s="425">
        <f>SUM(C25:G25)*'Market Data'!$C$52+SUM(I25:M25)*'Market Data'!$M$52+SUM(O25:S25)*'Market Data'!$W$52</f>
        <v>8.6599120794705803E-2</v>
      </c>
      <c r="X25" s="117"/>
    </row>
    <row r="26" spans="1:26" ht="15" x14ac:dyDescent="0.2">
      <c r="A26" s="403">
        <v>2024</v>
      </c>
      <c r="B26" s="674">
        <f t="shared" si="6"/>
        <v>0.85134009153561685</v>
      </c>
      <c r="C26" s="675">
        <f>'7&amp;8 Sleep'!$N93+'7&amp;8 Sleep'!$AA93</f>
        <v>9.2702824086043342E-2</v>
      </c>
      <c r="D26" s="675">
        <f>'7&amp;8 Sleep'!$N145+'7&amp;8 Sleep'!$AA145</f>
        <v>5.5957084378339787E-2</v>
      </c>
      <c r="E26" s="675">
        <f>'7&amp;8 Sleep'!$N197+'7&amp;8 Sleep'!$AA197</f>
        <v>0</v>
      </c>
      <c r="F26" s="675">
        <f>'7&amp;8 Sleep'!$N250+'7&amp;8 Sleep'!$AA250</f>
        <v>0</v>
      </c>
      <c r="G26" s="676">
        <f>'7&amp;8 Sleep'!$N303+'7&amp;8 Sleep'!$AA303</f>
        <v>0</v>
      </c>
      <c r="H26" s="657">
        <f t="shared" si="7"/>
        <v>0.77033728153083303</v>
      </c>
      <c r="I26" s="657">
        <f>'7&amp;8 Day'!$N93+'7&amp;8 Day'!$AA93</f>
        <v>0.12816727012429957</v>
      </c>
      <c r="J26" s="657">
        <f>'7&amp;8 Day'!$N145+'7&amp;8 Day'!$AA145</f>
        <v>0.10149544834486739</v>
      </c>
      <c r="K26" s="657">
        <f>'7&amp;8 Day'!$N197+'7&amp;8 Day'!$AA197</f>
        <v>0</v>
      </c>
      <c r="L26" s="657">
        <f>'7&amp;8 Day'!$N250+'7&amp;8 Day'!$AA250</f>
        <v>0</v>
      </c>
      <c r="M26" s="657">
        <f>'7&amp;8 Day'!$N303+'7&amp;8 Day'!$AA303</f>
        <v>0</v>
      </c>
      <c r="N26" s="674">
        <f t="shared" si="8"/>
        <v>0.87814508783472334</v>
      </c>
      <c r="O26" s="675">
        <f>'7&amp;8 SU'!$N93+'7&amp;8 SU'!$AA93</f>
        <v>6.1511580316847482E-2</v>
      </c>
      <c r="P26" s="675">
        <f>'7&amp;8 SU'!$N145+'7&amp;8 SU'!$AA145</f>
        <v>5.482922053102246E-2</v>
      </c>
      <c r="Q26" s="675">
        <f>'7&amp;8 SU'!$N197+'7&amp;8 SU'!$AA197</f>
        <v>5.514111317406695E-3</v>
      </c>
      <c r="R26" s="675">
        <f>'7&amp;8 SU'!$N250+'7&amp;8 SU'!$AA250</f>
        <v>0</v>
      </c>
      <c r="S26" s="676">
        <f>'7&amp;8 SU'!$N303+'7&amp;8 SU'!$AA303</f>
        <v>0</v>
      </c>
      <c r="T26" s="661">
        <f>B26*'Market Data'!$C$52+H26*'Market Data'!$M$52+N26*'Market Data'!$W$52</f>
        <v>0.83779480940372864</v>
      </c>
      <c r="U26" s="425">
        <f>SUM(C26:G26)*'Market Data'!$C$52+SUM(I26:M26)*'Market Data'!$M$52+SUM(O26:S26)*'Market Data'!$W$52</f>
        <v>0.1622051905962712</v>
      </c>
      <c r="X26" s="117"/>
    </row>
    <row r="27" spans="1:26" ht="15" x14ac:dyDescent="0.2">
      <c r="A27" s="402">
        <v>2025</v>
      </c>
      <c r="B27" s="677">
        <f t="shared" si="6"/>
        <v>0.70618528616890586</v>
      </c>
      <c r="C27" s="678">
        <f>'7&amp;8 Sleep'!$N94+'7&amp;8 Sleep'!$AA94</f>
        <v>0.18216127261487028</v>
      </c>
      <c r="D27" s="678">
        <f>'7&amp;8 Sleep'!$N146+'7&amp;8 Sleep'!$AA146</f>
        <v>0.11165344121622386</v>
      </c>
      <c r="E27" s="678">
        <f>'7&amp;8 Sleep'!$N198+'7&amp;8 Sleep'!$AA198</f>
        <v>0</v>
      </c>
      <c r="F27" s="678">
        <f>'7&amp;8 Sleep'!$N251+'7&amp;8 Sleep'!$AA251</f>
        <v>0</v>
      </c>
      <c r="G27" s="679">
        <f>'7&amp;8 Sleep'!$N304+'7&amp;8 Sleep'!$AA304</f>
        <v>0</v>
      </c>
      <c r="H27" s="658">
        <f t="shared" si="7"/>
        <v>0.69151552578975917</v>
      </c>
      <c r="I27" s="658">
        <f>'7&amp;8 Day'!$N94+'7&amp;8 Day'!$AA94</f>
        <v>0.16111823084443222</v>
      </c>
      <c r="J27" s="658">
        <f>'7&amp;8 Day'!$N146+'7&amp;8 Day'!$AA146</f>
        <v>0.14736624336580867</v>
      </c>
      <c r="K27" s="658">
        <f>'7&amp;8 Day'!$N198+'7&amp;8 Day'!$AA198</f>
        <v>0</v>
      </c>
      <c r="L27" s="658">
        <f>'7&amp;8 Day'!$N251+'7&amp;8 Day'!$AA251</f>
        <v>0</v>
      </c>
      <c r="M27" s="658">
        <f>'7&amp;8 Day'!$N304+'7&amp;8 Day'!$AA304</f>
        <v>0</v>
      </c>
      <c r="N27" s="677">
        <f t="shared" si="8"/>
        <v>0.87420855975923684</v>
      </c>
      <c r="O27" s="678">
        <f>'7&amp;8 SU'!$N94+'7&amp;8 SU'!$AA94</f>
        <v>5.3200647144274846E-2</v>
      </c>
      <c r="P27" s="678">
        <f>'7&amp;8 SU'!$N146+'7&amp;8 SU'!$AA146</f>
        <v>5.8973687004291522E-2</v>
      </c>
      <c r="Q27" s="678">
        <f>'7&amp;8 SU'!$N198+'7&amp;8 SU'!$AA198</f>
        <v>1.3617106092196834E-2</v>
      </c>
      <c r="R27" s="678">
        <f>'7&amp;8 SU'!$N251+'7&amp;8 SU'!$AA251</f>
        <v>0</v>
      </c>
      <c r="S27" s="679">
        <f>'7&amp;8 SU'!$N304+'7&amp;8 SU'!$AA304</f>
        <v>0</v>
      </c>
      <c r="T27" s="662">
        <f>B27*'Market Data'!$C$52+H27*'Market Data'!$M$52+N27*'Market Data'!$W$52</f>
        <v>0.74744182488163169</v>
      </c>
      <c r="U27" s="428">
        <f>SUM(C27:G27)*'Market Data'!$C$52+SUM(I27:M27)*'Market Data'!$M$52+SUM(O27:S27)*'Market Data'!$W$52</f>
        <v>0.25255817511836837</v>
      </c>
      <c r="X27" s="117"/>
    </row>
    <row r="28" spans="1:26" ht="15" x14ac:dyDescent="0.2">
      <c r="A28" s="648">
        <v>2026</v>
      </c>
      <c r="B28" s="682">
        <f t="shared" si="6"/>
        <v>0.61327078553383285</v>
      </c>
      <c r="C28" s="683">
        <f>'7&amp;8 Sleep'!$N95+'7&amp;8 Sleep'!$AA95</f>
        <v>0.2402983816876117</v>
      </c>
      <c r="D28" s="683">
        <f>'7&amp;8 Sleep'!$N147+'7&amp;8 Sleep'!$AA147</f>
        <v>0.1464308327785554</v>
      </c>
      <c r="E28" s="683">
        <f>'7&amp;8 Sleep'!$N199+'7&amp;8 Sleep'!$AA199</f>
        <v>0</v>
      </c>
      <c r="F28" s="683">
        <f>'7&amp;8 Sleep'!$N252+'7&amp;8 Sleep'!$AA252</f>
        <v>0</v>
      </c>
      <c r="G28" s="684">
        <f>'7&amp;8 Sleep'!$N305+'7&amp;8 Sleep'!$AA305</f>
        <v>0</v>
      </c>
      <c r="H28" s="659">
        <f t="shared" si="7"/>
        <v>0.5829868144536523</v>
      </c>
      <c r="I28" s="659">
        <f>'7&amp;8 Day'!$N95+'7&amp;8 Day'!$AA95</f>
        <v>0.21344581620473119</v>
      </c>
      <c r="J28" s="659">
        <f>'7&amp;8 Day'!$N147+'7&amp;8 Day'!$AA147</f>
        <v>0.20356736934161651</v>
      </c>
      <c r="K28" s="659">
        <f>'7&amp;8 Day'!$N199+'7&amp;8 Day'!$AA199</f>
        <v>0</v>
      </c>
      <c r="L28" s="659">
        <f>'7&amp;8 Day'!$N252+'7&amp;8 Day'!$AA252</f>
        <v>0</v>
      </c>
      <c r="M28" s="659">
        <f>'7&amp;8 Day'!$N305+'7&amp;8 Day'!$AA305</f>
        <v>0</v>
      </c>
      <c r="N28" s="682">
        <f t="shared" si="8"/>
        <v>0.80870619859451909</v>
      </c>
      <c r="O28" s="683">
        <f>'7&amp;8 SU'!$N95+'7&amp;8 SU'!$AA95</f>
        <v>7.2404998682887037E-2</v>
      </c>
      <c r="P28" s="683">
        <f>'7&amp;8 SU'!$N147+'7&amp;8 SU'!$AA147</f>
        <v>9.6471299433021185E-2</v>
      </c>
      <c r="Q28" s="683">
        <f>'7&amp;8 SU'!$N199+'7&amp;8 SU'!$AA199</f>
        <v>2.241739462438834E-2</v>
      </c>
      <c r="R28" s="683">
        <f>'7&amp;8 SU'!$N252+'7&amp;8 SU'!$AA252</f>
        <v>1.0866518436118608E-7</v>
      </c>
      <c r="S28" s="684">
        <f>'7&amp;8 SU'!$N305+'7&amp;8 SU'!$AA305</f>
        <v>0</v>
      </c>
      <c r="T28" s="663">
        <f>B28*'Market Data'!$C$52+H28*'Market Data'!$M$52+N28*'Market Data'!$W$52</f>
        <v>0.65787534684190907</v>
      </c>
      <c r="U28" s="432">
        <f>SUM(C28:G28)*'Market Data'!$C$52+SUM(I28:M28)*'Market Data'!$M$52+SUM(O28:S28)*'Market Data'!$W$52</f>
        <v>0.34212465315809082</v>
      </c>
      <c r="X28" s="117"/>
    </row>
    <row r="29" spans="1:26" ht="15" x14ac:dyDescent="0.2">
      <c r="A29" s="403">
        <v>2027</v>
      </c>
      <c r="B29" s="674">
        <f t="shared" si="6"/>
        <v>0.53994301905076669</v>
      </c>
      <c r="C29" s="675">
        <f>'7&amp;8 Sleep'!$N96+'7&amp;8 Sleep'!$AA96</f>
        <v>0.30045915818016555</v>
      </c>
      <c r="D29" s="675">
        <f>'7&amp;8 Sleep'!$N148+'7&amp;8 Sleep'!$AA148</f>
        <v>0.15959782276906775</v>
      </c>
      <c r="E29" s="675">
        <f>'7&amp;8 Sleep'!$N200+'7&amp;8 Sleep'!$AA200</f>
        <v>0</v>
      </c>
      <c r="F29" s="675">
        <f>'7&amp;8 Sleep'!$N253+'7&amp;8 Sleep'!$AA253</f>
        <v>0</v>
      </c>
      <c r="G29" s="676">
        <f>'7&amp;8 Sleep'!$N306+'7&amp;8 Sleep'!$AA306</f>
        <v>0</v>
      </c>
      <c r="H29" s="657">
        <f t="shared" si="7"/>
        <v>0.51802455343876619</v>
      </c>
      <c r="I29" s="657">
        <f>'7&amp;8 Day'!$N96+'7&amp;8 Day'!$AA96</f>
        <v>0.24497596081650225</v>
      </c>
      <c r="J29" s="657">
        <f>'7&amp;8 Day'!$N148+'7&amp;8 Day'!$AA148</f>
        <v>0.23699948574473151</v>
      </c>
      <c r="K29" s="657">
        <f>'7&amp;8 Day'!$N200+'7&amp;8 Day'!$AA200</f>
        <v>0</v>
      </c>
      <c r="L29" s="657">
        <f>'7&amp;8 Day'!$N253+'7&amp;8 Day'!$AA253</f>
        <v>0</v>
      </c>
      <c r="M29" s="657">
        <f>'7&amp;8 Day'!$N306+'7&amp;8 Day'!$AA306</f>
        <v>0</v>
      </c>
      <c r="N29" s="674">
        <f t="shared" si="8"/>
        <v>0.77811042588849655</v>
      </c>
      <c r="O29" s="675">
        <f>'7&amp;8 SU'!$N96+'7&amp;8 SU'!$AA96</f>
        <v>6.4136755317045852E-2</v>
      </c>
      <c r="P29" s="675">
        <f>'7&amp;8 SU'!$N148+'7&amp;8 SU'!$AA148</f>
        <v>0.12709471225983268</v>
      </c>
      <c r="Q29" s="675">
        <f>'7&amp;8 SU'!$N200+'7&amp;8 SU'!$AA200</f>
        <v>3.0656578461523754E-2</v>
      </c>
      <c r="R29" s="675">
        <f>'7&amp;8 SU'!$N253+'7&amp;8 SU'!$AA253</f>
        <v>1.5280731010999134E-6</v>
      </c>
      <c r="S29" s="676">
        <f>'7&amp;8 SU'!$N306+'7&amp;8 SU'!$AA306</f>
        <v>0</v>
      </c>
      <c r="T29" s="661">
        <f>B29*'Market Data'!$C$52+H29*'Market Data'!$M$52+N29*'Market Data'!$W$52</f>
        <v>0.5981350540142234</v>
      </c>
      <c r="U29" s="425">
        <f>SUM(C29:G29)*'Market Data'!$C$52+SUM(I29:M29)*'Market Data'!$M$52+SUM(O29:S29)*'Market Data'!$W$52</f>
        <v>0.40186494598577654</v>
      </c>
      <c r="X29" s="117"/>
    </row>
    <row r="30" spans="1:26" ht="15" x14ac:dyDescent="0.2">
      <c r="A30" s="403">
        <v>2028</v>
      </c>
      <c r="B30" s="674">
        <f t="shared" si="6"/>
        <v>0.49825456930105383</v>
      </c>
      <c r="C30" s="675">
        <f>'7&amp;8 Sleep'!$N97+'7&amp;8 Sleep'!$AA97</f>
        <v>0.31288121704383121</v>
      </c>
      <c r="D30" s="675">
        <f>'7&amp;8 Sleep'!$N149+'7&amp;8 Sleep'!$AA149</f>
        <v>0.18886421365511502</v>
      </c>
      <c r="E30" s="675">
        <f>'7&amp;8 Sleep'!$N201+'7&amp;8 Sleep'!$AA201</f>
        <v>0</v>
      </c>
      <c r="F30" s="675">
        <f>'7&amp;8 Sleep'!$N254+'7&amp;8 Sleep'!$AA254</f>
        <v>0</v>
      </c>
      <c r="G30" s="676">
        <f>'7&amp;8 Sleep'!$N307+'7&amp;8 Sleep'!$AA307</f>
        <v>0</v>
      </c>
      <c r="H30" s="657">
        <f t="shared" si="7"/>
        <v>0.46741751013074895</v>
      </c>
      <c r="I30" s="657">
        <f>'7&amp;8 Day'!$N97+'7&amp;8 Day'!$AA97</f>
        <v>0.27036348537966309</v>
      </c>
      <c r="J30" s="657">
        <f>'7&amp;8 Day'!$N149+'7&amp;8 Day'!$AA149</f>
        <v>0.26221900448958801</v>
      </c>
      <c r="K30" s="657">
        <f>'7&amp;8 Day'!$N201+'7&amp;8 Day'!$AA201</f>
        <v>0</v>
      </c>
      <c r="L30" s="657">
        <f>'7&amp;8 Day'!$N254+'7&amp;8 Day'!$AA254</f>
        <v>0</v>
      </c>
      <c r="M30" s="657">
        <f>'7&amp;8 Day'!$N307+'7&amp;8 Day'!$AA307</f>
        <v>0</v>
      </c>
      <c r="N30" s="674">
        <f t="shared" si="8"/>
        <v>0.74642078804731748</v>
      </c>
      <c r="O30" s="675">
        <f>'7&amp;8 SU'!$N97+'7&amp;8 SU'!$AA97</f>
        <v>7.4327165269390705E-2</v>
      </c>
      <c r="P30" s="675">
        <f>'7&amp;8 SU'!$N149+'7&amp;8 SU'!$AA149</f>
        <v>0.14016379730492567</v>
      </c>
      <c r="Q30" s="675">
        <f>'7&amp;8 SU'!$N201+'7&amp;8 SU'!$AA201</f>
        <v>3.9071104388393188E-2</v>
      </c>
      <c r="R30" s="675">
        <f>'7&amp;8 SU'!$N254+'7&amp;8 SU'!$AA254</f>
        <v>1.714498997297714E-5</v>
      </c>
      <c r="S30" s="676">
        <f>'7&amp;8 SU'!$N307+'7&amp;8 SU'!$AA307</f>
        <v>0</v>
      </c>
      <c r="T30" s="661">
        <f>B30*'Market Data'!$C$52+H30*'Market Data'!$M$52+N30*'Market Data'!$W$52</f>
        <v>0.55684312546818104</v>
      </c>
      <c r="U30" s="425">
        <f>SUM(C30:G30)*'Market Data'!$C$52+SUM(I30:M30)*'Market Data'!$M$52+SUM(O30:S30)*'Market Data'!$W$52</f>
        <v>0.4431568745318189</v>
      </c>
      <c r="X30" s="117"/>
    </row>
    <row r="31" spans="1:26" ht="15" x14ac:dyDescent="0.2">
      <c r="A31" s="403">
        <v>2029</v>
      </c>
      <c r="B31" s="674">
        <f t="shared" si="6"/>
        <v>0.49105829582785876</v>
      </c>
      <c r="C31" s="675">
        <f>'7&amp;8 Sleep'!$N98+'7&amp;8 Sleep'!$AA98</f>
        <v>0.32855024258670967</v>
      </c>
      <c r="D31" s="675">
        <f>'7&amp;8 Sleep'!$N150+'7&amp;8 Sleep'!$AA150</f>
        <v>0.18039146158543157</v>
      </c>
      <c r="E31" s="675">
        <f>'7&amp;8 Sleep'!$N202+'7&amp;8 Sleep'!$AA202</f>
        <v>0</v>
      </c>
      <c r="F31" s="675">
        <f>'7&amp;8 Sleep'!$N255+'7&amp;8 Sleep'!$AA255</f>
        <v>0</v>
      </c>
      <c r="G31" s="676">
        <f>'7&amp;8 Sleep'!$N308+'7&amp;8 Sleep'!$AA308</f>
        <v>0</v>
      </c>
      <c r="H31" s="657">
        <f t="shared" si="7"/>
        <v>0.44129736350856907</v>
      </c>
      <c r="I31" s="657">
        <f>'7&amp;8 Day'!$N98+'7&amp;8 Day'!$AA98</f>
        <v>0.28154423403506901</v>
      </c>
      <c r="J31" s="657">
        <f>'7&amp;8 Day'!$N150+'7&amp;8 Day'!$AA150</f>
        <v>0.27715840245636192</v>
      </c>
      <c r="K31" s="657">
        <f>'7&amp;8 Day'!$N202+'7&amp;8 Day'!$AA202</f>
        <v>0</v>
      </c>
      <c r="L31" s="657">
        <f>'7&amp;8 Day'!$N255+'7&amp;8 Day'!$AA255</f>
        <v>0</v>
      </c>
      <c r="M31" s="657">
        <f>'7&amp;8 Day'!$N308+'7&amp;8 Day'!$AA308</f>
        <v>0</v>
      </c>
      <c r="N31" s="674">
        <f t="shared" si="8"/>
        <v>0.73661567709998765</v>
      </c>
      <c r="O31" s="675">
        <f>'7&amp;8 SU'!$N98+'7&amp;8 SU'!$AA98</f>
        <v>7.6024916537474965E-2</v>
      </c>
      <c r="P31" s="675">
        <f>'7&amp;8 SU'!$N150+'7&amp;8 SU'!$AA150</f>
        <v>0.14223669751265527</v>
      </c>
      <c r="Q31" s="675">
        <f>'7&amp;8 SU'!$N202+'7&amp;8 SU'!$AA202</f>
        <v>4.5026451995415662E-2</v>
      </c>
      <c r="R31" s="675">
        <f>'7&amp;8 SU'!$N255+'7&amp;8 SU'!$AA255</f>
        <v>9.6256854466377842E-5</v>
      </c>
      <c r="S31" s="676">
        <f>'7&amp;8 SU'!$N308+'7&amp;8 SU'!$AA308</f>
        <v>0</v>
      </c>
      <c r="T31" s="661">
        <f>B31*'Market Data'!$C$52+H31*'Market Data'!$M$52+N31*'Market Data'!$W$52</f>
        <v>0.54410603793413492</v>
      </c>
      <c r="U31" s="425">
        <f>SUM(C31:G31)*'Market Data'!$C$52+SUM(I31:M31)*'Market Data'!$M$52+SUM(O31:S31)*'Market Data'!$W$52</f>
        <v>0.45589396206586497</v>
      </c>
      <c r="V31"/>
      <c r="W31"/>
      <c r="X31"/>
      <c r="Y31"/>
      <c r="Z31"/>
    </row>
    <row r="32" spans="1:26" ht="15" x14ac:dyDescent="0.2">
      <c r="A32" s="402">
        <v>2030</v>
      </c>
      <c r="B32" s="677">
        <f t="shared" si="6"/>
        <v>0.48598373786379967</v>
      </c>
      <c r="C32" s="678">
        <f>'7&amp;8 Sleep'!$N99+'7&amp;8 Sleep'!$AA99</f>
        <v>0.32076429501865433</v>
      </c>
      <c r="D32" s="678">
        <f>'7&amp;8 Sleep'!$N151+'7&amp;8 Sleep'!$AA151</f>
        <v>0.19325196711754603</v>
      </c>
      <c r="E32" s="678">
        <f>'7&amp;8 Sleep'!$N203+'7&amp;8 Sleep'!$AA203</f>
        <v>0</v>
      </c>
      <c r="F32" s="678">
        <f>'7&amp;8 Sleep'!$N256+'7&amp;8 Sleep'!$AA256</f>
        <v>0</v>
      </c>
      <c r="G32" s="679">
        <f>'7&amp;8 Sleep'!$N309+'7&amp;8 Sleep'!$AA309</f>
        <v>0</v>
      </c>
      <c r="H32" s="658">
        <f t="shared" si="7"/>
        <v>0.41077440062305981</v>
      </c>
      <c r="I32" s="658">
        <f>'7&amp;8 Day'!$N99+'7&amp;8 Day'!$AA99</f>
        <v>0.29526383711745752</v>
      </c>
      <c r="J32" s="658">
        <f>'7&amp;8 Day'!$N151+'7&amp;8 Day'!$AA151</f>
        <v>0.29396176225948273</v>
      </c>
      <c r="K32" s="658">
        <f>'7&amp;8 Day'!$N203+'7&amp;8 Day'!$AA203</f>
        <v>0</v>
      </c>
      <c r="L32" s="658">
        <f>'7&amp;8 Day'!$N256+'7&amp;8 Day'!$AA256</f>
        <v>0</v>
      </c>
      <c r="M32" s="658">
        <f>'7&amp;8 Day'!$N309+'7&amp;8 Day'!$AA309</f>
        <v>0</v>
      </c>
      <c r="N32" s="677">
        <f t="shared" si="8"/>
        <v>0.72368464946430422</v>
      </c>
      <c r="O32" s="678">
        <f>'7&amp;8 SU'!$N99+'7&amp;8 SU'!$AA99</f>
        <v>8.1258792115553952E-2</v>
      </c>
      <c r="P32" s="678">
        <f>'7&amp;8 SU'!$N151+'7&amp;8 SU'!$AA151</f>
        <v>0.14204499899462908</v>
      </c>
      <c r="Q32" s="678">
        <f>'7&amp;8 SU'!$N203+'7&amp;8 SU'!$AA203</f>
        <v>5.2607966566747225E-2</v>
      </c>
      <c r="R32" s="678">
        <f>'7&amp;8 SU'!$N256+'7&amp;8 SU'!$AA256</f>
        <v>4.0359285876549809E-4</v>
      </c>
      <c r="S32" s="679">
        <f>'7&amp;8 SU'!$N309+'7&amp;8 SU'!$AA309</f>
        <v>0</v>
      </c>
      <c r="T32" s="662">
        <f>B32*'Market Data'!$C$52+H32*'Market Data'!$M$52+N32*'Market Data'!$W$52</f>
        <v>0.53041553166285138</v>
      </c>
      <c r="U32" s="428">
        <f>SUM(C32:G32)*'Market Data'!$C$52+SUM(I32:M32)*'Market Data'!$M$52+SUM(O32:S32)*'Market Data'!$W$52</f>
        <v>0.46958446833714851</v>
      </c>
      <c r="V32" s="425">
        <f>D32*'Market Data'!$C$52+J32*'Market Data'!$M$52+P32*'Market Data'!$W$52</f>
        <v>0.2053027876925731</v>
      </c>
      <c r="W32" s="425">
        <f>E32*'Market Data'!$C$52+Q32*'Market Data'!$W$52</f>
        <v>1.4092604720588577E-2</v>
      </c>
      <c r="X32" s="425">
        <f>F32*'Market Data'!$C$52+L32*'Market Data'!$M$52</f>
        <v>0</v>
      </c>
      <c r="Y32" s="425">
        <f>K32*'Market Data'!$M$52+R32*'Market Data'!$W$52</f>
        <v>1.0811432179987732E-4</v>
      </c>
      <c r="Z32" s="1284">
        <f>1-SUM(V32:Y32)</f>
        <v>0.78049649326503845</v>
      </c>
    </row>
    <row r="33" spans="1:26" ht="15" x14ac:dyDescent="0.2">
      <c r="A33" s="648">
        <v>2031</v>
      </c>
      <c r="B33" s="682">
        <f t="shared" si="6"/>
        <v>0.48763264740722079</v>
      </c>
      <c r="C33" s="683">
        <f>'7&amp;8 Sleep'!$N100+'7&amp;8 Sleep'!$AA100</f>
        <v>0.31440701585679487</v>
      </c>
      <c r="D33" s="683">
        <f>'7&amp;8 Sleep'!$N152+'7&amp;8 Sleep'!$AA152</f>
        <v>0.19796033673598434</v>
      </c>
      <c r="E33" s="683">
        <f>'7&amp;8 Sleep'!$N204+'7&amp;8 Sleep'!$AA204</f>
        <v>0</v>
      </c>
      <c r="F33" s="683">
        <f>'7&amp;8 Sleep'!$N257+'7&amp;8 Sleep'!$AA257</f>
        <v>0</v>
      </c>
      <c r="G33" s="684">
        <f>'7&amp;8 Sleep'!$N310+'7&amp;8 Sleep'!$AA310</f>
        <v>0</v>
      </c>
      <c r="H33" s="659">
        <f t="shared" si="7"/>
        <v>0.40856951569615418</v>
      </c>
      <c r="I33" s="659">
        <f>'7&amp;8 Day'!$N100+'7&amp;8 Day'!$AA100</f>
        <v>0.29578102538357343</v>
      </c>
      <c r="J33" s="659">
        <f>'7&amp;8 Day'!$N152+'7&amp;8 Day'!$AA152</f>
        <v>0.2956484905161666</v>
      </c>
      <c r="K33" s="659">
        <f>'7&amp;8 Day'!$N204+'7&amp;8 Day'!$AA204</f>
        <v>9.684041057980345E-7</v>
      </c>
      <c r="L33" s="659">
        <f>'7&amp;8 Day'!$N257+'7&amp;8 Day'!$AA257</f>
        <v>0</v>
      </c>
      <c r="M33" s="659">
        <f>'7&amp;8 Day'!$N310+'7&amp;8 Day'!$AA310</f>
        <v>0</v>
      </c>
      <c r="N33" s="682">
        <f t="shared" si="8"/>
        <v>0.72242552581205199</v>
      </c>
      <c r="O33" s="683">
        <f>'7&amp;8 SU'!$N100+'7&amp;8 SU'!$AA100</f>
        <v>8.3192297065448506E-2</v>
      </c>
      <c r="P33" s="683">
        <f>'7&amp;8 SU'!$N152+'7&amp;8 SU'!$AA152</f>
        <v>0.14076452020645927</v>
      </c>
      <c r="Q33" s="683">
        <f>'7&amp;8 SU'!$N204+'7&amp;8 SU'!$AA204</f>
        <v>5.2914308818673775E-2</v>
      </c>
      <c r="R33" s="683">
        <f>'7&amp;8 SU'!$N257+'7&amp;8 SU'!$AA257</f>
        <v>7.0334809736649661E-4</v>
      </c>
      <c r="S33" s="684">
        <f>'7&amp;8 SU'!$N310+'7&amp;8 SU'!$AA310</f>
        <v>0</v>
      </c>
      <c r="T33" s="663">
        <f>B33*'Market Data'!$C$52+H33*'Market Data'!$M$52+N33*'Market Data'!$W$52</f>
        <v>0.53029938655427278</v>
      </c>
      <c r="U33" s="432">
        <f>SUM(C33:G33)*'Market Data'!$C$52+SUM(I33:M33)*'Market Data'!$M$52+SUM(O33:S33)*'Market Data'!$W$52</f>
        <v>0.46970061344572717</v>
      </c>
    </row>
    <row r="34" spans="1:26" ht="15" x14ac:dyDescent="0.2">
      <c r="A34" s="403">
        <v>2032</v>
      </c>
      <c r="B34" s="674">
        <f t="shared" si="6"/>
        <v>0.4924426184689511</v>
      </c>
      <c r="C34" s="675">
        <f>'7&amp;8 Sleep'!$N101+'7&amp;8 Sleep'!$AA101</f>
        <v>0.30815053559833705</v>
      </c>
      <c r="D34" s="675">
        <f>'7&amp;8 Sleep'!$N153+'7&amp;8 Sleep'!$AA153</f>
        <v>0.19940684593271188</v>
      </c>
      <c r="E34" s="675">
        <f>'7&amp;8 Sleep'!$N205+'7&amp;8 Sleep'!$AA205</f>
        <v>0</v>
      </c>
      <c r="F34" s="675">
        <f>'7&amp;8 Sleep'!$N258+'7&amp;8 Sleep'!$AA258</f>
        <v>0</v>
      </c>
      <c r="G34" s="676">
        <f>'7&amp;8 Sleep'!$N311+'7&amp;8 Sleep'!$AA311</f>
        <v>0</v>
      </c>
      <c r="H34" s="657">
        <f t="shared" si="7"/>
        <v>0.40102115610850597</v>
      </c>
      <c r="I34" s="657">
        <f>'7&amp;8 Day'!$N101+'7&amp;8 Day'!$AA101</f>
        <v>0.29998870546587675</v>
      </c>
      <c r="J34" s="657">
        <f>'7&amp;8 Day'!$N153+'7&amp;8 Day'!$AA153</f>
        <v>0.29883532259771761</v>
      </c>
      <c r="K34" s="657">
        <f>'7&amp;8 Day'!$N205+'7&amp;8 Day'!$AA205</f>
        <v>1.5481582789965889E-4</v>
      </c>
      <c r="L34" s="657">
        <f>'7&amp;8 Day'!$N258+'7&amp;8 Day'!$AA258</f>
        <v>0</v>
      </c>
      <c r="M34" s="657">
        <f>'7&amp;8 Day'!$N311+'7&amp;8 Day'!$AA311</f>
        <v>0</v>
      </c>
      <c r="N34" s="674">
        <f t="shared" si="8"/>
        <v>0.71482490066177151</v>
      </c>
      <c r="O34" s="675">
        <f>'7&amp;8 SU'!$N101+'7&amp;8 SU'!$AA101</f>
        <v>8.3896138189521463E-2</v>
      </c>
      <c r="P34" s="675">
        <f>'7&amp;8 SU'!$N153+'7&amp;8 SU'!$AA153</f>
        <v>0.14689442460332514</v>
      </c>
      <c r="Q34" s="675">
        <f>'7&amp;8 SU'!$N205+'7&amp;8 SU'!$AA205</f>
        <v>5.3316580557943756E-2</v>
      </c>
      <c r="R34" s="675">
        <f>'7&amp;8 SU'!$N258+'7&amp;8 SU'!$AA258</f>
        <v>1.0679559874381065E-3</v>
      </c>
      <c r="S34" s="676">
        <f>'7&amp;8 SU'!$N311+'7&amp;8 SU'!$AA311</f>
        <v>0</v>
      </c>
      <c r="T34" s="661">
        <f>B34*'Market Data'!$C$52+H34*'Market Data'!$M$52+N34*'Market Data'!$W$52</f>
        <v>0.52862274514045549</v>
      </c>
      <c r="U34" s="425">
        <f>SUM(C34:G34)*'Market Data'!$C$52+SUM(I34:M34)*'Market Data'!$M$52+SUM(O34:S34)*'Market Data'!$W$52</f>
        <v>0.47137725485954446</v>
      </c>
    </row>
    <row r="35" spans="1:26" ht="15" x14ac:dyDescent="0.2">
      <c r="A35" s="403">
        <v>2033</v>
      </c>
      <c r="B35" s="674">
        <f t="shared" si="6"/>
        <v>0.48375247085994688</v>
      </c>
      <c r="C35" s="675">
        <f>'7&amp;8 Sleep'!$N102+'7&amp;8 Sleep'!$AA102</f>
        <v>0.29493187900533979</v>
      </c>
      <c r="D35" s="675">
        <f>'7&amp;8 Sleep'!$N154+'7&amp;8 Sleep'!$AA154</f>
        <v>0.22131565013471335</v>
      </c>
      <c r="E35" s="675">
        <f>'7&amp;8 Sleep'!$N206+'7&amp;8 Sleep'!$AA206</f>
        <v>0</v>
      </c>
      <c r="F35" s="675">
        <f>'7&amp;8 Sleep'!$N259+'7&amp;8 Sleep'!$AA259</f>
        <v>0</v>
      </c>
      <c r="G35" s="676">
        <f>'7&amp;8 Sleep'!$N312+'7&amp;8 Sleep'!$AA312</f>
        <v>0</v>
      </c>
      <c r="H35" s="657">
        <f t="shared" si="7"/>
        <v>0.3937949070229857</v>
      </c>
      <c r="I35" s="657">
        <f>'7&amp;8 Day'!$N102+'7&amp;8 Day'!$AA102</f>
        <v>0.30245250371655047</v>
      </c>
      <c r="J35" s="657">
        <f>'7&amp;8 Day'!$N154+'7&amp;8 Day'!$AA154</f>
        <v>0.30231697946368485</v>
      </c>
      <c r="K35" s="657">
        <f>'7&amp;8 Day'!$N206+'7&amp;8 Day'!$AA206</f>
        <v>1.4356097967790577E-3</v>
      </c>
      <c r="L35" s="657">
        <f>'7&amp;8 Day'!$N259+'7&amp;8 Day'!$AA259</f>
        <v>0</v>
      </c>
      <c r="M35" s="657">
        <f>'7&amp;8 Day'!$N312+'7&amp;8 Day'!$AA312</f>
        <v>0</v>
      </c>
      <c r="N35" s="674">
        <f t="shared" si="8"/>
        <v>0.71029967739995548</v>
      </c>
      <c r="O35" s="675">
        <f>'7&amp;8 SU'!$N102+'7&amp;8 SU'!$AA102</f>
        <v>8.7036049514021246E-2</v>
      </c>
      <c r="P35" s="675">
        <f>'7&amp;8 SU'!$N154+'7&amp;8 SU'!$AA154</f>
        <v>0.14646334732973076</v>
      </c>
      <c r="Q35" s="675">
        <f>'7&amp;8 SU'!$N206+'7&amp;8 SU'!$AA206</f>
        <v>5.4647750229308928E-2</v>
      </c>
      <c r="R35" s="675">
        <f>'7&amp;8 SU'!$N259+'7&amp;8 SU'!$AA259</f>
        <v>1.5531755269836266E-3</v>
      </c>
      <c r="S35" s="676">
        <f>'7&amp;8 SU'!$N312+'7&amp;8 SU'!$AA312</f>
        <v>0</v>
      </c>
      <c r="T35" s="661">
        <f>B35*'Market Data'!$C$52+H35*'Market Data'!$M$52+N35*'Market Data'!$W$52</f>
        <v>0.52142285669830424</v>
      </c>
      <c r="U35" s="425">
        <f>SUM(C35:G35)*'Market Data'!$C$52+SUM(I35:M35)*'Market Data'!$M$52+SUM(O35:S35)*'Market Data'!$W$52</f>
        <v>0.47857714330169571</v>
      </c>
    </row>
    <row r="36" spans="1:26" ht="15" x14ac:dyDescent="0.2">
      <c r="A36" s="403">
        <v>2034</v>
      </c>
      <c r="B36" s="674">
        <f t="shared" si="6"/>
        <v>0.47998061948749027</v>
      </c>
      <c r="C36" s="675">
        <f>'7&amp;8 Sleep'!$N103+'7&amp;8 Sleep'!$AA103</f>
        <v>0.29428024161458882</v>
      </c>
      <c r="D36" s="675">
        <f>'7&amp;8 Sleep'!$N155+'7&amp;8 Sleep'!$AA155</f>
        <v>0.22573913889792085</v>
      </c>
      <c r="E36" s="675">
        <f>'7&amp;8 Sleep'!$N207+'7&amp;8 Sleep'!$AA207</f>
        <v>0</v>
      </c>
      <c r="F36" s="675">
        <f>'7&amp;8 Sleep'!$N260+'7&amp;8 Sleep'!$AA260</f>
        <v>0</v>
      </c>
      <c r="G36" s="676">
        <f>'7&amp;8 Sleep'!$N313+'7&amp;8 Sleep'!$AA313</f>
        <v>0</v>
      </c>
      <c r="H36" s="657">
        <f t="shared" si="7"/>
        <v>0.39374761918673218</v>
      </c>
      <c r="I36" s="657">
        <f>'7&amp;8 Day'!$N103+'7&amp;8 Day'!$AA103</f>
        <v>0.30086383518286935</v>
      </c>
      <c r="J36" s="657">
        <f>'7&amp;8 Day'!$N155+'7&amp;8 Day'!$AA155</f>
        <v>0.30072902278761254</v>
      </c>
      <c r="K36" s="657">
        <f>'7&amp;8 Day'!$N207+'7&amp;8 Day'!$AA207</f>
        <v>4.6595228427859471E-3</v>
      </c>
      <c r="L36" s="657">
        <f>'7&amp;8 Day'!$N260+'7&amp;8 Day'!$AA260</f>
        <v>0</v>
      </c>
      <c r="M36" s="657">
        <f>'7&amp;8 Day'!$N313+'7&amp;8 Day'!$AA313</f>
        <v>0</v>
      </c>
      <c r="N36" s="674">
        <f t="shared" si="8"/>
        <v>0.70878779460960639</v>
      </c>
      <c r="O36" s="675">
        <f>'7&amp;8 SU'!$N103+'7&amp;8 SU'!$AA103</f>
        <v>8.7303552140733459E-2</v>
      </c>
      <c r="P36" s="675">
        <f>'7&amp;8 SU'!$N155+'7&amp;8 SU'!$AA155</f>
        <v>0.14642959500065889</v>
      </c>
      <c r="Q36" s="675">
        <f>'7&amp;8 SU'!$N207+'7&amp;8 SU'!$AA207</f>
        <v>5.532972866507678E-2</v>
      </c>
      <c r="R36" s="675">
        <f>'7&amp;8 SU'!$N260+'7&amp;8 SU'!$AA260</f>
        <v>2.1493295839245708E-3</v>
      </c>
      <c r="S36" s="676">
        <f>'7&amp;8 SU'!$N313+'7&amp;8 SU'!$AA313</f>
        <v>0</v>
      </c>
      <c r="T36" s="661">
        <f>B36*'Market Data'!$C$52+H36*'Market Data'!$M$52+N36*'Market Data'!$W$52</f>
        <v>0.51920939095141572</v>
      </c>
      <c r="U36" s="425">
        <f>SUM(C36:G36)*'Market Data'!$C$52+SUM(I36:M36)*'Market Data'!$M$52+SUM(O36:S36)*'Market Data'!$W$52</f>
        <v>0.48079060904858428</v>
      </c>
    </row>
    <row r="37" spans="1:26" ht="15" x14ac:dyDescent="0.2">
      <c r="A37" s="402">
        <v>2035</v>
      </c>
      <c r="B37" s="677">
        <f t="shared" si="6"/>
        <v>0.4771711823208109</v>
      </c>
      <c r="C37" s="678">
        <f>'7&amp;8 Sleep'!$N104+'7&amp;8 Sleep'!$AA104</f>
        <v>0.29134402124707781</v>
      </c>
      <c r="D37" s="678">
        <f>'7&amp;8 Sleep'!$N156+'7&amp;8 Sleep'!$AA156</f>
        <v>0.23148479643211128</v>
      </c>
      <c r="E37" s="678">
        <f>'7&amp;8 Sleep'!$N208+'7&amp;8 Sleep'!$AA208</f>
        <v>0</v>
      </c>
      <c r="F37" s="678">
        <f>'7&amp;8 Sleep'!$N261+'7&amp;8 Sleep'!$AA261</f>
        <v>0</v>
      </c>
      <c r="G37" s="679">
        <f>'7&amp;8 Sleep'!$N314+'7&amp;8 Sleep'!$AA314</f>
        <v>0</v>
      </c>
      <c r="H37" s="658">
        <f t="shared" si="7"/>
        <v>0.39218689784919336</v>
      </c>
      <c r="I37" s="658">
        <f>'7&amp;8 Day'!$N104+'7&amp;8 Day'!$AA104</f>
        <v>0.29721768269512494</v>
      </c>
      <c r="J37" s="658">
        <f>'7&amp;8 Day'!$N156+'7&amp;8 Day'!$AA156</f>
        <v>0.29708450408396869</v>
      </c>
      <c r="K37" s="658">
        <f>'7&amp;8 Day'!$N208+'7&amp;8 Day'!$AA208</f>
        <v>1.3510915371713001E-2</v>
      </c>
      <c r="L37" s="658">
        <f>'7&amp;8 Day'!$N261+'7&amp;8 Day'!$AA261</f>
        <v>0</v>
      </c>
      <c r="M37" s="658">
        <f>'7&amp;8 Day'!$N314+'7&amp;8 Day'!$AA314</f>
        <v>0</v>
      </c>
      <c r="N37" s="677">
        <f t="shared" si="8"/>
        <v>0.70875146115466203</v>
      </c>
      <c r="O37" s="678">
        <f>'7&amp;8 SU'!$N104+'7&amp;8 SU'!$AA104</f>
        <v>8.7609300395788098E-2</v>
      </c>
      <c r="P37" s="678">
        <f>'7&amp;8 SU'!$N156+'7&amp;8 SU'!$AA156</f>
        <v>0.14393280619220022</v>
      </c>
      <c r="Q37" s="678">
        <f>'7&amp;8 SU'!$N208+'7&amp;8 SU'!$AA208</f>
        <v>5.6556456313291426E-2</v>
      </c>
      <c r="R37" s="678">
        <f>'7&amp;8 SU'!$N261+'7&amp;8 SU'!$AA261</f>
        <v>3.1499759440581912E-3</v>
      </c>
      <c r="S37" s="679">
        <f>'7&amp;8 SU'!$N314+'7&amp;8 SU'!$AA314</f>
        <v>0</v>
      </c>
      <c r="T37" s="662">
        <f>B37*'Market Data'!$C$52+H37*'Market Data'!$M$52+N37*'Market Data'!$W$52</f>
        <v>0.51746231474793603</v>
      </c>
      <c r="U37" s="428">
        <f>SUM(C37:G37)*'Market Data'!$C$52+SUM(I37:M37)*'Market Data'!$M$52+SUM(O37:S37)*'Market Data'!$W$52</f>
        <v>0.48253768525206397</v>
      </c>
    </row>
    <row r="38" spans="1:26" ht="15" x14ac:dyDescent="0.2">
      <c r="A38" s="648">
        <v>2036</v>
      </c>
      <c r="B38" s="682">
        <f t="shared" si="6"/>
        <v>0.46772558877673509</v>
      </c>
      <c r="C38" s="683">
        <f>'7&amp;8 Sleep'!$N105+'7&amp;8 Sleep'!$AA105</f>
        <v>0.22312063776907151</v>
      </c>
      <c r="D38" s="683">
        <f>'7&amp;8 Sleep'!$N157+'7&amp;8 Sleep'!$AA157</f>
        <v>0.30915377345419337</v>
      </c>
      <c r="E38" s="683">
        <f>'7&amp;8 Sleep'!$N209+'7&amp;8 Sleep'!$AA209</f>
        <v>0</v>
      </c>
      <c r="F38" s="683">
        <f>'7&amp;8 Sleep'!$N262+'7&amp;8 Sleep'!$AA262</f>
        <v>0</v>
      </c>
      <c r="G38" s="684">
        <f>'7&amp;8 Sleep'!$N315+'7&amp;8 Sleep'!$AA315</f>
        <v>0</v>
      </c>
      <c r="H38" s="659">
        <f t="shared" si="7"/>
        <v>0.3851314984089641</v>
      </c>
      <c r="I38" s="659">
        <f>'7&amp;8 Day'!$N105+'7&amp;8 Day'!$AA105</f>
        <v>0.29967447056774632</v>
      </c>
      <c r="J38" s="659">
        <f>'7&amp;8 Day'!$N157+'7&amp;8 Day'!$AA157</f>
        <v>0.29703399097650274</v>
      </c>
      <c r="K38" s="659">
        <f>'7&amp;8 Day'!$N209+'7&amp;8 Day'!$AA209</f>
        <v>1.8160040046786848E-2</v>
      </c>
      <c r="L38" s="659">
        <f>'7&amp;8 Day'!$N262+'7&amp;8 Day'!$AA262</f>
        <v>0</v>
      </c>
      <c r="M38" s="659">
        <f>'7&amp;8 Day'!$N315+'7&amp;8 Day'!$AA315</f>
        <v>0</v>
      </c>
      <c r="N38" s="682">
        <f t="shared" si="8"/>
        <v>0.6957143094399032</v>
      </c>
      <c r="O38" s="683">
        <f>'7&amp;8 SU'!$N105+'7&amp;8 SU'!$AA105</f>
        <v>9.2064387579375725E-2</v>
      </c>
      <c r="P38" s="683">
        <f>'7&amp;8 SU'!$N157+'7&amp;8 SU'!$AA157</f>
        <v>0.15470320036253207</v>
      </c>
      <c r="Q38" s="683">
        <f>'7&amp;8 SU'!$N209+'7&amp;8 SU'!$AA209</f>
        <v>5.395755951798397E-2</v>
      </c>
      <c r="R38" s="683">
        <f>'7&amp;8 SU'!$N262+'7&amp;8 SU'!$AA262</f>
        <v>3.5605431002051153E-3</v>
      </c>
      <c r="S38" s="684">
        <f>'7&amp;8 SU'!$N315+'7&amp;8 SU'!$AA315</f>
        <v>0</v>
      </c>
      <c r="T38" s="663">
        <f>B38*'Market Data'!$C$52+H38*'Market Data'!$M$52+N38*'Market Data'!$W$52</f>
        <v>0.50766618314645628</v>
      </c>
      <c r="U38" s="432">
        <f>SUM(C38:G38)*'Market Data'!$C$52+SUM(I38:M38)*'Market Data'!$M$52+SUM(O38:S38)*'Market Data'!$W$52</f>
        <v>0.49233381685354372</v>
      </c>
    </row>
    <row r="39" spans="1:26" ht="15" x14ac:dyDescent="0.2">
      <c r="A39" s="403">
        <v>2037</v>
      </c>
      <c r="B39" s="674">
        <f t="shared" si="6"/>
        <v>0.46079380359478006</v>
      </c>
      <c r="C39" s="675">
        <f>'7&amp;8 Sleep'!$N106+'7&amp;8 Sleep'!$AA106</f>
        <v>0.19285462853098459</v>
      </c>
      <c r="D39" s="675">
        <f>'7&amp;8 Sleep'!$N158+'7&amp;8 Sleep'!$AA158</f>
        <v>0.34635156787423532</v>
      </c>
      <c r="E39" s="675">
        <f>'7&amp;8 Sleep'!$N210+'7&amp;8 Sleep'!$AA210</f>
        <v>0</v>
      </c>
      <c r="F39" s="675">
        <f>'7&amp;8 Sleep'!$N263+'7&amp;8 Sleep'!$AA263</f>
        <v>0</v>
      </c>
      <c r="G39" s="676">
        <f>'7&amp;8 Sleep'!$N316+'7&amp;8 Sleep'!$AA316</f>
        <v>0</v>
      </c>
      <c r="H39" s="657">
        <f t="shared" si="7"/>
        <v>0.37739562283431538</v>
      </c>
      <c r="I39" s="657">
        <f>'7&amp;8 Day'!$N106+'7&amp;8 Day'!$AA106</f>
        <v>0.30084122484494447</v>
      </c>
      <c r="J39" s="657">
        <f>'7&amp;8 Day'!$N158+'7&amp;8 Day'!$AA158</f>
        <v>0.29869366644682593</v>
      </c>
      <c r="K39" s="657">
        <f>'7&amp;8 Day'!$N210+'7&amp;8 Day'!$AA210</f>
        <v>2.3069485873914233E-2</v>
      </c>
      <c r="L39" s="657">
        <f>'7&amp;8 Day'!$N263+'7&amp;8 Day'!$AA263</f>
        <v>0</v>
      </c>
      <c r="M39" s="657">
        <f>'7&amp;8 Day'!$N316+'7&amp;8 Day'!$AA316</f>
        <v>0</v>
      </c>
      <c r="N39" s="674">
        <f t="shared" si="8"/>
        <v>0.69557216697587487</v>
      </c>
      <c r="O39" s="675">
        <f>'7&amp;8 SU'!$N106+'7&amp;8 SU'!$AA106</f>
        <v>9.1761657553919129E-2</v>
      </c>
      <c r="P39" s="675">
        <f>'7&amp;8 SU'!$N158+'7&amp;8 SU'!$AA158</f>
        <v>0.15440107185334692</v>
      </c>
      <c r="Q39" s="675">
        <f>'7&amp;8 SU'!$N210+'7&amp;8 SU'!$AA210</f>
        <v>5.434694110902856E-2</v>
      </c>
      <c r="R39" s="675">
        <f>'7&amp;8 SU'!$N263+'7&amp;8 SU'!$AA263</f>
        <v>3.918162507830481E-3</v>
      </c>
      <c r="S39" s="676">
        <f>'7&amp;8 SU'!$N316+'7&amp;8 SU'!$AA316</f>
        <v>0</v>
      </c>
      <c r="T39" s="661">
        <f>B39*'Market Data'!$C$52+H39*'Market Data'!$M$52+N39*'Market Data'!$W$52</f>
        <v>0.50234746651026696</v>
      </c>
      <c r="U39" s="425">
        <f>SUM(C39:G39)*'Market Data'!$C$52+SUM(I39:M39)*'Market Data'!$M$52+SUM(O39:S39)*'Market Data'!$W$52</f>
        <v>0.49765253348973293</v>
      </c>
    </row>
    <row r="40" spans="1:26" ht="15" x14ac:dyDescent="0.2">
      <c r="A40" s="403">
        <v>2038</v>
      </c>
      <c r="B40" s="674">
        <f t="shared" si="6"/>
        <v>0.42875172702918452</v>
      </c>
      <c r="C40" s="675">
        <f>'7&amp;8 Sleep'!$N107+'7&amp;8 Sleep'!$AA107</f>
        <v>0.21020728453946841</v>
      </c>
      <c r="D40" s="675">
        <f>'7&amp;8 Sleep'!$N159+'7&amp;8 Sleep'!$AA159</f>
        <v>0.36104098843134713</v>
      </c>
      <c r="E40" s="675">
        <f>'7&amp;8 Sleep'!$N211+'7&amp;8 Sleep'!$AA211</f>
        <v>0</v>
      </c>
      <c r="F40" s="675">
        <f>'7&amp;8 Sleep'!$N264+'7&amp;8 Sleep'!$AA264</f>
        <v>0</v>
      </c>
      <c r="G40" s="676">
        <f>'7&amp;8 Sleep'!$N317+'7&amp;8 Sleep'!$AA317</f>
        <v>0</v>
      </c>
      <c r="H40" s="657">
        <f t="shared" si="7"/>
        <v>0.37739473325749273</v>
      </c>
      <c r="I40" s="657">
        <f>'7&amp;8 Day'!$N107+'7&amp;8 Day'!$AA107</f>
        <v>0.29691459537040243</v>
      </c>
      <c r="J40" s="657">
        <f>'7&amp;8 Day'!$N159+'7&amp;8 Day'!$AA159</f>
        <v>0.29678155256795247</v>
      </c>
      <c r="K40" s="657">
        <f>'7&amp;8 Day'!$N211+'7&amp;8 Day'!$AA211</f>
        <v>2.8909118804152339E-2</v>
      </c>
      <c r="L40" s="657">
        <f>'7&amp;8 Day'!$N264+'7&amp;8 Day'!$AA264</f>
        <v>0</v>
      </c>
      <c r="M40" s="657">
        <f>'7&amp;8 Day'!$N317+'7&amp;8 Day'!$AA317</f>
        <v>0</v>
      </c>
      <c r="N40" s="674">
        <f t="shared" si="8"/>
        <v>0.69553169678166737</v>
      </c>
      <c r="O40" s="675">
        <f>'7&amp;8 SU'!$N107+'7&amp;8 SU'!$AA107</f>
        <v>9.2383779003537392E-2</v>
      </c>
      <c r="P40" s="675">
        <f>'7&amp;8 SU'!$N159+'7&amp;8 SU'!$AA159</f>
        <v>0.15149309245228174</v>
      </c>
      <c r="Q40" s="675">
        <f>'7&amp;8 SU'!$N211+'7&amp;8 SU'!$AA211</f>
        <v>5.622208830655586E-2</v>
      </c>
      <c r="R40" s="675">
        <f>'7&amp;8 SU'!$N264+'7&amp;8 SU'!$AA264</f>
        <v>4.3693434559576114E-3</v>
      </c>
      <c r="S40" s="676">
        <f>'7&amp;8 SU'!$N317+'7&amp;8 SU'!$AA317</f>
        <v>0</v>
      </c>
      <c r="T40" s="661">
        <f>B40*'Market Data'!$C$52+H40*'Market Data'!$M$52+N40*'Market Data'!$W$52</f>
        <v>0.48707619263875979</v>
      </c>
      <c r="U40" s="425">
        <f>SUM(C40:G40)*'Market Data'!$C$52+SUM(I40:M40)*'Market Data'!$M$52+SUM(O40:S40)*'Market Data'!$W$52</f>
        <v>0.5129238073612401</v>
      </c>
    </row>
    <row r="41" spans="1:26" ht="15" x14ac:dyDescent="0.2">
      <c r="A41" s="403">
        <v>2039</v>
      </c>
      <c r="B41" s="674">
        <f t="shared" si="6"/>
        <v>0.38758506660810554</v>
      </c>
      <c r="C41" s="675">
        <f>'7&amp;8 Sleep'!$N108+'7&amp;8 Sleep'!$AA108</f>
        <v>0.24996526864949906</v>
      </c>
      <c r="D41" s="675">
        <f>'7&amp;8 Sleep'!$N160+'7&amp;8 Sleep'!$AA160</f>
        <v>0.36244966474239537</v>
      </c>
      <c r="E41" s="675">
        <f>'7&amp;8 Sleep'!$N212+'7&amp;8 Sleep'!$AA212</f>
        <v>0</v>
      </c>
      <c r="F41" s="675">
        <f>'7&amp;8 Sleep'!$N265+'7&amp;8 Sleep'!$AA265</f>
        <v>0</v>
      </c>
      <c r="G41" s="676">
        <f>'7&amp;8 Sleep'!$N318+'7&amp;8 Sleep'!$AA318</f>
        <v>0</v>
      </c>
      <c r="H41" s="657">
        <f t="shared" si="7"/>
        <v>0.3764378430719586</v>
      </c>
      <c r="I41" s="657">
        <f>'7&amp;8 Day'!$N108+'7&amp;8 Day'!$AA108</f>
        <v>0.29299930819588532</v>
      </c>
      <c r="J41" s="657">
        <f>'7&amp;8 Day'!$N160+'7&amp;8 Day'!$AA160</f>
        <v>0.29241540794323367</v>
      </c>
      <c r="K41" s="657">
        <f>'7&amp;8 Day'!$N212+'7&amp;8 Day'!$AA212</f>
        <v>3.8142956638128778E-2</v>
      </c>
      <c r="L41" s="657">
        <f>'7&amp;8 Day'!$N265+'7&amp;8 Day'!$AA265</f>
        <v>0</v>
      </c>
      <c r="M41" s="657">
        <f>'7&amp;8 Day'!$N318+'7&amp;8 Day'!$AA318</f>
        <v>4.4841507935532547E-6</v>
      </c>
      <c r="N41" s="674">
        <f t="shared" si="8"/>
        <v>0.69511131286246641</v>
      </c>
      <c r="O41" s="675">
        <f>'7&amp;8 SU'!$N108+'7&amp;8 SU'!$AA108</f>
        <v>9.4248130585542433E-2</v>
      </c>
      <c r="P41" s="675">
        <f>'7&amp;8 SU'!$N160+'7&amp;8 SU'!$AA160</f>
        <v>0.1497980186638728</v>
      </c>
      <c r="Q41" s="675">
        <f>'7&amp;8 SU'!$N212+'7&amp;8 SU'!$AA212</f>
        <v>5.5772751847236728E-2</v>
      </c>
      <c r="R41" s="675">
        <f>'7&amp;8 SU'!$N265+'7&amp;8 SU'!$AA265</f>
        <v>5.0548119936155668E-3</v>
      </c>
      <c r="S41" s="676">
        <f>'7&amp;8 SU'!$N318+'7&amp;8 SU'!$AA318</f>
        <v>1.4974047266104719E-5</v>
      </c>
      <c r="T41" s="661">
        <f>B41*'Market Data'!$C$52+H41*'Market Data'!$M$52+N41*'Market Data'!$W$52</f>
        <v>0.46711290999360866</v>
      </c>
      <c r="U41" s="425">
        <f>SUM(C41:G41)*'Market Data'!$C$52+SUM(I41:M41)*'Market Data'!$M$52+SUM(O41:S41)*'Market Data'!$W$52</f>
        <v>0.53288709000639123</v>
      </c>
    </row>
    <row r="42" spans="1:26" ht="15" x14ac:dyDescent="0.2">
      <c r="A42" s="402">
        <v>2040</v>
      </c>
      <c r="B42" s="677">
        <f t="shared" si="6"/>
        <v>0.34276057992869524</v>
      </c>
      <c r="C42" s="678">
        <f>'7&amp;8 Sleep'!$N109+'7&amp;8 Sleep'!$AA109</f>
        <v>0.28714682952962672</v>
      </c>
      <c r="D42" s="678">
        <f>'7&amp;8 Sleep'!$N161+'7&amp;8 Sleep'!$AA161</f>
        <v>0.37009259054167803</v>
      </c>
      <c r="E42" s="678">
        <f>'7&amp;8 Sleep'!$N213+'7&amp;8 Sleep'!$AA213</f>
        <v>0</v>
      </c>
      <c r="F42" s="678">
        <f>'7&amp;8 Sleep'!$N266+'7&amp;8 Sleep'!$AA266</f>
        <v>0</v>
      </c>
      <c r="G42" s="679">
        <f>'7&amp;8 Sleep'!$N319+'7&amp;8 Sleep'!$AA319</f>
        <v>0</v>
      </c>
      <c r="H42" s="841">
        <f t="shared" si="7"/>
        <v>0.37643772249553786</v>
      </c>
      <c r="I42" s="841">
        <f>'7&amp;8 Day'!$N109+'7&amp;8 Day'!$AA109</f>
        <v>0.2869651592797573</v>
      </c>
      <c r="J42" s="841">
        <f>'7&amp;8 Day'!$N161+'7&amp;8 Day'!$AA161</f>
        <v>0.28638396274766598</v>
      </c>
      <c r="K42" s="841">
        <f>'7&amp;8 Day'!$N213+'7&amp;8 Day'!$AA213</f>
        <v>4.7368421936975588E-2</v>
      </c>
      <c r="L42" s="841">
        <f>'7&amp;8 Day'!$N266+'7&amp;8 Day'!$AA266</f>
        <v>0</v>
      </c>
      <c r="M42" s="841">
        <f>'7&amp;8 Day'!$N319+'7&amp;8 Day'!$AA319</f>
        <v>2.8447335400633668E-3</v>
      </c>
      <c r="N42" s="674">
        <f t="shared" si="8"/>
        <v>0.6951111526049728</v>
      </c>
      <c r="O42" s="675">
        <f>'7&amp;8 SU'!$N109+'7&amp;8 SU'!$AA109</f>
        <v>9.3908631456694036E-2</v>
      </c>
      <c r="P42" s="675">
        <f>'7&amp;8 SU'!$N161+'7&amp;8 SU'!$AA161</f>
        <v>0.14942456300735374</v>
      </c>
      <c r="Q42" s="675">
        <f>'7&amp;8 SU'!$N213+'7&amp;8 SU'!$AA213</f>
        <v>5.5476762708949384E-2</v>
      </c>
      <c r="R42" s="675">
        <f>'7&amp;8 SU'!$N266+'7&amp;8 SU'!$AA266</f>
        <v>5.9645976859886967E-3</v>
      </c>
      <c r="S42" s="676">
        <f>'7&amp;8 SU'!$N319+'7&amp;8 SU'!$AA319</f>
        <v>1.1429253604132307E-4</v>
      </c>
      <c r="T42" s="662">
        <f>B42*'Market Data'!$C$52+H42*'Market Data'!$M$52+N42*'Market Data'!$W$52</f>
        <v>0.44576494199555622</v>
      </c>
      <c r="U42" s="428">
        <f>SUM(C42:G42)*'Market Data'!$C$52+SUM(I42:M42)*'Market Data'!$M$52+SUM(O42:S42)*'Market Data'!$W$52</f>
        <v>0.55423505800444373</v>
      </c>
    </row>
    <row r="43" spans="1:26" ht="15" x14ac:dyDescent="0.2">
      <c r="A43" s="403">
        <v>2041</v>
      </c>
      <c r="B43" s="682">
        <f t="shared" si="6"/>
        <v>0.30507702645283541</v>
      </c>
      <c r="C43" s="683">
        <f>'7&amp;8 Sleep'!$N110+'7&amp;8 Sleep'!$AA110</f>
        <v>0.31265971701245598</v>
      </c>
      <c r="D43" s="683">
        <f>'7&amp;8 Sleep'!$N162+'7&amp;8 Sleep'!$AA162</f>
        <v>0.38225917722647212</v>
      </c>
      <c r="E43" s="683">
        <f>'7&amp;8 Sleep'!$N214+'7&amp;8 Sleep'!$AA214</f>
        <v>0</v>
      </c>
      <c r="F43" s="683">
        <f>'7&amp;8 Sleep'!$N267+'7&amp;8 Sleep'!$AA267</f>
        <v>4.079308236481345E-6</v>
      </c>
      <c r="G43" s="684">
        <f>'7&amp;8 Sleep'!$N320+'7&amp;8 Sleep'!$AA320</f>
        <v>0</v>
      </c>
      <c r="H43" s="659">
        <f t="shared" si="7"/>
        <v>0.37295419149234621</v>
      </c>
      <c r="I43" s="659">
        <f>'7&amp;8 Day'!$N110+'7&amp;8 Day'!$AA110</f>
        <v>0.2664057015015977</v>
      </c>
      <c r="J43" s="659">
        <f>'7&amp;8 Day'!$N162+'7&amp;8 Day'!$AA162</f>
        <v>0.26628400790007151</v>
      </c>
      <c r="K43" s="659">
        <f>'7&amp;8 Day'!$N214+'7&amp;8 Day'!$AA214</f>
        <v>6.0153885074856521E-2</v>
      </c>
      <c r="L43" s="659">
        <f>'7&amp;8 Day'!$N267+'7&amp;8 Day'!$AA267</f>
        <v>0</v>
      </c>
      <c r="M43" s="659">
        <f>'7&amp;8 Day'!$N320+'7&amp;8 Day'!$AA320</f>
        <v>3.4202214031128074E-2</v>
      </c>
      <c r="N43" s="682">
        <f t="shared" si="8"/>
        <v>0.68739629444608985</v>
      </c>
      <c r="O43" s="683">
        <f>'7&amp;8 SU'!$N110+'7&amp;8 SU'!$AA110</f>
        <v>9.4512567408448309E-2</v>
      </c>
      <c r="P43" s="683">
        <f>'7&amp;8 SU'!$N162+'7&amp;8 SU'!$AA162</f>
        <v>0.15470068751467425</v>
      </c>
      <c r="Q43" s="683">
        <f>'7&amp;8 SU'!$N214+'7&amp;8 SU'!$AA214</f>
        <v>5.5045186839937629E-2</v>
      </c>
      <c r="R43" s="683">
        <f>'7&amp;8 SU'!$N267+'7&amp;8 SU'!$AA267</f>
        <v>7.6482627730916457E-3</v>
      </c>
      <c r="S43" s="684">
        <f>'7&amp;8 SU'!$N320+'7&amp;8 SU'!$AA320</f>
        <v>6.9700101775827319E-4</v>
      </c>
      <c r="T43" s="666">
        <f>B43*'Market Data'!$C$52+H43*'Market Data'!$M$52+N43*'Market Data'!$W$52</f>
        <v>0.42485998642471046</v>
      </c>
      <c r="U43" s="434">
        <f>SUM(C43:G43)*'Market Data'!$C$52+SUM(I43:M43)*'Market Data'!$M$52+SUM(O43:S43)*'Market Data'!$W$52</f>
        <v>0.57514001357528943</v>
      </c>
    </row>
    <row r="44" spans="1:26" ht="15" x14ac:dyDescent="0.2">
      <c r="A44" s="403">
        <v>2042</v>
      </c>
      <c r="B44" s="674">
        <f t="shared" si="6"/>
        <v>0.28349328362705351</v>
      </c>
      <c r="C44" s="675">
        <f>'7&amp;8 Sleep'!$N111+'7&amp;8 Sleep'!$AA111</f>
        <v>0.32839124379167572</v>
      </c>
      <c r="D44" s="675">
        <f>'7&amp;8 Sleep'!$N163+'7&amp;8 Sleep'!$AA163</f>
        <v>0.38782938632459435</v>
      </c>
      <c r="E44" s="675">
        <f>'7&amp;8 Sleep'!$N215+'7&amp;8 Sleep'!$AA215</f>
        <v>0</v>
      </c>
      <c r="F44" s="675">
        <f>'7&amp;8 Sleep'!$N268+'7&amp;8 Sleep'!$AA268</f>
        <v>2.8608625667633439E-4</v>
      </c>
      <c r="G44" s="676">
        <f>'7&amp;8 Sleep'!$N321+'7&amp;8 Sleep'!$AA321</f>
        <v>0</v>
      </c>
      <c r="H44" s="657">
        <f t="shared" si="7"/>
        <v>0.36653747013425986</v>
      </c>
      <c r="I44" s="657">
        <f>'7&amp;8 Day'!$N111+'7&amp;8 Day'!$AA111</f>
        <v>0.23792508384986946</v>
      </c>
      <c r="J44" s="657">
        <f>'7&amp;8 Day'!$N163+'7&amp;8 Day'!$AA163</f>
        <v>0.2378184733281164</v>
      </c>
      <c r="K44" s="657">
        <f>'7&amp;8 Day'!$N215+'7&amp;8 Day'!$AA215</f>
        <v>8.2574742856063282E-2</v>
      </c>
      <c r="L44" s="657">
        <f>'7&amp;8 Day'!$N268+'7&amp;8 Day'!$AA268</f>
        <v>0</v>
      </c>
      <c r="M44" s="657">
        <f>'7&amp;8 Day'!$N321+'7&amp;8 Day'!$AA321</f>
        <v>7.5144229831691028E-2</v>
      </c>
      <c r="N44" s="674">
        <f t="shared" si="8"/>
        <v>0.68182834386183255</v>
      </c>
      <c r="O44" s="675">
        <f>'7&amp;8 SU'!$N111+'7&amp;8 SU'!$AA111</f>
        <v>9.345018554593254E-2</v>
      </c>
      <c r="P44" s="675">
        <f>'7&amp;8 SU'!$N163+'7&amp;8 SU'!$AA163</f>
        <v>0.15420155290596785</v>
      </c>
      <c r="Q44" s="675">
        <f>'7&amp;8 SU'!$N215+'7&amp;8 SU'!$AA215</f>
        <v>5.6685216286937609E-2</v>
      </c>
      <c r="R44" s="675">
        <f>'7&amp;8 SU'!$N268+'7&amp;8 SU'!$AA268</f>
        <v>1.0873357718738905E-2</v>
      </c>
      <c r="S44" s="676">
        <f>'7&amp;8 SU'!$N321+'7&amp;8 SU'!$AA321</f>
        <v>2.9613436805905231E-3</v>
      </c>
      <c r="T44" s="661">
        <f>B44*'Market Data'!$C$52+H44*'Market Data'!$M$52+N44*'Market Data'!$W$52</f>
        <v>0.41144726087928052</v>
      </c>
      <c r="U44" s="425">
        <f>SUM(C44:G44)*'Market Data'!$C$52+SUM(I44:M44)*'Market Data'!$M$52+SUM(O44:S44)*'Market Data'!$W$52</f>
        <v>0.58855273912071948</v>
      </c>
    </row>
    <row r="45" spans="1:26" ht="15" x14ac:dyDescent="0.2">
      <c r="A45" s="403">
        <v>2043</v>
      </c>
      <c r="B45" s="674">
        <f t="shared" si="6"/>
        <v>0.2784072796006456</v>
      </c>
      <c r="C45" s="675">
        <f>'7&amp;8 Sleep'!$N112+'7&amp;8 Sleep'!$AA112</f>
        <v>0.33345499273802404</v>
      </c>
      <c r="D45" s="675">
        <f>'7&amp;8 Sleep'!$N164+'7&amp;8 Sleep'!$AA164</f>
        <v>0.38685605966725173</v>
      </c>
      <c r="E45" s="675">
        <f>'7&amp;8 Sleep'!$N216+'7&amp;8 Sleep'!$AA216</f>
        <v>0</v>
      </c>
      <c r="F45" s="675">
        <f>'7&amp;8 Sleep'!$N269+'7&amp;8 Sleep'!$AA269</f>
        <v>1.2816679940785575E-3</v>
      </c>
      <c r="G45" s="676">
        <f>'7&amp;8 Sleep'!$N322+'7&amp;8 Sleep'!$AA322</f>
        <v>0</v>
      </c>
      <c r="H45" s="657">
        <f t="shared" si="7"/>
        <v>0.36446192314905046</v>
      </c>
      <c r="I45" s="657">
        <f>'7&amp;8 Day'!$N112+'7&amp;8 Day'!$AA112</f>
        <v>0.2160829248508721</v>
      </c>
      <c r="J45" s="657">
        <f>'7&amp;8 Day'!$N164+'7&amp;8 Day'!$AA164</f>
        <v>0.21545715010555605</v>
      </c>
      <c r="K45" s="657">
        <f>'7&amp;8 Day'!$N216+'7&amp;8 Day'!$AA216</f>
        <v>0.10941424687694654</v>
      </c>
      <c r="L45" s="657">
        <f>'7&amp;8 Day'!$N269+'7&amp;8 Day'!$AA269</f>
        <v>5.3929259061313731E-4</v>
      </c>
      <c r="M45" s="657">
        <f>'7&amp;8 Day'!$N322+'7&amp;8 Day'!$AA322</f>
        <v>9.4044462426961767E-2</v>
      </c>
      <c r="N45" s="674">
        <f t="shared" si="8"/>
        <v>0.6817894598932388</v>
      </c>
      <c r="O45" s="675">
        <f>'7&amp;8 SU'!$N112+'7&amp;8 SU'!$AA112</f>
        <v>9.2530768064731858E-2</v>
      </c>
      <c r="P45" s="675">
        <f>'7&amp;8 SU'!$N164+'7&amp;8 SU'!$AA164</f>
        <v>0.14842970486654772</v>
      </c>
      <c r="Q45" s="675">
        <f>'7&amp;8 SU'!$N216+'7&amp;8 SU'!$AA216</f>
        <v>5.4194725370150132E-2</v>
      </c>
      <c r="R45" s="675">
        <f>'7&amp;8 SU'!$N269+'7&amp;8 SU'!$AA269</f>
        <v>1.5905458201516953E-2</v>
      </c>
      <c r="S45" s="676">
        <f>'7&amp;8 SU'!$N322+'7&amp;8 SU'!$AA322</f>
        <v>7.1498836038144777E-3</v>
      </c>
      <c r="T45" s="661">
        <f>B45*'Market Data'!$C$52+H45*'Market Data'!$M$52+N45*'Market Data'!$W$52</f>
        <v>0.40848354873425907</v>
      </c>
      <c r="U45" s="425">
        <f>SUM(C45:G45)*'Market Data'!$C$52+SUM(I45:M45)*'Market Data'!$M$52+SUM(O45:S45)*'Market Data'!$W$52</f>
        <v>0.59151645126574093</v>
      </c>
    </row>
    <row r="46" spans="1:26" ht="15" x14ac:dyDescent="0.2">
      <c r="A46" s="403">
        <v>2044</v>
      </c>
      <c r="B46" s="674">
        <f t="shared" si="6"/>
        <v>0.27613934523991124</v>
      </c>
      <c r="C46" s="675">
        <f>'7&amp;8 Sleep'!$N113+'7&amp;8 Sleep'!$AA113</f>
        <v>0.33329607146083357</v>
      </c>
      <c r="D46" s="675">
        <f>'7&amp;8 Sleep'!$N165+'7&amp;8 Sleep'!$AA165</f>
        <v>0.38655267581793051</v>
      </c>
      <c r="E46" s="675">
        <f>'7&amp;8 Sleep'!$N217+'7&amp;8 Sleep'!$AA217</f>
        <v>0</v>
      </c>
      <c r="F46" s="675">
        <f>'7&amp;8 Sleep'!$N270+'7&amp;8 Sleep'!$AA270</f>
        <v>4.0119074813247764E-3</v>
      </c>
      <c r="G46" s="676">
        <f>'7&amp;8 Sleep'!$N323+'7&amp;8 Sleep'!$AA323</f>
        <v>0</v>
      </c>
      <c r="H46" s="657">
        <f t="shared" si="7"/>
        <v>0.35790736541161206</v>
      </c>
      <c r="I46" s="657">
        <f>'7&amp;8 Day'!$N113+'7&amp;8 Day'!$AA113</f>
        <v>0.19836958302108038</v>
      </c>
      <c r="J46" s="657">
        <f>'7&amp;8 Day'!$N165+'7&amp;8 Day'!$AA165</f>
        <v>0.19828069670273335</v>
      </c>
      <c r="K46" s="657">
        <f>'7&amp;8 Day'!$N217+'7&amp;8 Day'!$AA217</f>
        <v>0.13334949108177147</v>
      </c>
      <c r="L46" s="657">
        <f>'7&amp;8 Day'!$N270+'7&amp;8 Day'!$AA270</f>
        <v>5.1839877444530471E-3</v>
      </c>
      <c r="M46" s="657">
        <f>'7&amp;8 Day'!$N323+'7&amp;8 Day'!$AA323</f>
        <v>0.10690887603834959</v>
      </c>
      <c r="N46" s="674">
        <f t="shared" si="8"/>
        <v>0.67972303772513931</v>
      </c>
      <c r="O46" s="675">
        <f>'7&amp;8 SU'!$N113+'7&amp;8 SU'!$AA113</f>
        <v>8.8105895518274066E-2</v>
      </c>
      <c r="P46" s="675">
        <f>'7&amp;8 SU'!$N165+'7&amp;8 SU'!$AA165</f>
        <v>0.14134207607701993</v>
      </c>
      <c r="Q46" s="675">
        <f>'7&amp;8 SU'!$N217+'7&amp;8 SU'!$AA217</f>
        <v>5.3448168515270747E-2</v>
      </c>
      <c r="R46" s="675">
        <f>'7&amp;8 SU'!$N270+'7&amp;8 SU'!$AA270</f>
        <v>2.3799546792952125E-2</v>
      </c>
      <c r="S46" s="676">
        <f>'7&amp;8 SU'!$N323+'7&amp;8 SU'!$AA323</f>
        <v>1.3581275371343739E-2</v>
      </c>
      <c r="T46" s="661">
        <f>B46*'Market Data'!$C$52+H46*'Market Data'!$M$52+N46*'Market Data'!$W$52</f>
        <v>0.40517279788312655</v>
      </c>
      <c r="U46" s="425">
        <f>SUM(C46:G46)*'Market Data'!$C$52+SUM(I46:M46)*'Market Data'!$M$52+SUM(O46:S46)*'Market Data'!$W$52</f>
        <v>0.59482720211687345</v>
      </c>
    </row>
    <row r="47" spans="1:26" ht="15" x14ac:dyDescent="0.2">
      <c r="A47" s="402">
        <v>2045</v>
      </c>
      <c r="B47" s="677">
        <f t="shared" si="6"/>
        <v>0.27657197145015289</v>
      </c>
      <c r="C47" s="678">
        <f>'7&amp;8 Sleep'!$N114+'7&amp;8 Sleep'!$AA114</f>
        <v>0.33251724014493345</v>
      </c>
      <c r="D47" s="678">
        <f>'7&amp;8 Sleep'!$N166+'7&amp;8 Sleep'!$AA166</f>
        <v>0.38168745472257726</v>
      </c>
      <c r="E47" s="678">
        <f>'7&amp;8 Sleep'!$N218+'7&amp;8 Sleep'!$AA218</f>
        <v>4.5358584590571963E-5</v>
      </c>
      <c r="F47" s="678">
        <f>'7&amp;8 Sleep'!$N271+'7&amp;8 Sleep'!$AA271</f>
        <v>9.1779750977458545E-3</v>
      </c>
      <c r="G47" s="679">
        <f>'7&amp;8 Sleep'!$N324+'7&amp;8 Sleep'!$AA324</f>
        <v>0</v>
      </c>
      <c r="H47" s="658">
        <f t="shared" si="7"/>
        <v>0.2989805373704405</v>
      </c>
      <c r="I47" s="658">
        <f>'7&amp;8 Day'!$N114+'7&amp;8 Day'!$AA114</f>
        <v>0.19814595200246676</v>
      </c>
      <c r="J47" s="658">
        <f>'7&amp;8 Day'!$N166+'7&amp;8 Day'!$AA166</f>
        <v>0.19766899120784648</v>
      </c>
      <c r="K47" s="658">
        <f>'7&amp;8 Day'!$N218+'7&amp;8 Day'!$AA218</f>
        <v>0.16013626145008925</v>
      </c>
      <c r="L47" s="658">
        <f>'7&amp;8 Day'!$N271+'7&amp;8 Day'!$AA271</f>
        <v>1.4731115960970854E-2</v>
      </c>
      <c r="M47" s="658">
        <f>'7&amp;8 Day'!$N324+'7&amp;8 Day'!$AA324</f>
        <v>0.13033714200818616</v>
      </c>
      <c r="N47" s="677">
        <f t="shared" si="8"/>
        <v>0.66740000409368139</v>
      </c>
      <c r="O47" s="678">
        <f>'7&amp;8 SU'!$N114+'7&amp;8 SU'!$AA114</f>
        <v>8.4112078932868567E-2</v>
      </c>
      <c r="P47" s="678">
        <f>'7&amp;8 SU'!$N166+'7&amp;8 SU'!$AA166</f>
        <v>0.13861219615884512</v>
      </c>
      <c r="Q47" s="678">
        <f>'7&amp;8 SU'!$N218+'7&amp;8 SU'!$AA218</f>
        <v>5.0837567526946278E-2</v>
      </c>
      <c r="R47" s="678">
        <f>'7&amp;8 SU'!$N271+'7&amp;8 SU'!$AA271</f>
        <v>3.5280745573791877E-2</v>
      </c>
      <c r="S47" s="679">
        <f>'7&amp;8 SU'!$N324+'7&amp;8 SU'!$AA324</f>
        <v>2.37574077138668E-2</v>
      </c>
      <c r="T47" s="662">
        <f>B47*'Market Data'!$C$52+H47*'Market Data'!$M$52+N47*'Market Data'!$W$52</f>
        <v>0.38700042680060537</v>
      </c>
      <c r="U47" s="428">
        <f>SUM(C47:G47)*'Market Data'!$C$52+SUM(I47:M47)*'Market Data'!$M$52+SUM(O47:S47)*'Market Data'!$W$52</f>
        <v>0.61299957319939458</v>
      </c>
      <c r="V47" s="425">
        <f>D47*'Market Data'!$C$52+J47*'Market Data'!$M$52+P47*'Market Data'!$W$52</f>
        <v>0.26948862391267692</v>
      </c>
      <c r="W47" s="425">
        <f>E47*'Market Data'!$C$52+Q47*'Market Data'!$W$52</f>
        <v>1.3639953071245424E-2</v>
      </c>
      <c r="X47" s="425">
        <f>F47*'Market Data'!$C$52+L47*'Market Data'!$M$52</f>
        <v>8.1402373476185327E-3</v>
      </c>
      <c r="Y47" s="425">
        <f>K47*'Market Data'!$M$52+R47*'Market Data'!$W$52</f>
        <v>5.0424282168718526E-2</v>
      </c>
      <c r="Z47" s="1284">
        <f>1-SUM(V47:Y47)</f>
        <v>0.65830690349974064</v>
      </c>
    </row>
    <row r="48" spans="1:26" ht="15" x14ac:dyDescent="0.2">
      <c r="A48" s="403">
        <v>2046</v>
      </c>
      <c r="B48" s="682">
        <f t="shared" si="6"/>
        <v>0.27761671080682038</v>
      </c>
      <c r="C48" s="683">
        <f>'7&amp;8 Sleep'!$N115+'7&amp;8 Sleep'!$AA115</f>
        <v>0.32809237448066914</v>
      </c>
      <c r="D48" s="683">
        <f>'7&amp;8 Sleep'!$N167+'7&amp;8 Sleep'!$AA167</f>
        <v>0.37839748173494131</v>
      </c>
      <c r="E48" s="683">
        <f>'7&amp;8 Sleep'!$N219+'7&amp;8 Sleep'!$AA219</f>
        <v>1.3959703463673995E-3</v>
      </c>
      <c r="F48" s="683">
        <f>'7&amp;8 Sleep'!$N272+'7&amp;8 Sleep'!$AA272</f>
        <v>1.4497462631201824E-2</v>
      </c>
      <c r="G48" s="684">
        <f>'7&amp;8 Sleep'!$N325+'7&amp;8 Sleep'!$AA325</f>
        <v>0</v>
      </c>
      <c r="H48" s="659">
        <f t="shared" si="7"/>
        <v>0.26916255125247179</v>
      </c>
      <c r="I48" s="659">
        <f>'7&amp;8 Day'!$N115+'7&amp;8 Day'!$AA115</f>
        <v>0.19716524365603011</v>
      </c>
      <c r="J48" s="659">
        <f>'7&amp;8 Day'!$N167+'7&amp;8 Day'!$AA167</f>
        <v>0.19575559480640359</v>
      </c>
      <c r="K48" s="659">
        <f>'7&amp;8 Day'!$N219+'7&amp;8 Day'!$AA219</f>
        <v>0.17581588512602053</v>
      </c>
      <c r="L48" s="659">
        <f>'7&amp;8 Day'!$N272+'7&amp;8 Day'!$AA272</f>
        <v>2.2067294168549835E-2</v>
      </c>
      <c r="M48" s="659">
        <f>'7&amp;8 Day'!$N325+'7&amp;8 Day'!$AA325</f>
        <v>0.14003343099052418</v>
      </c>
      <c r="N48" s="682">
        <f t="shared" si="8"/>
        <v>0.66740000366033758</v>
      </c>
      <c r="O48" s="683">
        <f>'7&amp;8 SU'!$N115+'7&amp;8 SU'!$AA115</f>
        <v>7.9659675322475268E-2</v>
      </c>
      <c r="P48" s="683">
        <f>'7&amp;8 SU'!$N167+'7&amp;8 SU'!$AA167</f>
        <v>0.13055956046384609</v>
      </c>
      <c r="Q48" s="683">
        <f>'7&amp;8 SU'!$N219+'7&amp;8 SU'!$AA219</f>
        <v>4.8500382953880192E-2</v>
      </c>
      <c r="R48" s="683">
        <f>'7&amp;8 SU'!$N272+'7&amp;8 SU'!$AA272</f>
        <v>4.2742437573075463E-2</v>
      </c>
      <c r="S48" s="684">
        <f>'7&amp;8 SU'!$N325+'7&amp;8 SU'!$AA325</f>
        <v>3.1137940026385404E-2</v>
      </c>
      <c r="T48" s="666">
        <f>B48*'Market Data'!$C$52+H48*'Market Data'!$M$52+N48*'Market Data'!$W$52</f>
        <v>0.37986860589135873</v>
      </c>
      <c r="U48" s="434">
        <f>SUM(C48:G48)*'Market Data'!$C$52+SUM(I48:M48)*'Market Data'!$M$52+SUM(O48:S48)*'Market Data'!$W$52</f>
        <v>0.62013139410864115</v>
      </c>
    </row>
    <row r="49" spans="1:21" ht="15" x14ac:dyDescent="0.2">
      <c r="A49" s="403">
        <v>2047</v>
      </c>
      <c r="B49" s="674">
        <f t="shared" si="6"/>
        <v>0.26742342556114929</v>
      </c>
      <c r="C49" s="675">
        <f>'7&amp;8 Sleep'!$N116+'7&amp;8 Sleep'!$AA116</f>
        <v>0.32315087930349573</v>
      </c>
      <c r="D49" s="675">
        <f>'7&amp;8 Sleep'!$N168+'7&amp;8 Sleep'!$AA168</f>
        <v>0.37839937778252808</v>
      </c>
      <c r="E49" s="675">
        <f>'7&amp;8 Sleep'!$N220+'7&amp;8 Sleep'!$AA220</f>
        <v>8.706897422455737E-3</v>
      </c>
      <c r="F49" s="675">
        <f>'7&amp;8 Sleep'!$N273+'7&amp;8 Sleep'!$AA273</f>
        <v>2.2319419930371173E-2</v>
      </c>
      <c r="G49" s="676">
        <f>'7&amp;8 Sleep'!$N326+'7&amp;8 Sleep'!$AA326</f>
        <v>0</v>
      </c>
      <c r="H49" s="657">
        <f t="shared" si="7"/>
        <v>0.23766961479785387</v>
      </c>
      <c r="I49" s="657">
        <f>'7&amp;8 Day'!$N116+'7&amp;8 Day'!$AA116</f>
        <v>0.19675739443971185</v>
      </c>
      <c r="J49" s="657">
        <f>'7&amp;8 Day'!$N168+'7&amp;8 Day'!$AA168</f>
        <v>0.19615748753437001</v>
      </c>
      <c r="K49" s="657">
        <f>'7&amp;8 Day'!$N220+'7&amp;8 Day'!$AA220</f>
        <v>0.18761823625523488</v>
      </c>
      <c r="L49" s="657">
        <f>'7&amp;8 Day'!$N273+'7&amp;8 Day'!$AA273</f>
        <v>3.0200216144401229E-2</v>
      </c>
      <c r="M49" s="657">
        <f>'7&amp;8 Day'!$N326+'7&amp;8 Day'!$AA326</f>
        <v>0.15159705082842806</v>
      </c>
      <c r="N49" s="674">
        <f t="shared" si="8"/>
        <v>0.66728321629595078</v>
      </c>
      <c r="O49" s="675">
        <f>'7&amp;8 SU'!$N116+'7&amp;8 SU'!$AA116</f>
        <v>7.7873167105958402E-2</v>
      </c>
      <c r="P49" s="675">
        <f>'7&amp;8 SU'!$N168+'7&amp;8 SU'!$AA168</f>
        <v>0.12226745706428724</v>
      </c>
      <c r="Q49" s="675">
        <f>'7&amp;8 SU'!$N220+'7&amp;8 SU'!$AA220</f>
        <v>4.7907534660364612E-2</v>
      </c>
      <c r="R49" s="675">
        <f>'7&amp;8 SU'!$N273+'7&amp;8 SU'!$AA273</f>
        <v>4.6711784208900931E-2</v>
      </c>
      <c r="S49" s="676">
        <f>'7&amp;8 SU'!$N326+'7&amp;8 SU'!$AA326</f>
        <v>3.7956840664538027E-2</v>
      </c>
      <c r="T49" s="661">
        <f>B49*'Market Data'!$C$52+H49*'Market Data'!$M$52+N49*'Market Data'!$W$52</f>
        <v>0.36692477123623024</v>
      </c>
      <c r="U49" s="425">
        <f>SUM(C49:G49)*'Market Data'!$C$52+SUM(I49:M49)*'Market Data'!$M$52+SUM(O49:S49)*'Market Data'!$W$52</f>
        <v>0.63307522876376976</v>
      </c>
    </row>
    <row r="50" spans="1:21" ht="15" x14ac:dyDescent="0.2">
      <c r="A50" s="403">
        <v>2048</v>
      </c>
      <c r="B50" s="674">
        <f t="shared" si="6"/>
        <v>0.26677180369804576</v>
      </c>
      <c r="C50" s="675">
        <f>'7&amp;8 Sleep'!$N117+'7&amp;8 Sleep'!$AA117</f>
        <v>0.31280036949361012</v>
      </c>
      <c r="D50" s="675">
        <f>'7&amp;8 Sleep'!$N169+'7&amp;8 Sleep'!$AA169</f>
        <v>0.36413100370385287</v>
      </c>
      <c r="E50" s="675">
        <f>'7&amp;8 Sleep'!$N221+'7&amp;8 Sleep'!$AA221</f>
        <v>2.5620065102783744E-2</v>
      </c>
      <c r="F50" s="675">
        <f>'7&amp;8 Sleep'!$N274+'7&amp;8 Sleep'!$AA274</f>
        <v>3.0676758001707525E-2</v>
      </c>
      <c r="G50" s="676">
        <f>'7&amp;8 Sleep'!$N327+'7&amp;8 Sleep'!$AA327</f>
        <v>0</v>
      </c>
      <c r="H50" s="657">
        <f t="shared" si="7"/>
        <v>0.21084976065241945</v>
      </c>
      <c r="I50" s="657">
        <f>'7&amp;8 Day'!$N117+'7&amp;8 Day'!$AA117</f>
        <v>0.19646488279626856</v>
      </c>
      <c r="J50" s="657">
        <f>'7&amp;8 Day'!$N169+'7&amp;8 Day'!$AA169</f>
        <v>0.19637684994440552</v>
      </c>
      <c r="K50" s="657">
        <f>'7&amp;8 Day'!$N221+'7&amp;8 Day'!$AA221</f>
        <v>0.1972338423590014</v>
      </c>
      <c r="L50" s="657">
        <f>'7&amp;8 Day'!$N274+'7&amp;8 Day'!$AA274</f>
        <v>3.5806685395509769E-2</v>
      </c>
      <c r="M50" s="657">
        <f>'7&amp;8 Day'!$N327+'7&amp;8 Day'!$AA327</f>
        <v>0.1632679788523953</v>
      </c>
      <c r="N50" s="674">
        <f t="shared" si="8"/>
        <v>0.66722126352566247</v>
      </c>
      <c r="O50" s="675">
        <f>'7&amp;8 SU'!$N117+'7&amp;8 SU'!$AA117</f>
        <v>7.6515505041703971E-2</v>
      </c>
      <c r="P50" s="675">
        <f>'7&amp;8 SU'!$N169+'7&amp;8 SU'!$AA169</f>
        <v>0.11776743866097679</v>
      </c>
      <c r="Q50" s="675">
        <f>'7&amp;8 SU'!$N221+'7&amp;8 SU'!$AA221</f>
        <v>4.6896271649200565E-2</v>
      </c>
      <c r="R50" s="675">
        <f>'7&amp;8 SU'!$N274+'7&amp;8 SU'!$AA274</f>
        <v>4.9321659910499777E-2</v>
      </c>
      <c r="S50" s="676">
        <f>'7&amp;8 SU'!$N327+'7&amp;8 SU'!$AA327</f>
        <v>4.2277861211956452E-2</v>
      </c>
      <c r="T50" s="661">
        <f>B50*'Market Data'!$C$52+H50*'Market Data'!$M$52+N50*'Market Data'!$W$52</f>
        <v>0.35973557119869753</v>
      </c>
      <c r="U50" s="425">
        <f>SUM(C50:G50)*'Market Data'!$C$52+SUM(I50:M50)*'Market Data'!$M$52+SUM(O50:S50)*'Market Data'!$W$52</f>
        <v>0.64026442880130241</v>
      </c>
    </row>
    <row r="51" spans="1:21" ht="15" x14ac:dyDescent="0.2">
      <c r="A51" s="403">
        <v>2049</v>
      </c>
      <c r="B51" s="674">
        <f t="shared" si="6"/>
        <v>0.26218920860416406</v>
      </c>
      <c r="C51" s="675">
        <f>'7&amp;8 Sleep'!$N118+'7&amp;8 Sleep'!$AA118</f>
        <v>0.29517978815515766</v>
      </c>
      <c r="D51" s="675">
        <f>'7&amp;8 Sleep'!$N170+'7&amp;8 Sleep'!$AA170</f>
        <v>0.34661013361517534</v>
      </c>
      <c r="E51" s="675">
        <f>'7&amp;8 Sleep'!$N222+'7&amp;8 Sleep'!$AA222</f>
        <v>5.4580734048934501E-2</v>
      </c>
      <c r="F51" s="675">
        <f>'7&amp;8 Sleep'!$N275+'7&amp;8 Sleep'!$AA275</f>
        <v>4.1440135576568497E-2</v>
      </c>
      <c r="G51" s="676">
        <f>'7&amp;8 Sleep'!$N328+'7&amp;8 Sleep'!$AA328</f>
        <v>0</v>
      </c>
      <c r="H51" s="657">
        <f t="shared" si="7"/>
        <v>0.1923362086206325</v>
      </c>
      <c r="I51" s="657">
        <f>'7&amp;8 Day'!$N118+'7&amp;8 Day'!$AA118</f>
        <v>0.19535148367759736</v>
      </c>
      <c r="J51" s="657">
        <f>'7&amp;8 Day'!$N170+'7&amp;8 Day'!$AA170</f>
        <v>0.19479821241994227</v>
      </c>
      <c r="K51" s="657">
        <f>'7&amp;8 Day'!$N222+'7&amp;8 Day'!$AA222</f>
        <v>0.20097140297509569</v>
      </c>
      <c r="L51" s="657">
        <f>'7&amp;8 Day'!$N275+'7&amp;8 Day'!$AA275</f>
        <v>4.0078357597910785E-2</v>
      </c>
      <c r="M51" s="657">
        <f>'7&amp;8 Day'!$N328+'7&amp;8 Day'!$AA328</f>
        <v>0.17646433470882139</v>
      </c>
      <c r="N51" s="674">
        <f t="shared" si="8"/>
        <v>0.6671452894110399</v>
      </c>
      <c r="O51" s="675">
        <f>'7&amp;8 SU'!$N118+'7&amp;8 SU'!$AA118</f>
        <v>7.4209711137466286E-2</v>
      </c>
      <c r="P51" s="675">
        <f>'7&amp;8 SU'!$N170+'7&amp;8 SU'!$AA170</f>
        <v>0.11379187417693221</v>
      </c>
      <c r="Q51" s="675">
        <f>'7&amp;8 SU'!$N222+'7&amp;8 SU'!$AA222</f>
        <v>4.7803383159193968E-2</v>
      </c>
      <c r="R51" s="675">
        <f>'7&amp;8 SU'!$N275+'7&amp;8 SU'!$AA275</f>
        <v>5.0416712077128528E-2</v>
      </c>
      <c r="S51" s="676">
        <f>'7&amp;8 SU'!$N328+'7&amp;8 SU'!$AA328</f>
        <v>4.6633030038239209E-2</v>
      </c>
      <c r="T51" s="661">
        <f>B51*'Market Data'!$C$52+H51*'Market Data'!$M$52+N51*'Market Data'!$W$52</f>
        <v>0.3527957619342329</v>
      </c>
      <c r="U51" s="425">
        <f>SUM(C51:G51)*'Market Data'!$C$52+SUM(I51:M51)*'Market Data'!$M$52+SUM(O51:S51)*'Market Data'!$W$52</f>
        <v>0.6472042380657671</v>
      </c>
    </row>
    <row r="52" spans="1:21" ht="16" thickBot="1" x14ac:dyDescent="0.25">
      <c r="A52" s="404">
        <v>2050</v>
      </c>
      <c r="B52" s="685">
        <f t="shared" si="6"/>
        <v>0.26346134015795142</v>
      </c>
      <c r="C52" s="686">
        <f>'7&amp;8 Sleep'!$N119+'7&amp;8 Sleep'!$AA119</f>
        <v>0.2711981103066633</v>
      </c>
      <c r="D52" s="686">
        <f>'7&amp;8 Sleep'!$N171+'7&amp;8 Sleep'!$AA171</f>
        <v>0.31770364922551453</v>
      </c>
      <c r="E52" s="686">
        <f>'7&amp;8 Sleep'!$N223+'7&amp;8 Sleep'!$AA223</f>
        <v>9.7090428158108671E-2</v>
      </c>
      <c r="F52" s="686">
        <f>'7&amp;8 Sleep'!$N276+'7&amp;8 Sleep'!$AA276</f>
        <v>5.0546472151762077E-2</v>
      </c>
      <c r="G52" s="687">
        <f>'7&amp;8 Sleep'!$N329+'7&amp;8 Sleep'!$AA329</f>
        <v>0</v>
      </c>
      <c r="H52" s="660">
        <f t="shared" si="7"/>
        <v>0.17133854625161582</v>
      </c>
      <c r="I52" s="660">
        <f>'7&amp;8 Day'!$N119+'7&amp;8 Day'!$AA119</f>
        <v>0.19479355394969416</v>
      </c>
      <c r="J52" s="660">
        <f>'7&amp;8 Day'!$N171+'7&amp;8 Day'!$AA171</f>
        <v>0.19470626999423779</v>
      </c>
      <c r="K52" s="660">
        <f>'7&amp;8 Day'!$N223+'7&amp;8 Day'!$AA223</f>
        <v>0.20414844770217927</v>
      </c>
      <c r="L52" s="660">
        <f>'7&amp;8 Day'!$N276+'7&amp;8 Day'!$AA276</f>
        <v>4.4242830242562772E-2</v>
      </c>
      <c r="M52" s="660">
        <f>'7&amp;8 Day'!$N329+'7&amp;8 Day'!$AA329</f>
        <v>0.19077035185971011</v>
      </c>
      <c r="N52" s="685">
        <f t="shared" si="8"/>
        <v>0.65449752571390851</v>
      </c>
      <c r="O52" s="686">
        <f>'7&amp;8 SU'!$N119+'7&amp;8 SU'!$AA119</f>
        <v>7.4553398730841103E-2</v>
      </c>
      <c r="P52" s="686">
        <f>'7&amp;8 SU'!$N171+'7&amp;8 SU'!$AA171</f>
        <v>0.11988185879214083</v>
      </c>
      <c r="Q52" s="686">
        <f>'7&amp;8 SU'!$N223+'7&amp;8 SU'!$AA223</f>
        <v>4.7871553438995323E-2</v>
      </c>
      <c r="R52" s="686">
        <f>'7&amp;8 SU'!$N276+'7&amp;8 SU'!$AA276</f>
        <v>5.3198587430355937E-2</v>
      </c>
      <c r="S52" s="687">
        <f>'7&amp;8 SU'!$N329+'7&amp;8 SU'!$AA329</f>
        <v>4.9997075893758347E-2</v>
      </c>
      <c r="T52" s="664">
        <f>B52*'Market Data'!$C$52+H52*'Market Data'!$M$52+N52*'Market Data'!$W$52</f>
        <v>0.34464097250059472</v>
      </c>
      <c r="U52" s="437">
        <f>SUM(C52:G52)*'Market Data'!$C$52+SUM(I52:M52)*'Market Data'!$M$52+SUM(O52:S52)*'Market Data'!$W$52</f>
        <v>0.65535902749940522</v>
      </c>
    </row>
    <row r="53" spans="1:21" x14ac:dyDescent="0.2">
      <c r="A53" s="398"/>
      <c r="B53" s="398"/>
    </row>
    <row r="54" spans="1:21" x14ac:dyDescent="0.2">
      <c r="A54" s="408" t="str">
        <f>"Run id: '"&amp;'Run Model'!B3&amp;"'"</f>
        <v>Run id: 'Testing Aug 24 FY2020 Final Run'</v>
      </c>
      <c r="B54" s="398"/>
    </row>
    <row r="55" spans="1:21" x14ac:dyDescent="0.2">
      <c r="A55" s="408" t="s">
        <v>126</v>
      </c>
      <c r="B55" s="398"/>
    </row>
    <row r="56" spans="1:21" x14ac:dyDescent="0.2">
      <c r="A56" s="473" t="str">
        <f>"Combination, Centrally Refueled: " &amp;TEXT(RtimeCls1Cent1,"mm/dd/yyyy hh:mm")</f>
        <v>Combination, Centrally Refueled: 07/21/2020 15:48</v>
      </c>
    </row>
    <row r="57" spans="1:21" x14ac:dyDescent="0.2">
      <c r="A57" s="473" t="str">
        <f>"Combination, Non-Centrally Refueled: " &amp;TEXT(RtimeCls1NCent1,"mm/dd/yyyy hh:mm")</f>
        <v>Combination, Non-Centrally Refueled: 07/21/2020 15:48</v>
      </c>
    </row>
    <row r="58" spans="1:21" x14ac:dyDescent="0.2">
      <c r="A58" s="473" t="str">
        <f>"Single Unit, Centrally Refueled: " &amp;TEXT(RtimeCls2Cent1,"mm/dd/yyyy hh:mm")</f>
        <v>Single Unit, Centrally Refueled: 07/21/2020 15:48</v>
      </c>
    </row>
    <row r="59" spans="1:21" x14ac:dyDescent="0.2">
      <c r="A59" s="473" t="str">
        <f>"Single Unit, Non-Centrally Refueled: " &amp;TEXT(RtimeCls2NCent1,"mm/dd/yyyy hh:mm")</f>
        <v>Single Unit, Non-Centrally Refueled: 07/21/2020 15:48</v>
      </c>
    </row>
  </sheetData>
  <mergeCells count="9">
    <mergeCell ref="A3:U3"/>
    <mergeCell ref="H4:M4"/>
    <mergeCell ref="H5:M5"/>
    <mergeCell ref="T5:U5"/>
    <mergeCell ref="T4:U4"/>
    <mergeCell ref="B5:G5"/>
    <mergeCell ref="B4:G4"/>
    <mergeCell ref="N5:S5"/>
    <mergeCell ref="N4:S4"/>
  </mergeCells>
  <phoneticPr fontId="59" type="noConversion"/>
  <conditionalFormatting sqref="B6:S52">
    <cfRule type="expression" dxfId="23" priority="1">
      <formula>B$7="not used"</formula>
    </cfRule>
  </conditionalFormatting>
  <pageMargins left="0.75" right="0.75" top="1" bottom="1" header="0.5" footer="0.5"/>
  <pageSetup scale="56" orientation="portrait" horizontalDpi="4294967293" verticalDpi="300" r:id="rId1"/>
  <headerFooter alignWithMargins="0">
    <oddFooter>&amp;L_________________________
TA Engineering&amp;R_________________________
&amp;F, &amp;A</oddFooter>
  </headerFooter>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MktPenMi2">
    <tabColor indexed="17"/>
    <pageSetUpPr fitToPage="1"/>
  </sheetPr>
  <dimension ref="A1:X59"/>
  <sheetViews>
    <sheetView showZeros="0" zoomScale="70" zoomScaleNormal="70" workbookViewId="0">
      <pane ySplit="8" topLeftCell="A9" activePane="bottomLeft" state="frozen"/>
      <selection pane="bottomLeft" activeCell="N27" sqref="N27"/>
    </sheetView>
  </sheetViews>
  <sheetFormatPr baseColWidth="10" defaultColWidth="9.1640625" defaultRowHeight="14" x14ac:dyDescent="0.2"/>
  <cols>
    <col min="1" max="1" width="9.1640625" style="397"/>
    <col min="2" max="2" width="14.33203125" style="397" customWidth="1"/>
    <col min="3" max="7" width="10.5" style="397" customWidth="1"/>
    <col min="8" max="8" width="13.5" style="397" customWidth="1"/>
    <col min="9" max="14" width="10.5" style="397" customWidth="1"/>
    <col min="15" max="15" width="11.33203125" style="397" bestFit="1" customWidth="1"/>
    <col min="16" max="16384" width="9.1640625" style="397"/>
  </cols>
  <sheetData>
    <row r="1" spans="1:24" x14ac:dyDescent="0.2">
      <c r="A1" s="861" t="s">
        <v>261</v>
      </c>
    </row>
    <row r="2" spans="1:24" ht="15" thickBot="1" x14ac:dyDescent="0.25"/>
    <row r="3" spans="1:24" ht="20" thickBot="1" x14ac:dyDescent="0.3">
      <c r="A3" s="1590" t="s">
        <v>151</v>
      </c>
      <c r="B3" s="1591"/>
      <c r="C3" s="1591"/>
      <c r="D3" s="1591"/>
      <c r="E3" s="1591"/>
      <c r="F3" s="1591"/>
      <c r="G3" s="1591"/>
      <c r="H3" s="1591"/>
      <c r="I3" s="1591"/>
      <c r="J3" s="1591"/>
      <c r="K3" s="1591"/>
      <c r="L3" s="1591"/>
      <c r="M3" s="1591"/>
      <c r="N3" s="1591"/>
      <c r="O3" s="1591"/>
      <c r="P3" s="1591"/>
      <c r="Q3" s="1591"/>
      <c r="R3" s="1591"/>
      <c r="S3" s="1591"/>
      <c r="T3" s="1591"/>
      <c r="U3" s="1592"/>
    </row>
    <row r="4" spans="1:24" ht="15" x14ac:dyDescent="0.2">
      <c r="A4" s="400"/>
      <c r="B4" s="1588" t="s">
        <v>249</v>
      </c>
      <c r="C4" s="1599"/>
      <c r="D4" s="1599"/>
      <c r="E4" s="1599"/>
      <c r="F4" s="1599"/>
      <c r="G4" s="1589"/>
      <c r="H4" s="1588" t="s">
        <v>250</v>
      </c>
      <c r="I4" s="1599"/>
      <c r="J4" s="1599"/>
      <c r="K4" s="1599"/>
      <c r="L4" s="1599"/>
      <c r="M4" s="1589"/>
      <c r="N4" s="1588" t="s">
        <v>154</v>
      </c>
      <c r="O4" s="1599"/>
      <c r="P4" s="1599"/>
      <c r="Q4" s="1599"/>
      <c r="R4" s="1599"/>
      <c r="S4" s="1589"/>
      <c r="T4" s="1611" t="s">
        <v>153</v>
      </c>
      <c r="U4" s="1610"/>
    </row>
    <row r="5" spans="1:24" ht="15" x14ac:dyDescent="0.2">
      <c r="A5" s="401"/>
      <c r="B5" s="1596" t="s">
        <v>129</v>
      </c>
      <c r="C5" s="1597"/>
      <c r="D5" s="1597"/>
      <c r="E5" s="1597"/>
      <c r="F5" s="1597"/>
      <c r="G5" s="1598"/>
      <c r="H5" s="1596" t="s">
        <v>129</v>
      </c>
      <c r="I5" s="1597"/>
      <c r="J5" s="1597"/>
      <c r="K5" s="1597"/>
      <c r="L5" s="1597"/>
      <c r="M5" s="1598"/>
      <c r="N5" s="1596" t="s">
        <v>129</v>
      </c>
      <c r="O5" s="1597"/>
      <c r="P5" s="1597"/>
      <c r="Q5" s="1597"/>
      <c r="R5" s="1597"/>
      <c r="S5" s="1598"/>
      <c r="T5" s="1586" t="s">
        <v>129</v>
      </c>
      <c r="U5" s="1587"/>
    </row>
    <row r="6" spans="1:24" ht="15" x14ac:dyDescent="0.2">
      <c r="A6" s="401"/>
      <c r="B6" s="1100" t="s">
        <v>69</v>
      </c>
      <c r="C6" s="1101" t="s">
        <v>65</v>
      </c>
      <c r="D6" s="1101" t="s">
        <v>66</v>
      </c>
      <c r="E6" s="1101" t="s">
        <v>67</v>
      </c>
      <c r="F6" s="1101" t="s">
        <v>205</v>
      </c>
      <c r="G6" s="1102" t="s">
        <v>206</v>
      </c>
      <c r="H6" s="1100" t="s">
        <v>69</v>
      </c>
      <c r="I6" s="1101" t="s">
        <v>65</v>
      </c>
      <c r="J6" s="1101" t="s">
        <v>66</v>
      </c>
      <c r="K6" s="1101" t="s">
        <v>67</v>
      </c>
      <c r="L6" s="1101" t="s">
        <v>205</v>
      </c>
      <c r="M6" s="1102" t="s">
        <v>206</v>
      </c>
      <c r="N6" s="1100" t="s">
        <v>69</v>
      </c>
      <c r="O6" s="1101" t="s">
        <v>65</v>
      </c>
      <c r="P6" s="1101" t="s">
        <v>66</v>
      </c>
      <c r="Q6" s="1101" t="s">
        <v>67</v>
      </c>
      <c r="R6" s="1101" t="s">
        <v>205</v>
      </c>
      <c r="S6" s="1102" t="s">
        <v>206</v>
      </c>
      <c r="T6" s="648"/>
      <c r="U6" s="650"/>
    </row>
    <row r="7" spans="1:24" ht="32" x14ac:dyDescent="0.2">
      <c r="A7" s="401"/>
      <c r="B7" s="1110" t="str">
        <f t="shared" ref="B7:G7" si="0">INDEX(TECH_OPT_DESC_Cls1,MATCH(B6,TECH_OPT_ROWS_Cls1,0))</f>
        <v>Conventional Diesel ICE</v>
      </c>
      <c r="C7" s="1111" t="str">
        <f t="shared" si="0"/>
        <v>Adv Conv</v>
      </c>
      <c r="D7" s="1111" t="str">
        <f t="shared" si="0"/>
        <v>HEV</v>
      </c>
      <c r="E7" s="1111" t="str">
        <f t="shared" si="0"/>
        <v>BEV</v>
      </c>
      <c r="F7" s="1111" t="str">
        <f t="shared" si="0"/>
        <v>FCEV</v>
      </c>
      <c r="G7" s="1112">
        <f t="shared" si="0"/>
        <v>0</v>
      </c>
      <c r="H7" s="1110" t="str">
        <f t="shared" ref="H7:M7" si="1">INDEX(TECH_OPT_DESC_Cls2,MATCH(H6,TECH_OPT_ROWS_Cls2,0))</f>
        <v>Conventional Diesel ICE</v>
      </c>
      <c r="I7" s="1111" t="str">
        <f t="shared" si="1"/>
        <v>Adv Conv</v>
      </c>
      <c r="J7" s="1111" t="str">
        <f t="shared" si="1"/>
        <v>ISG</v>
      </c>
      <c r="K7" s="1111" t="str">
        <f t="shared" si="1"/>
        <v>PHEV</v>
      </c>
      <c r="L7" s="1111" t="str">
        <f t="shared" si="1"/>
        <v>BEV</v>
      </c>
      <c r="M7" s="1112" t="str">
        <f t="shared" si="1"/>
        <v>FCHEV</v>
      </c>
      <c r="N7" s="1110" t="str">
        <f t="shared" ref="N7:S7" si="2">INDEX(TECH_OPT_DESC_Cls3,MATCH(N6,TECH_OPT_ROWS_Cls3,0))</f>
        <v>Conventional Diesel ICE</v>
      </c>
      <c r="O7" s="1111" t="str">
        <f t="shared" si="2"/>
        <v>Adv Conv</v>
      </c>
      <c r="P7" s="1111" t="str">
        <f t="shared" si="2"/>
        <v>ISG</v>
      </c>
      <c r="Q7" s="1111" t="str">
        <f t="shared" si="2"/>
        <v>HEV</v>
      </c>
      <c r="R7" s="1111" t="str">
        <f t="shared" si="2"/>
        <v>PHEV</v>
      </c>
      <c r="S7" s="1112" t="str">
        <f t="shared" si="2"/>
        <v>BEV</v>
      </c>
      <c r="T7" s="670" t="s">
        <v>69</v>
      </c>
      <c r="U7" s="417" t="s">
        <v>138</v>
      </c>
    </row>
    <row r="8" spans="1:24" ht="17" thickBot="1" x14ac:dyDescent="0.25">
      <c r="A8" s="405" t="s">
        <v>3</v>
      </c>
      <c r="B8" s="1106" t="str">
        <f t="shared" ref="B8:G8" si="3">INDEX(TECH_OPT_FUEL1_Cls1,MATCH(B6,TECH_OPT_ROWS_Cls1,0))</f>
        <v>Diesel</v>
      </c>
      <c r="C8" s="1107" t="str">
        <f t="shared" si="3"/>
        <v>Diesel</v>
      </c>
      <c r="D8" s="1107" t="str">
        <f t="shared" si="3"/>
        <v>Diesel</v>
      </c>
      <c r="E8" s="1107" t="str">
        <f t="shared" si="3"/>
        <v>Electricity</v>
      </c>
      <c r="F8" s="1107" t="str">
        <f t="shared" si="3"/>
        <v>Hydrogen</v>
      </c>
      <c r="G8" s="1108" t="str">
        <f t="shared" si="3"/>
        <v>Diesel</v>
      </c>
      <c r="H8" s="1106" t="str">
        <f t="shared" ref="H8:M8" si="4">INDEX(TECH_OPT_FUEL1_Cls2,MATCH(H6,TECH_OPT_ROWS_Cls2,0))</f>
        <v>Diesel</v>
      </c>
      <c r="I8" s="1107" t="str">
        <f t="shared" si="4"/>
        <v>Diesel</v>
      </c>
      <c r="J8" s="1107" t="str">
        <f t="shared" si="4"/>
        <v>Diesel</v>
      </c>
      <c r="K8" s="1107" t="str">
        <f t="shared" si="4"/>
        <v>Diesel</v>
      </c>
      <c r="L8" s="1107" t="str">
        <f t="shared" si="4"/>
        <v>Electricity</v>
      </c>
      <c r="M8" s="1108" t="str">
        <f t="shared" si="4"/>
        <v>Hydrogen</v>
      </c>
      <c r="N8" s="1106" t="str">
        <f t="shared" ref="N8:S8" si="5">INDEX(TECH_OPT_FUEL1_Cls3,MATCH(N6,TECH_OPT_ROWS_Cls3,0))</f>
        <v>Diesel</v>
      </c>
      <c r="O8" s="1107" t="str">
        <f t="shared" si="5"/>
        <v>Diesel</v>
      </c>
      <c r="P8" s="1107" t="str">
        <f t="shared" si="5"/>
        <v>Diesel</v>
      </c>
      <c r="Q8" s="1107" t="str">
        <f t="shared" si="5"/>
        <v>Diesel</v>
      </c>
      <c r="R8" s="1107" t="str">
        <f t="shared" si="5"/>
        <v>Diesel</v>
      </c>
      <c r="S8" s="1108" t="str">
        <f t="shared" si="5"/>
        <v>Electricity</v>
      </c>
      <c r="T8" s="419"/>
      <c r="U8" s="418"/>
    </row>
    <row r="9" spans="1:24" ht="16" thickTop="1" x14ac:dyDescent="0.2">
      <c r="A9" s="403">
        <v>2007</v>
      </c>
      <c r="B9" s="420">
        <f>'Market Data'!$E$52*'Mkt Pen Veh-Mi'!B9</f>
        <v>0.66842924773992651</v>
      </c>
      <c r="C9" s="421">
        <f>'Market Data'!$E$52*'Mkt Pen Veh-Mi'!C9</f>
        <v>0</v>
      </c>
      <c r="D9" s="421">
        <f>'Market Data'!$E$52*'Mkt Pen Veh-Mi'!D9</f>
        <v>0</v>
      </c>
      <c r="E9" s="698">
        <f>'Market Data'!$E$52*'Mkt Pen Veh-Mi'!E9</f>
        <v>0</v>
      </c>
      <c r="F9" s="698">
        <f>'Market Data'!$E$52*'Mkt Pen Veh-Mi'!F9</f>
        <v>0</v>
      </c>
      <c r="G9" s="703">
        <f>'Market Data'!$E$52*'Mkt Pen Veh-Mi'!G9</f>
        <v>0</v>
      </c>
      <c r="H9" s="420">
        <f>'Market Data'!$O$52*'Mkt Pen Veh-Mi'!H9</f>
        <v>0.24189234497249509</v>
      </c>
      <c r="I9" s="421">
        <f>'Market Data'!$O$52*'Mkt Pen Veh-Mi'!I9</f>
        <v>0</v>
      </c>
      <c r="J9" s="421">
        <f>'Market Data'!$O$52*'Mkt Pen Veh-Mi'!J9</f>
        <v>0</v>
      </c>
      <c r="K9" s="698">
        <f>'Market Data'!$O$52*'Mkt Pen Veh-Mi'!K9</f>
        <v>0</v>
      </c>
      <c r="L9" s="698">
        <f>'Market Data'!$O$52*'Mkt Pen Veh-Mi'!L9</f>
        <v>0</v>
      </c>
      <c r="M9" s="703">
        <f>'Market Data'!$O$52*'Mkt Pen Veh-Mi'!M9</f>
        <v>0</v>
      </c>
      <c r="N9" s="420">
        <f>'Market Data'!$Y$52*'Mkt Pen Veh-Mi'!N9</f>
        <v>8.967840728757831E-2</v>
      </c>
      <c r="O9" s="421">
        <f>'Market Data'!$Y$52*'Mkt Pen Veh-Mi'!O9</f>
        <v>0</v>
      </c>
      <c r="P9" s="421">
        <f>'Market Data'!$Y$52*'Mkt Pen Veh-Mi'!P9</f>
        <v>0</v>
      </c>
      <c r="Q9" s="698">
        <f>'Market Data'!$Y$52*'Mkt Pen Veh-Mi'!Q9</f>
        <v>0</v>
      </c>
      <c r="R9" s="698">
        <f>'Market Data'!$Y$52*'Mkt Pen Veh-Mi'!R9</f>
        <v>0</v>
      </c>
      <c r="S9" s="703">
        <f>'Market Data'!$Y$52*'Mkt Pen Veh-Mi'!S9</f>
        <v>0</v>
      </c>
      <c r="T9" s="420">
        <f>B9+N9+H9</f>
        <v>0.99999999999999989</v>
      </c>
      <c r="U9" s="422">
        <f>SUM(C9:G9)+SUM(O9:S9)</f>
        <v>0</v>
      </c>
      <c r="X9" s="117"/>
    </row>
    <row r="10" spans="1:24" ht="15" x14ac:dyDescent="0.2">
      <c r="A10" s="403">
        <v>2008</v>
      </c>
      <c r="B10" s="423">
        <f>'Market Data'!$E$52*'Mkt Pen Veh-Mi'!B10</f>
        <v>0.66842924773992651</v>
      </c>
      <c r="C10" s="424">
        <f>'Market Data'!$E$52*'Mkt Pen Veh-Mi'!C10</f>
        <v>0</v>
      </c>
      <c r="D10" s="424">
        <f>'Market Data'!$E$52*'Mkt Pen Veh-Mi'!D10</f>
        <v>0</v>
      </c>
      <c r="E10" s="699">
        <f>'Market Data'!$E$52*'Mkt Pen Veh-Mi'!E10</f>
        <v>0</v>
      </c>
      <c r="F10" s="699">
        <f>'Market Data'!$E$52*'Mkt Pen Veh-Mi'!F10</f>
        <v>0</v>
      </c>
      <c r="G10" s="704">
        <f>'Market Data'!$E$52*'Mkt Pen Veh-Mi'!G10</f>
        <v>0</v>
      </c>
      <c r="H10" s="423">
        <f>'Market Data'!$O$52*'Mkt Pen Veh-Mi'!H10</f>
        <v>0.24189234497249509</v>
      </c>
      <c r="I10" s="424">
        <f>'Market Data'!$O$52*'Mkt Pen Veh-Mi'!I10</f>
        <v>0</v>
      </c>
      <c r="J10" s="424">
        <f>'Market Data'!$O$52*'Mkt Pen Veh-Mi'!J10</f>
        <v>0</v>
      </c>
      <c r="K10" s="699">
        <f>'Market Data'!$O$52*'Mkt Pen Veh-Mi'!K10</f>
        <v>0</v>
      </c>
      <c r="L10" s="699">
        <f>'Market Data'!$O$52*'Mkt Pen Veh-Mi'!L10</f>
        <v>0</v>
      </c>
      <c r="M10" s="704">
        <f>'Market Data'!$O$52*'Mkt Pen Veh-Mi'!M10</f>
        <v>0</v>
      </c>
      <c r="N10" s="423">
        <f>'Market Data'!$Y$52*'Mkt Pen Veh-Mi'!N10</f>
        <v>8.967840728757831E-2</v>
      </c>
      <c r="O10" s="424">
        <f>'Market Data'!$Y$52*'Mkt Pen Veh-Mi'!O10</f>
        <v>0</v>
      </c>
      <c r="P10" s="424">
        <f>'Market Data'!$Y$52*'Mkt Pen Veh-Mi'!P10</f>
        <v>0</v>
      </c>
      <c r="Q10" s="699">
        <f>'Market Data'!$Y$52*'Mkt Pen Veh-Mi'!Q10</f>
        <v>0</v>
      </c>
      <c r="R10" s="699">
        <f>'Market Data'!$Y$52*'Mkt Pen Veh-Mi'!R10</f>
        <v>0</v>
      </c>
      <c r="S10" s="704">
        <f>'Market Data'!$Y$52*'Mkt Pen Veh-Mi'!S10</f>
        <v>0</v>
      </c>
      <c r="T10" s="423">
        <f t="shared" ref="T10:T52" si="6">B10+N10+H10</f>
        <v>0.99999999999999989</v>
      </c>
      <c r="U10" s="425">
        <f t="shared" ref="U10:U17" si="7">SUM(C10:G10)+SUM(O10:S10)</f>
        <v>0</v>
      </c>
      <c r="X10" s="117"/>
    </row>
    <row r="11" spans="1:24" ht="15" x14ac:dyDescent="0.2">
      <c r="A11" s="403">
        <v>2009</v>
      </c>
      <c r="B11" s="423">
        <f>'Market Data'!$E$52*'Mkt Pen Veh-Mi'!B11</f>
        <v>0.66842924773992651</v>
      </c>
      <c r="C11" s="424">
        <f>'Market Data'!$E$52*'Mkt Pen Veh-Mi'!C11</f>
        <v>0</v>
      </c>
      <c r="D11" s="424">
        <f>'Market Data'!$E$52*'Mkt Pen Veh-Mi'!D11</f>
        <v>0</v>
      </c>
      <c r="E11" s="699">
        <f>'Market Data'!$E$52*'Mkt Pen Veh-Mi'!E11</f>
        <v>0</v>
      </c>
      <c r="F11" s="699">
        <f>'Market Data'!$E$52*'Mkt Pen Veh-Mi'!F11</f>
        <v>0</v>
      </c>
      <c r="G11" s="704">
        <f>'Market Data'!$E$52*'Mkt Pen Veh-Mi'!G11</f>
        <v>0</v>
      </c>
      <c r="H11" s="423">
        <f>'Market Data'!$O$52*'Mkt Pen Veh-Mi'!H11</f>
        <v>0.24189234497249509</v>
      </c>
      <c r="I11" s="424">
        <f>'Market Data'!$O$52*'Mkt Pen Veh-Mi'!I11</f>
        <v>0</v>
      </c>
      <c r="J11" s="424">
        <f>'Market Data'!$O$52*'Mkt Pen Veh-Mi'!J11</f>
        <v>0</v>
      </c>
      <c r="K11" s="699">
        <f>'Market Data'!$O$52*'Mkt Pen Veh-Mi'!K11</f>
        <v>0</v>
      </c>
      <c r="L11" s="699">
        <f>'Market Data'!$O$52*'Mkt Pen Veh-Mi'!L11</f>
        <v>0</v>
      </c>
      <c r="M11" s="704">
        <f>'Market Data'!$O$52*'Mkt Pen Veh-Mi'!M11</f>
        <v>0</v>
      </c>
      <c r="N11" s="423">
        <f>'Market Data'!$Y$52*'Mkt Pen Veh-Mi'!N11</f>
        <v>8.967840728757831E-2</v>
      </c>
      <c r="O11" s="424">
        <f>'Market Data'!$Y$52*'Mkt Pen Veh-Mi'!O11</f>
        <v>0</v>
      </c>
      <c r="P11" s="424">
        <f>'Market Data'!$Y$52*'Mkt Pen Veh-Mi'!P11</f>
        <v>0</v>
      </c>
      <c r="Q11" s="699">
        <f>'Market Data'!$Y$52*'Mkt Pen Veh-Mi'!Q11</f>
        <v>0</v>
      </c>
      <c r="R11" s="699">
        <f>'Market Data'!$Y$52*'Mkt Pen Veh-Mi'!R11</f>
        <v>0</v>
      </c>
      <c r="S11" s="704">
        <f>'Market Data'!$Y$52*'Mkt Pen Veh-Mi'!S11</f>
        <v>0</v>
      </c>
      <c r="T11" s="423">
        <f t="shared" si="6"/>
        <v>0.99999999999999989</v>
      </c>
      <c r="U11" s="425">
        <f t="shared" si="7"/>
        <v>0</v>
      </c>
      <c r="X11" s="117"/>
    </row>
    <row r="12" spans="1:24" ht="15" x14ac:dyDescent="0.2">
      <c r="A12" s="403">
        <v>2010</v>
      </c>
      <c r="B12" s="426">
        <f>'Market Data'!$E$52*'Mkt Pen Veh-Mi'!B12</f>
        <v>0.66842924773992651</v>
      </c>
      <c r="C12" s="427">
        <f>'Market Data'!$E$52*'Mkt Pen Veh-Mi'!C12</f>
        <v>0</v>
      </c>
      <c r="D12" s="427">
        <f>'Market Data'!$E$52*'Mkt Pen Veh-Mi'!D12</f>
        <v>0</v>
      </c>
      <c r="E12" s="700">
        <f>'Market Data'!$E$52*'Mkt Pen Veh-Mi'!E12</f>
        <v>0</v>
      </c>
      <c r="F12" s="700">
        <f>'Market Data'!$E$52*'Mkt Pen Veh-Mi'!F12</f>
        <v>0</v>
      </c>
      <c r="G12" s="705">
        <f>'Market Data'!$E$52*'Mkt Pen Veh-Mi'!G12</f>
        <v>0</v>
      </c>
      <c r="H12" s="426">
        <f>'Market Data'!$O$52*'Mkt Pen Veh-Mi'!H12</f>
        <v>0.24189234497249509</v>
      </c>
      <c r="I12" s="427">
        <f>'Market Data'!$O$52*'Mkt Pen Veh-Mi'!I12</f>
        <v>0</v>
      </c>
      <c r="J12" s="427">
        <f>'Market Data'!$O$52*'Mkt Pen Veh-Mi'!J12</f>
        <v>0</v>
      </c>
      <c r="K12" s="700">
        <f>'Market Data'!$O$52*'Mkt Pen Veh-Mi'!K12</f>
        <v>0</v>
      </c>
      <c r="L12" s="700">
        <f>'Market Data'!$O$52*'Mkt Pen Veh-Mi'!L12</f>
        <v>0</v>
      </c>
      <c r="M12" s="705">
        <f>'Market Data'!$O$52*'Mkt Pen Veh-Mi'!M12</f>
        <v>0</v>
      </c>
      <c r="N12" s="426">
        <f>'Market Data'!$Y$52*'Mkt Pen Veh-Mi'!N12</f>
        <v>8.967840728757831E-2</v>
      </c>
      <c r="O12" s="427">
        <f>'Market Data'!$Y$52*'Mkt Pen Veh-Mi'!O12</f>
        <v>0</v>
      </c>
      <c r="P12" s="427">
        <f>'Market Data'!$Y$52*'Mkt Pen Veh-Mi'!P12</f>
        <v>0</v>
      </c>
      <c r="Q12" s="700">
        <f>'Market Data'!$Y$52*'Mkt Pen Veh-Mi'!Q12</f>
        <v>0</v>
      </c>
      <c r="R12" s="700">
        <f>'Market Data'!$Y$52*'Mkt Pen Veh-Mi'!R12</f>
        <v>0</v>
      </c>
      <c r="S12" s="705">
        <f>'Market Data'!$Y$52*'Mkt Pen Veh-Mi'!S12</f>
        <v>0</v>
      </c>
      <c r="T12" s="426">
        <f t="shared" si="6"/>
        <v>0.99999999999999989</v>
      </c>
      <c r="U12" s="428">
        <f t="shared" si="7"/>
        <v>0</v>
      </c>
      <c r="X12" s="117"/>
    </row>
    <row r="13" spans="1:24" ht="15" x14ac:dyDescent="0.2">
      <c r="A13" s="429">
        <v>2011</v>
      </c>
      <c r="B13" s="430">
        <f>'Market Data'!$E$52*'Mkt Pen Veh-Mi'!B13</f>
        <v>0.66842924773992651</v>
      </c>
      <c r="C13" s="431">
        <f>'Market Data'!$E$52*'Mkt Pen Veh-Mi'!C13</f>
        <v>0</v>
      </c>
      <c r="D13" s="431">
        <f>'Market Data'!$E$52*'Mkt Pen Veh-Mi'!D13</f>
        <v>0</v>
      </c>
      <c r="E13" s="701">
        <f>'Market Data'!$E$52*'Mkt Pen Veh-Mi'!E13</f>
        <v>0</v>
      </c>
      <c r="F13" s="701">
        <f>'Market Data'!$E$52*'Mkt Pen Veh-Mi'!F13</f>
        <v>0</v>
      </c>
      <c r="G13" s="706">
        <f>'Market Data'!$E$52*'Mkt Pen Veh-Mi'!G13</f>
        <v>0</v>
      </c>
      <c r="H13" s="430">
        <f>'Market Data'!$O$52*'Mkt Pen Veh-Mi'!H13</f>
        <v>0.24189234497249509</v>
      </c>
      <c r="I13" s="431">
        <f>'Market Data'!$O$52*'Mkt Pen Veh-Mi'!I13</f>
        <v>0</v>
      </c>
      <c r="J13" s="431">
        <f>'Market Data'!$O$52*'Mkt Pen Veh-Mi'!J13</f>
        <v>0</v>
      </c>
      <c r="K13" s="701">
        <f>'Market Data'!$O$52*'Mkt Pen Veh-Mi'!K13</f>
        <v>0</v>
      </c>
      <c r="L13" s="701">
        <f>'Market Data'!$O$52*'Mkt Pen Veh-Mi'!L13</f>
        <v>0</v>
      </c>
      <c r="M13" s="706">
        <f>'Market Data'!$O$52*'Mkt Pen Veh-Mi'!M13</f>
        <v>0</v>
      </c>
      <c r="N13" s="430">
        <f>'Market Data'!$Y$52*'Mkt Pen Veh-Mi'!N13</f>
        <v>8.967840728757831E-2</v>
      </c>
      <c r="O13" s="431">
        <f>'Market Data'!$Y$52*'Mkt Pen Veh-Mi'!O13</f>
        <v>0</v>
      </c>
      <c r="P13" s="431">
        <f>'Market Data'!$Y$52*'Mkt Pen Veh-Mi'!P13</f>
        <v>0</v>
      </c>
      <c r="Q13" s="701">
        <f>'Market Data'!$Y$52*'Mkt Pen Veh-Mi'!Q13</f>
        <v>0</v>
      </c>
      <c r="R13" s="701">
        <f>'Market Data'!$Y$52*'Mkt Pen Veh-Mi'!R13</f>
        <v>0</v>
      </c>
      <c r="S13" s="706">
        <f>'Market Data'!$Y$52*'Mkt Pen Veh-Mi'!S13</f>
        <v>0</v>
      </c>
      <c r="T13" s="433">
        <f t="shared" si="6"/>
        <v>0.99999999999999989</v>
      </c>
      <c r="U13" s="434">
        <f t="shared" si="7"/>
        <v>0</v>
      </c>
      <c r="X13" s="117"/>
    </row>
    <row r="14" spans="1:24" ht="15" x14ac:dyDescent="0.2">
      <c r="A14" s="403">
        <v>2012</v>
      </c>
      <c r="B14" s="423">
        <f>'Market Data'!$E$52*'Mkt Pen Veh-Mi'!B14</f>
        <v>0.66842924773992651</v>
      </c>
      <c r="C14" s="424">
        <f>'Market Data'!$E$52*'Mkt Pen Veh-Mi'!C14</f>
        <v>0</v>
      </c>
      <c r="D14" s="424">
        <f>'Market Data'!$E$52*'Mkt Pen Veh-Mi'!D14</f>
        <v>0</v>
      </c>
      <c r="E14" s="699">
        <f>'Market Data'!$E$52*'Mkt Pen Veh-Mi'!E14</f>
        <v>0</v>
      </c>
      <c r="F14" s="699">
        <f>'Market Data'!$E$52*'Mkt Pen Veh-Mi'!F14</f>
        <v>0</v>
      </c>
      <c r="G14" s="704">
        <f>'Market Data'!$E$52*'Mkt Pen Veh-Mi'!G14</f>
        <v>0</v>
      </c>
      <c r="H14" s="423">
        <f>'Market Data'!$O$52*'Mkt Pen Veh-Mi'!H14</f>
        <v>0.24189234497249509</v>
      </c>
      <c r="I14" s="424">
        <f>'Market Data'!$O$52*'Mkt Pen Veh-Mi'!I14</f>
        <v>0</v>
      </c>
      <c r="J14" s="424">
        <f>'Market Data'!$O$52*'Mkt Pen Veh-Mi'!J14</f>
        <v>0</v>
      </c>
      <c r="K14" s="699">
        <f>'Market Data'!$O$52*'Mkt Pen Veh-Mi'!K14</f>
        <v>0</v>
      </c>
      <c r="L14" s="699">
        <f>'Market Data'!$O$52*'Mkt Pen Veh-Mi'!L14</f>
        <v>0</v>
      </c>
      <c r="M14" s="704">
        <f>'Market Data'!$O$52*'Mkt Pen Veh-Mi'!M14</f>
        <v>0</v>
      </c>
      <c r="N14" s="423">
        <f>'Market Data'!$Y$52*'Mkt Pen Veh-Mi'!N14</f>
        <v>8.967840728757831E-2</v>
      </c>
      <c r="O14" s="424">
        <f>'Market Data'!$Y$52*'Mkt Pen Veh-Mi'!O14</f>
        <v>0</v>
      </c>
      <c r="P14" s="424">
        <f>'Market Data'!$Y$52*'Mkt Pen Veh-Mi'!P14</f>
        <v>0</v>
      </c>
      <c r="Q14" s="699">
        <f>'Market Data'!$Y$52*'Mkt Pen Veh-Mi'!Q14</f>
        <v>0</v>
      </c>
      <c r="R14" s="699">
        <f>'Market Data'!$Y$52*'Mkt Pen Veh-Mi'!R14</f>
        <v>0</v>
      </c>
      <c r="S14" s="704">
        <f>'Market Data'!$Y$52*'Mkt Pen Veh-Mi'!S14</f>
        <v>0</v>
      </c>
      <c r="T14" s="423">
        <f t="shared" si="6"/>
        <v>0.99999999999999989</v>
      </c>
      <c r="U14" s="425">
        <f t="shared" si="7"/>
        <v>0</v>
      </c>
      <c r="X14" s="117"/>
    </row>
    <row r="15" spans="1:24" ht="15" x14ac:dyDescent="0.2">
      <c r="A15" s="403">
        <v>2013</v>
      </c>
      <c r="B15" s="423">
        <f>'Market Data'!$E$52*'Mkt Pen Veh-Mi'!B15</f>
        <v>0.66842924773992651</v>
      </c>
      <c r="C15" s="424">
        <f>'Market Data'!$E$52*'Mkt Pen Veh-Mi'!C15</f>
        <v>0</v>
      </c>
      <c r="D15" s="424">
        <f>'Market Data'!$E$52*'Mkt Pen Veh-Mi'!D15</f>
        <v>0</v>
      </c>
      <c r="E15" s="699">
        <f>'Market Data'!$E$52*'Mkt Pen Veh-Mi'!E15</f>
        <v>0</v>
      </c>
      <c r="F15" s="699">
        <f>'Market Data'!$E$52*'Mkt Pen Veh-Mi'!F15</f>
        <v>0</v>
      </c>
      <c r="G15" s="704">
        <f>'Market Data'!$E$52*'Mkt Pen Veh-Mi'!G15</f>
        <v>0</v>
      </c>
      <c r="H15" s="423">
        <f>'Market Data'!$O$52*'Mkt Pen Veh-Mi'!H15</f>
        <v>0.24189234497249509</v>
      </c>
      <c r="I15" s="424">
        <f>'Market Data'!$O$52*'Mkt Pen Veh-Mi'!I15</f>
        <v>0</v>
      </c>
      <c r="J15" s="424">
        <f>'Market Data'!$O$52*'Mkt Pen Veh-Mi'!J15</f>
        <v>0</v>
      </c>
      <c r="K15" s="699">
        <f>'Market Data'!$O$52*'Mkt Pen Veh-Mi'!K15</f>
        <v>0</v>
      </c>
      <c r="L15" s="699">
        <f>'Market Data'!$O$52*'Mkt Pen Veh-Mi'!L15</f>
        <v>0</v>
      </c>
      <c r="M15" s="704">
        <f>'Market Data'!$O$52*'Mkt Pen Veh-Mi'!M15</f>
        <v>0</v>
      </c>
      <c r="N15" s="423">
        <f>'Market Data'!$Y$52*'Mkt Pen Veh-Mi'!N15</f>
        <v>8.967840728757831E-2</v>
      </c>
      <c r="O15" s="424">
        <f>'Market Data'!$Y$52*'Mkt Pen Veh-Mi'!O15</f>
        <v>0</v>
      </c>
      <c r="P15" s="424">
        <f>'Market Data'!$Y$52*'Mkt Pen Veh-Mi'!P15</f>
        <v>0</v>
      </c>
      <c r="Q15" s="699">
        <f>'Market Data'!$Y$52*'Mkt Pen Veh-Mi'!Q15</f>
        <v>0</v>
      </c>
      <c r="R15" s="699">
        <f>'Market Data'!$Y$52*'Mkt Pen Veh-Mi'!R15</f>
        <v>0</v>
      </c>
      <c r="S15" s="704">
        <f>'Market Data'!$Y$52*'Mkt Pen Veh-Mi'!S15</f>
        <v>0</v>
      </c>
      <c r="T15" s="423">
        <f t="shared" si="6"/>
        <v>0.99999999999999989</v>
      </c>
      <c r="U15" s="425">
        <f t="shared" si="7"/>
        <v>0</v>
      </c>
      <c r="X15" s="117"/>
    </row>
    <row r="16" spans="1:24" ht="15" x14ac:dyDescent="0.2">
      <c r="A16" s="403">
        <v>2014</v>
      </c>
      <c r="B16" s="423">
        <f>'Market Data'!$E$52*'Mkt Pen Veh-Mi'!B16</f>
        <v>0.66842924773992651</v>
      </c>
      <c r="C16" s="424">
        <f>'Market Data'!$E$52*'Mkt Pen Veh-Mi'!C16</f>
        <v>0</v>
      </c>
      <c r="D16" s="424">
        <f>'Market Data'!$E$52*'Mkt Pen Veh-Mi'!D16</f>
        <v>0</v>
      </c>
      <c r="E16" s="699">
        <f>'Market Data'!$E$52*'Mkt Pen Veh-Mi'!E16</f>
        <v>0</v>
      </c>
      <c r="F16" s="699">
        <f>'Market Data'!$E$52*'Mkt Pen Veh-Mi'!F16</f>
        <v>0</v>
      </c>
      <c r="G16" s="704">
        <f>'Market Data'!$E$52*'Mkt Pen Veh-Mi'!G16</f>
        <v>0</v>
      </c>
      <c r="H16" s="423">
        <f>'Market Data'!$O$52*'Mkt Pen Veh-Mi'!H16</f>
        <v>0.24189234497249509</v>
      </c>
      <c r="I16" s="424">
        <f>'Market Data'!$O$52*'Mkt Pen Veh-Mi'!I16</f>
        <v>0</v>
      </c>
      <c r="J16" s="424">
        <f>'Market Data'!$O$52*'Mkt Pen Veh-Mi'!J16</f>
        <v>0</v>
      </c>
      <c r="K16" s="699">
        <f>'Market Data'!$O$52*'Mkt Pen Veh-Mi'!K16</f>
        <v>0</v>
      </c>
      <c r="L16" s="699">
        <f>'Market Data'!$O$52*'Mkt Pen Veh-Mi'!L16</f>
        <v>0</v>
      </c>
      <c r="M16" s="704">
        <f>'Market Data'!$O$52*'Mkt Pen Veh-Mi'!M16</f>
        <v>0</v>
      </c>
      <c r="N16" s="423">
        <f>'Market Data'!$Y$52*'Mkt Pen Veh-Mi'!N16</f>
        <v>8.967840728757831E-2</v>
      </c>
      <c r="O16" s="424">
        <f>'Market Data'!$Y$52*'Mkt Pen Veh-Mi'!O16</f>
        <v>0</v>
      </c>
      <c r="P16" s="424">
        <f>'Market Data'!$Y$52*'Mkt Pen Veh-Mi'!P16</f>
        <v>0</v>
      </c>
      <c r="Q16" s="699">
        <f>'Market Data'!$Y$52*'Mkt Pen Veh-Mi'!Q16</f>
        <v>0</v>
      </c>
      <c r="R16" s="699">
        <f>'Market Data'!$Y$52*'Mkt Pen Veh-Mi'!R16</f>
        <v>0</v>
      </c>
      <c r="S16" s="704">
        <f>'Market Data'!$Y$52*'Mkt Pen Veh-Mi'!S16</f>
        <v>0</v>
      </c>
      <c r="T16" s="423">
        <f t="shared" si="6"/>
        <v>0.99999999999999989</v>
      </c>
      <c r="U16" s="425">
        <f t="shared" si="7"/>
        <v>0</v>
      </c>
      <c r="X16" s="117"/>
    </row>
    <row r="17" spans="1:24" ht="15" x14ac:dyDescent="0.2">
      <c r="A17" s="402">
        <v>2015</v>
      </c>
      <c r="B17" s="426">
        <f>'Market Data'!$E$52*'Mkt Pen Veh-Mi'!B17</f>
        <v>0.66842924773992651</v>
      </c>
      <c r="C17" s="427">
        <f>'Market Data'!$E$52*'Mkt Pen Veh-Mi'!C17</f>
        <v>0</v>
      </c>
      <c r="D17" s="427">
        <f>'Market Data'!$E$52*'Mkt Pen Veh-Mi'!D17</f>
        <v>0</v>
      </c>
      <c r="E17" s="700">
        <f>'Market Data'!$E$52*'Mkt Pen Veh-Mi'!E17</f>
        <v>0</v>
      </c>
      <c r="F17" s="700">
        <f>'Market Data'!$E$52*'Mkt Pen Veh-Mi'!F17</f>
        <v>0</v>
      </c>
      <c r="G17" s="705">
        <f>'Market Data'!$E$52*'Mkt Pen Veh-Mi'!G17</f>
        <v>0</v>
      </c>
      <c r="H17" s="426">
        <f>'Market Data'!$O$52*'Mkt Pen Veh-Mi'!H17</f>
        <v>0.24189234497249509</v>
      </c>
      <c r="I17" s="427">
        <f>'Market Data'!$O$52*'Mkt Pen Veh-Mi'!I17</f>
        <v>0</v>
      </c>
      <c r="J17" s="427">
        <f>'Market Data'!$O$52*'Mkt Pen Veh-Mi'!J17</f>
        <v>0</v>
      </c>
      <c r="K17" s="700">
        <f>'Market Data'!$O$52*'Mkt Pen Veh-Mi'!K17</f>
        <v>0</v>
      </c>
      <c r="L17" s="700">
        <f>'Market Data'!$O$52*'Mkt Pen Veh-Mi'!L17</f>
        <v>0</v>
      </c>
      <c r="M17" s="705">
        <f>'Market Data'!$O$52*'Mkt Pen Veh-Mi'!M17</f>
        <v>0</v>
      </c>
      <c r="N17" s="426">
        <f>'Market Data'!$Y$52*'Mkt Pen Veh-Mi'!N17</f>
        <v>8.967840728757831E-2</v>
      </c>
      <c r="O17" s="427">
        <f>'Market Data'!$Y$52*'Mkt Pen Veh-Mi'!O17</f>
        <v>0</v>
      </c>
      <c r="P17" s="427">
        <f>'Market Data'!$Y$52*'Mkt Pen Veh-Mi'!P17</f>
        <v>0</v>
      </c>
      <c r="Q17" s="700">
        <f>'Market Data'!$Y$52*'Mkt Pen Veh-Mi'!Q17</f>
        <v>0</v>
      </c>
      <c r="R17" s="700">
        <f>'Market Data'!$Y$52*'Mkt Pen Veh-Mi'!R17</f>
        <v>0</v>
      </c>
      <c r="S17" s="705">
        <f>'Market Data'!$Y$52*'Mkt Pen Veh-Mi'!S17</f>
        <v>0</v>
      </c>
      <c r="T17" s="426">
        <f t="shared" si="6"/>
        <v>0.99999999999999989</v>
      </c>
      <c r="U17" s="428">
        <f t="shared" si="7"/>
        <v>0</v>
      </c>
      <c r="X17" s="117"/>
    </row>
    <row r="18" spans="1:24" ht="15" x14ac:dyDescent="0.2">
      <c r="A18" s="429">
        <v>2016</v>
      </c>
      <c r="B18" s="430">
        <f>'Market Data'!$E$52*'Mkt Pen Veh-Mi'!B18</f>
        <v>0.66842924773992651</v>
      </c>
      <c r="C18" s="431">
        <f>'Market Data'!$E$52*'Mkt Pen Veh-Mi'!C18</f>
        <v>0</v>
      </c>
      <c r="D18" s="431">
        <f>'Market Data'!$E$52*'Mkt Pen Veh-Mi'!D18</f>
        <v>0</v>
      </c>
      <c r="E18" s="701">
        <f>'Market Data'!$E$52*'Mkt Pen Veh-Mi'!E18</f>
        <v>0</v>
      </c>
      <c r="F18" s="701">
        <f>'Market Data'!$E$52*'Mkt Pen Veh-Mi'!F18</f>
        <v>0</v>
      </c>
      <c r="G18" s="706">
        <f>'Market Data'!$E$52*'Mkt Pen Veh-Mi'!G18</f>
        <v>0</v>
      </c>
      <c r="H18" s="430">
        <f>'Market Data'!$O$52*'Mkt Pen Veh-Mi'!H18</f>
        <v>0.24189234497249509</v>
      </c>
      <c r="I18" s="431">
        <f>'Market Data'!$O$52*'Mkt Pen Veh-Mi'!I18</f>
        <v>0</v>
      </c>
      <c r="J18" s="431">
        <f>'Market Data'!$O$52*'Mkt Pen Veh-Mi'!J18</f>
        <v>0</v>
      </c>
      <c r="K18" s="701">
        <f>'Market Data'!$O$52*'Mkt Pen Veh-Mi'!K18</f>
        <v>0</v>
      </c>
      <c r="L18" s="701">
        <f>'Market Data'!$O$52*'Mkt Pen Veh-Mi'!L18</f>
        <v>0</v>
      </c>
      <c r="M18" s="706">
        <f>'Market Data'!$O$52*'Mkt Pen Veh-Mi'!M18</f>
        <v>0</v>
      </c>
      <c r="N18" s="430">
        <f>'Market Data'!$Y$52*'Mkt Pen Veh-Mi'!N18</f>
        <v>8.967840728757831E-2</v>
      </c>
      <c r="O18" s="431">
        <f>'Market Data'!$Y$52*'Mkt Pen Veh-Mi'!O18</f>
        <v>0</v>
      </c>
      <c r="P18" s="431">
        <f>'Market Data'!$Y$52*'Mkt Pen Veh-Mi'!P18</f>
        <v>0</v>
      </c>
      <c r="Q18" s="701">
        <f>'Market Data'!$Y$52*'Mkt Pen Veh-Mi'!Q18</f>
        <v>0</v>
      </c>
      <c r="R18" s="701">
        <f>'Market Data'!$Y$52*'Mkt Pen Veh-Mi'!R18</f>
        <v>0</v>
      </c>
      <c r="S18" s="706">
        <f>'Market Data'!$Y$52*'Mkt Pen Veh-Mi'!S18</f>
        <v>0</v>
      </c>
      <c r="T18" s="433">
        <f t="shared" si="6"/>
        <v>0.99999999999999989</v>
      </c>
      <c r="U18" s="434">
        <f>SUM(C18:G18)+SUM(I18:M18)+SUM(O18:S18)</f>
        <v>0</v>
      </c>
      <c r="X18" s="117"/>
    </row>
    <row r="19" spans="1:24" ht="15" x14ac:dyDescent="0.2">
      <c r="A19" s="403">
        <v>2017</v>
      </c>
      <c r="B19" s="423">
        <f>'Market Data'!$E$52*'Mkt Pen Veh-Mi'!B19</f>
        <v>0.66842924773992651</v>
      </c>
      <c r="C19" s="424">
        <f>'Market Data'!$E$52*'Mkt Pen Veh-Mi'!C19</f>
        <v>0</v>
      </c>
      <c r="D19" s="424">
        <f>'Market Data'!$E$52*'Mkt Pen Veh-Mi'!D19</f>
        <v>0</v>
      </c>
      <c r="E19" s="699">
        <f>'Market Data'!$E$52*'Mkt Pen Veh-Mi'!E19</f>
        <v>0</v>
      </c>
      <c r="F19" s="699">
        <f>'Market Data'!$E$52*'Mkt Pen Veh-Mi'!F19</f>
        <v>0</v>
      </c>
      <c r="G19" s="704">
        <f>'Market Data'!$E$52*'Mkt Pen Veh-Mi'!G19</f>
        <v>0</v>
      </c>
      <c r="H19" s="423">
        <f>'Market Data'!$O$52*'Mkt Pen Veh-Mi'!H19</f>
        <v>0.24189234497249509</v>
      </c>
      <c r="I19" s="424">
        <f>'Market Data'!$O$52*'Mkt Pen Veh-Mi'!I19</f>
        <v>0</v>
      </c>
      <c r="J19" s="424">
        <f>'Market Data'!$O$52*'Mkt Pen Veh-Mi'!J19</f>
        <v>0</v>
      </c>
      <c r="K19" s="699">
        <f>'Market Data'!$O$52*'Mkt Pen Veh-Mi'!K19</f>
        <v>0</v>
      </c>
      <c r="L19" s="699">
        <f>'Market Data'!$O$52*'Mkt Pen Veh-Mi'!L19</f>
        <v>0</v>
      </c>
      <c r="M19" s="704">
        <f>'Market Data'!$O$52*'Mkt Pen Veh-Mi'!M19</f>
        <v>0</v>
      </c>
      <c r="N19" s="423">
        <f>'Market Data'!$Y$52*'Mkt Pen Veh-Mi'!N19</f>
        <v>8.967840728757831E-2</v>
      </c>
      <c r="O19" s="424">
        <f>'Market Data'!$Y$52*'Mkt Pen Veh-Mi'!O19</f>
        <v>0</v>
      </c>
      <c r="P19" s="424">
        <f>'Market Data'!$Y$52*'Mkt Pen Veh-Mi'!P19</f>
        <v>0</v>
      </c>
      <c r="Q19" s="699">
        <f>'Market Data'!$Y$52*'Mkt Pen Veh-Mi'!Q19</f>
        <v>0</v>
      </c>
      <c r="R19" s="699">
        <f>'Market Data'!$Y$52*'Mkt Pen Veh-Mi'!R19</f>
        <v>0</v>
      </c>
      <c r="S19" s="704">
        <f>'Market Data'!$Y$52*'Mkt Pen Veh-Mi'!S19</f>
        <v>0</v>
      </c>
      <c r="T19" s="423">
        <f t="shared" si="6"/>
        <v>0.99999999999999989</v>
      </c>
      <c r="U19" s="425">
        <f t="shared" ref="U19:U52" si="8">SUM(C19:G19)+SUM(I19:M19)+SUM(O19:S19)</f>
        <v>0</v>
      </c>
      <c r="X19" s="117"/>
    </row>
    <row r="20" spans="1:24" ht="15" x14ac:dyDescent="0.2">
      <c r="A20" s="403">
        <v>2018</v>
      </c>
      <c r="B20" s="423">
        <f>'Market Data'!$E$52*'Mkt Pen Veh-Mi'!B20</f>
        <v>0.66842924773992651</v>
      </c>
      <c r="C20" s="424">
        <f>'Market Data'!$E$52*'Mkt Pen Veh-Mi'!C20</f>
        <v>0</v>
      </c>
      <c r="D20" s="424">
        <f>'Market Data'!$E$52*'Mkt Pen Veh-Mi'!D20</f>
        <v>0</v>
      </c>
      <c r="E20" s="699">
        <f>'Market Data'!$E$52*'Mkt Pen Veh-Mi'!E20</f>
        <v>0</v>
      </c>
      <c r="F20" s="699">
        <f>'Market Data'!$E$52*'Mkt Pen Veh-Mi'!F20</f>
        <v>0</v>
      </c>
      <c r="G20" s="704">
        <f>'Market Data'!$E$52*'Mkt Pen Veh-Mi'!G20</f>
        <v>0</v>
      </c>
      <c r="H20" s="423">
        <f>'Market Data'!$O$52*'Mkt Pen Veh-Mi'!H20</f>
        <v>0.24189234497249509</v>
      </c>
      <c r="I20" s="424">
        <f>'Market Data'!$O$52*'Mkt Pen Veh-Mi'!I20</f>
        <v>0</v>
      </c>
      <c r="J20" s="424">
        <f>'Market Data'!$O$52*'Mkt Pen Veh-Mi'!J20</f>
        <v>0</v>
      </c>
      <c r="K20" s="699">
        <f>'Market Data'!$O$52*'Mkt Pen Veh-Mi'!K20</f>
        <v>0</v>
      </c>
      <c r="L20" s="699">
        <f>'Market Data'!$O$52*'Mkt Pen Veh-Mi'!L20</f>
        <v>0</v>
      </c>
      <c r="M20" s="704">
        <f>'Market Data'!$O$52*'Mkt Pen Veh-Mi'!M20</f>
        <v>0</v>
      </c>
      <c r="N20" s="423">
        <f>'Market Data'!$Y$52*'Mkt Pen Veh-Mi'!N20</f>
        <v>8.967840728757831E-2</v>
      </c>
      <c r="O20" s="424">
        <f>'Market Data'!$Y$52*'Mkt Pen Veh-Mi'!O20</f>
        <v>0</v>
      </c>
      <c r="P20" s="424">
        <f>'Market Data'!$Y$52*'Mkt Pen Veh-Mi'!P20</f>
        <v>0</v>
      </c>
      <c r="Q20" s="699">
        <f>'Market Data'!$Y$52*'Mkt Pen Veh-Mi'!Q20</f>
        <v>0</v>
      </c>
      <c r="R20" s="699">
        <f>'Market Data'!$Y$52*'Mkt Pen Veh-Mi'!R20</f>
        <v>0</v>
      </c>
      <c r="S20" s="704">
        <f>'Market Data'!$Y$52*'Mkt Pen Veh-Mi'!S20</f>
        <v>0</v>
      </c>
      <c r="T20" s="423">
        <f t="shared" si="6"/>
        <v>0.99999999999999989</v>
      </c>
      <c r="U20" s="425">
        <f t="shared" si="8"/>
        <v>0</v>
      </c>
      <c r="X20" s="117"/>
    </row>
    <row r="21" spans="1:24" ht="15" x14ac:dyDescent="0.2">
      <c r="A21" s="403">
        <v>2019</v>
      </c>
      <c r="B21" s="423">
        <f>'Market Data'!$E$52*'Mkt Pen Veh-Mi'!B21</f>
        <v>0.66842924773992651</v>
      </c>
      <c r="C21" s="424">
        <f>'Market Data'!$E$52*'Mkt Pen Veh-Mi'!C21</f>
        <v>0</v>
      </c>
      <c r="D21" s="424">
        <f>'Market Data'!$E$52*'Mkt Pen Veh-Mi'!D21</f>
        <v>0</v>
      </c>
      <c r="E21" s="699">
        <f>'Market Data'!$E$52*'Mkt Pen Veh-Mi'!E21</f>
        <v>0</v>
      </c>
      <c r="F21" s="699">
        <f>'Market Data'!$E$52*'Mkt Pen Veh-Mi'!F21</f>
        <v>0</v>
      </c>
      <c r="G21" s="704">
        <f>'Market Data'!$E$52*'Mkt Pen Veh-Mi'!G21</f>
        <v>0</v>
      </c>
      <c r="H21" s="423">
        <f>'Market Data'!$O$52*'Mkt Pen Veh-Mi'!H21</f>
        <v>0.24189234497249509</v>
      </c>
      <c r="I21" s="424">
        <f>'Market Data'!$O$52*'Mkt Pen Veh-Mi'!I21</f>
        <v>0</v>
      </c>
      <c r="J21" s="424">
        <f>'Market Data'!$O$52*'Mkt Pen Veh-Mi'!J21</f>
        <v>0</v>
      </c>
      <c r="K21" s="699">
        <f>'Market Data'!$O$52*'Mkt Pen Veh-Mi'!K21</f>
        <v>0</v>
      </c>
      <c r="L21" s="699">
        <f>'Market Data'!$O$52*'Mkt Pen Veh-Mi'!L21</f>
        <v>0</v>
      </c>
      <c r="M21" s="704">
        <f>'Market Data'!$O$52*'Mkt Pen Veh-Mi'!M21</f>
        <v>0</v>
      </c>
      <c r="N21" s="423">
        <f>'Market Data'!$Y$52*'Mkt Pen Veh-Mi'!N21</f>
        <v>8.967840728757831E-2</v>
      </c>
      <c r="O21" s="424">
        <f>'Market Data'!$Y$52*'Mkt Pen Veh-Mi'!O21</f>
        <v>0</v>
      </c>
      <c r="P21" s="424">
        <f>'Market Data'!$Y$52*'Mkt Pen Veh-Mi'!P21</f>
        <v>0</v>
      </c>
      <c r="Q21" s="699">
        <f>'Market Data'!$Y$52*'Mkt Pen Veh-Mi'!Q21</f>
        <v>0</v>
      </c>
      <c r="R21" s="699">
        <f>'Market Data'!$Y$52*'Mkt Pen Veh-Mi'!R21</f>
        <v>0</v>
      </c>
      <c r="S21" s="704">
        <f>'Market Data'!$Y$52*'Mkt Pen Veh-Mi'!S21</f>
        <v>0</v>
      </c>
      <c r="T21" s="423">
        <f t="shared" si="6"/>
        <v>0.99999999999999989</v>
      </c>
      <c r="U21" s="425">
        <f t="shared" si="8"/>
        <v>0</v>
      </c>
      <c r="X21" s="117"/>
    </row>
    <row r="22" spans="1:24" ht="15" x14ac:dyDescent="0.2">
      <c r="A22" s="402">
        <v>2020</v>
      </c>
      <c r="B22" s="426">
        <f>'Market Data'!$E$52*'Mkt Pen Veh-Mi'!B22</f>
        <v>0.66842924773992651</v>
      </c>
      <c r="C22" s="427">
        <f>'Market Data'!$E$52*'Mkt Pen Veh-Mi'!C22</f>
        <v>0</v>
      </c>
      <c r="D22" s="427">
        <f>'Market Data'!$E$52*'Mkt Pen Veh-Mi'!D22</f>
        <v>0</v>
      </c>
      <c r="E22" s="700">
        <f>'Market Data'!$E$52*'Mkt Pen Veh-Mi'!E22</f>
        <v>0</v>
      </c>
      <c r="F22" s="700">
        <f>'Market Data'!$E$52*'Mkt Pen Veh-Mi'!F22</f>
        <v>0</v>
      </c>
      <c r="G22" s="705">
        <f>'Market Data'!$E$52*'Mkt Pen Veh-Mi'!G22</f>
        <v>0</v>
      </c>
      <c r="H22" s="426">
        <f>'Market Data'!$O$52*'Mkt Pen Veh-Mi'!H22</f>
        <v>0.24189234497249509</v>
      </c>
      <c r="I22" s="427">
        <f>'Market Data'!$O$52*'Mkt Pen Veh-Mi'!I22</f>
        <v>0</v>
      </c>
      <c r="J22" s="427">
        <f>'Market Data'!$O$52*'Mkt Pen Veh-Mi'!J22</f>
        <v>0</v>
      </c>
      <c r="K22" s="700">
        <f>'Market Data'!$O$52*'Mkt Pen Veh-Mi'!K22</f>
        <v>0</v>
      </c>
      <c r="L22" s="700">
        <f>'Market Data'!$O$52*'Mkt Pen Veh-Mi'!L22</f>
        <v>0</v>
      </c>
      <c r="M22" s="705">
        <f>'Market Data'!$O$52*'Mkt Pen Veh-Mi'!M22</f>
        <v>0</v>
      </c>
      <c r="N22" s="426">
        <f>'Market Data'!$Y$52*'Mkt Pen Veh-Mi'!N22</f>
        <v>8.967840728757831E-2</v>
      </c>
      <c r="O22" s="427">
        <f>'Market Data'!$Y$52*'Mkt Pen Veh-Mi'!O22</f>
        <v>0</v>
      </c>
      <c r="P22" s="427">
        <f>'Market Data'!$Y$52*'Mkt Pen Veh-Mi'!P22</f>
        <v>0</v>
      </c>
      <c r="Q22" s="700">
        <f>'Market Data'!$Y$52*'Mkt Pen Veh-Mi'!Q22</f>
        <v>0</v>
      </c>
      <c r="R22" s="700">
        <f>'Market Data'!$Y$52*'Mkt Pen Veh-Mi'!R22</f>
        <v>0</v>
      </c>
      <c r="S22" s="705">
        <f>'Market Data'!$Y$52*'Mkt Pen Veh-Mi'!S22</f>
        <v>0</v>
      </c>
      <c r="T22" s="426">
        <f t="shared" si="6"/>
        <v>0.99999999999999989</v>
      </c>
      <c r="U22" s="428">
        <f t="shared" si="8"/>
        <v>0</v>
      </c>
      <c r="X22" s="117"/>
    </row>
    <row r="23" spans="1:24" ht="15" x14ac:dyDescent="0.2">
      <c r="A23" s="429">
        <v>2021</v>
      </c>
      <c r="B23" s="430">
        <f>'Market Data'!$E$52*'Mkt Pen Veh-Mi'!B23</f>
        <v>0.66842924773992651</v>
      </c>
      <c r="C23" s="431">
        <f>'Market Data'!$E$52*'Mkt Pen Veh-Mi'!C23</f>
        <v>0</v>
      </c>
      <c r="D23" s="431">
        <f>'Market Data'!$E$52*'Mkt Pen Veh-Mi'!D23</f>
        <v>0</v>
      </c>
      <c r="E23" s="701">
        <f>'Market Data'!$E$52*'Mkt Pen Veh-Mi'!E23</f>
        <v>0</v>
      </c>
      <c r="F23" s="701">
        <f>'Market Data'!$E$52*'Mkt Pen Veh-Mi'!F23</f>
        <v>0</v>
      </c>
      <c r="G23" s="706">
        <f>'Market Data'!$E$52*'Mkt Pen Veh-Mi'!G23</f>
        <v>0</v>
      </c>
      <c r="H23" s="430">
        <f>'Market Data'!$O$52*'Mkt Pen Veh-Mi'!H23</f>
        <v>0.23336180793886238</v>
      </c>
      <c r="I23" s="431">
        <f>'Market Data'!$O$52*'Mkt Pen Veh-Mi'!I23</f>
        <v>5.1411008701354099E-3</v>
      </c>
      <c r="J23" s="431">
        <f>'Market Data'!$O$52*'Mkt Pen Veh-Mi'!J23</f>
        <v>3.3894361634973095E-3</v>
      </c>
      <c r="K23" s="701">
        <f>'Market Data'!$O$52*'Mkt Pen Veh-Mi'!K23</f>
        <v>0</v>
      </c>
      <c r="L23" s="701">
        <f>'Market Data'!$O$52*'Mkt Pen Veh-Mi'!L23</f>
        <v>0</v>
      </c>
      <c r="M23" s="706">
        <f>'Market Data'!$O$52*'Mkt Pen Veh-Mi'!M23</f>
        <v>0</v>
      </c>
      <c r="N23" s="430">
        <f>'Market Data'!$Y$52*'Mkt Pen Veh-Mi'!N23</f>
        <v>8.967840728757831E-2</v>
      </c>
      <c r="O23" s="431">
        <f>'Market Data'!$Y$52*'Mkt Pen Veh-Mi'!O23</f>
        <v>0</v>
      </c>
      <c r="P23" s="431">
        <f>'Market Data'!$Y$52*'Mkt Pen Veh-Mi'!P23</f>
        <v>0</v>
      </c>
      <c r="Q23" s="701">
        <f>'Market Data'!$Y$52*'Mkt Pen Veh-Mi'!Q23</f>
        <v>0</v>
      </c>
      <c r="R23" s="701">
        <f>'Market Data'!$Y$52*'Mkt Pen Veh-Mi'!R23</f>
        <v>0</v>
      </c>
      <c r="S23" s="706">
        <f>'Market Data'!$Y$52*'Mkt Pen Veh-Mi'!S23</f>
        <v>0</v>
      </c>
      <c r="T23" s="433">
        <f t="shared" si="6"/>
        <v>0.99146946296636718</v>
      </c>
      <c r="U23" s="434">
        <f t="shared" si="8"/>
        <v>8.5305370336327194E-3</v>
      </c>
      <c r="X23" s="117"/>
    </row>
    <row r="24" spans="1:24" ht="15" x14ac:dyDescent="0.2">
      <c r="A24" s="403">
        <v>2022</v>
      </c>
      <c r="B24" s="423">
        <f>'Market Data'!$E$52*'Mkt Pen Veh-Mi'!B24</f>
        <v>0.65171936113568707</v>
      </c>
      <c r="C24" s="424">
        <f>'Market Data'!$E$52*'Mkt Pen Veh-Mi'!C24</f>
        <v>1.0647363526695682E-2</v>
      </c>
      <c r="D24" s="424">
        <f>'Market Data'!$E$52*'Mkt Pen Veh-Mi'!D24</f>
        <v>6.0625230775437598E-3</v>
      </c>
      <c r="E24" s="699">
        <f>'Market Data'!$E$52*'Mkt Pen Veh-Mi'!E24</f>
        <v>0</v>
      </c>
      <c r="F24" s="699">
        <f>'Market Data'!$E$52*'Mkt Pen Veh-Mi'!F24</f>
        <v>0</v>
      </c>
      <c r="G24" s="704">
        <f>'Market Data'!$E$52*'Mkt Pen Veh-Mi'!G24</f>
        <v>0</v>
      </c>
      <c r="H24" s="423">
        <f>'Market Data'!$O$52*'Mkt Pen Veh-Mi'!H24</f>
        <v>0.22093042363584697</v>
      </c>
      <c r="I24" s="424">
        <f>'Market Data'!$O$52*'Mkt Pen Veh-Mi'!I24</f>
        <v>1.2409766042259889E-2</v>
      </c>
      <c r="J24" s="424">
        <f>'Market Data'!$O$52*'Mkt Pen Veh-Mi'!J24</f>
        <v>8.5521552943882452E-3</v>
      </c>
      <c r="K24" s="699">
        <f>'Market Data'!$O$52*'Mkt Pen Veh-Mi'!K24</f>
        <v>0</v>
      </c>
      <c r="L24" s="699">
        <f>'Market Data'!$O$52*'Mkt Pen Veh-Mi'!L24</f>
        <v>0</v>
      </c>
      <c r="M24" s="704">
        <f>'Market Data'!$O$52*'Mkt Pen Veh-Mi'!M24</f>
        <v>0</v>
      </c>
      <c r="N24" s="423">
        <f>'Market Data'!$Y$52*'Mkt Pen Veh-Mi'!N24</f>
        <v>8.6941327538505656E-2</v>
      </c>
      <c r="O24" s="424">
        <f>'Market Data'!$Y$52*'Mkt Pen Veh-Mi'!O24</f>
        <v>1.2055043351922501E-3</v>
      </c>
      <c r="P24" s="424">
        <f>'Market Data'!$Y$52*'Mkt Pen Veh-Mi'!P24</f>
        <v>1.3762345223599542E-3</v>
      </c>
      <c r="Q24" s="699">
        <f>'Market Data'!$Y$52*'Mkt Pen Veh-Mi'!Q24</f>
        <v>1.553408915204515E-4</v>
      </c>
      <c r="R24" s="699">
        <f>'Market Data'!$Y$52*'Mkt Pen Veh-Mi'!R24</f>
        <v>0</v>
      </c>
      <c r="S24" s="704">
        <f>'Market Data'!$Y$52*'Mkt Pen Veh-Mi'!S24</f>
        <v>0</v>
      </c>
      <c r="T24" s="423">
        <f t="shared" si="6"/>
        <v>0.9595911123100398</v>
      </c>
      <c r="U24" s="425">
        <f t="shared" si="8"/>
        <v>4.0408887689960232E-2</v>
      </c>
      <c r="X24" s="117"/>
    </row>
    <row r="25" spans="1:24" ht="15" x14ac:dyDescent="0.2">
      <c r="A25" s="403">
        <v>2023</v>
      </c>
      <c r="B25" s="423">
        <f>'Market Data'!$E$52*'Mkt Pen Veh-Mi'!B25</f>
        <v>0.62532650223197228</v>
      </c>
      <c r="C25" s="424">
        <f>'Market Data'!$E$52*'Mkt Pen Veh-Mi'!C25</f>
        <v>2.5738883408896112E-2</v>
      </c>
      <c r="D25" s="424">
        <f>'Market Data'!$E$52*'Mkt Pen Veh-Mi'!D25</f>
        <v>1.7363862099058137E-2</v>
      </c>
      <c r="E25" s="699">
        <f>'Market Data'!$E$52*'Mkt Pen Veh-Mi'!E25</f>
        <v>0</v>
      </c>
      <c r="F25" s="699">
        <f>'Market Data'!$E$52*'Mkt Pen Veh-Mi'!F25</f>
        <v>0</v>
      </c>
      <c r="G25" s="704">
        <f>'Market Data'!$E$52*'Mkt Pen Veh-Mi'!G25</f>
        <v>0</v>
      </c>
      <c r="H25" s="423">
        <f>'Market Data'!$O$52*'Mkt Pen Veh-Mi'!H25</f>
        <v>0.19711389694668779</v>
      </c>
      <c r="I25" s="424">
        <f>'Market Data'!$O$52*'Mkt Pen Veh-Mi'!I25</f>
        <v>2.6015500461731345E-2</v>
      </c>
      <c r="J25" s="424">
        <f>'Market Data'!$O$52*'Mkt Pen Veh-Mi'!J25</f>
        <v>1.8762947564075958E-2</v>
      </c>
      <c r="K25" s="699">
        <f>'Market Data'!$O$52*'Mkt Pen Veh-Mi'!K25</f>
        <v>0</v>
      </c>
      <c r="L25" s="699">
        <f>'Market Data'!$O$52*'Mkt Pen Veh-Mi'!L25</f>
        <v>0</v>
      </c>
      <c r="M25" s="704">
        <f>'Market Data'!$O$52*'Mkt Pen Veh-Mi'!M25</f>
        <v>0</v>
      </c>
      <c r="N25" s="423">
        <f>'Market Data'!$Y$52*'Mkt Pen Veh-Mi'!N25</f>
        <v>8.3087068475695511E-2</v>
      </c>
      <c r="O25" s="424">
        <f>'Market Data'!$Y$52*'Mkt Pen Veh-Mi'!O25</f>
        <v>2.9252748369129411E-3</v>
      </c>
      <c r="P25" s="424">
        <f>'Market Data'!$Y$52*'Mkt Pen Veh-Mi'!P25</f>
        <v>3.1584320418116298E-3</v>
      </c>
      <c r="Q25" s="699">
        <f>'Market Data'!$Y$52*'Mkt Pen Veh-Mi'!Q25</f>
        <v>5.0763193315822087E-4</v>
      </c>
      <c r="R25" s="699">
        <f>'Market Data'!$Y$52*'Mkt Pen Veh-Mi'!R25</f>
        <v>0</v>
      </c>
      <c r="S25" s="704">
        <f>'Market Data'!$Y$52*'Mkt Pen Veh-Mi'!S25</f>
        <v>0</v>
      </c>
      <c r="T25" s="423">
        <f t="shared" si="6"/>
        <v>0.90552746765435554</v>
      </c>
      <c r="U25" s="425">
        <f t="shared" si="8"/>
        <v>9.4472532345644331E-2</v>
      </c>
      <c r="X25" s="117"/>
    </row>
    <row r="26" spans="1:24" ht="15" x14ac:dyDescent="0.2">
      <c r="A26" s="403">
        <v>2024</v>
      </c>
      <c r="B26" s="423">
        <f>'Market Data'!$E$52*'Mkt Pen Veh-Mi'!B26</f>
        <v>0.5628872309280627</v>
      </c>
      <c r="C26" s="424">
        <f>'Market Data'!$E$52*'Mkt Pen Veh-Mi'!C26</f>
        <v>6.1093043721967728E-2</v>
      </c>
      <c r="D26" s="424">
        <f>'Market Data'!$E$52*'Mkt Pen Veh-Mi'!D26</f>
        <v>4.4448973089896107E-2</v>
      </c>
      <c r="E26" s="699">
        <f>'Market Data'!$E$52*'Mkt Pen Veh-Mi'!E26</f>
        <v>0</v>
      </c>
      <c r="F26" s="699">
        <f>'Market Data'!$E$52*'Mkt Pen Veh-Mi'!F26</f>
        <v>0</v>
      </c>
      <c r="G26" s="704">
        <f>'Market Data'!$E$52*'Mkt Pen Veh-Mi'!G26</f>
        <v>0</v>
      </c>
      <c r="H26" s="423">
        <f>'Market Data'!$O$52*'Mkt Pen Veh-Mi'!H26</f>
        <v>0.16582515061992667</v>
      </c>
      <c r="I26" s="424">
        <f>'Market Data'!$O$52*'Mkt Pen Veh-Mi'!I26</f>
        <v>4.0671878183409227E-2</v>
      </c>
      <c r="J26" s="424">
        <f>'Market Data'!$O$52*'Mkt Pen Veh-Mi'!J26</f>
        <v>3.5395316169159183E-2</v>
      </c>
      <c r="K26" s="699">
        <f>'Market Data'!$O$52*'Mkt Pen Veh-Mi'!K26</f>
        <v>0</v>
      </c>
      <c r="L26" s="699">
        <f>'Market Data'!$O$52*'Mkt Pen Veh-Mi'!L26</f>
        <v>0</v>
      </c>
      <c r="M26" s="704">
        <f>'Market Data'!$O$52*'Mkt Pen Veh-Mi'!M26</f>
        <v>0</v>
      </c>
      <c r="N26" s="423">
        <f>'Market Data'!$Y$52*'Mkt Pen Veh-Mi'!N26</f>
        <v>7.6361781425845085E-2</v>
      </c>
      <c r="O26" s="424">
        <f>'Market Data'!$Y$52*'Mkt Pen Veh-Mi'!O26</f>
        <v>5.8326507455636967E-3</v>
      </c>
      <c r="P26" s="424">
        <f>'Market Data'!$Y$52*'Mkt Pen Veh-Mi'!P26</f>
        <v>6.0133755656499354E-3</v>
      </c>
      <c r="Q26" s="699">
        <f>'Market Data'!$Y$52*'Mkt Pen Veh-Mi'!Q26</f>
        <v>1.470599550519591E-3</v>
      </c>
      <c r="R26" s="699">
        <f>'Market Data'!$Y$52*'Mkt Pen Veh-Mi'!R26</f>
        <v>0</v>
      </c>
      <c r="S26" s="704">
        <f>'Market Data'!$Y$52*'Mkt Pen Veh-Mi'!S26</f>
        <v>0</v>
      </c>
      <c r="T26" s="423">
        <f t="shared" si="6"/>
        <v>0.80507416297383438</v>
      </c>
      <c r="U26" s="425">
        <f t="shared" si="8"/>
        <v>0.19492583702616545</v>
      </c>
      <c r="X26" s="117"/>
    </row>
    <row r="27" spans="1:24" ht="15" x14ac:dyDescent="0.2">
      <c r="A27" s="402">
        <v>2025</v>
      </c>
      <c r="B27" s="426">
        <f>'Market Data'!$E$52*'Mkt Pen Veh-Mi'!B27</f>
        <v>0.45733483167100669</v>
      </c>
      <c r="C27" s="427">
        <f>'Market Data'!$E$52*'Mkt Pen Veh-Mi'!C27</f>
        <v>0.1230622131666364</v>
      </c>
      <c r="D27" s="427">
        <f>'Market Data'!$E$52*'Mkt Pen Veh-Mi'!D27</f>
        <v>8.8032202902283418E-2</v>
      </c>
      <c r="E27" s="700">
        <f>'Market Data'!$E$52*'Mkt Pen Veh-Mi'!E27</f>
        <v>0</v>
      </c>
      <c r="F27" s="700">
        <f>'Market Data'!$E$52*'Mkt Pen Veh-Mi'!F27</f>
        <v>0</v>
      </c>
      <c r="G27" s="705">
        <f>'Market Data'!$E$52*'Mkt Pen Veh-Mi'!G27</f>
        <v>0</v>
      </c>
      <c r="H27" s="426">
        <f>'Market Data'!$O$52*'Mkt Pen Veh-Mi'!H27</f>
        <v>0.13528899037497363</v>
      </c>
      <c r="I27" s="427">
        <f>'Market Data'!$O$52*'Mkt Pen Veh-Mi'!I27</f>
        <v>5.5149806355933979E-2</v>
      </c>
      <c r="J27" s="427">
        <f>'Market Data'!$O$52*'Mkt Pen Veh-Mi'!J27</f>
        <v>5.1453548241587474E-2</v>
      </c>
      <c r="K27" s="700">
        <f>'Market Data'!$O$52*'Mkt Pen Veh-Mi'!K27</f>
        <v>0</v>
      </c>
      <c r="L27" s="700">
        <f>'Market Data'!$O$52*'Mkt Pen Veh-Mi'!L27</f>
        <v>0</v>
      </c>
      <c r="M27" s="705">
        <f>'Market Data'!$O$52*'Mkt Pen Veh-Mi'!M27</f>
        <v>0</v>
      </c>
      <c r="N27" s="426">
        <f>'Market Data'!$Y$52*'Mkt Pen Veh-Mi'!N27</f>
        <v>7.1563718845574442E-2</v>
      </c>
      <c r="O27" s="427">
        <f>'Market Data'!$Y$52*'Mkt Pen Veh-Mi'!O27</f>
        <v>6.3250402641116107E-3</v>
      </c>
      <c r="P27" s="427">
        <f>'Market Data'!$Y$52*'Mkt Pen Veh-Mi'!P27</f>
        <v>8.4468453877739394E-3</v>
      </c>
      <c r="Q27" s="700">
        <f>'Market Data'!$Y$52*'Mkt Pen Veh-Mi'!Q27</f>
        <v>3.3428027901183134E-3</v>
      </c>
      <c r="R27" s="700">
        <f>'Market Data'!$Y$52*'Mkt Pen Veh-Mi'!R27</f>
        <v>0</v>
      </c>
      <c r="S27" s="705">
        <f>'Market Data'!$Y$52*'Mkt Pen Veh-Mi'!S27</f>
        <v>0</v>
      </c>
      <c r="T27" s="426">
        <f t="shared" si="6"/>
        <v>0.66418754089155474</v>
      </c>
      <c r="U27" s="428">
        <f t="shared" si="8"/>
        <v>0.33581245910844515</v>
      </c>
      <c r="X27" s="117"/>
    </row>
    <row r="28" spans="1:24" ht="15" x14ac:dyDescent="0.2">
      <c r="A28" s="429">
        <v>2026</v>
      </c>
      <c r="B28" s="430">
        <f>'Market Data'!$E$52*'Mkt Pen Veh-Mi'!B28</f>
        <v>0.40024470291908404</v>
      </c>
      <c r="C28" s="431">
        <f>'Market Data'!$E$52*'Mkt Pen Veh-Mi'!C28</f>
        <v>0.15032481113628601</v>
      </c>
      <c r="D28" s="431">
        <f>'Market Data'!$E$52*'Mkt Pen Veh-Mi'!D28</f>
        <v>0.1178597336845565</v>
      </c>
      <c r="E28" s="701">
        <f>'Market Data'!$E$52*'Mkt Pen Veh-Mi'!E28</f>
        <v>0</v>
      </c>
      <c r="F28" s="701">
        <f>'Market Data'!$E$52*'Mkt Pen Veh-Mi'!F28</f>
        <v>0</v>
      </c>
      <c r="G28" s="706">
        <f>'Market Data'!$E$52*'Mkt Pen Veh-Mi'!G28</f>
        <v>0</v>
      </c>
      <c r="H28" s="430">
        <f>'Market Data'!$O$52*'Mkt Pen Veh-Mi'!H28</f>
        <v>0.10204274658226084</v>
      </c>
      <c r="I28" s="431">
        <f>'Market Data'!$O$52*'Mkt Pen Veh-Mi'!I28</f>
        <v>7.1112644252446525E-2</v>
      </c>
      <c r="J28" s="431">
        <f>'Market Data'!$O$52*'Mkt Pen Veh-Mi'!J28</f>
        <v>6.8736954137787729E-2</v>
      </c>
      <c r="K28" s="701">
        <f>'Market Data'!$O$52*'Mkt Pen Veh-Mi'!K28</f>
        <v>0</v>
      </c>
      <c r="L28" s="701">
        <f>'Market Data'!$O$52*'Mkt Pen Veh-Mi'!L28</f>
        <v>0</v>
      </c>
      <c r="M28" s="706">
        <f>'Market Data'!$O$52*'Mkt Pen Veh-Mi'!M28</f>
        <v>0</v>
      </c>
      <c r="N28" s="430">
        <f>'Market Data'!$Y$52*'Mkt Pen Veh-Mi'!N28</f>
        <v>6.1624787620941597E-2</v>
      </c>
      <c r="O28" s="431">
        <f>'Market Data'!$Y$52*'Mkt Pen Veh-Mi'!O28</f>
        <v>9.3754401043414128E-3</v>
      </c>
      <c r="P28" s="431">
        <f>'Market Data'!$Y$52*'Mkt Pen Veh-Mi'!P28</f>
        <v>1.3425317938121049E-2</v>
      </c>
      <c r="Q28" s="701">
        <f>'Market Data'!$Y$52*'Mkt Pen Veh-Mi'!Q28</f>
        <v>5.2527811940572796E-3</v>
      </c>
      <c r="R28" s="701">
        <f>'Market Data'!$Y$52*'Mkt Pen Veh-Mi'!R28</f>
        <v>8.0430116983467532E-8</v>
      </c>
      <c r="S28" s="706">
        <f>'Market Data'!$Y$52*'Mkt Pen Veh-Mi'!S28</f>
        <v>0</v>
      </c>
      <c r="T28" s="433">
        <f t="shared" si="6"/>
        <v>0.56391223712228644</v>
      </c>
      <c r="U28" s="434">
        <f t="shared" si="8"/>
        <v>0.4360877628777135</v>
      </c>
      <c r="X28" s="117"/>
    </row>
    <row r="29" spans="1:24" ht="15" x14ac:dyDescent="0.2">
      <c r="A29" s="403">
        <v>2027</v>
      </c>
      <c r="B29" s="423">
        <f>'Market Data'!$E$52*'Mkt Pen Veh-Mi'!B29</f>
        <v>0.35103090338687387</v>
      </c>
      <c r="C29" s="424">
        <f>'Market Data'!$E$52*'Mkt Pen Veh-Mi'!C29</f>
        <v>0.18772063849728315</v>
      </c>
      <c r="D29" s="424">
        <f>'Market Data'!$E$52*'Mkt Pen Veh-Mi'!D29</f>
        <v>0.12967770585576949</v>
      </c>
      <c r="E29" s="699">
        <f>'Market Data'!$E$52*'Mkt Pen Veh-Mi'!E29</f>
        <v>0</v>
      </c>
      <c r="F29" s="699">
        <f>'Market Data'!$E$52*'Mkt Pen Veh-Mi'!F29</f>
        <v>0</v>
      </c>
      <c r="G29" s="704">
        <f>'Market Data'!$E$52*'Mkt Pen Veh-Mi'!G29</f>
        <v>0</v>
      </c>
      <c r="H29" s="423">
        <f>'Market Data'!$O$52*'Mkt Pen Veh-Mi'!H29</f>
        <v>8.3087935099392482E-2</v>
      </c>
      <c r="I29" s="424">
        <f>'Market Data'!$O$52*'Mkt Pen Veh-Mi'!I29</f>
        <v>8.033008713191668E-2</v>
      </c>
      <c r="J29" s="424">
        <f>'Market Data'!$O$52*'Mkt Pen Veh-Mi'!J29</f>
        <v>7.8474322741185945E-2</v>
      </c>
      <c r="K29" s="699">
        <f>'Market Data'!$O$52*'Mkt Pen Veh-Mi'!K29</f>
        <v>0</v>
      </c>
      <c r="L29" s="699">
        <f>'Market Data'!$O$52*'Mkt Pen Veh-Mi'!L29</f>
        <v>0</v>
      </c>
      <c r="M29" s="704">
        <f>'Market Data'!$O$52*'Mkt Pen Veh-Mi'!M29</f>
        <v>0</v>
      </c>
      <c r="N29" s="423">
        <f>'Market Data'!$Y$52*'Mkt Pen Veh-Mi'!N29</f>
        <v>5.5159924093119608E-2</v>
      </c>
      <c r="O29" s="424">
        <f>'Market Data'!$Y$52*'Mkt Pen Veh-Mi'!O29</f>
        <v>1.0166961705142846E-2</v>
      </c>
      <c r="P29" s="424">
        <f>'Market Data'!$Y$52*'Mkt Pen Veh-Mi'!P29</f>
        <v>1.7506558758081842E-2</v>
      </c>
      <c r="Q29" s="699">
        <f>'Market Data'!$Y$52*'Mkt Pen Veh-Mi'!Q29</f>
        <v>6.843888819654996E-3</v>
      </c>
      <c r="R29" s="699">
        <f>'Market Data'!$Y$52*'Mkt Pen Veh-Mi'!R29</f>
        <v>1.0739115790105966E-6</v>
      </c>
      <c r="S29" s="704">
        <f>'Market Data'!$Y$52*'Mkt Pen Veh-Mi'!S29</f>
        <v>0</v>
      </c>
      <c r="T29" s="423">
        <f t="shared" si="6"/>
        <v>0.48927876257938596</v>
      </c>
      <c r="U29" s="425">
        <f t="shared" si="8"/>
        <v>0.51072123742061393</v>
      </c>
      <c r="X29" s="117"/>
    </row>
    <row r="30" spans="1:24" ht="15" x14ac:dyDescent="0.2">
      <c r="A30" s="403">
        <v>2028</v>
      </c>
      <c r="B30" s="423">
        <f>'Market Data'!$E$52*'Mkt Pen Veh-Mi'!B30</f>
        <v>0.32047824454843654</v>
      </c>
      <c r="C30" s="424">
        <f>'Market Data'!$E$52*'Mkt Pen Veh-Mi'!C30</f>
        <v>0.19568973188121744</v>
      </c>
      <c r="D30" s="424">
        <f>'Market Data'!$E$52*'Mkt Pen Veh-Mi'!D30</f>
        <v>0.15226127131027256</v>
      </c>
      <c r="E30" s="699">
        <f>'Market Data'!$E$52*'Mkt Pen Veh-Mi'!E30</f>
        <v>0</v>
      </c>
      <c r="F30" s="699">
        <f>'Market Data'!$E$52*'Mkt Pen Veh-Mi'!F30</f>
        <v>0</v>
      </c>
      <c r="G30" s="704">
        <f>'Market Data'!$E$52*'Mkt Pen Veh-Mi'!G30</f>
        <v>0</v>
      </c>
      <c r="H30" s="423">
        <f>'Market Data'!$O$52*'Mkt Pen Veh-Mi'!H30</f>
        <v>6.9577484420243821E-2</v>
      </c>
      <c r="I30" s="424">
        <f>'Market Data'!$O$52*'Mkt Pen Veh-Mi'!I30</f>
        <v>8.7150879149920632E-2</v>
      </c>
      <c r="J30" s="424">
        <f>'Market Data'!$O$52*'Mkt Pen Veh-Mi'!J30</f>
        <v>8.5163981402330641E-2</v>
      </c>
      <c r="K30" s="699">
        <f>'Market Data'!$O$52*'Mkt Pen Veh-Mi'!K30</f>
        <v>0</v>
      </c>
      <c r="L30" s="699">
        <f>'Market Data'!$O$52*'Mkt Pen Veh-Mi'!L30</f>
        <v>0</v>
      </c>
      <c r="M30" s="704">
        <f>'Market Data'!$O$52*'Mkt Pen Veh-Mi'!M30</f>
        <v>0</v>
      </c>
      <c r="N30" s="423">
        <f>'Market Data'!$Y$52*'Mkt Pen Veh-Mi'!N30</f>
        <v>5.0252574798814113E-2</v>
      </c>
      <c r="O30" s="424">
        <f>'Market Data'!$Y$52*'Mkt Pen Veh-Mi'!O30</f>
        <v>1.1882754100666184E-2</v>
      </c>
      <c r="P30" s="424">
        <f>'Market Data'!$Y$52*'Mkt Pen Veh-Mi'!P30</f>
        <v>1.9344200931333412E-2</v>
      </c>
      <c r="Q30" s="699">
        <f>'Market Data'!$Y$52*'Mkt Pen Veh-Mi'!Q30</f>
        <v>8.1881529123683759E-3</v>
      </c>
      <c r="R30" s="699">
        <f>'Market Data'!$Y$52*'Mkt Pen Veh-Mi'!R30</f>
        <v>1.0724544396228984E-5</v>
      </c>
      <c r="S30" s="704">
        <f>'Market Data'!$Y$52*'Mkt Pen Veh-Mi'!S30</f>
        <v>0</v>
      </c>
      <c r="T30" s="423">
        <f t="shared" si="6"/>
        <v>0.44030830376749447</v>
      </c>
      <c r="U30" s="425">
        <f t="shared" si="8"/>
        <v>0.55969169623250536</v>
      </c>
      <c r="X30" s="117"/>
    </row>
    <row r="31" spans="1:24" ht="15" x14ac:dyDescent="0.2">
      <c r="A31" s="403">
        <v>2029</v>
      </c>
      <c r="B31" s="423">
        <f>'Market Data'!$E$52*'Mkt Pen Veh-Mi'!B31</f>
        <v>0.31677931820861671</v>
      </c>
      <c r="C31" s="424">
        <f>'Market Data'!$E$52*'Mkt Pen Veh-Mi'!C31</f>
        <v>0.20515487300916307</v>
      </c>
      <c r="D31" s="424">
        <f>'Market Data'!$E$52*'Mkt Pen Veh-Mi'!D31</f>
        <v>0.14649505652214673</v>
      </c>
      <c r="E31" s="699">
        <f>'Market Data'!$E$52*'Mkt Pen Veh-Mi'!E31</f>
        <v>0</v>
      </c>
      <c r="F31" s="699">
        <f>'Market Data'!$E$52*'Mkt Pen Veh-Mi'!F31</f>
        <v>0</v>
      </c>
      <c r="G31" s="704">
        <f>'Market Data'!$E$52*'Mkt Pen Veh-Mi'!G31</f>
        <v>0</v>
      </c>
      <c r="H31" s="423">
        <f>'Market Data'!$O$52*'Mkt Pen Veh-Mi'!H31</f>
        <v>6.3191866081896461E-2</v>
      </c>
      <c r="I31" s="424">
        <f>'Market Data'!$O$52*'Mkt Pen Veh-Mi'!I31</f>
        <v>8.992256736102297E-2</v>
      </c>
      <c r="J31" s="424">
        <f>'Market Data'!$O$52*'Mkt Pen Veh-Mi'!J31</f>
        <v>8.8777911529575648E-2</v>
      </c>
      <c r="K31" s="699">
        <f>'Market Data'!$O$52*'Mkt Pen Veh-Mi'!K31</f>
        <v>0</v>
      </c>
      <c r="L31" s="699">
        <f>'Market Data'!$O$52*'Mkt Pen Veh-Mi'!L31</f>
        <v>0</v>
      </c>
      <c r="M31" s="704">
        <f>'Market Data'!$O$52*'Mkt Pen Veh-Mi'!M31</f>
        <v>0</v>
      </c>
      <c r="N31" s="423">
        <f>'Market Data'!$Y$52*'Mkt Pen Veh-Mi'!N31</f>
        <v>4.8191692617809298E-2</v>
      </c>
      <c r="O31" s="424">
        <f>'Market Data'!$Y$52*'Mkt Pen Veh-Mi'!O31</f>
        <v>1.2652483147988175E-2</v>
      </c>
      <c r="P31" s="424">
        <f>'Market Data'!$Y$52*'Mkt Pen Veh-Mi'!P31</f>
        <v>1.9747709188036752E-2</v>
      </c>
      <c r="Q31" s="699">
        <f>'Market Data'!$Y$52*'Mkt Pen Veh-Mi'!Q31</f>
        <v>9.0325069675918582E-3</v>
      </c>
      <c r="R31" s="699">
        <f>'Market Data'!$Y$52*'Mkt Pen Veh-Mi'!R31</f>
        <v>5.4015366152236254E-5</v>
      </c>
      <c r="S31" s="704">
        <f>'Market Data'!$Y$52*'Mkt Pen Veh-Mi'!S31</f>
        <v>0</v>
      </c>
      <c r="T31" s="423">
        <f t="shared" si="6"/>
        <v>0.4281628769083225</v>
      </c>
      <c r="U31" s="425">
        <f t="shared" si="8"/>
        <v>0.57183712309167745</v>
      </c>
      <c r="X31" s="117"/>
    </row>
    <row r="32" spans="1:24" ht="15" x14ac:dyDescent="0.2">
      <c r="A32" s="402">
        <v>2030</v>
      </c>
      <c r="B32" s="426">
        <f>'Market Data'!$E$52*'Mkt Pen Veh-Mi'!B32</f>
        <v>0.31132291349534197</v>
      </c>
      <c r="C32" s="427">
        <f>'Market Data'!$E$52*'Mkt Pen Veh-Mi'!C32</f>
        <v>0.20065151610903431</v>
      </c>
      <c r="D32" s="427">
        <f>'Market Data'!$E$52*'Mkt Pen Veh-Mi'!D32</f>
        <v>0.15645481813555021</v>
      </c>
      <c r="E32" s="700">
        <f>'Market Data'!$E$52*'Mkt Pen Veh-Mi'!E32</f>
        <v>0</v>
      </c>
      <c r="F32" s="700">
        <f>'Market Data'!$E$52*'Mkt Pen Veh-Mi'!F32</f>
        <v>0</v>
      </c>
      <c r="G32" s="705">
        <f>'Market Data'!$E$52*'Mkt Pen Veh-Mi'!G32</f>
        <v>0</v>
      </c>
      <c r="H32" s="426">
        <f>'Market Data'!$O$52*'Mkt Pen Veh-Mi'!H32</f>
        <v>5.637435536470059E-2</v>
      </c>
      <c r="I32" s="427">
        <f>'Market Data'!$O$52*'Mkt Pen Veh-Mi'!I32</f>
        <v>9.2916186897393171E-2</v>
      </c>
      <c r="J32" s="427">
        <f>'Market Data'!$O$52*'Mkt Pen Veh-Mi'!J32</f>
        <v>9.2601802710401318E-2</v>
      </c>
      <c r="K32" s="700">
        <f>'Market Data'!$O$52*'Mkt Pen Veh-Mi'!K32</f>
        <v>0</v>
      </c>
      <c r="L32" s="700">
        <f>'Market Data'!$O$52*'Mkt Pen Veh-Mi'!L32</f>
        <v>0</v>
      </c>
      <c r="M32" s="705">
        <f>'Market Data'!$O$52*'Mkt Pen Veh-Mi'!M32</f>
        <v>0</v>
      </c>
      <c r="N32" s="426">
        <f>'Market Data'!$Y$52*'Mkt Pen Veh-Mi'!N32</f>
        <v>4.6303175158862397E-2</v>
      </c>
      <c r="O32" s="427">
        <f>'Market Data'!$Y$52*'Mkt Pen Veh-Mi'!O32</f>
        <v>1.3368655116050046E-2</v>
      </c>
      <c r="P32" s="427">
        <f>'Market Data'!$Y$52*'Mkt Pen Veh-Mi'!P32</f>
        <v>1.9855477314096821E-2</v>
      </c>
      <c r="Q32" s="700">
        <f>'Market Data'!$Y$52*'Mkt Pen Veh-Mi'!Q32</f>
        <v>9.9443641407546812E-3</v>
      </c>
      <c r="R32" s="700">
        <f>'Market Data'!$Y$52*'Mkt Pen Veh-Mi'!R32</f>
        <v>2.0673555781435741E-4</v>
      </c>
      <c r="S32" s="705">
        <f>'Market Data'!$Y$52*'Mkt Pen Veh-Mi'!S32</f>
        <v>0</v>
      </c>
      <c r="T32" s="426">
        <f t="shared" si="6"/>
        <v>0.41400044401890496</v>
      </c>
      <c r="U32" s="428">
        <f t="shared" si="8"/>
        <v>0.58599955598109477</v>
      </c>
      <c r="X32" s="117"/>
    </row>
    <row r="33" spans="1:21" ht="15" x14ac:dyDescent="0.2">
      <c r="A33" s="429">
        <v>2031</v>
      </c>
      <c r="B33" s="430">
        <f>'Market Data'!$E$52*'Mkt Pen Veh-Mi'!B33</f>
        <v>0.31183027953071474</v>
      </c>
      <c r="C33" s="431">
        <f>'Market Data'!$E$52*'Mkt Pen Veh-Mi'!C33</f>
        <v>0.19691217637744252</v>
      </c>
      <c r="D33" s="431">
        <f>'Market Data'!$E$52*'Mkt Pen Veh-Mi'!D33</f>
        <v>0.15968679183176923</v>
      </c>
      <c r="E33" s="701">
        <f>'Market Data'!$E$52*'Mkt Pen Veh-Mi'!E33</f>
        <v>0</v>
      </c>
      <c r="F33" s="701">
        <f>'Market Data'!$E$52*'Mkt Pen Veh-Mi'!F33</f>
        <v>0</v>
      </c>
      <c r="G33" s="706">
        <f>'Market Data'!$E$52*'Mkt Pen Veh-Mi'!G33</f>
        <v>0</v>
      </c>
      <c r="H33" s="430">
        <f>'Market Data'!$O$52*'Mkt Pen Veh-Mi'!H33</f>
        <v>5.5959348042725447E-2</v>
      </c>
      <c r="I33" s="431">
        <f>'Market Data'!$O$52*'Mkt Pen Veh-Mi'!I33</f>
        <v>9.2986995698931055E-2</v>
      </c>
      <c r="J33" s="431">
        <f>'Market Data'!$O$52*'Mkt Pen Veh-Mi'!J33</f>
        <v>9.2945329675461388E-2</v>
      </c>
      <c r="K33" s="701">
        <f>'Market Data'!$O$52*'Mkt Pen Veh-Mi'!K33</f>
        <v>6.7155537719013028E-7</v>
      </c>
      <c r="L33" s="701">
        <f>'Market Data'!$O$52*'Mkt Pen Veh-Mi'!L33</f>
        <v>0</v>
      </c>
      <c r="M33" s="706">
        <f>'Market Data'!$O$52*'Mkt Pen Veh-Mi'!M33</f>
        <v>0</v>
      </c>
      <c r="N33" s="430">
        <f>'Market Data'!$Y$52*'Mkt Pen Veh-Mi'!N33</f>
        <v>4.6095923485412582E-2</v>
      </c>
      <c r="O33" s="431">
        <f>'Market Data'!$Y$52*'Mkt Pen Veh-Mi'!O33</f>
        <v>1.3543568262175495E-2</v>
      </c>
      <c r="P33" s="431">
        <f>'Market Data'!$Y$52*'Mkt Pen Veh-Mi'!P33</f>
        <v>1.9734896676382042E-2</v>
      </c>
      <c r="Q33" s="701">
        <f>'Market Data'!$Y$52*'Mkt Pen Veh-Mi'!Q33</f>
        <v>9.9564401549785252E-3</v>
      </c>
      <c r="R33" s="701">
        <f>'Market Data'!$Y$52*'Mkt Pen Veh-Mi'!R33</f>
        <v>3.4757870862966935E-4</v>
      </c>
      <c r="S33" s="706">
        <f>'Market Data'!$Y$52*'Mkt Pen Veh-Mi'!S33</f>
        <v>0</v>
      </c>
      <c r="T33" s="433">
        <f t="shared" si="6"/>
        <v>0.41388555105885277</v>
      </c>
      <c r="U33" s="434">
        <f t="shared" si="8"/>
        <v>0.58611444894114717</v>
      </c>
    </row>
    <row r="34" spans="1:21" ht="15" x14ac:dyDescent="0.2">
      <c r="A34" s="403">
        <v>2032</v>
      </c>
      <c r="B34" s="423">
        <f>'Market Data'!$E$52*'Mkt Pen Veh-Mi'!B34</f>
        <v>0.31436622111120621</v>
      </c>
      <c r="C34" s="424">
        <f>'Market Data'!$E$52*'Mkt Pen Veh-Mi'!C34</f>
        <v>0.19312685490006395</v>
      </c>
      <c r="D34" s="424">
        <f>'Market Data'!$E$52*'Mkt Pen Veh-Mi'!D34</f>
        <v>0.16093617172865635</v>
      </c>
      <c r="E34" s="699">
        <f>'Market Data'!$E$52*'Mkt Pen Veh-Mi'!E34</f>
        <v>0</v>
      </c>
      <c r="F34" s="699">
        <f>'Market Data'!$E$52*'Mkt Pen Veh-Mi'!F34</f>
        <v>0</v>
      </c>
      <c r="G34" s="704">
        <f>'Market Data'!$E$52*'Mkt Pen Veh-Mi'!G34</f>
        <v>0</v>
      </c>
      <c r="H34" s="423">
        <f>'Market Data'!$O$52*'Mkt Pen Veh-Mi'!H34</f>
        <v>5.4242943896565629E-2</v>
      </c>
      <c r="I34" s="424">
        <f>'Market Data'!$O$52*'Mkt Pen Veh-Mi'!I34</f>
        <v>9.3874844529076198E-2</v>
      </c>
      <c r="J34" s="424">
        <f>'Market Data'!$O$52*'Mkt Pen Veh-Mi'!J34</f>
        <v>9.3667120107038607E-2</v>
      </c>
      <c r="K34" s="699">
        <f>'Market Data'!$O$52*'Mkt Pen Veh-Mi'!K34</f>
        <v>1.0743643981464811E-4</v>
      </c>
      <c r="L34" s="699">
        <f>'Market Data'!$O$52*'Mkt Pen Veh-Mi'!L34</f>
        <v>0</v>
      </c>
      <c r="M34" s="704">
        <f>'Market Data'!$O$52*'Mkt Pen Veh-Mi'!M34</f>
        <v>0</v>
      </c>
      <c r="N34" s="423">
        <f>'Market Data'!$Y$52*'Mkt Pen Veh-Mi'!N34</f>
        <v>4.5345812977483836E-2</v>
      </c>
      <c r="O34" s="424">
        <f>'Market Data'!$Y$52*'Mkt Pen Veh-Mi'!O34</f>
        <v>1.3566390230299187E-2</v>
      </c>
      <c r="P34" s="424">
        <f>'Market Data'!$Y$52*'Mkt Pen Veh-Mi'!P34</f>
        <v>2.0271976752862193E-2</v>
      </c>
      <c r="Q34" s="699">
        <f>'Market Data'!$Y$52*'Mkt Pen Veh-Mi'!Q34</f>
        <v>9.9812336943135519E-3</v>
      </c>
      <c r="R34" s="699">
        <f>'Market Data'!$Y$52*'Mkt Pen Veh-Mi'!R34</f>
        <v>5.1299363261953315E-4</v>
      </c>
      <c r="S34" s="704">
        <f>'Market Data'!$Y$52*'Mkt Pen Veh-Mi'!S34</f>
        <v>0</v>
      </c>
      <c r="T34" s="423">
        <f t="shared" si="6"/>
        <v>0.41395497798525571</v>
      </c>
      <c r="U34" s="425">
        <f t="shared" si="8"/>
        <v>0.58604502201474429</v>
      </c>
    </row>
    <row r="35" spans="1:21" ht="15" x14ac:dyDescent="0.2">
      <c r="A35" s="403">
        <v>2033</v>
      </c>
      <c r="B35" s="423">
        <f>'Market Data'!$E$52*'Mkt Pen Veh-Mi'!B35</f>
        <v>0.30541702026663081</v>
      </c>
      <c r="C35" s="424">
        <f>'Market Data'!$E$52*'Mkt Pen Veh-Mi'!C35</f>
        <v>0.18478237146611379</v>
      </c>
      <c r="D35" s="424">
        <f>'Market Data'!$E$52*'Mkt Pen Veh-Mi'!D35</f>
        <v>0.17822985600718194</v>
      </c>
      <c r="E35" s="699">
        <f>'Market Data'!$E$52*'Mkt Pen Veh-Mi'!E35</f>
        <v>0</v>
      </c>
      <c r="F35" s="699">
        <f>'Market Data'!$E$52*'Mkt Pen Veh-Mi'!F35</f>
        <v>0</v>
      </c>
      <c r="G35" s="704">
        <f>'Market Data'!$E$52*'Mkt Pen Veh-Mi'!G35</f>
        <v>0</v>
      </c>
      <c r="H35" s="423">
        <f>'Market Data'!$O$52*'Mkt Pen Veh-Mi'!H35</f>
        <v>5.2548086512958364E-2</v>
      </c>
      <c r="I35" s="424">
        <f>'Market Data'!$O$52*'Mkt Pen Veh-Mi'!I35</f>
        <v>9.4209695637021057E-2</v>
      </c>
      <c r="J35" s="424">
        <f>'Market Data'!$O$52*'Mkt Pen Veh-Mi'!J35</f>
        <v>9.416748174076621E-2</v>
      </c>
      <c r="K35" s="699">
        <f>'Market Data'!$O$52*'Mkt Pen Veh-Mi'!K35</f>
        <v>9.6708108174946327E-4</v>
      </c>
      <c r="L35" s="699">
        <f>'Market Data'!$O$52*'Mkt Pen Veh-Mi'!L35</f>
        <v>0</v>
      </c>
      <c r="M35" s="704">
        <f>'Market Data'!$O$52*'Mkt Pen Veh-Mi'!M35</f>
        <v>0</v>
      </c>
      <c r="N35" s="423">
        <f>'Market Data'!$Y$52*'Mkt Pen Veh-Mi'!N35</f>
        <v>4.4836433475158949E-2</v>
      </c>
      <c r="O35" s="424">
        <f>'Market Data'!$Y$52*'Mkt Pen Veh-Mi'!O35</f>
        <v>1.3849661429846023E-2</v>
      </c>
      <c r="P35" s="424">
        <f>'Market Data'!$Y$52*'Mkt Pen Veh-Mi'!P35</f>
        <v>2.0191259668856185E-2</v>
      </c>
      <c r="Q35" s="699">
        <f>'Market Data'!$Y$52*'Mkt Pen Veh-Mi'!Q35</f>
        <v>1.008114270549341E-2</v>
      </c>
      <c r="R35" s="699">
        <f>'Market Data'!$Y$52*'Mkt Pen Veh-Mi'!R35</f>
        <v>7.1991000822373803E-4</v>
      </c>
      <c r="S35" s="704">
        <f>'Market Data'!$Y$52*'Mkt Pen Veh-Mi'!S35</f>
        <v>0</v>
      </c>
      <c r="T35" s="423">
        <f t="shared" si="6"/>
        <v>0.40280154025474812</v>
      </c>
      <c r="U35" s="425">
        <f t="shared" si="8"/>
        <v>0.59719845974525188</v>
      </c>
    </row>
    <row r="36" spans="1:21" ht="15" x14ac:dyDescent="0.2">
      <c r="A36" s="403">
        <v>2034</v>
      </c>
      <c r="B36" s="423">
        <f>'Market Data'!$E$52*'Mkt Pen Veh-Mi'!B36</f>
        <v>0.30208637739661631</v>
      </c>
      <c r="C36" s="424">
        <f>'Market Data'!$E$52*'Mkt Pen Veh-Mi'!C36</f>
        <v>0.1843704180615037</v>
      </c>
      <c r="D36" s="424">
        <f>'Market Data'!$E$52*'Mkt Pen Veh-Mi'!D36</f>
        <v>0.18197245228180645</v>
      </c>
      <c r="E36" s="699">
        <f>'Market Data'!$E$52*'Mkt Pen Veh-Mi'!E36</f>
        <v>0</v>
      </c>
      <c r="F36" s="699">
        <f>'Market Data'!$E$52*'Mkt Pen Veh-Mi'!F36</f>
        <v>0</v>
      </c>
      <c r="G36" s="704">
        <f>'Market Data'!$E$52*'Mkt Pen Veh-Mi'!G36</f>
        <v>0</v>
      </c>
      <c r="H36" s="423">
        <f>'Market Data'!$O$52*'Mkt Pen Veh-Mi'!H36</f>
        <v>5.2533316461711194E-2</v>
      </c>
      <c r="I36" s="424">
        <f>'Market Data'!$O$52*'Mkt Pen Veh-Mi'!I36</f>
        <v>9.3242350705645821E-2</v>
      </c>
      <c r="J36" s="424">
        <f>'Market Data'!$O$52*'Mkt Pen Veh-Mi'!J36</f>
        <v>9.3200570261577617E-2</v>
      </c>
      <c r="K36" s="699">
        <f>'Market Data'!$O$52*'Mkt Pen Veh-Mi'!K36</f>
        <v>2.9161075435604534E-3</v>
      </c>
      <c r="L36" s="699">
        <f>'Market Data'!$O$52*'Mkt Pen Veh-Mi'!L36</f>
        <v>0</v>
      </c>
      <c r="M36" s="704">
        <f>'Market Data'!$O$52*'Mkt Pen Veh-Mi'!M36</f>
        <v>0</v>
      </c>
      <c r="N36" s="423">
        <f>'Market Data'!$Y$52*'Mkt Pen Veh-Mi'!N36</f>
        <v>4.4595600030573682E-2</v>
      </c>
      <c r="O36" s="424">
        <f>'Market Data'!$Y$52*'Mkt Pen Veh-Mi'!O36</f>
        <v>1.385777782867088E-2</v>
      </c>
      <c r="P36" s="424">
        <f>'Market Data'!$Y$52*'Mkt Pen Veh-Mi'!P36</f>
        <v>2.0131873701295166E-2</v>
      </c>
      <c r="Q36" s="699">
        <f>'Market Data'!$Y$52*'Mkt Pen Veh-Mi'!Q36</f>
        <v>1.0144145055291294E-2</v>
      </c>
      <c r="R36" s="699">
        <f>'Market Data'!$Y$52*'Mkt Pen Veh-Mi'!R36</f>
        <v>9.4901067174728575E-4</v>
      </c>
      <c r="S36" s="704">
        <f>'Market Data'!$Y$52*'Mkt Pen Veh-Mi'!S36</f>
        <v>0</v>
      </c>
      <c r="T36" s="423">
        <f t="shared" si="6"/>
        <v>0.3992152938889012</v>
      </c>
      <c r="U36" s="425">
        <f t="shared" si="8"/>
        <v>0.60078470611109869</v>
      </c>
    </row>
    <row r="37" spans="1:21" ht="15" x14ac:dyDescent="0.2">
      <c r="A37" s="402">
        <v>2035</v>
      </c>
      <c r="B37" s="426">
        <f>'Market Data'!$E$52*'Mkt Pen Veh-Mi'!B37</f>
        <v>0.29947430029122962</v>
      </c>
      <c r="C37" s="427">
        <f>'Market Data'!$E$52*'Mkt Pen Veh-Mi'!C37</f>
        <v>0.18315286461754385</v>
      </c>
      <c r="D37" s="427">
        <f>'Market Data'!$E$52*'Mkt Pen Veh-Mi'!D37</f>
        <v>0.18580208283115304</v>
      </c>
      <c r="E37" s="700">
        <f>'Market Data'!$E$52*'Mkt Pen Veh-Mi'!E37</f>
        <v>0</v>
      </c>
      <c r="F37" s="700">
        <f>'Market Data'!$E$52*'Mkt Pen Veh-Mi'!F37</f>
        <v>0</v>
      </c>
      <c r="G37" s="705">
        <f>'Market Data'!$E$52*'Mkt Pen Veh-Mi'!G37</f>
        <v>0</v>
      </c>
      <c r="H37" s="426">
        <f>'Market Data'!$O$52*'Mkt Pen Veh-Mi'!H37</f>
        <v>5.2378007247356841E-2</v>
      </c>
      <c r="I37" s="427">
        <f>'Market Data'!$O$52*'Mkt Pen Veh-Mi'!I37</f>
        <v>9.1088459871633692E-2</v>
      </c>
      <c r="J37" s="427">
        <f>'Market Data'!$O$52*'Mkt Pen Veh-Mi'!J37</f>
        <v>9.1047644552477491E-2</v>
      </c>
      <c r="K37" s="700">
        <f>'Market Data'!$O$52*'Mkt Pen Veh-Mi'!K37</f>
        <v>7.3782333010270866E-3</v>
      </c>
      <c r="L37" s="700">
        <f>'Market Data'!$O$52*'Mkt Pen Veh-Mi'!L37</f>
        <v>0</v>
      </c>
      <c r="M37" s="705">
        <f>'Market Data'!$O$52*'Mkt Pen Veh-Mi'!M37</f>
        <v>0</v>
      </c>
      <c r="N37" s="426">
        <f>'Market Data'!$Y$52*'Mkt Pen Veh-Mi'!N37</f>
        <v>4.4591570154023125E-2</v>
      </c>
      <c r="O37" s="427">
        <f>'Market Data'!$Y$52*'Mkt Pen Veh-Mi'!O37</f>
        <v>1.3835813775748832E-2</v>
      </c>
      <c r="P37" s="427">
        <f>'Market Data'!$Y$52*'Mkt Pen Veh-Mi'!P37</f>
        <v>1.979537551020296E-2</v>
      </c>
      <c r="Q37" s="700">
        <f>'Market Data'!$Y$52*'Mkt Pen Veh-Mi'!Q37</f>
        <v>1.0169150591511529E-2</v>
      </c>
      <c r="R37" s="700">
        <f>'Market Data'!$Y$52*'Mkt Pen Veh-Mi'!R37</f>
        <v>1.2864972560918681E-3</v>
      </c>
      <c r="S37" s="705">
        <f>'Market Data'!$Y$52*'Mkt Pen Veh-Mi'!S37</f>
        <v>0</v>
      </c>
      <c r="T37" s="426">
        <f t="shared" si="6"/>
        <v>0.39644387769260958</v>
      </c>
      <c r="U37" s="428">
        <f t="shared" si="8"/>
        <v>0.60355612230739031</v>
      </c>
    </row>
    <row r="38" spans="1:21" ht="15" x14ac:dyDescent="0.2">
      <c r="A38" s="429">
        <v>2036</v>
      </c>
      <c r="B38" s="430">
        <f>'Market Data'!$E$52*'Mkt Pen Veh-Mi'!B38</f>
        <v>0.28033841752673205</v>
      </c>
      <c r="C38" s="431">
        <f>'Market Data'!$E$52*'Mkt Pen Veh-Mi'!C38</f>
        <v>0.14647598733430267</v>
      </c>
      <c r="D38" s="431">
        <f>'Market Data'!$E$52*'Mkt Pen Veh-Mi'!D38</f>
        <v>0.24161484287889182</v>
      </c>
      <c r="E38" s="701">
        <f>'Market Data'!$E$52*'Mkt Pen Veh-Mi'!E38</f>
        <v>0</v>
      </c>
      <c r="F38" s="701">
        <f>'Market Data'!$E$52*'Mkt Pen Veh-Mi'!F38</f>
        <v>0</v>
      </c>
      <c r="G38" s="706">
        <f>'Market Data'!$E$52*'Mkt Pen Veh-Mi'!G38</f>
        <v>0</v>
      </c>
      <c r="H38" s="430">
        <f>'Market Data'!$O$52*'Mkt Pen Veh-Mi'!H38</f>
        <v>5.1106537789086498E-2</v>
      </c>
      <c r="I38" s="431">
        <f>'Market Data'!$O$52*'Mkt Pen Veh-Mi'!I38</f>
        <v>9.0863707538833008E-2</v>
      </c>
      <c r="J38" s="431">
        <f>'Market Data'!$O$52*'Mkt Pen Veh-Mi'!J38</f>
        <v>9.0422430588802602E-2</v>
      </c>
      <c r="K38" s="701">
        <f>'Market Data'!$O$52*'Mkt Pen Veh-Mi'!K38</f>
        <v>9.4996690557729944E-3</v>
      </c>
      <c r="L38" s="701">
        <f>'Market Data'!$O$52*'Mkt Pen Veh-Mi'!L38</f>
        <v>0</v>
      </c>
      <c r="M38" s="706">
        <f>'Market Data'!$O$52*'Mkt Pen Veh-Mi'!M38</f>
        <v>0</v>
      </c>
      <c r="N38" s="430">
        <f>'Market Data'!$Y$52*'Mkt Pen Veh-Mi'!N38</f>
        <v>4.3256520133888303E-2</v>
      </c>
      <c r="O38" s="431">
        <f>'Market Data'!$Y$52*'Mkt Pen Veh-Mi'!O38</f>
        <v>1.4283800025004848E-2</v>
      </c>
      <c r="P38" s="431">
        <f>'Market Data'!$Y$52*'Mkt Pen Veh-Mi'!P38</f>
        <v>2.0897060774641995E-2</v>
      </c>
      <c r="Q38" s="701">
        <f>'Market Data'!$Y$52*'Mkt Pen Veh-Mi'!Q38</f>
        <v>9.8351168987791653E-3</v>
      </c>
      <c r="R38" s="701">
        <f>'Market Data'!$Y$52*'Mkt Pen Veh-Mi'!R38</f>
        <v>1.4059094552639961E-3</v>
      </c>
      <c r="S38" s="706">
        <f>'Market Data'!$Y$52*'Mkt Pen Veh-Mi'!S38</f>
        <v>0</v>
      </c>
      <c r="T38" s="433">
        <f t="shared" si="6"/>
        <v>0.37470147544970689</v>
      </c>
      <c r="U38" s="434">
        <f t="shared" si="8"/>
        <v>0.625298524550293</v>
      </c>
    </row>
    <row r="39" spans="1:21" ht="15" x14ac:dyDescent="0.2">
      <c r="A39" s="403">
        <v>2037</v>
      </c>
      <c r="B39" s="423">
        <f>'Market Data'!$E$52*'Mkt Pen Veh-Mi'!B39</f>
        <v>0.26727082293000387</v>
      </c>
      <c r="C39" s="424">
        <f>'Market Data'!$E$52*'Mkt Pen Veh-Mi'!C39</f>
        <v>0.13655951305586622</v>
      </c>
      <c r="D39" s="424">
        <f>'Market Data'!$E$52*'Mkt Pen Veh-Mi'!D39</f>
        <v>0.26459891175405642</v>
      </c>
      <c r="E39" s="699">
        <f>'Market Data'!$E$52*'Mkt Pen Veh-Mi'!E39</f>
        <v>0</v>
      </c>
      <c r="F39" s="699">
        <f>'Market Data'!$E$52*'Mkt Pen Veh-Mi'!F39</f>
        <v>0</v>
      </c>
      <c r="G39" s="704">
        <f>'Market Data'!$E$52*'Mkt Pen Veh-Mi'!G39</f>
        <v>0</v>
      </c>
      <c r="H39" s="423">
        <f>'Market Data'!$O$52*'Mkt Pen Veh-Mi'!H39</f>
        <v>4.9422887340334593E-2</v>
      </c>
      <c r="I39" s="424">
        <f>'Market Data'!$O$52*'Mkt Pen Veh-Mi'!I39</f>
        <v>9.0643645121852134E-2</v>
      </c>
      <c r="J39" s="424">
        <f>'Market Data'!$O$52*'Mkt Pen Veh-Mi'!J39</f>
        <v>9.0216362947017098E-2</v>
      </c>
      <c r="K39" s="699">
        <f>'Market Data'!$O$52*'Mkt Pen Veh-Mi'!K39</f>
        <v>1.160944956329126E-2</v>
      </c>
      <c r="L39" s="699">
        <f>'Market Data'!$O$52*'Mkt Pen Veh-Mi'!L39</f>
        <v>0</v>
      </c>
      <c r="M39" s="704">
        <f>'Market Data'!$O$52*'Mkt Pen Veh-Mi'!M39</f>
        <v>0</v>
      </c>
      <c r="N39" s="423">
        <f>'Market Data'!$Y$52*'Mkt Pen Veh-Mi'!N39</f>
        <v>4.3218921896212674E-2</v>
      </c>
      <c r="O39" s="424">
        <f>'Market Data'!$Y$52*'Mkt Pen Veh-Mi'!O39</f>
        <v>1.4222993734302395E-2</v>
      </c>
      <c r="P39" s="424">
        <f>'Market Data'!$Y$52*'Mkt Pen Veh-Mi'!P39</f>
        <v>2.0839095088993415E-2</v>
      </c>
      <c r="Q39" s="699">
        <f>'Market Data'!$Y$52*'Mkt Pen Veh-Mi'!Q39</f>
        <v>9.8950350616829816E-3</v>
      </c>
      <c r="R39" s="699">
        <f>'Market Data'!$Y$52*'Mkt Pen Veh-Mi'!R39</f>
        <v>1.5023615063868587E-3</v>
      </c>
      <c r="S39" s="704">
        <f>'Market Data'!$Y$52*'Mkt Pen Veh-Mi'!S39</f>
        <v>0</v>
      </c>
      <c r="T39" s="423">
        <f t="shared" si="6"/>
        <v>0.35991263216655112</v>
      </c>
      <c r="U39" s="425">
        <f t="shared" si="8"/>
        <v>0.64008736783344877</v>
      </c>
    </row>
    <row r="40" spans="1:21" ht="15" x14ac:dyDescent="0.2">
      <c r="A40" s="403">
        <v>2038</v>
      </c>
      <c r="B40" s="423">
        <f>'Market Data'!$E$52*'Mkt Pen Veh-Mi'!B40</f>
        <v>0.23717574997366664</v>
      </c>
      <c r="C40" s="424">
        <f>'Market Data'!$E$52*'Mkt Pen Veh-Mi'!C40</f>
        <v>0.16164175080499027</v>
      </c>
      <c r="D40" s="424">
        <f>'Market Data'!$E$52*'Mkt Pen Veh-Mi'!D40</f>
        <v>0.26961174696126955</v>
      </c>
      <c r="E40" s="699">
        <f>'Market Data'!$E$52*'Mkt Pen Veh-Mi'!E40</f>
        <v>0</v>
      </c>
      <c r="F40" s="699">
        <f>'Market Data'!$E$52*'Mkt Pen Veh-Mi'!F40</f>
        <v>0</v>
      </c>
      <c r="G40" s="704">
        <f>'Market Data'!$E$52*'Mkt Pen Veh-Mi'!G40</f>
        <v>0</v>
      </c>
      <c r="H40" s="423">
        <f>'Market Data'!$O$52*'Mkt Pen Veh-Mi'!H40</f>
        <v>4.9422612340069845E-2</v>
      </c>
      <c r="I40" s="424">
        <f>'Market Data'!$O$52*'Mkt Pen Veh-Mi'!I40</f>
        <v>8.9235449233448075E-2</v>
      </c>
      <c r="J40" s="424">
        <f>'Market Data'!$O$52*'Mkt Pen Veh-Mi'!J40</f>
        <v>8.9195464219477674E-2</v>
      </c>
      <c r="K40" s="699">
        <f>'Market Data'!$O$52*'Mkt Pen Veh-Mi'!K40</f>
        <v>1.4038819179499505E-2</v>
      </c>
      <c r="L40" s="699">
        <f>'Market Data'!$O$52*'Mkt Pen Veh-Mi'!L40</f>
        <v>0</v>
      </c>
      <c r="M40" s="704">
        <f>'Market Data'!$O$52*'Mkt Pen Veh-Mi'!M40</f>
        <v>0</v>
      </c>
      <c r="N40" s="423">
        <f>'Market Data'!$Y$52*'Mkt Pen Veh-Mi'!N40</f>
        <v>4.321720588093924E-2</v>
      </c>
      <c r="O40" s="424">
        <f>'Market Data'!$Y$52*'Mkt Pen Veh-Mi'!O40</f>
        <v>1.4276806684005048E-2</v>
      </c>
      <c r="P40" s="424">
        <f>'Market Data'!$Y$52*'Mkt Pen Veh-Mi'!P40</f>
        <v>2.0489319009418167E-2</v>
      </c>
      <c r="Q40" s="699">
        <f>'Market Data'!$Y$52*'Mkt Pen Veh-Mi'!Q40</f>
        <v>1.006744498278983E-2</v>
      </c>
      <c r="R40" s="699">
        <f>'Market Data'!$Y$52*'Mkt Pen Veh-Mi'!R40</f>
        <v>1.6276307304260282E-3</v>
      </c>
      <c r="S40" s="704">
        <f>'Market Data'!$Y$52*'Mkt Pen Veh-Mi'!S40</f>
        <v>0</v>
      </c>
      <c r="T40" s="423">
        <f t="shared" si="6"/>
        <v>0.32981556819467572</v>
      </c>
      <c r="U40" s="425">
        <f t="shared" si="8"/>
        <v>0.67018443180532417</v>
      </c>
    </row>
    <row r="41" spans="1:21" ht="15" x14ac:dyDescent="0.2">
      <c r="A41" s="403">
        <v>2039</v>
      </c>
      <c r="B41" s="423">
        <f>'Market Data'!$E$52*'Mkt Pen Veh-Mi'!B41</f>
        <v>0.20693390917616858</v>
      </c>
      <c r="C41" s="424">
        <f>'Market Data'!$E$52*'Mkt Pen Veh-Mi'!C41</f>
        <v>0.19412229972235368</v>
      </c>
      <c r="D41" s="424">
        <f>'Market Data'!$E$52*'Mkt Pen Veh-Mi'!D41</f>
        <v>0.26737303884140429</v>
      </c>
      <c r="E41" s="699">
        <f>'Market Data'!$E$52*'Mkt Pen Veh-Mi'!E41</f>
        <v>0</v>
      </c>
      <c r="F41" s="699">
        <f>'Market Data'!$E$52*'Mkt Pen Veh-Mi'!F41</f>
        <v>0</v>
      </c>
      <c r="G41" s="704">
        <f>'Market Data'!$E$52*'Mkt Pen Veh-Mi'!G41</f>
        <v>0</v>
      </c>
      <c r="H41" s="423">
        <f>'Market Data'!$O$52*'Mkt Pen Veh-Mi'!H41</f>
        <v>4.9296559429296893E-2</v>
      </c>
      <c r="I41" s="424">
        <f>'Market Data'!$O$52*'Mkt Pen Veh-Mi'!I41</f>
        <v>8.7528054459550989E-2</v>
      </c>
      <c r="J41" s="424">
        <f>'Market Data'!$O$52*'Mkt Pen Veh-Mi'!J41</f>
        <v>8.7446129558545152E-2</v>
      </c>
      <c r="K41" s="699">
        <f>'Market Data'!$O$52*'Mkt Pen Veh-Mi'!K41</f>
        <v>1.7619387387510815E-2</v>
      </c>
      <c r="L41" s="699">
        <f>'Market Data'!$O$52*'Mkt Pen Veh-Mi'!L41</f>
        <v>0</v>
      </c>
      <c r="M41" s="704">
        <f>'Market Data'!$O$52*'Mkt Pen Veh-Mi'!M41</f>
        <v>2.2141375912330757E-6</v>
      </c>
      <c r="N41" s="423">
        <f>'Market Data'!$Y$52*'Mkt Pen Veh-Mi'!N41</f>
        <v>4.3128526265985886E-2</v>
      </c>
      <c r="O41" s="424">
        <f>'Market Data'!$Y$52*'Mkt Pen Veh-Mi'!O41</f>
        <v>1.4419309956897466E-2</v>
      </c>
      <c r="P41" s="424">
        <f>'Market Data'!$Y$52*'Mkt Pen Veh-Mi'!P41</f>
        <v>2.0309983518279794E-2</v>
      </c>
      <c r="Q41" s="699">
        <f>'Market Data'!$Y$52*'Mkt Pen Veh-Mi'!Q41</f>
        <v>1.0006036491353967E-2</v>
      </c>
      <c r="R41" s="699">
        <f>'Market Data'!$Y$52*'Mkt Pen Veh-Mi'!R41</f>
        <v>1.8110233232550724E-3</v>
      </c>
      <c r="S41" s="704">
        <f>'Market Data'!$Y$52*'Mkt Pen Veh-Mi'!S41</f>
        <v>3.5277318061214091E-6</v>
      </c>
      <c r="T41" s="423">
        <f t="shared" si="6"/>
        <v>0.29935899487145134</v>
      </c>
      <c r="U41" s="425">
        <f t="shared" si="8"/>
        <v>0.70064100512854854</v>
      </c>
    </row>
    <row r="42" spans="1:21" ht="15" x14ac:dyDescent="0.2">
      <c r="A42" s="402">
        <v>2040</v>
      </c>
      <c r="B42" s="426">
        <f>'Market Data'!$E$52*'Mkt Pen Veh-Mi'!B42</f>
        <v>0.17756776339639846</v>
      </c>
      <c r="C42" s="427">
        <f>'Market Data'!$E$52*'Mkt Pen Veh-Mi'!C42</f>
        <v>0.21870111585080884</v>
      </c>
      <c r="D42" s="427">
        <f>'Market Data'!$E$52*'Mkt Pen Veh-Mi'!D42</f>
        <v>0.27216036849271924</v>
      </c>
      <c r="E42" s="700">
        <f>'Market Data'!$E$52*'Mkt Pen Veh-Mi'!E42</f>
        <v>0</v>
      </c>
      <c r="F42" s="700">
        <f>'Market Data'!$E$52*'Mkt Pen Veh-Mi'!F42</f>
        <v>0</v>
      </c>
      <c r="G42" s="705">
        <f>'Market Data'!$E$52*'Mkt Pen Veh-Mi'!G42</f>
        <v>0</v>
      </c>
      <c r="H42" s="426">
        <f>'Market Data'!$O$52*'Mkt Pen Veh-Mi'!H42</f>
        <v>4.9296522187603734E-2</v>
      </c>
      <c r="I42" s="427">
        <f>'Market Data'!$O$52*'Mkt Pen Veh-Mi'!I42</f>
        <v>8.5151379107525779E-2</v>
      </c>
      <c r="J42" s="427">
        <f>'Market Data'!$O$52*'Mkt Pen Veh-Mi'!J42</f>
        <v>8.5070519149444371E-2</v>
      </c>
      <c r="K42" s="700">
        <f>'Market Data'!$O$52*'Mkt Pen Veh-Mi'!K42</f>
        <v>2.074332190469938E-2</v>
      </c>
      <c r="L42" s="700">
        <f>'Market Data'!$O$52*'Mkt Pen Veh-Mi'!L42</f>
        <v>0</v>
      </c>
      <c r="M42" s="705">
        <f>'Market Data'!$O$52*'Mkt Pen Veh-Mi'!M42</f>
        <v>1.6306026232218304E-3</v>
      </c>
      <c r="N42" s="426">
        <f>'Market Data'!$Y$52*'Mkt Pen Veh-Mi'!N42</f>
        <v>4.3128501798147062E-2</v>
      </c>
      <c r="O42" s="427">
        <f>'Market Data'!$Y$52*'Mkt Pen Veh-Mi'!O42</f>
        <v>1.4333610139004797E-2</v>
      </c>
      <c r="P42" s="427">
        <f>'Market Data'!$Y$52*'Mkt Pen Veh-Mi'!P42</f>
        <v>2.0216893386131377E-2</v>
      </c>
      <c r="Q42" s="700">
        <f>'Market Data'!$Y$52*'Mkt Pen Veh-Mi'!Q42</f>
        <v>9.9303262819924343E-3</v>
      </c>
      <c r="R42" s="700">
        <f>'Market Data'!$Y$52*'Mkt Pen Veh-Mi'!R42</f>
        <v>2.0421592726605187E-3</v>
      </c>
      <c r="S42" s="705">
        <f>'Market Data'!$Y$52*'Mkt Pen Veh-Mi'!S42</f>
        <v>2.6916409642125411E-5</v>
      </c>
      <c r="T42" s="426">
        <f t="shared" si="6"/>
        <v>0.26999278738214927</v>
      </c>
      <c r="U42" s="428">
        <f t="shared" si="8"/>
        <v>0.73000721261785073</v>
      </c>
    </row>
    <row r="43" spans="1:21" ht="15" x14ac:dyDescent="0.2">
      <c r="A43" s="403">
        <v>2041</v>
      </c>
      <c r="B43" s="430">
        <f>'Market Data'!$E$52*'Mkt Pen Veh-Mi'!B43</f>
        <v>0.15415771002942691</v>
      </c>
      <c r="C43" s="431">
        <f>'Market Data'!$E$52*'Mkt Pen Veh-Mi'!C43</f>
        <v>0.23530989228436427</v>
      </c>
      <c r="D43" s="431">
        <f>'Market Data'!$E$52*'Mkt Pen Veh-Mi'!D43</f>
        <v>0.27895594884928382</v>
      </c>
      <c r="E43" s="701">
        <f>'Market Data'!$E$52*'Mkt Pen Veh-Mi'!E43</f>
        <v>0</v>
      </c>
      <c r="F43" s="701">
        <f>'Market Data'!$E$52*'Mkt Pen Veh-Mi'!F43</f>
        <v>5.696576851505908E-6</v>
      </c>
      <c r="G43" s="706">
        <f>'Market Data'!$E$52*'Mkt Pen Veh-Mi'!G43</f>
        <v>0</v>
      </c>
      <c r="H43" s="430">
        <f>'Market Data'!$O$52*'Mkt Pen Veh-Mi'!H43</f>
        <v>4.8434416197542317E-2</v>
      </c>
      <c r="I43" s="431">
        <f>'Market Data'!$O$52*'Mkt Pen Veh-Mi'!I43</f>
        <v>7.7496313729585223E-2</v>
      </c>
      <c r="J43" s="431">
        <f>'Market Data'!$O$52*'Mkt Pen Veh-Mi'!J43</f>
        <v>7.746020335172972E-2</v>
      </c>
      <c r="K43" s="701">
        <f>'Market Data'!$O$52*'Mkt Pen Veh-Mi'!K43</f>
        <v>2.4309258432506968E-2</v>
      </c>
      <c r="L43" s="701">
        <f>'Market Data'!$O$52*'Mkt Pen Veh-Mi'!L43</f>
        <v>0</v>
      </c>
      <c r="M43" s="706">
        <f>'Market Data'!$O$52*'Mkt Pen Veh-Mi'!M43</f>
        <v>1.4192153261130875E-2</v>
      </c>
      <c r="N43" s="430">
        <f>'Market Data'!$Y$52*'Mkt Pen Veh-Mi'!N43</f>
        <v>4.2401019990346366E-2</v>
      </c>
      <c r="O43" s="431">
        <f>'Market Data'!$Y$52*'Mkt Pen Veh-Mi'!O43</f>
        <v>1.4316184270008393E-2</v>
      </c>
      <c r="P43" s="431">
        <f>'Market Data'!$Y$52*'Mkt Pen Veh-Mi'!P43</f>
        <v>2.058449096034454E-2</v>
      </c>
      <c r="Q43" s="701">
        <f>'Market Data'!$Y$52*'Mkt Pen Veh-Mi'!Q43</f>
        <v>9.7900306286943881E-3</v>
      </c>
      <c r="R43" s="701">
        <f>'Market Data'!$Y$52*'Mkt Pen Veh-Mi'!R43</f>
        <v>2.4260501964526917E-3</v>
      </c>
      <c r="S43" s="706">
        <f>'Market Data'!$Y$52*'Mkt Pen Veh-Mi'!S43</f>
        <v>1.606312417319365E-4</v>
      </c>
      <c r="T43" s="433">
        <f t="shared" si="6"/>
        <v>0.2449931462173156</v>
      </c>
      <c r="U43" s="434">
        <f t="shared" si="8"/>
        <v>0.75500685378268428</v>
      </c>
    </row>
    <row r="44" spans="1:21" ht="15" x14ac:dyDescent="0.2">
      <c r="A44" s="403">
        <v>2042</v>
      </c>
      <c r="B44" s="423">
        <f>'Market Data'!$E$52*'Mkt Pen Veh-Mi'!B44</f>
        <v>0.1410340656631465</v>
      </c>
      <c r="C44" s="424">
        <f>'Market Data'!$E$52*'Mkt Pen Veh-Mi'!C44</f>
        <v>0.24520371600525265</v>
      </c>
      <c r="D44" s="424">
        <f>'Market Data'!$E$52*'Mkt Pen Veh-Mi'!D44</f>
        <v>0.28180243056765586</v>
      </c>
      <c r="E44" s="699">
        <f>'Market Data'!$E$52*'Mkt Pen Veh-Mi'!E44</f>
        <v>0</v>
      </c>
      <c r="F44" s="699">
        <f>'Market Data'!$E$52*'Mkt Pen Veh-Mi'!F44</f>
        <v>3.8903550387155465E-4</v>
      </c>
      <c r="G44" s="704">
        <f>'Market Data'!$E$52*'Mkt Pen Veh-Mi'!G44</f>
        <v>0</v>
      </c>
      <c r="H44" s="423">
        <f>'Market Data'!$O$52*'Mkt Pen Veh-Mi'!H44</f>
        <v>4.7302489607138093E-2</v>
      </c>
      <c r="I44" s="424">
        <f>'Market Data'!$O$52*'Mkt Pen Veh-Mi'!I44</f>
        <v>6.8928124401016339E-2</v>
      </c>
      <c r="J44" s="424">
        <f>'Market Data'!$O$52*'Mkt Pen Veh-Mi'!J44</f>
        <v>6.8897238782791692E-2</v>
      </c>
      <c r="K44" s="699">
        <f>'Market Data'!$O$52*'Mkt Pen Veh-Mi'!K44</f>
        <v>3.0597536826901271E-2</v>
      </c>
      <c r="L44" s="699">
        <f>'Market Data'!$O$52*'Mkt Pen Veh-Mi'!L44</f>
        <v>0</v>
      </c>
      <c r="M44" s="704">
        <f>'Market Data'!$O$52*'Mkt Pen Veh-Mi'!M44</f>
        <v>2.6166955354647713E-2</v>
      </c>
      <c r="N44" s="423">
        <f>'Market Data'!$Y$52*'Mkt Pen Veh-Mi'!N44</f>
        <v>4.1784759161373954E-2</v>
      </c>
      <c r="O44" s="424">
        <f>'Market Data'!$Y$52*'Mkt Pen Veh-Mi'!O44</f>
        <v>1.4002963411801076E-2</v>
      </c>
      <c r="P44" s="424">
        <f>'Market Data'!$Y$52*'Mkt Pen Veh-Mi'!P44</f>
        <v>2.0328389607404181E-2</v>
      </c>
      <c r="Q44" s="699">
        <f>'Market Data'!$Y$52*'Mkt Pen Veh-Mi'!Q44</f>
        <v>9.850600198619823E-3</v>
      </c>
      <c r="R44" s="699">
        <f>'Market Data'!$Y$52*'Mkt Pen Veh-Mi'!R44</f>
        <v>3.0700920809336846E-3</v>
      </c>
      <c r="S44" s="704">
        <f>'Market Data'!$Y$52*'Mkt Pen Veh-Mi'!S44</f>
        <v>6.4160282744559665E-4</v>
      </c>
      <c r="T44" s="423">
        <f t="shared" si="6"/>
        <v>0.23012131443165854</v>
      </c>
      <c r="U44" s="425">
        <f t="shared" si="8"/>
        <v>0.76987868556834149</v>
      </c>
    </row>
    <row r="45" spans="1:21" ht="15" x14ac:dyDescent="0.2">
      <c r="A45" s="403">
        <v>2043</v>
      </c>
      <c r="B45" s="423">
        <f>'Market Data'!$E$52*'Mkt Pen Veh-Mi'!B45</f>
        <v>0.13889637104716254</v>
      </c>
      <c r="C45" s="424">
        <f>'Market Data'!$E$52*'Mkt Pen Veh-Mi'!C45</f>
        <v>0.24787005735461901</v>
      </c>
      <c r="D45" s="424">
        <f>'Market Data'!$E$52*'Mkt Pen Veh-Mi'!D45</f>
        <v>0.28013012131890891</v>
      </c>
      <c r="E45" s="699">
        <f>'Market Data'!$E$52*'Mkt Pen Veh-Mi'!E45</f>
        <v>0</v>
      </c>
      <c r="F45" s="699">
        <f>'Market Data'!$E$52*'Mkt Pen Veh-Mi'!F45</f>
        <v>1.5326980192359996E-3</v>
      </c>
      <c r="G45" s="704">
        <f>'Market Data'!$E$52*'Mkt Pen Veh-Mi'!G45</f>
        <v>0</v>
      </c>
      <c r="H45" s="423">
        <f>'Market Data'!$O$52*'Mkt Pen Veh-Mi'!H45</f>
        <v>4.6850412590829379E-2</v>
      </c>
      <c r="I45" s="424">
        <f>'Market Data'!$O$52*'Mkt Pen Veh-Mi'!I45</f>
        <v>6.3484086795356068E-2</v>
      </c>
      <c r="J45" s="424">
        <f>'Market Data'!$O$52*'Mkt Pen Veh-Mi'!J45</f>
        <v>6.3403028436780293E-2</v>
      </c>
      <c r="K45" s="699">
        <f>'Market Data'!$O$52*'Mkt Pen Veh-Mi'!K45</f>
        <v>3.7441260383043636E-2</v>
      </c>
      <c r="L45" s="699">
        <f>'Market Data'!$O$52*'Mkt Pen Veh-Mi'!L45</f>
        <v>8.749701977447117E-5</v>
      </c>
      <c r="M45" s="704">
        <f>'Market Data'!$O$52*'Mkt Pen Veh-Mi'!M45</f>
        <v>3.0626059746711218E-2</v>
      </c>
      <c r="N45" s="423">
        <f>'Market Data'!$Y$52*'Mkt Pen Veh-Mi'!N45</f>
        <v>4.1783292955891206E-2</v>
      </c>
      <c r="O45" s="424">
        <f>'Market Data'!$Y$52*'Mkt Pen Veh-Mi'!O45</f>
        <v>1.3661850842824608E-2</v>
      </c>
      <c r="P45" s="424">
        <f>'Market Data'!$Y$52*'Mkt Pen Veh-Mi'!P45</f>
        <v>1.9463960151084734E-2</v>
      </c>
      <c r="Q45" s="699">
        <f>'Market Data'!$Y$52*'Mkt Pen Veh-Mi'!Q45</f>
        <v>9.434941839725864E-3</v>
      </c>
      <c r="R45" s="699">
        <f>'Market Data'!$Y$52*'Mkt Pen Veh-Mi'!R45</f>
        <v>3.9117024523922777E-3</v>
      </c>
      <c r="S45" s="704">
        <f>'Market Data'!$Y$52*'Mkt Pen Veh-Mi'!S45</f>
        <v>1.4226590456596327E-3</v>
      </c>
      <c r="T45" s="423">
        <f t="shared" si="6"/>
        <v>0.22753007659388313</v>
      </c>
      <c r="U45" s="425">
        <f t="shared" si="8"/>
        <v>0.77246992340611664</v>
      </c>
    </row>
    <row r="46" spans="1:21" ht="15" x14ac:dyDescent="0.2">
      <c r="A46" s="403">
        <v>2044</v>
      </c>
      <c r="B46" s="423">
        <f>'Market Data'!$E$52*'Mkt Pen Veh-Mi'!B46</f>
        <v>0.13825192257719873</v>
      </c>
      <c r="C46" s="424">
        <f>'Market Data'!$E$52*'Mkt Pen Veh-Mi'!C46</f>
        <v>0.24695981328862165</v>
      </c>
      <c r="D46" s="424">
        <f>'Market Data'!$E$52*'Mkt Pen Veh-Mi'!D46</f>
        <v>0.27911866138042146</v>
      </c>
      <c r="E46" s="699">
        <f>'Market Data'!$E$52*'Mkt Pen Veh-Mi'!E46</f>
        <v>0</v>
      </c>
      <c r="F46" s="699">
        <f>'Market Data'!$E$52*'Mkt Pen Veh-Mi'!F46</f>
        <v>4.098850493684734E-3</v>
      </c>
      <c r="G46" s="704">
        <f>'Market Data'!$E$52*'Mkt Pen Veh-Mi'!G46</f>
        <v>0</v>
      </c>
      <c r="H46" s="423">
        <f>'Market Data'!$O$52*'Mkt Pen Veh-Mi'!H46</f>
        <v>4.5433271710191341E-2</v>
      </c>
      <c r="I46" s="424">
        <f>'Market Data'!$O$52*'Mkt Pen Veh-Mi'!I46</f>
        <v>5.9756015698760573E-2</v>
      </c>
      <c r="J46" s="424">
        <f>'Market Data'!$O$52*'Mkt Pen Veh-Mi'!J46</f>
        <v>5.9729239959488166E-2</v>
      </c>
      <c r="K46" s="699">
        <f>'Market Data'!$O$52*'Mkt Pen Veh-Mi'!K46</f>
        <v>4.2933744765257451E-2</v>
      </c>
      <c r="L46" s="699">
        <f>'Market Data'!$O$52*'Mkt Pen Veh-Mi'!L46</f>
        <v>8.2964480381491766E-4</v>
      </c>
      <c r="M46" s="704">
        <f>'Market Data'!$O$52*'Mkt Pen Veh-Mi'!M46</f>
        <v>3.3210428034982656E-2</v>
      </c>
      <c r="N46" s="423">
        <f>'Market Data'!$Y$52*'Mkt Pen Veh-Mi'!N46</f>
        <v>4.1435323194593837E-2</v>
      </c>
      <c r="O46" s="424">
        <f>'Market Data'!$Y$52*'Mkt Pen Veh-Mi'!O46</f>
        <v>1.3062436539085865E-2</v>
      </c>
      <c r="P46" s="424">
        <f>'Market Data'!$Y$52*'Mkt Pen Veh-Mi'!P46</f>
        <v>1.8582101502806637E-2</v>
      </c>
      <c r="Q46" s="699">
        <f>'Market Data'!$Y$52*'Mkt Pen Veh-Mi'!Q46</f>
        <v>9.1828030950391517E-3</v>
      </c>
      <c r="R46" s="699">
        <f>'Market Data'!$Y$52*'Mkt Pen Veh-Mi'!R46</f>
        <v>4.9821502409125931E-3</v>
      </c>
      <c r="S46" s="704">
        <f>'Market Data'!$Y$52*'Mkt Pen Veh-Mi'!S46</f>
        <v>2.4335927151402305E-3</v>
      </c>
      <c r="T46" s="423">
        <f t="shared" si="6"/>
        <v>0.22512051748198392</v>
      </c>
      <c r="U46" s="425">
        <f t="shared" si="8"/>
        <v>0.77487948251801619</v>
      </c>
    </row>
    <row r="47" spans="1:21" ht="15" x14ac:dyDescent="0.2">
      <c r="A47" s="402">
        <v>2045</v>
      </c>
      <c r="B47" s="426">
        <f>'Market Data'!$E$52*'Mkt Pen Veh-Mi'!B47</f>
        <v>0.13860534520835438</v>
      </c>
      <c r="C47" s="427">
        <f>'Market Data'!$E$52*'Mkt Pen Veh-Mi'!C47</f>
        <v>0.24599824334939135</v>
      </c>
      <c r="D47" s="427">
        <f>'Market Data'!$E$52*'Mkt Pen Veh-Mi'!D47</f>
        <v>0.2753458940024035</v>
      </c>
      <c r="E47" s="700">
        <f>'Market Data'!$E$52*'Mkt Pen Veh-Mi'!E47</f>
        <v>3.3898515352768028E-5</v>
      </c>
      <c r="F47" s="700">
        <f>'Market Data'!$E$52*'Mkt Pen Veh-Mi'!F47</f>
        <v>8.4458666644245256E-3</v>
      </c>
      <c r="G47" s="705">
        <f>'Market Data'!$E$52*'Mkt Pen Veh-Mi'!G47</f>
        <v>0</v>
      </c>
      <c r="H47" s="426">
        <f>'Market Data'!$O$52*'Mkt Pen Veh-Mi'!H47</f>
        <v>3.4840580049389905E-2</v>
      </c>
      <c r="I47" s="427">
        <f>'Market Data'!$O$52*'Mkt Pen Veh-Mi'!I47</f>
        <v>5.9490593924893122E-2</v>
      </c>
      <c r="J47" s="427">
        <f>'Market Data'!$O$52*'Mkt Pen Veh-Mi'!J47</f>
        <v>5.9425327335263498E-2</v>
      </c>
      <c r="K47" s="700">
        <f>'Market Data'!$O$52*'Mkt Pen Veh-Mi'!K47</f>
        <v>4.8573112179731842E-2</v>
      </c>
      <c r="L47" s="700">
        <f>'Market Data'!$O$52*'Mkt Pen Veh-Mi'!L47</f>
        <v>2.273717228374546E-3</v>
      </c>
      <c r="M47" s="705">
        <f>'Market Data'!$O$52*'Mkt Pen Veh-Mi'!M47</f>
        <v>3.7289014254842184E-2</v>
      </c>
      <c r="N47" s="426">
        <f>'Market Data'!$Y$52*'Mkt Pen Veh-Mi'!N47</f>
        <v>4.0260650936166403E-2</v>
      </c>
      <c r="O47" s="427">
        <f>'Market Data'!$Y$52*'Mkt Pen Veh-Mi'!O47</f>
        <v>1.2500515330078371E-2</v>
      </c>
      <c r="P47" s="427">
        <f>'Market Data'!$Y$52*'Mkt Pen Veh-Mi'!P47</f>
        <v>1.8065217206388783E-2</v>
      </c>
      <c r="Q47" s="700">
        <f>'Market Data'!$Y$52*'Mkt Pen Veh-Mi'!Q47</f>
        <v>8.7582582104300567E-3</v>
      </c>
      <c r="R47" s="700">
        <f>'Market Data'!$Y$52*'Mkt Pen Veh-Mi'!R47</f>
        <v>6.3303339296295648E-3</v>
      </c>
      <c r="S47" s="705">
        <f>'Market Data'!$Y$52*'Mkt Pen Veh-Mi'!S47</f>
        <v>3.7634316748851367E-3</v>
      </c>
      <c r="T47" s="426">
        <f t="shared" si="6"/>
        <v>0.2137065761939107</v>
      </c>
      <c r="U47" s="428">
        <f t="shared" si="8"/>
        <v>0.78629342380608913</v>
      </c>
    </row>
    <row r="48" spans="1:21" ht="15" x14ac:dyDescent="0.2">
      <c r="A48" s="403">
        <v>2046</v>
      </c>
      <c r="B48" s="430">
        <f>'Market Data'!$E$52*'Mkt Pen Veh-Mi'!B48</f>
        <v>0.13993112259587509</v>
      </c>
      <c r="C48" s="431">
        <f>'Market Data'!$E$52*'Mkt Pen Veh-Mi'!C48</f>
        <v>0.24253083431842268</v>
      </c>
      <c r="D48" s="431">
        <f>'Market Data'!$E$52*'Mkt Pen Veh-Mi'!D48</f>
        <v>0.27227812651858685</v>
      </c>
      <c r="E48" s="701">
        <f>'Market Data'!$E$52*'Mkt Pen Veh-Mi'!E48</f>
        <v>1.0168075317841894E-3</v>
      </c>
      <c r="F48" s="701">
        <f>'Market Data'!$E$52*'Mkt Pen Veh-Mi'!F48</f>
        <v>1.2672356775257668E-2</v>
      </c>
      <c r="G48" s="706">
        <f>'Market Data'!$E$52*'Mkt Pen Veh-Mi'!G48</f>
        <v>0</v>
      </c>
      <c r="H48" s="430">
        <f>'Market Data'!$O$52*'Mkt Pen Veh-Mi'!H48</f>
        <v>3.0421814918862405E-2</v>
      </c>
      <c r="I48" s="431">
        <f>'Market Data'!$O$52*'Mkt Pen Veh-Mi'!I48</f>
        <v>5.9096721282571749E-2</v>
      </c>
      <c r="J48" s="431">
        <f>'Market Data'!$O$52*'Mkt Pen Veh-Mi'!J48</f>
        <v>5.8888219109874969E-2</v>
      </c>
      <c r="K48" s="701">
        <f>'Market Data'!$O$52*'Mkt Pen Veh-Mi'!K48</f>
        <v>5.1351182933354778E-2</v>
      </c>
      <c r="L48" s="701">
        <f>'Market Data'!$O$52*'Mkt Pen Veh-Mi'!L48</f>
        <v>3.2476312812177287E-3</v>
      </c>
      <c r="M48" s="706">
        <f>'Market Data'!$O$52*'Mkt Pen Veh-Mi'!M48</f>
        <v>3.8886775446613453E-2</v>
      </c>
      <c r="N48" s="430">
        <f>'Market Data'!$Y$52*'Mkt Pen Veh-Mi'!N48</f>
        <v>4.0260650871780122E-2</v>
      </c>
      <c r="O48" s="431">
        <f>'Market Data'!$Y$52*'Mkt Pen Veh-Mi'!O48</f>
        <v>1.1990313789522179E-2</v>
      </c>
      <c r="P48" s="431">
        <f>'Market Data'!$Y$52*'Mkt Pen Veh-Mi'!P48</f>
        <v>1.7198526298853298E-2</v>
      </c>
      <c r="Q48" s="701">
        <f>'Market Data'!$Y$52*'Mkt Pen Veh-Mi'!Q48</f>
        <v>8.4659093400392006E-3</v>
      </c>
      <c r="R48" s="701">
        <f>'Market Data'!$Y$52*'Mkt Pen Veh-Mi'!R48</f>
        <v>7.1672180636662792E-3</v>
      </c>
      <c r="S48" s="706">
        <f>'Market Data'!$Y$52*'Mkt Pen Veh-Mi'!S48</f>
        <v>4.5957889237172216E-3</v>
      </c>
      <c r="T48" s="433">
        <f t="shared" si="6"/>
        <v>0.21061358838651761</v>
      </c>
      <c r="U48" s="434">
        <f t="shared" si="8"/>
        <v>0.78938641161348233</v>
      </c>
    </row>
    <row r="49" spans="1:21" ht="15" x14ac:dyDescent="0.2">
      <c r="A49" s="403">
        <v>2047</v>
      </c>
      <c r="B49" s="423">
        <f>'Market Data'!$E$52*'Mkt Pen Veh-Mi'!B49</f>
        <v>0.13330997054969726</v>
      </c>
      <c r="C49" s="424">
        <f>'Market Data'!$E$52*'Mkt Pen Veh-Mi'!C49</f>
        <v>0.23857001404210842</v>
      </c>
      <c r="D49" s="424">
        <f>'Market Data'!$E$52*'Mkt Pen Veh-Mi'!D49</f>
        <v>0.27162307021147675</v>
      </c>
      <c r="E49" s="699">
        <f>'Market Data'!$E$52*'Mkt Pen Veh-Mi'!E49</f>
        <v>6.2337820515516781E-3</v>
      </c>
      <c r="F49" s="699">
        <f>'Market Data'!$E$52*'Mkt Pen Veh-Mi'!F49</f>
        <v>1.8692410885092357E-2</v>
      </c>
      <c r="G49" s="704">
        <f>'Market Data'!$E$52*'Mkt Pen Veh-Mi'!G49</f>
        <v>0</v>
      </c>
      <c r="H49" s="423">
        <f>'Market Data'!$O$52*'Mkt Pen Veh-Mi'!H49</f>
        <v>2.5848715771600098E-2</v>
      </c>
      <c r="I49" s="424">
        <f>'Market Data'!$O$52*'Mkt Pen Veh-Mi'!I49</f>
        <v>5.8844222199179022E-2</v>
      </c>
      <c r="J49" s="424">
        <f>'Market Data'!$O$52*'Mkt Pen Veh-Mi'!J49</f>
        <v>5.8769570918955072E-2</v>
      </c>
      <c r="K49" s="699">
        <f>'Market Data'!$O$52*'Mkt Pen Veh-Mi'!K49</f>
        <v>5.3487957109315747E-2</v>
      </c>
      <c r="L49" s="699">
        <f>'Market Data'!$O$52*'Mkt Pen Veh-Mi'!L49</f>
        <v>4.2989719762154249E-3</v>
      </c>
      <c r="M49" s="704">
        <f>'Market Data'!$O$52*'Mkt Pen Veh-Mi'!M49</f>
        <v>4.0642906997229722E-2</v>
      </c>
      <c r="N49" s="423">
        <f>'Market Data'!$Y$52*'Mkt Pen Veh-Mi'!N49</f>
        <v>4.0256102580116401E-2</v>
      </c>
      <c r="O49" s="424">
        <f>'Market Data'!$Y$52*'Mkt Pen Veh-Mi'!O49</f>
        <v>1.1772700909427765E-2</v>
      </c>
      <c r="P49" s="424">
        <f>'Market Data'!$Y$52*'Mkt Pen Veh-Mi'!P49</f>
        <v>1.6316240772428759E-2</v>
      </c>
      <c r="Q49" s="699">
        <f>'Market Data'!$Y$52*'Mkt Pen Veh-Mi'!Q49</f>
        <v>8.377651858101633E-3</v>
      </c>
      <c r="R49" s="699">
        <f>'Market Data'!$Y$52*'Mkt Pen Veh-Mi'!R49</f>
        <v>7.6154510749303662E-3</v>
      </c>
      <c r="S49" s="704">
        <f>'Market Data'!$Y$52*'Mkt Pen Veh-Mi'!S49</f>
        <v>5.340260092573385E-3</v>
      </c>
      <c r="T49" s="423">
        <f t="shared" si="6"/>
        <v>0.19941478890141373</v>
      </c>
      <c r="U49" s="425">
        <f t="shared" si="8"/>
        <v>0.80058521109858594</v>
      </c>
    </row>
    <row r="50" spans="1:21" ht="15" x14ac:dyDescent="0.2">
      <c r="A50" s="403">
        <v>2048</v>
      </c>
      <c r="B50" s="423">
        <f>'Market Data'!$E$52*'Mkt Pen Veh-Mi'!B50</f>
        <v>0.13264657672106014</v>
      </c>
      <c r="C50" s="424">
        <f>'Market Data'!$E$52*'Mkt Pen Veh-Mi'!C50</f>
        <v>0.23090457091062278</v>
      </c>
      <c r="D50" s="424">
        <f>'Market Data'!$E$52*'Mkt Pen Veh-Mi'!D50</f>
        <v>0.26201830554798372</v>
      </c>
      <c r="E50" s="699">
        <f>'Market Data'!$E$52*'Mkt Pen Veh-Mi'!E50</f>
        <v>1.8000439025395085E-2</v>
      </c>
      <c r="F50" s="699">
        <f>'Market Data'!$E$52*'Mkt Pen Veh-Mi'!F50</f>
        <v>2.4859355534864753E-2</v>
      </c>
      <c r="G50" s="704">
        <f>'Market Data'!$E$52*'Mkt Pen Veh-Mi'!G50</f>
        <v>0</v>
      </c>
      <c r="H50" s="423">
        <f>'Market Data'!$O$52*'Mkt Pen Veh-Mi'!H50</f>
        <v>2.2494622629510731E-2</v>
      </c>
      <c r="I50" s="424">
        <f>'Market Data'!$O$52*'Mkt Pen Veh-Mi'!I50</f>
        <v>5.8655242277001529E-2</v>
      </c>
      <c r="J50" s="424">
        <f>'Market Data'!$O$52*'Mkt Pen Veh-Mi'!J50</f>
        <v>5.8628959777142685E-2</v>
      </c>
      <c r="K50" s="699">
        <f>'Market Data'!$O$52*'Mkt Pen Veh-Mi'!K50</f>
        <v>5.5096019458465463E-2</v>
      </c>
      <c r="L50" s="699">
        <f>'Market Data'!$O$52*'Mkt Pen Veh-Mi'!L50</f>
        <v>4.9898972201581843E-3</v>
      </c>
      <c r="M50" s="704">
        <f>'Market Data'!$O$52*'Mkt Pen Veh-Mi'!M50</f>
        <v>4.2027603610216506E-2</v>
      </c>
      <c r="N50" s="423">
        <f>'Market Data'!$Y$52*'Mkt Pen Veh-Mi'!N50</f>
        <v>4.0253595683844637E-2</v>
      </c>
      <c r="O50" s="424">
        <f>'Market Data'!$Y$52*'Mkt Pen Veh-Mi'!O50</f>
        <v>1.1590916551033968E-2</v>
      </c>
      <c r="P50" s="424">
        <f>'Market Data'!$Y$52*'Mkt Pen Veh-Mi'!P50</f>
        <v>1.5823356205872722E-2</v>
      </c>
      <c r="Q50" s="699">
        <f>'Market Data'!$Y$52*'Mkt Pen Veh-Mi'!Q50</f>
        <v>8.2650331330795003E-3</v>
      </c>
      <c r="R50" s="699">
        <f>'Market Data'!$Y$52*'Mkt Pen Veh-Mi'!R50</f>
        <v>7.9170085275443742E-3</v>
      </c>
      <c r="S50" s="704">
        <f>'Market Data'!$Y$52*'Mkt Pen Veh-Mi'!S50</f>
        <v>5.8284971862031113E-3</v>
      </c>
      <c r="T50" s="423">
        <f t="shared" si="6"/>
        <v>0.19539479503441554</v>
      </c>
      <c r="U50" s="425">
        <f t="shared" si="8"/>
        <v>0.80460520496558441</v>
      </c>
    </row>
    <row r="51" spans="1:21" ht="15" x14ac:dyDescent="0.2">
      <c r="A51" s="403">
        <v>2049</v>
      </c>
      <c r="B51" s="423">
        <f>'Market Data'!$E$52*'Mkt Pen Veh-Mi'!B51</f>
        <v>0.13044493881634539</v>
      </c>
      <c r="C51" s="424">
        <f>'Market Data'!$E$52*'Mkt Pen Veh-Mi'!C51</f>
        <v>0.21852525451860452</v>
      </c>
      <c r="D51" s="424">
        <f>'Market Data'!$E$52*'Mkt Pen Veh-Mi'!D51</f>
        <v>0.24929297378202431</v>
      </c>
      <c r="E51" s="699">
        <f>'Market Data'!$E$52*'Mkt Pen Veh-Mi'!E51</f>
        <v>3.7467879702305834E-2</v>
      </c>
      <c r="F51" s="699">
        <f>'Market Data'!$E$52*'Mkt Pen Veh-Mi'!F51</f>
        <v>3.2698200920646465E-2</v>
      </c>
      <c r="G51" s="704">
        <f>'Market Data'!$E$52*'Mkt Pen Veh-Mi'!G51</f>
        <v>0</v>
      </c>
      <c r="H51" s="423">
        <f>'Market Data'!$O$52*'Mkt Pen Veh-Mi'!H51</f>
        <v>2.0529204737669976E-2</v>
      </c>
      <c r="I51" s="424">
        <f>'Market Data'!$O$52*'Mkt Pen Veh-Mi'!I51</f>
        <v>5.8235297479958197E-2</v>
      </c>
      <c r="J51" s="424">
        <f>'Market Data'!$O$52*'Mkt Pen Veh-Mi'!J51</f>
        <v>5.8162878605628972E-2</v>
      </c>
      <c r="K51" s="699">
        <f>'Market Data'!$O$52*'Mkt Pen Veh-Mi'!K51</f>
        <v>5.5789856926419384E-2</v>
      </c>
      <c r="L51" s="699">
        <f>'Market Data'!$O$52*'Mkt Pen Veh-Mi'!L51</f>
        <v>5.480152528844871E-3</v>
      </c>
      <c r="M51" s="704">
        <f>'Market Data'!$O$52*'Mkt Pen Veh-Mi'!M51</f>
        <v>4.3694954693973706E-2</v>
      </c>
      <c r="N51" s="423">
        <f>'Market Data'!$Y$52*'Mkt Pen Veh-Mi'!N51</f>
        <v>4.0250419817683979E-2</v>
      </c>
      <c r="O51" s="424">
        <f>'Market Data'!$Y$52*'Mkt Pen Veh-Mi'!O51</f>
        <v>1.1345670240642623E-2</v>
      </c>
      <c r="P51" s="424">
        <f>'Market Data'!$Y$52*'Mkt Pen Veh-Mi'!P51</f>
        <v>1.5412427679937474E-2</v>
      </c>
      <c r="Q51" s="699">
        <f>'Market Data'!$Y$52*'Mkt Pen Veh-Mi'!Q51</f>
        <v>8.3403772263301278E-3</v>
      </c>
      <c r="R51" s="699">
        <f>'Market Data'!$Y$52*'Mkt Pen Veh-Mi'!R51</f>
        <v>8.0254871179322278E-3</v>
      </c>
      <c r="S51" s="704">
        <f>'Market Data'!$Y$52*'Mkt Pen Veh-Mi'!S51</f>
        <v>6.3040252050518735E-3</v>
      </c>
      <c r="T51" s="423">
        <f t="shared" si="6"/>
        <v>0.19122456337169935</v>
      </c>
      <c r="U51" s="425">
        <f t="shared" si="8"/>
        <v>0.80877543662830054</v>
      </c>
    </row>
    <row r="52" spans="1:21" ht="16" thickBot="1" x14ac:dyDescent="0.25">
      <c r="A52" s="404">
        <v>2050</v>
      </c>
      <c r="B52" s="435">
        <f>'Market Data'!$E$52*'Mkt Pen Veh-Mi'!B52</f>
        <v>0.13132614363608353</v>
      </c>
      <c r="C52" s="436">
        <f>'Market Data'!$E$52*'Mkt Pen Veh-Mi'!C52</f>
        <v>0.20260001289497806</v>
      </c>
      <c r="D52" s="436">
        <f>'Market Data'!$E$52*'Mkt Pen Veh-Mi'!D52</f>
        <v>0.23031389752656617</v>
      </c>
      <c r="E52" s="702">
        <f>'Market Data'!$E$52*'Mkt Pen Veh-Mi'!E52</f>
        <v>6.5015251930071891E-2</v>
      </c>
      <c r="F52" s="702">
        <f>'Market Data'!$E$52*'Mkt Pen Veh-Mi'!F52</f>
        <v>3.9173941752226826E-2</v>
      </c>
      <c r="G52" s="707">
        <f>'Market Data'!$E$52*'Mkt Pen Veh-Mi'!G52</f>
        <v>0</v>
      </c>
      <c r="H52" s="435">
        <f>'Market Data'!$O$52*'Mkt Pen Veh-Mi'!H52</f>
        <v>1.8397935463081393E-2</v>
      </c>
      <c r="I52" s="436">
        <f>'Market Data'!$O$52*'Mkt Pen Veh-Mi'!I52</f>
        <v>5.8070344551318376E-2</v>
      </c>
      <c r="J52" s="436">
        <f>'Market Data'!$O$52*'Mkt Pen Veh-Mi'!J52</f>
        <v>5.8044324135014119E-2</v>
      </c>
      <c r="K52" s="702">
        <f>'Market Data'!$O$52*'Mkt Pen Veh-Mi'!K52</f>
        <v>5.629205723385533E-2</v>
      </c>
      <c r="L52" s="702">
        <f>'Market Data'!$O$52*'Mkt Pen Veh-Mi'!L52</f>
        <v>5.9853762062452498E-3</v>
      </c>
      <c r="M52" s="707">
        <f>'Market Data'!$O$52*'Mkt Pen Veh-Mi'!M52</f>
        <v>4.5102307382980655E-2</v>
      </c>
      <c r="N52" s="435">
        <f>'Market Data'!$Y$52*'Mkt Pen Veh-Mi'!N52</f>
        <v>3.906018740436E-2</v>
      </c>
      <c r="O52" s="436">
        <f>'Market Data'!$Y$52*'Mkt Pen Veh-Mi'!O52</f>
        <v>1.1350596324846361E-2</v>
      </c>
      <c r="P52" s="436">
        <f>'Market Data'!$Y$52*'Mkt Pen Veh-Mi'!P52</f>
        <v>1.5949389577521331E-2</v>
      </c>
      <c r="Q52" s="702">
        <f>'Market Data'!$Y$52*'Mkt Pen Veh-Mi'!Q52</f>
        <v>8.3275353926351627E-3</v>
      </c>
      <c r="R52" s="702">
        <f>'Market Data'!$Y$52*'Mkt Pen Veh-Mi'!R52</f>
        <v>8.3416036025525768E-3</v>
      </c>
      <c r="S52" s="707">
        <f>'Market Data'!$Y$52*'Mkt Pen Veh-Mi'!S52</f>
        <v>6.6490949856628841E-3</v>
      </c>
      <c r="T52" s="435">
        <f t="shared" si="6"/>
        <v>0.18878426650352492</v>
      </c>
      <c r="U52" s="437">
        <f t="shared" si="8"/>
        <v>0.81121573349647513</v>
      </c>
    </row>
    <row r="53" spans="1:21" x14ac:dyDescent="0.2">
      <c r="A53" s="398"/>
      <c r="B53" s="398"/>
    </row>
    <row r="54" spans="1:21" x14ac:dyDescent="0.2">
      <c r="A54" s="408" t="str">
        <f>"Run id: '"&amp;'Run Model'!B3&amp;"'"</f>
        <v>Run id: 'Testing Aug 24 FY2020 Final Run'</v>
      </c>
      <c r="B54" s="398"/>
    </row>
    <row r="55" spans="1:21" x14ac:dyDescent="0.2">
      <c r="A55" s="408" t="s">
        <v>126</v>
      </c>
      <c r="B55" s="398"/>
    </row>
    <row r="56" spans="1:21" x14ac:dyDescent="0.2">
      <c r="A56" s="473" t="str">
        <f>"Combination, Centrally Refueled: " &amp;TEXT(RtimeCls1Cent1,"mm/dd/yyyy hh:mm")</f>
        <v>Combination, Centrally Refueled: 07/21/2020 15:48</v>
      </c>
      <c r="B56" s="399"/>
    </row>
    <row r="57" spans="1:21" x14ac:dyDescent="0.2">
      <c r="A57" s="473" t="str">
        <f>"Combination, Non-Centrally Refueled: " &amp;TEXT(RtimeCls1NCent1,"mm/dd/yyyy hh:mm")</f>
        <v>Combination, Non-Centrally Refueled: 07/21/2020 15:48</v>
      </c>
    </row>
    <row r="58" spans="1:21" x14ac:dyDescent="0.2">
      <c r="A58" s="473" t="str">
        <f>"Single Unit, Centrally Refueled: " &amp;TEXT(RtimeCls2Cent1,"mm/dd/yyyy hh:mm")</f>
        <v>Single Unit, Centrally Refueled: 07/21/2020 15:48</v>
      </c>
    </row>
    <row r="59" spans="1:21" x14ac:dyDescent="0.2">
      <c r="A59" s="473" t="str">
        <f>"Single Unit, Non-Centrally Refueled: " &amp;TEXT(RtimeCls2NCent1,"mm/dd/yyyy hh:mm")</f>
        <v>Single Unit, Non-Centrally Refueled: 07/21/2020 15:48</v>
      </c>
    </row>
  </sheetData>
  <mergeCells count="9">
    <mergeCell ref="A3:U3"/>
    <mergeCell ref="T4:U4"/>
    <mergeCell ref="T5:U5"/>
    <mergeCell ref="N5:S5"/>
    <mergeCell ref="N4:S4"/>
    <mergeCell ref="B5:G5"/>
    <mergeCell ref="B4:G4"/>
    <mergeCell ref="H4:M4"/>
    <mergeCell ref="H5:M5"/>
  </mergeCells>
  <phoneticPr fontId="59" type="noConversion"/>
  <conditionalFormatting sqref="E6:G52">
    <cfRule type="expression" dxfId="22" priority="5">
      <formula>E$7 = "not used"</formula>
    </cfRule>
  </conditionalFormatting>
  <conditionalFormatting sqref="Q6:S52">
    <cfRule type="expression" dxfId="21" priority="4">
      <formula>Q$7="not used"</formula>
    </cfRule>
  </conditionalFormatting>
  <conditionalFormatting sqref="K6:M8">
    <cfRule type="expression" dxfId="20" priority="3">
      <formula>K$7 = "not used"</formula>
    </cfRule>
  </conditionalFormatting>
  <conditionalFormatting sqref="K9:M52">
    <cfRule type="expression" dxfId="19" priority="1">
      <formula>K$7 = "not used"</formula>
    </cfRule>
  </conditionalFormatting>
  <pageMargins left="0.75" right="0.75" top="1" bottom="1" header="0.5" footer="0.5"/>
  <pageSetup scale="55" orientation="portrait" horizontalDpi="4294967293" verticalDpi="300" r:id="rId1"/>
  <headerFooter alignWithMargins="0">
    <oddFooter>&amp;L_________________________
TA Engineering&amp;R_________________________
&amp;F, &amp;A</oddFooter>
  </headerFooter>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FltShr">
    <tabColor rgb="FF008000"/>
  </sheetPr>
  <dimension ref="A1:S56"/>
  <sheetViews>
    <sheetView showZeros="0" zoomScale="70" zoomScaleNormal="70" workbookViewId="0">
      <selection activeCell="F29" sqref="F29"/>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313</v>
      </c>
    </row>
    <row r="3" spans="1:19" ht="16" thickBot="1" x14ac:dyDescent="0.25"/>
    <row r="4" spans="1:19" x14ac:dyDescent="0.2">
      <c r="A4" s="1177"/>
      <c r="B4" s="1612" t="s">
        <v>249</v>
      </c>
      <c r="C4" s="1613"/>
      <c r="D4" s="1613"/>
      <c r="E4" s="1613"/>
      <c r="F4" s="1613"/>
      <c r="G4" s="1614"/>
      <c r="H4" s="1612" t="s">
        <v>250</v>
      </c>
      <c r="I4" s="1613"/>
      <c r="J4" s="1613"/>
      <c r="K4" s="1613"/>
      <c r="L4" s="1613"/>
      <c r="M4" s="1614"/>
      <c r="N4" s="1612" t="s">
        <v>154</v>
      </c>
      <c r="O4" s="1613"/>
      <c r="P4" s="1613"/>
      <c r="Q4" s="1613"/>
      <c r="R4" s="1613"/>
      <c r="S4" s="1614"/>
    </row>
    <row r="5" spans="1:19" x14ac:dyDescent="0.2">
      <c r="A5" s="1178" t="s">
        <v>312</v>
      </c>
      <c r="B5" s="1618">
        <f>'Market Data'!C49/('Market Data'!E49+'Market Data'!C49)</f>
        <v>0.23038147668861172</v>
      </c>
      <c r="C5" s="1619"/>
      <c r="D5" s="1619"/>
      <c r="E5" s="1619"/>
      <c r="F5" s="1619"/>
      <c r="G5" s="1620"/>
      <c r="H5" s="1618">
        <f>'Market Data'!M49/('Market Data'!M49+'Market Data'!O49)</f>
        <v>0.61452169476443286</v>
      </c>
      <c r="I5" s="1619"/>
      <c r="J5" s="1619"/>
      <c r="K5" s="1619"/>
      <c r="L5" s="1619"/>
      <c r="M5" s="1620"/>
      <c r="N5" s="1618">
        <f>'Market Data'!W49/('Market Data'!W49+'Market Data'!Y49)</f>
        <v>0.39932829612730575</v>
      </c>
      <c r="O5" s="1619"/>
      <c r="P5" s="1619"/>
      <c r="Q5" s="1619"/>
      <c r="R5" s="1619"/>
      <c r="S5" s="1620"/>
    </row>
    <row r="6" spans="1:19" x14ac:dyDescent="0.2">
      <c r="A6" s="1178"/>
      <c r="B6" s="1615" t="s">
        <v>129</v>
      </c>
      <c r="C6" s="1616"/>
      <c r="D6" s="1616"/>
      <c r="E6" s="1616"/>
      <c r="F6" s="1616"/>
      <c r="G6" s="1617"/>
      <c r="H6" s="1615" t="s">
        <v>129</v>
      </c>
      <c r="I6" s="1616"/>
      <c r="J6" s="1616"/>
      <c r="K6" s="1616"/>
      <c r="L6" s="1616"/>
      <c r="M6" s="1617"/>
      <c r="N6" s="1615" t="s">
        <v>129</v>
      </c>
      <c r="O6" s="1616"/>
      <c r="P6" s="1616"/>
      <c r="Q6" s="1616"/>
      <c r="R6" s="1616"/>
      <c r="S6" s="1617"/>
    </row>
    <row r="7" spans="1:19" x14ac:dyDescent="0.2">
      <c r="A7" s="1178"/>
      <c r="B7" s="1179" t="s">
        <v>69</v>
      </c>
      <c r="C7" s="1180" t="s">
        <v>65</v>
      </c>
      <c r="D7" s="1180" t="s">
        <v>66</v>
      </c>
      <c r="E7" s="1180" t="s">
        <v>67</v>
      </c>
      <c r="F7" s="1180" t="s">
        <v>205</v>
      </c>
      <c r="G7" s="1181" t="s">
        <v>206</v>
      </c>
      <c r="H7" s="1179" t="s">
        <v>69</v>
      </c>
      <c r="I7" s="1180" t="s">
        <v>65</v>
      </c>
      <c r="J7" s="1180" t="s">
        <v>66</v>
      </c>
      <c r="K7" s="1180" t="s">
        <v>67</v>
      </c>
      <c r="L7" s="1180" t="s">
        <v>205</v>
      </c>
      <c r="M7" s="1181" t="s">
        <v>206</v>
      </c>
      <c r="N7" s="1179" t="s">
        <v>69</v>
      </c>
      <c r="O7" s="1180" t="s">
        <v>65</v>
      </c>
      <c r="P7" s="1180" t="s">
        <v>66</v>
      </c>
      <c r="Q7" s="1180" t="s">
        <v>67</v>
      </c>
      <c r="R7" s="1180" t="s">
        <v>205</v>
      </c>
      <c r="S7" s="1181" t="s">
        <v>206</v>
      </c>
    </row>
    <row r="8" spans="1:19" ht="32" x14ac:dyDescent="0.2">
      <c r="A8" s="1182"/>
      <c r="B8" s="1183" t="str">
        <f t="shared" ref="B8:G8" si="0">INDEX(TECH_OPT_DESC_Cls1,MATCH(B7,TECH_OPT_ROWS_Cls1,0))</f>
        <v>Conventional Diesel ICE</v>
      </c>
      <c r="C8" s="1184" t="str">
        <f t="shared" si="0"/>
        <v>Adv Conv</v>
      </c>
      <c r="D8" s="1184" t="str">
        <f t="shared" si="0"/>
        <v>HEV</v>
      </c>
      <c r="E8" s="1184" t="str">
        <f t="shared" si="0"/>
        <v>BEV</v>
      </c>
      <c r="F8" s="1184" t="str">
        <f t="shared" si="0"/>
        <v>FCEV</v>
      </c>
      <c r="G8" s="1185">
        <f t="shared" si="0"/>
        <v>0</v>
      </c>
      <c r="H8" s="1183" t="str">
        <f t="shared" ref="H8:M8" si="1">INDEX(TECH_OPT_DESC_Cls2,MATCH(H7,TECH_OPT_ROWS_Cls2,0))</f>
        <v>Conventional Diesel ICE</v>
      </c>
      <c r="I8" s="1184" t="str">
        <f t="shared" si="1"/>
        <v>Adv Conv</v>
      </c>
      <c r="J8" s="1184" t="str">
        <f t="shared" si="1"/>
        <v>ISG</v>
      </c>
      <c r="K8" s="1184" t="str">
        <f t="shared" si="1"/>
        <v>PHEV</v>
      </c>
      <c r="L8" s="1184" t="str">
        <f t="shared" si="1"/>
        <v>BEV</v>
      </c>
      <c r="M8" s="1185" t="str">
        <f t="shared" si="1"/>
        <v>FCHEV</v>
      </c>
      <c r="N8" s="1183" t="str">
        <f t="shared" ref="N8:S8" si="2">INDEX(TECH_OPT_DESC_Cls3,MATCH(N7,TECH_OPT_ROWS_Cls3,0))</f>
        <v>Conventional Diesel ICE</v>
      </c>
      <c r="O8" s="1184" t="str">
        <f t="shared" si="2"/>
        <v>Adv Conv</v>
      </c>
      <c r="P8" s="1184" t="str">
        <f t="shared" si="2"/>
        <v>ISG</v>
      </c>
      <c r="Q8" s="1184" t="str">
        <f t="shared" si="2"/>
        <v>HEV</v>
      </c>
      <c r="R8" s="1184" t="str">
        <f t="shared" si="2"/>
        <v>PHEV</v>
      </c>
      <c r="S8" s="1185" t="str">
        <f t="shared" si="2"/>
        <v>BEV</v>
      </c>
    </row>
    <row r="9" spans="1:19" ht="17" thickBot="1" x14ac:dyDescent="0.25">
      <c r="A9" s="1186" t="s">
        <v>3</v>
      </c>
      <c r="B9" s="1187" t="str">
        <f t="shared" ref="B9:G9" si="3">INDEX(TECH_OPT_FUEL1_Cls1,MATCH(B7,TECH_OPT_ROWS_Cls1,0))</f>
        <v>Diesel</v>
      </c>
      <c r="C9" s="1188" t="str">
        <f t="shared" si="3"/>
        <v>Diesel</v>
      </c>
      <c r="D9" s="1188" t="str">
        <f t="shared" si="3"/>
        <v>Diesel</v>
      </c>
      <c r="E9" s="1188" t="str">
        <f t="shared" si="3"/>
        <v>Electricity</v>
      </c>
      <c r="F9" s="1188" t="str">
        <f t="shared" si="3"/>
        <v>Hydrogen</v>
      </c>
      <c r="G9" s="1189" t="str">
        <f t="shared" si="3"/>
        <v>Diesel</v>
      </c>
      <c r="H9" s="1190" t="str">
        <f t="shared" ref="H9:M9" si="4">INDEX(TECH_OPT_FUEL1_Cls2,MATCH(H7,TECH_OPT_ROWS_Cls2,0))</f>
        <v>Diesel</v>
      </c>
      <c r="I9" s="1188" t="str">
        <f t="shared" si="4"/>
        <v>Diesel</v>
      </c>
      <c r="J9" s="1188" t="str">
        <f t="shared" si="4"/>
        <v>Diesel</v>
      </c>
      <c r="K9" s="1188" t="str">
        <f t="shared" si="4"/>
        <v>Diesel</v>
      </c>
      <c r="L9" s="1188" t="str">
        <f t="shared" si="4"/>
        <v>Electricity</v>
      </c>
      <c r="M9" s="1189" t="str">
        <f t="shared" si="4"/>
        <v>Hydrogen</v>
      </c>
      <c r="N9" s="1187" t="str">
        <f t="shared" ref="N9:S9" si="5">INDEX(TECH_OPT_FUEL1_Cls3,MATCH(N7,TECH_OPT_ROWS_Cls3,0))</f>
        <v>Diesel</v>
      </c>
      <c r="O9" s="1188" t="str">
        <f t="shared" si="5"/>
        <v>Diesel</v>
      </c>
      <c r="P9" s="1188" t="str">
        <f t="shared" si="5"/>
        <v>Diesel</v>
      </c>
      <c r="Q9" s="1188" t="str">
        <f t="shared" si="5"/>
        <v>Diesel</v>
      </c>
      <c r="R9" s="1188" t="str">
        <f t="shared" si="5"/>
        <v>Diesel</v>
      </c>
      <c r="S9" s="1189" t="str">
        <f t="shared" si="5"/>
        <v>Electricity</v>
      </c>
    </row>
    <row r="10" spans="1:19" ht="16" thickTop="1" x14ac:dyDescent="0.2">
      <c r="A10" s="1191">
        <v>2007</v>
      </c>
      <c r="B10" s="1192">
        <f>IF('Mkt Pen Veh-Mi'!B9=0,$B$5,($B$5-SUMPRODUCT(C10:G10,'Mkt Pen Veh-Mi'!C9:G9))/'Mkt Pen Veh-Mi'!B9)</f>
        <v>0.23038147668861172</v>
      </c>
      <c r="C10" s="1193">
        <f t="shared" ref="C10:C53" si="6">INDEX(Cls1TechACentShr,MATCH($A10,$A$10:$A$53,0))</f>
        <v>0</v>
      </c>
      <c r="D10" s="1193">
        <f t="shared" ref="D10:D53" si="7">INDEX(Cls1TechBCentShr,MATCH($A10,$A$10:$A$53,0))</f>
        <v>0</v>
      </c>
      <c r="E10" s="1193">
        <f t="shared" ref="E10:E53" si="8">INDEX(Cls1TechCCentShr,MATCH($A10,$A$10:$A$53,0))</f>
        <v>0</v>
      </c>
      <c r="F10" s="1193">
        <f t="shared" ref="F10:F53" si="9">INDEX(Cls1TechDCentShr,MATCH($A10,$A$10:$A$53,0))</f>
        <v>0</v>
      </c>
      <c r="G10" s="1218">
        <f t="shared" ref="G10:G53" si="10">INDEX(Cls1TechECentShr,MATCH($A10,$A$10:$A$53,0))</f>
        <v>0</v>
      </c>
      <c r="H10" s="1192">
        <f>IF('Mkt Pen Veh-Mi'!H9=0,$H$5,($H$5-SUMPRODUCT(I10:M10,'Mkt Pen Veh-Mi'!I9:M9))/'Mkt Pen Veh-Mi'!H9)</f>
        <v>0.61452169476443286</v>
      </c>
      <c r="I10" s="1193">
        <f t="shared" ref="I10:I53" si="11">INDEX(Cls2TechACentShr,MATCH($A10,$A$10:$A$53,0))</f>
        <v>0</v>
      </c>
      <c r="J10" s="1193">
        <f t="shared" ref="J10:J53" si="12">INDEX(Cls2TechBCentShr,MATCH($A10,$A$10:$A$53,0))</f>
        <v>0</v>
      </c>
      <c r="K10" s="1193">
        <f t="shared" ref="K10:K53" si="13">INDEX(Cls2TechCCentShr,MATCH($A10,$A$10:$A$53,0))</f>
        <v>0</v>
      </c>
      <c r="L10" s="1193">
        <f t="shared" ref="L10:L53" si="14">INDEX(Cls2TechDCentShr,MATCH($A10,$A$10:$A$53,0))</f>
        <v>0</v>
      </c>
      <c r="M10" s="1219">
        <f t="shared" ref="M10:M53" si="15">INDEX(Cls2TechECentShr,MATCH($A10,$A$10:$A$53,0))</f>
        <v>0</v>
      </c>
      <c r="N10" s="1192">
        <f>IF('Mkt Pen Veh-Mi'!N9=0,$N$5,($N$5-SUMPRODUCT(O10:S10,'Mkt Pen Veh-Mi'!O9:S9))/'Mkt Pen Veh-Mi'!N9)</f>
        <v>0.39932829612730575</v>
      </c>
      <c r="O10" s="1193">
        <f t="shared" ref="O10:O53" si="16">INDEX(Cls3TechACentShr,MATCH($A10,$A$10:$A$53,0))</f>
        <v>0</v>
      </c>
      <c r="P10" s="1193">
        <f t="shared" ref="P10:P53" si="17">INDEX(Cls3TechBCentShr,MATCH($A10,$A$10:$A$53,0))</f>
        <v>0</v>
      </c>
      <c r="Q10" s="1193">
        <f t="shared" ref="Q10:Q53" si="18">INDEX(Cls3TechCCentShr,MATCH($A10,$A$10:$A$53,0))</f>
        <v>0</v>
      </c>
      <c r="R10" s="1193">
        <f t="shared" ref="R10:R53" si="19">INDEX(Cls3TechDCentShr,MATCH($A10,$A$10:$A$53,0))</f>
        <v>0</v>
      </c>
      <c r="S10" s="1218">
        <f t="shared" ref="S10:S53" si="20">INDEX(Cls3TechECentShr,MATCH($A10,$A$10:$A$53,0))</f>
        <v>0</v>
      </c>
    </row>
    <row r="11" spans="1:19" x14ac:dyDescent="0.2">
      <c r="A11" s="1191">
        <v>2008</v>
      </c>
      <c r="B11" s="1194">
        <f>IF('Mkt Pen Veh-Mi'!B10=0,$B$5,($B$5-SUMPRODUCT(C11:G11,'Mkt Pen Veh-Mi'!C10:G10))/'Mkt Pen Veh-Mi'!B10)</f>
        <v>0.23038147668861172</v>
      </c>
      <c r="C11" s="1195">
        <f t="shared" si="6"/>
        <v>0</v>
      </c>
      <c r="D11" s="1195">
        <f t="shared" si="7"/>
        <v>0</v>
      </c>
      <c r="E11" s="1195">
        <f t="shared" si="8"/>
        <v>0</v>
      </c>
      <c r="F11" s="1195">
        <f t="shared" si="9"/>
        <v>0</v>
      </c>
      <c r="G11" s="1196">
        <f t="shared" si="10"/>
        <v>0</v>
      </c>
      <c r="H11" s="1194">
        <f>IF('Mkt Pen Veh-Mi'!H10=0,$H$5,($H$5-SUMPRODUCT(I11:M11,'Mkt Pen Veh-Mi'!I10:M10))/'Mkt Pen Veh-Mi'!H10)</f>
        <v>0.61452169476443286</v>
      </c>
      <c r="I11" s="1195">
        <f t="shared" si="11"/>
        <v>0</v>
      </c>
      <c r="J11" s="1195">
        <f t="shared" si="12"/>
        <v>0</v>
      </c>
      <c r="K11" s="1195">
        <f t="shared" si="13"/>
        <v>0</v>
      </c>
      <c r="L11" s="1195">
        <f t="shared" si="14"/>
        <v>0</v>
      </c>
      <c r="M11" s="1196">
        <f t="shared" si="15"/>
        <v>0</v>
      </c>
      <c r="N11" s="1194">
        <f>IF('Mkt Pen Veh-Mi'!N10=0,$N$5,($N$5-SUMPRODUCT(O11:S11,'Mkt Pen Veh-Mi'!O10:S10))/'Mkt Pen Veh-Mi'!N10)</f>
        <v>0.39932829612730575</v>
      </c>
      <c r="O11" s="1195">
        <f t="shared" si="16"/>
        <v>0</v>
      </c>
      <c r="P11" s="1195">
        <f t="shared" si="17"/>
        <v>0</v>
      </c>
      <c r="Q11" s="1195">
        <f t="shared" si="18"/>
        <v>0</v>
      </c>
      <c r="R11" s="1195">
        <f t="shared" si="19"/>
        <v>0</v>
      </c>
      <c r="S11" s="1196">
        <f t="shared" si="20"/>
        <v>0</v>
      </c>
    </row>
    <row r="12" spans="1:19" x14ac:dyDescent="0.2">
      <c r="A12" s="1191">
        <v>2009</v>
      </c>
      <c r="B12" s="1194">
        <f>IF('Mkt Pen Veh-Mi'!B11=0,$B$5,($B$5-SUMPRODUCT(C12:G12,'Mkt Pen Veh-Mi'!C11:G11))/'Mkt Pen Veh-Mi'!B11)</f>
        <v>0.23038147668861172</v>
      </c>
      <c r="C12" s="1195">
        <f t="shared" si="6"/>
        <v>0</v>
      </c>
      <c r="D12" s="1195">
        <f t="shared" si="7"/>
        <v>0</v>
      </c>
      <c r="E12" s="1195">
        <f t="shared" si="8"/>
        <v>0</v>
      </c>
      <c r="F12" s="1195">
        <f t="shared" si="9"/>
        <v>0</v>
      </c>
      <c r="G12" s="1196">
        <f t="shared" si="10"/>
        <v>0</v>
      </c>
      <c r="H12" s="1194">
        <f>IF('Mkt Pen Veh-Mi'!H11=0,$H$5,($H$5-SUMPRODUCT(I12:M12,'Mkt Pen Veh-Mi'!I11:M11))/'Mkt Pen Veh-Mi'!H11)</f>
        <v>0.61452169476443286</v>
      </c>
      <c r="I12" s="1195">
        <f t="shared" si="11"/>
        <v>0</v>
      </c>
      <c r="J12" s="1195">
        <f t="shared" si="12"/>
        <v>0</v>
      </c>
      <c r="K12" s="1195">
        <f t="shared" si="13"/>
        <v>0</v>
      </c>
      <c r="L12" s="1195">
        <f t="shared" si="14"/>
        <v>0</v>
      </c>
      <c r="M12" s="1196">
        <f t="shared" si="15"/>
        <v>0</v>
      </c>
      <c r="N12" s="1194">
        <f>IF('Mkt Pen Veh-Mi'!N11=0,$N$5,($N$5-SUMPRODUCT(O12:S12,'Mkt Pen Veh-Mi'!O11:S11))/'Mkt Pen Veh-Mi'!N11)</f>
        <v>0.39932829612730575</v>
      </c>
      <c r="O12" s="1195">
        <f t="shared" si="16"/>
        <v>0</v>
      </c>
      <c r="P12" s="1195">
        <f t="shared" si="17"/>
        <v>0</v>
      </c>
      <c r="Q12" s="1195">
        <f t="shared" si="18"/>
        <v>0</v>
      </c>
      <c r="R12" s="1195">
        <f t="shared" si="19"/>
        <v>0</v>
      </c>
      <c r="S12" s="1196">
        <f t="shared" si="20"/>
        <v>0</v>
      </c>
    </row>
    <row r="13" spans="1:19" x14ac:dyDescent="0.2">
      <c r="A13" s="1197">
        <v>2010</v>
      </c>
      <c r="B13" s="1198">
        <f>IF('Mkt Pen Veh-Mi'!B12=0,$B$5,($B$5-SUMPRODUCT(C13:G13,'Mkt Pen Veh-Mi'!C12:G12))/'Mkt Pen Veh-Mi'!B12)</f>
        <v>0.23038147668861172</v>
      </c>
      <c r="C13" s="1199">
        <f t="shared" si="6"/>
        <v>0</v>
      </c>
      <c r="D13" s="1199">
        <f t="shared" si="7"/>
        <v>0</v>
      </c>
      <c r="E13" s="1199">
        <f t="shared" si="8"/>
        <v>0</v>
      </c>
      <c r="F13" s="1199">
        <f t="shared" si="9"/>
        <v>0</v>
      </c>
      <c r="G13" s="1200">
        <f t="shared" si="10"/>
        <v>0</v>
      </c>
      <c r="H13" s="1198">
        <f>IF('Mkt Pen Veh-Mi'!H12=0,$H$5,($H$5-SUMPRODUCT(I13:M13,'Mkt Pen Veh-Mi'!I12:M12))/'Mkt Pen Veh-Mi'!H12)</f>
        <v>0.61452169476443286</v>
      </c>
      <c r="I13" s="1199">
        <f t="shared" si="11"/>
        <v>0</v>
      </c>
      <c r="J13" s="1199">
        <f t="shared" si="12"/>
        <v>0</v>
      </c>
      <c r="K13" s="1199">
        <f t="shared" si="13"/>
        <v>0</v>
      </c>
      <c r="L13" s="1199">
        <f t="shared" si="14"/>
        <v>0</v>
      </c>
      <c r="M13" s="1200">
        <f t="shared" si="15"/>
        <v>0</v>
      </c>
      <c r="N13" s="1198">
        <f>IF('Mkt Pen Veh-Mi'!N12=0,$N$5,($N$5-SUMPRODUCT(O13:S13,'Mkt Pen Veh-Mi'!O12:S12))/'Mkt Pen Veh-Mi'!N12)</f>
        <v>0.39932829612730575</v>
      </c>
      <c r="O13" s="1199">
        <f t="shared" si="16"/>
        <v>0</v>
      </c>
      <c r="P13" s="1199">
        <f t="shared" si="17"/>
        <v>0</v>
      </c>
      <c r="Q13" s="1199">
        <f t="shared" si="18"/>
        <v>0</v>
      </c>
      <c r="R13" s="1199">
        <f t="shared" si="19"/>
        <v>0</v>
      </c>
      <c r="S13" s="1200">
        <f t="shared" si="20"/>
        <v>0</v>
      </c>
    </row>
    <row r="14" spans="1:19" x14ac:dyDescent="0.2">
      <c r="A14" s="1191">
        <v>2011</v>
      </c>
      <c r="B14" s="1201">
        <f>IF('Mkt Pen Veh-Mi'!B13=0,$B$5,($B$5-SUMPRODUCT(C14:G14,'Mkt Pen Veh-Mi'!C13:G13))/'Mkt Pen Veh-Mi'!B13)</f>
        <v>0.23038147668861172</v>
      </c>
      <c r="C14" s="1202">
        <f t="shared" si="6"/>
        <v>0</v>
      </c>
      <c r="D14" s="1202">
        <f t="shared" si="7"/>
        <v>0</v>
      </c>
      <c r="E14" s="1202">
        <f t="shared" si="8"/>
        <v>0</v>
      </c>
      <c r="F14" s="1202">
        <f t="shared" si="9"/>
        <v>0</v>
      </c>
      <c r="G14" s="1203">
        <f t="shared" si="10"/>
        <v>0</v>
      </c>
      <c r="H14" s="1201">
        <f>IF('Mkt Pen Veh-Mi'!H13=0,$H$5,($H$5-SUMPRODUCT(I14:M14,'Mkt Pen Veh-Mi'!I13:M13))/'Mkt Pen Veh-Mi'!H13)</f>
        <v>0.61452169476443286</v>
      </c>
      <c r="I14" s="1202">
        <f t="shared" si="11"/>
        <v>0</v>
      </c>
      <c r="J14" s="1202">
        <f t="shared" si="12"/>
        <v>0</v>
      </c>
      <c r="K14" s="1202">
        <f t="shared" si="13"/>
        <v>0</v>
      </c>
      <c r="L14" s="1202">
        <f t="shared" si="14"/>
        <v>0</v>
      </c>
      <c r="M14" s="1203">
        <f t="shared" si="15"/>
        <v>0</v>
      </c>
      <c r="N14" s="1201">
        <f>IF('Mkt Pen Veh-Mi'!N13=0,$N$5,($N$5-SUMPRODUCT(O14:S14,'Mkt Pen Veh-Mi'!O13:S13))/'Mkt Pen Veh-Mi'!N13)</f>
        <v>0.39932829612730575</v>
      </c>
      <c r="O14" s="1202">
        <f t="shared" si="16"/>
        <v>0</v>
      </c>
      <c r="P14" s="1202">
        <f t="shared" si="17"/>
        <v>0</v>
      </c>
      <c r="Q14" s="1202">
        <f t="shared" si="18"/>
        <v>0</v>
      </c>
      <c r="R14" s="1202">
        <f t="shared" si="19"/>
        <v>0</v>
      </c>
      <c r="S14" s="1203">
        <f t="shared" si="20"/>
        <v>0</v>
      </c>
    </row>
    <row r="15" spans="1:19" x14ac:dyDescent="0.2">
      <c r="A15" s="1191">
        <v>2012</v>
      </c>
      <c r="B15" s="1194">
        <f>IF('Mkt Pen Veh-Mi'!B14=0,$B$5,($B$5-SUMPRODUCT(C15:G15,'Mkt Pen Veh-Mi'!C14:G14))/'Mkt Pen Veh-Mi'!B14)</f>
        <v>0.23038147668861172</v>
      </c>
      <c r="C15" s="1195">
        <f t="shared" si="6"/>
        <v>0</v>
      </c>
      <c r="D15" s="1195">
        <f t="shared" si="7"/>
        <v>0</v>
      </c>
      <c r="E15" s="1195">
        <f t="shared" si="8"/>
        <v>0</v>
      </c>
      <c r="F15" s="1195">
        <f t="shared" si="9"/>
        <v>0</v>
      </c>
      <c r="G15" s="1196">
        <f t="shared" si="10"/>
        <v>0</v>
      </c>
      <c r="H15" s="1194">
        <f>IF('Mkt Pen Veh-Mi'!H14=0,$H$5,($H$5-SUMPRODUCT(I15:M15,'Mkt Pen Veh-Mi'!I14:M14))/'Mkt Pen Veh-Mi'!H14)</f>
        <v>0.61452169476443286</v>
      </c>
      <c r="I15" s="1195">
        <f t="shared" si="11"/>
        <v>0</v>
      </c>
      <c r="J15" s="1195">
        <f t="shared" si="12"/>
        <v>0</v>
      </c>
      <c r="K15" s="1195">
        <f t="shared" si="13"/>
        <v>0</v>
      </c>
      <c r="L15" s="1195">
        <f t="shared" si="14"/>
        <v>0</v>
      </c>
      <c r="M15" s="1196">
        <f t="shared" si="15"/>
        <v>0</v>
      </c>
      <c r="N15" s="1194">
        <f>IF('Mkt Pen Veh-Mi'!N14=0,$N$5,($N$5-SUMPRODUCT(O15:S15,'Mkt Pen Veh-Mi'!O14:S14))/'Mkt Pen Veh-Mi'!N14)</f>
        <v>0.39932829612730575</v>
      </c>
      <c r="O15" s="1195">
        <f t="shared" si="16"/>
        <v>0</v>
      </c>
      <c r="P15" s="1195">
        <f t="shared" si="17"/>
        <v>0</v>
      </c>
      <c r="Q15" s="1195">
        <f t="shared" si="18"/>
        <v>0</v>
      </c>
      <c r="R15" s="1195">
        <f t="shared" si="19"/>
        <v>0</v>
      </c>
      <c r="S15" s="1196">
        <f t="shared" si="20"/>
        <v>0</v>
      </c>
    </row>
    <row r="16" spans="1:19" x14ac:dyDescent="0.2">
      <c r="A16" s="1191">
        <v>2013</v>
      </c>
      <c r="B16" s="1194">
        <f>IF('Mkt Pen Veh-Mi'!B15=0,$B$5,($B$5-SUMPRODUCT(C16:G16,'Mkt Pen Veh-Mi'!C15:G15))/'Mkt Pen Veh-Mi'!B15)</f>
        <v>0.23038147668861172</v>
      </c>
      <c r="C16" s="1195">
        <f t="shared" si="6"/>
        <v>0</v>
      </c>
      <c r="D16" s="1195">
        <f t="shared" si="7"/>
        <v>0</v>
      </c>
      <c r="E16" s="1195">
        <f t="shared" si="8"/>
        <v>0</v>
      </c>
      <c r="F16" s="1195">
        <f t="shared" si="9"/>
        <v>0</v>
      </c>
      <c r="G16" s="1196">
        <f t="shared" si="10"/>
        <v>0</v>
      </c>
      <c r="H16" s="1194">
        <f>IF('Mkt Pen Veh-Mi'!H15=0,$H$5,($H$5-SUMPRODUCT(I16:M16,'Mkt Pen Veh-Mi'!I15:M15))/'Mkt Pen Veh-Mi'!H15)</f>
        <v>0.61452169476443286</v>
      </c>
      <c r="I16" s="1195">
        <f t="shared" si="11"/>
        <v>0</v>
      </c>
      <c r="J16" s="1195">
        <f t="shared" si="12"/>
        <v>0</v>
      </c>
      <c r="K16" s="1195">
        <f t="shared" si="13"/>
        <v>0</v>
      </c>
      <c r="L16" s="1195">
        <f t="shared" si="14"/>
        <v>0</v>
      </c>
      <c r="M16" s="1196">
        <f t="shared" si="15"/>
        <v>0</v>
      </c>
      <c r="N16" s="1194">
        <f>IF('Mkt Pen Veh-Mi'!N15=0,$N$5,($N$5-SUMPRODUCT(O16:S16,'Mkt Pen Veh-Mi'!O15:S15))/'Mkt Pen Veh-Mi'!N15)</f>
        <v>0.39932829612730575</v>
      </c>
      <c r="O16" s="1195">
        <f t="shared" si="16"/>
        <v>0</v>
      </c>
      <c r="P16" s="1195">
        <f t="shared" si="17"/>
        <v>0</v>
      </c>
      <c r="Q16" s="1195">
        <f t="shared" si="18"/>
        <v>0</v>
      </c>
      <c r="R16" s="1195">
        <f t="shared" si="19"/>
        <v>0</v>
      </c>
      <c r="S16" s="1196">
        <f t="shared" si="20"/>
        <v>0</v>
      </c>
    </row>
    <row r="17" spans="1:19" x14ac:dyDescent="0.2">
      <c r="A17" s="1191">
        <v>2014</v>
      </c>
      <c r="B17" s="1194">
        <f>IF('Mkt Pen Veh-Mi'!B16=0,$B$5,($B$5-SUMPRODUCT(C17:G17,'Mkt Pen Veh-Mi'!C16:G16))/'Mkt Pen Veh-Mi'!B16)</f>
        <v>0.23038147668861172</v>
      </c>
      <c r="C17" s="1195">
        <f t="shared" si="6"/>
        <v>0</v>
      </c>
      <c r="D17" s="1195">
        <f t="shared" si="7"/>
        <v>0</v>
      </c>
      <c r="E17" s="1195">
        <f t="shared" si="8"/>
        <v>0</v>
      </c>
      <c r="F17" s="1195">
        <f t="shared" si="9"/>
        <v>0</v>
      </c>
      <c r="G17" s="1196">
        <f t="shared" si="10"/>
        <v>0</v>
      </c>
      <c r="H17" s="1194">
        <f>IF('Mkt Pen Veh-Mi'!H16=0,$H$5,($H$5-SUMPRODUCT(I17:M17,'Mkt Pen Veh-Mi'!I16:M16))/'Mkt Pen Veh-Mi'!H16)</f>
        <v>0.61452169476443286</v>
      </c>
      <c r="I17" s="1195">
        <f t="shared" si="11"/>
        <v>0</v>
      </c>
      <c r="J17" s="1195">
        <f t="shared" si="12"/>
        <v>0</v>
      </c>
      <c r="K17" s="1195">
        <f t="shared" si="13"/>
        <v>0</v>
      </c>
      <c r="L17" s="1195">
        <f t="shared" si="14"/>
        <v>0</v>
      </c>
      <c r="M17" s="1196">
        <f t="shared" si="15"/>
        <v>0</v>
      </c>
      <c r="N17" s="1194">
        <f>IF('Mkt Pen Veh-Mi'!N16=0,$N$5,($N$5-SUMPRODUCT(O17:S17,'Mkt Pen Veh-Mi'!O16:S16))/'Mkt Pen Veh-Mi'!N16)</f>
        <v>0.39932829612730575</v>
      </c>
      <c r="O17" s="1195">
        <f t="shared" si="16"/>
        <v>0</v>
      </c>
      <c r="P17" s="1195">
        <f t="shared" si="17"/>
        <v>0</v>
      </c>
      <c r="Q17" s="1195">
        <f t="shared" si="18"/>
        <v>0</v>
      </c>
      <c r="R17" s="1195">
        <f t="shared" si="19"/>
        <v>0</v>
      </c>
      <c r="S17" s="1196">
        <f t="shared" si="20"/>
        <v>0</v>
      </c>
    </row>
    <row r="18" spans="1:19" x14ac:dyDescent="0.2">
      <c r="A18" s="1197">
        <v>2015</v>
      </c>
      <c r="B18" s="1198">
        <f>IF('Mkt Pen Veh-Mi'!B17=0,$B$5,($B$5-SUMPRODUCT(C18:G18,'Mkt Pen Veh-Mi'!C17:G17))/'Mkt Pen Veh-Mi'!B17)</f>
        <v>0.23038147668861172</v>
      </c>
      <c r="C18" s="1199">
        <f t="shared" si="6"/>
        <v>0</v>
      </c>
      <c r="D18" s="1199">
        <f t="shared" si="7"/>
        <v>0</v>
      </c>
      <c r="E18" s="1199">
        <f t="shared" si="8"/>
        <v>0</v>
      </c>
      <c r="F18" s="1199">
        <f t="shared" si="9"/>
        <v>0</v>
      </c>
      <c r="G18" s="1200">
        <f t="shared" si="10"/>
        <v>0</v>
      </c>
      <c r="H18" s="1198">
        <f>IF('Mkt Pen Veh-Mi'!H17=0,$H$5,($H$5-SUMPRODUCT(I18:M18,'Mkt Pen Veh-Mi'!I17:M17))/'Mkt Pen Veh-Mi'!H17)</f>
        <v>0.61452169476443286</v>
      </c>
      <c r="I18" s="1199">
        <f t="shared" si="11"/>
        <v>0</v>
      </c>
      <c r="J18" s="1199">
        <f t="shared" si="12"/>
        <v>0</v>
      </c>
      <c r="K18" s="1199">
        <f t="shared" si="13"/>
        <v>0</v>
      </c>
      <c r="L18" s="1199">
        <f t="shared" si="14"/>
        <v>0</v>
      </c>
      <c r="M18" s="1200">
        <f t="shared" si="15"/>
        <v>0</v>
      </c>
      <c r="N18" s="1198">
        <f>IF('Mkt Pen Veh-Mi'!N17=0,$N$5,($N$5-SUMPRODUCT(O18:S18,'Mkt Pen Veh-Mi'!O17:S17))/'Mkt Pen Veh-Mi'!N17)</f>
        <v>0.39932829612730575</v>
      </c>
      <c r="O18" s="1199">
        <f t="shared" si="16"/>
        <v>0</v>
      </c>
      <c r="P18" s="1199">
        <f t="shared" si="17"/>
        <v>0</v>
      </c>
      <c r="Q18" s="1199">
        <f t="shared" si="18"/>
        <v>0</v>
      </c>
      <c r="R18" s="1199">
        <f t="shared" si="19"/>
        <v>0</v>
      </c>
      <c r="S18" s="1200">
        <f t="shared" si="20"/>
        <v>0</v>
      </c>
    </row>
    <row r="19" spans="1:19" x14ac:dyDescent="0.2">
      <c r="A19" s="1191">
        <v>2016</v>
      </c>
      <c r="B19" s="1201">
        <f>IF('Mkt Pen Veh-Mi'!B18=0,$B$5,($B$5-SUMPRODUCT(C19:G19,'Mkt Pen Veh-Mi'!C18:G18))/'Mkt Pen Veh-Mi'!B18)</f>
        <v>0.23038147668861172</v>
      </c>
      <c r="C19" s="1202">
        <f t="shared" si="6"/>
        <v>0</v>
      </c>
      <c r="D19" s="1202">
        <f t="shared" si="7"/>
        <v>0</v>
      </c>
      <c r="E19" s="1202">
        <f t="shared" si="8"/>
        <v>0</v>
      </c>
      <c r="F19" s="1202">
        <f t="shared" si="9"/>
        <v>0</v>
      </c>
      <c r="G19" s="1203">
        <f t="shared" si="10"/>
        <v>0</v>
      </c>
      <c r="H19" s="1201">
        <f>IF('Mkt Pen Veh-Mi'!H18=0,$H$5,($H$5-SUMPRODUCT(I19:M19,'Mkt Pen Veh-Mi'!I18:M18))/'Mkt Pen Veh-Mi'!H18)</f>
        <v>0.61452169476443286</v>
      </c>
      <c r="I19" s="1202">
        <f t="shared" si="11"/>
        <v>0</v>
      </c>
      <c r="J19" s="1202">
        <f t="shared" si="12"/>
        <v>0</v>
      </c>
      <c r="K19" s="1202">
        <f t="shared" si="13"/>
        <v>0</v>
      </c>
      <c r="L19" s="1202">
        <f t="shared" si="14"/>
        <v>0</v>
      </c>
      <c r="M19" s="1203">
        <f t="shared" si="15"/>
        <v>0</v>
      </c>
      <c r="N19" s="1201">
        <f>IF('Mkt Pen Veh-Mi'!N18=0,$N$5,($N$5-SUMPRODUCT(O19:S19,'Mkt Pen Veh-Mi'!O18:S18))/'Mkt Pen Veh-Mi'!N18)</f>
        <v>0.39932829612730575</v>
      </c>
      <c r="O19" s="1202">
        <f t="shared" si="16"/>
        <v>0</v>
      </c>
      <c r="P19" s="1202">
        <f t="shared" si="17"/>
        <v>0</v>
      </c>
      <c r="Q19" s="1202">
        <f t="shared" si="18"/>
        <v>0</v>
      </c>
      <c r="R19" s="1202">
        <f t="shared" si="19"/>
        <v>0</v>
      </c>
      <c r="S19" s="1203">
        <f t="shared" si="20"/>
        <v>0</v>
      </c>
    </row>
    <row r="20" spans="1:19" x14ac:dyDescent="0.2">
      <c r="A20" s="1191">
        <v>2017</v>
      </c>
      <c r="B20" s="1194">
        <f>IF('Mkt Pen Veh-Mi'!B19=0,$B$5,($B$5-SUMPRODUCT(C20:G20,'Mkt Pen Veh-Mi'!C19:G19))/'Mkt Pen Veh-Mi'!B19)</f>
        <v>0.23038147668861172</v>
      </c>
      <c r="C20" s="1195">
        <f t="shared" si="6"/>
        <v>0</v>
      </c>
      <c r="D20" s="1195">
        <f t="shared" si="7"/>
        <v>0</v>
      </c>
      <c r="E20" s="1195">
        <f t="shared" si="8"/>
        <v>0</v>
      </c>
      <c r="F20" s="1195">
        <f t="shared" si="9"/>
        <v>0</v>
      </c>
      <c r="G20" s="1196">
        <f t="shared" si="10"/>
        <v>0</v>
      </c>
      <c r="H20" s="1194">
        <f>IF('Mkt Pen Veh-Mi'!H19=0,$H$5,($H$5-SUMPRODUCT(I20:M20,'Mkt Pen Veh-Mi'!I19:M19))/'Mkt Pen Veh-Mi'!H19)</f>
        <v>0.61452169476443286</v>
      </c>
      <c r="I20" s="1195">
        <f t="shared" si="11"/>
        <v>0</v>
      </c>
      <c r="J20" s="1195">
        <f t="shared" si="12"/>
        <v>0</v>
      </c>
      <c r="K20" s="1195">
        <f t="shared" si="13"/>
        <v>0</v>
      </c>
      <c r="L20" s="1195">
        <f t="shared" si="14"/>
        <v>0</v>
      </c>
      <c r="M20" s="1196">
        <f t="shared" si="15"/>
        <v>0</v>
      </c>
      <c r="N20" s="1194">
        <f>IF('Mkt Pen Veh-Mi'!N19=0,$N$5,($N$5-SUMPRODUCT(O20:S20,'Mkt Pen Veh-Mi'!O19:S19))/'Mkt Pen Veh-Mi'!N19)</f>
        <v>0.39932829612730575</v>
      </c>
      <c r="O20" s="1195">
        <f t="shared" si="16"/>
        <v>0</v>
      </c>
      <c r="P20" s="1195">
        <f t="shared" si="17"/>
        <v>0</v>
      </c>
      <c r="Q20" s="1195">
        <f t="shared" si="18"/>
        <v>0</v>
      </c>
      <c r="R20" s="1195">
        <f t="shared" si="19"/>
        <v>0</v>
      </c>
      <c r="S20" s="1196">
        <f t="shared" si="20"/>
        <v>0</v>
      </c>
    </row>
    <row r="21" spans="1:19" x14ac:dyDescent="0.2">
      <c r="A21" s="1191">
        <v>2018</v>
      </c>
      <c r="B21" s="1194">
        <f>IF('Mkt Pen Veh-Mi'!B20=0,$B$5,($B$5-SUMPRODUCT(C21:G21,'Mkt Pen Veh-Mi'!C20:G20))/'Mkt Pen Veh-Mi'!B20)</f>
        <v>0.23038147668861172</v>
      </c>
      <c r="C21" s="1195">
        <f t="shared" si="6"/>
        <v>0</v>
      </c>
      <c r="D21" s="1195">
        <f t="shared" si="7"/>
        <v>0</v>
      </c>
      <c r="E21" s="1195">
        <f t="shared" si="8"/>
        <v>0</v>
      </c>
      <c r="F21" s="1195">
        <f t="shared" si="9"/>
        <v>0</v>
      </c>
      <c r="G21" s="1196">
        <f t="shared" si="10"/>
        <v>0</v>
      </c>
      <c r="H21" s="1194">
        <f>IF('Mkt Pen Veh-Mi'!H20=0,$H$5,($H$5-SUMPRODUCT(I21:M21,'Mkt Pen Veh-Mi'!I20:M20))/'Mkt Pen Veh-Mi'!H20)</f>
        <v>0.61452169476443286</v>
      </c>
      <c r="I21" s="1195">
        <f t="shared" si="11"/>
        <v>0</v>
      </c>
      <c r="J21" s="1195">
        <f t="shared" si="12"/>
        <v>0</v>
      </c>
      <c r="K21" s="1195">
        <f t="shared" si="13"/>
        <v>0</v>
      </c>
      <c r="L21" s="1195">
        <f t="shared" si="14"/>
        <v>0</v>
      </c>
      <c r="M21" s="1196">
        <f t="shared" si="15"/>
        <v>0</v>
      </c>
      <c r="N21" s="1194">
        <f>IF('Mkt Pen Veh-Mi'!N20=0,$N$5,($N$5-SUMPRODUCT(O21:S21,'Mkt Pen Veh-Mi'!O20:S20))/'Mkt Pen Veh-Mi'!N20)</f>
        <v>0.39932829612730575</v>
      </c>
      <c r="O21" s="1195">
        <f t="shared" si="16"/>
        <v>0</v>
      </c>
      <c r="P21" s="1195">
        <f t="shared" si="17"/>
        <v>0</v>
      </c>
      <c r="Q21" s="1195">
        <f t="shared" si="18"/>
        <v>0</v>
      </c>
      <c r="R21" s="1195">
        <f t="shared" si="19"/>
        <v>0</v>
      </c>
      <c r="S21" s="1196">
        <f t="shared" si="20"/>
        <v>0</v>
      </c>
    </row>
    <row r="22" spans="1:19" x14ac:dyDescent="0.2">
      <c r="A22" s="1191">
        <v>2019</v>
      </c>
      <c r="B22" s="1194">
        <f>IF('Mkt Pen Veh-Mi'!B21=0,$B$5,($B$5-SUMPRODUCT(C22:G22,'Mkt Pen Veh-Mi'!C21:G21))/'Mkt Pen Veh-Mi'!B21)</f>
        <v>0.23038147668861172</v>
      </c>
      <c r="C22" s="1195">
        <f t="shared" si="6"/>
        <v>0</v>
      </c>
      <c r="D22" s="1195">
        <f t="shared" si="7"/>
        <v>0</v>
      </c>
      <c r="E22" s="1195">
        <f t="shared" si="8"/>
        <v>0</v>
      </c>
      <c r="F22" s="1195">
        <f t="shared" si="9"/>
        <v>0</v>
      </c>
      <c r="G22" s="1196">
        <f t="shared" si="10"/>
        <v>0</v>
      </c>
      <c r="H22" s="1194">
        <f>IF('Mkt Pen Veh-Mi'!H21=0,$H$5,($H$5-SUMPRODUCT(I22:M22,'Mkt Pen Veh-Mi'!I21:M21))/'Mkt Pen Veh-Mi'!H21)</f>
        <v>0.61452169476443286</v>
      </c>
      <c r="I22" s="1195">
        <f t="shared" si="11"/>
        <v>0</v>
      </c>
      <c r="J22" s="1195">
        <f t="shared" si="12"/>
        <v>0</v>
      </c>
      <c r="K22" s="1195">
        <f t="shared" si="13"/>
        <v>0</v>
      </c>
      <c r="L22" s="1195">
        <f t="shared" si="14"/>
        <v>0</v>
      </c>
      <c r="M22" s="1196">
        <f t="shared" si="15"/>
        <v>0</v>
      </c>
      <c r="N22" s="1194">
        <f>IF('Mkt Pen Veh-Mi'!N21=0,$N$5,($N$5-SUMPRODUCT(O22:S22,'Mkt Pen Veh-Mi'!O21:S21))/'Mkt Pen Veh-Mi'!N21)</f>
        <v>0.39932829612730575</v>
      </c>
      <c r="O22" s="1195">
        <f t="shared" si="16"/>
        <v>0</v>
      </c>
      <c r="P22" s="1195">
        <f t="shared" si="17"/>
        <v>0</v>
      </c>
      <c r="Q22" s="1195">
        <f t="shared" si="18"/>
        <v>0</v>
      </c>
      <c r="R22" s="1195">
        <f t="shared" si="19"/>
        <v>0</v>
      </c>
      <c r="S22" s="1196">
        <f t="shared" si="20"/>
        <v>0</v>
      </c>
    </row>
    <row r="23" spans="1:19" x14ac:dyDescent="0.2">
      <c r="A23" s="1197">
        <v>2020</v>
      </c>
      <c r="B23" s="1198">
        <f>IF('Mkt Pen Veh-Mi'!B22=0,$B$5,($B$5-SUMPRODUCT(C23:G23,'Mkt Pen Veh-Mi'!C22:G22))/'Mkt Pen Veh-Mi'!B22)</f>
        <v>0.23038147668861172</v>
      </c>
      <c r="C23" s="1199">
        <f t="shared" si="6"/>
        <v>0</v>
      </c>
      <c r="D23" s="1199">
        <f t="shared" si="7"/>
        <v>0</v>
      </c>
      <c r="E23" s="1199">
        <f t="shared" si="8"/>
        <v>0</v>
      </c>
      <c r="F23" s="1199">
        <f t="shared" si="9"/>
        <v>0</v>
      </c>
      <c r="G23" s="1200">
        <f t="shared" si="10"/>
        <v>0</v>
      </c>
      <c r="H23" s="1198">
        <f>IF('Mkt Pen Veh-Mi'!H22=0,$H$5,($H$5-SUMPRODUCT(I23:M23,'Mkt Pen Veh-Mi'!I22:M22))/'Mkt Pen Veh-Mi'!H22)</f>
        <v>0.61452169476443286</v>
      </c>
      <c r="I23" s="1199">
        <f t="shared" si="11"/>
        <v>0</v>
      </c>
      <c r="J23" s="1199">
        <f t="shared" si="12"/>
        <v>0</v>
      </c>
      <c r="K23" s="1199">
        <f t="shared" si="13"/>
        <v>0</v>
      </c>
      <c r="L23" s="1199">
        <f t="shared" si="14"/>
        <v>0</v>
      </c>
      <c r="M23" s="1200">
        <f t="shared" si="15"/>
        <v>0</v>
      </c>
      <c r="N23" s="1198">
        <f>IF('Mkt Pen Veh-Mi'!N22=0,$N$5,($N$5-SUMPRODUCT(O23:S23,'Mkt Pen Veh-Mi'!O22:S22))/'Mkt Pen Veh-Mi'!N22)</f>
        <v>0.39932829612730575</v>
      </c>
      <c r="O23" s="1199">
        <f t="shared" si="16"/>
        <v>0</v>
      </c>
      <c r="P23" s="1199">
        <f t="shared" si="17"/>
        <v>0</v>
      </c>
      <c r="Q23" s="1199">
        <f t="shared" si="18"/>
        <v>0</v>
      </c>
      <c r="R23" s="1199">
        <f t="shared" si="19"/>
        <v>0</v>
      </c>
      <c r="S23" s="1200">
        <f t="shared" si="20"/>
        <v>0</v>
      </c>
    </row>
    <row r="24" spans="1:19" x14ac:dyDescent="0.2">
      <c r="A24" s="1191">
        <v>2021</v>
      </c>
      <c r="B24" s="1201">
        <f>IF('Mkt Pen Veh-Mi'!B23=0,$B$5,($B$5-SUMPRODUCT(C24:G24,'Mkt Pen Veh-Mi'!C23:G23))/'Mkt Pen Veh-Mi'!B23)</f>
        <v>0.23038147668861172</v>
      </c>
      <c r="C24" s="1202">
        <f t="shared" si="6"/>
        <v>0</v>
      </c>
      <c r="D24" s="1202">
        <f t="shared" si="7"/>
        <v>0</v>
      </c>
      <c r="E24" s="1202">
        <f t="shared" si="8"/>
        <v>0</v>
      </c>
      <c r="F24" s="1202">
        <f t="shared" si="9"/>
        <v>0</v>
      </c>
      <c r="G24" s="1203">
        <f t="shared" si="10"/>
        <v>0</v>
      </c>
      <c r="H24" s="1201">
        <f>IF('Mkt Pen Veh-Mi'!H23=0,$H$5,($H$5-SUMPRODUCT(I24:M24,'Mkt Pen Veh-Mi'!I23:M23))/'Mkt Pen Veh-Mi'!H23)</f>
        <v>0.6143836986154696</v>
      </c>
      <c r="I24" s="1202">
        <f t="shared" si="11"/>
        <v>0.61879907379704091</v>
      </c>
      <c r="J24" s="1202">
        <f t="shared" si="12"/>
        <v>0.61753476043424149</v>
      </c>
      <c r="K24" s="1202">
        <f t="shared" si="13"/>
        <v>0</v>
      </c>
      <c r="L24" s="1202">
        <f t="shared" si="14"/>
        <v>0</v>
      </c>
      <c r="M24" s="1203">
        <f t="shared" si="15"/>
        <v>0</v>
      </c>
      <c r="N24" s="1201">
        <f>IF('Mkt Pen Veh-Mi'!N23=0,$N$5,($N$5-SUMPRODUCT(O24:S24,'Mkt Pen Veh-Mi'!O23:S23))/'Mkt Pen Veh-Mi'!N23)</f>
        <v>0.39932829612730575</v>
      </c>
      <c r="O24" s="1202">
        <f t="shared" si="16"/>
        <v>0</v>
      </c>
      <c r="P24" s="1202">
        <f t="shared" si="17"/>
        <v>0</v>
      </c>
      <c r="Q24" s="1202">
        <f t="shared" si="18"/>
        <v>0</v>
      </c>
      <c r="R24" s="1202">
        <f t="shared" si="19"/>
        <v>0</v>
      </c>
      <c r="S24" s="1203">
        <f t="shared" si="20"/>
        <v>0</v>
      </c>
    </row>
    <row r="25" spans="1:19" x14ac:dyDescent="0.2">
      <c r="A25" s="1191">
        <v>2022</v>
      </c>
      <c r="B25" s="1194">
        <f>IF('Mkt Pen Veh-Mi'!B24=0,$B$5,($B$5-SUMPRODUCT(C25:G25,'Mkt Pen Veh-Mi'!C24:G24))/'Mkt Pen Veh-Mi'!B24)</f>
        <v>0.23040353781707437</v>
      </c>
      <c r="C25" s="1195">
        <f t="shared" si="6"/>
        <v>0.2410617783326397</v>
      </c>
      <c r="D25" s="1195">
        <f t="shared" si="7"/>
        <v>0.20925253134886979</v>
      </c>
      <c r="E25" s="1195">
        <f t="shared" si="8"/>
        <v>0</v>
      </c>
      <c r="F25" s="1195">
        <f t="shared" si="9"/>
        <v>0</v>
      </c>
      <c r="G25" s="1196">
        <f t="shared" si="10"/>
        <v>0</v>
      </c>
      <c r="H25" s="1194">
        <f>IF('Mkt Pen Veh-Mi'!H24=0,$H$5,($H$5-SUMPRODUCT(I25:M25,'Mkt Pen Veh-Mi'!I24:M24))/'Mkt Pen Veh-Mi'!H24)</f>
        <v>0.61396683866068513</v>
      </c>
      <c r="I25" s="1195">
        <f t="shared" si="11"/>
        <v>0.61915646019356485</v>
      </c>
      <c r="J25" s="1195">
        <f t="shared" si="12"/>
        <v>0.6221300972292868</v>
      </c>
      <c r="K25" s="1195">
        <f t="shared" si="13"/>
        <v>0</v>
      </c>
      <c r="L25" s="1195">
        <f t="shared" si="14"/>
        <v>0</v>
      </c>
      <c r="M25" s="1196">
        <f t="shared" si="15"/>
        <v>0</v>
      </c>
      <c r="N25" s="1194">
        <f>IF('Mkt Pen Veh-Mi'!N24=0,$N$5,($N$5-SUMPRODUCT(O25:S25,'Mkt Pen Veh-Mi'!O24:S24))/'Mkt Pen Veh-Mi'!N24)</f>
        <v>0.39919947592731392</v>
      </c>
      <c r="O25" s="1195">
        <f t="shared" si="16"/>
        <v>0.40145168685048915</v>
      </c>
      <c r="P25" s="1195">
        <f t="shared" si="17"/>
        <v>0.41236717347260338</v>
      </c>
      <c r="Q25" s="1195">
        <f t="shared" si="18"/>
        <v>0.33943092740884828</v>
      </c>
      <c r="R25" s="1195">
        <f t="shared" si="19"/>
        <v>0</v>
      </c>
      <c r="S25" s="1196">
        <f t="shared" si="20"/>
        <v>0</v>
      </c>
    </row>
    <row r="26" spans="1:19" x14ac:dyDescent="0.2">
      <c r="A26" s="1191">
        <v>2023</v>
      </c>
      <c r="B26" s="1194">
        <f>IF('Mkt Pen Veh-Mi'!B25=0,$B$5,($B$5-SUMPRODUCT(C26:G26,'Mkt Pen Veh-Mi'!C25:G25))/'Mkt Pen Veh-Mi'!B25)</f>
        <v>0.23026379520905613</v>
      </c>
      <c r="C26" s="1195">
        <f t="shared" si="6"/>
        <v>0.24805824211269284</v>
      </c>
      <c r="D26" s="1195">
        <f t="shared" si="7"/>
        <v>0.20841684381298387</v>
      </c>
      <c r="E26" s="1195">
        <f t="shared" si="8"/>
        <v>0</v>
      </c>
      <c r="F26" s="1195">
        <f t="shared" si="9"/>
        <v>0</v>
      </c>
      <c r="G26" s="1196">
        <f t="shared" si="10"/>
        <v>0</v>
      </c>
      <c r="H26" s="1194">
        <f>IF('Mkt Pen Veh-Mi'!H25=0,$H$5,($H$5-SUMPRODUCT(I26:M26,'Mkt Pen Veh-Mi'!I25:M25))/'Mkt Pen Veh-Mi'!H25)</f>
        <v>0.61281619387145114</v>
      </c>
      <c r="I26" s="1195">
        <f t="shared" si="11"/>
        <v>0.61881402543199582</v>
      </c>
      <c r="J26" s="1195">
        <f t="shared" si="12"/>
        <v>0.62648734120836602</v>
      </c>
      <c r="K26" s="1195">
        <f t="shared" si="13"/>
        <v>0</v>
      </c>
      <c r="L26" s="1195">
        <f t="shared" si="14"/>
        <v>0</v>
      </c>
      <c r="M26" s="1196">
        <f t="shared" si="15"/>
        <v>0</v>
      </c>
      <c r="N26" s="1194">
        <f>IF('Mkt Pen Veh-Mi'!N25=0,$N$5,($N$5-SUMPRODUCT(O26:S26,'Mkt Pen Veh-Mi'!O25:S25))/'Mkt Pen Veh-Mi'!N25)</f>
        <v>0.39923566666700477</v>
      </c>
      <c r="O26" s="1195">
        <f t="shared" si="16"/>
        <v>0.39929533575735437</v>
      </c>
      <c r="P26" s="1195">
        <f t="shared" si="17"/>
        <v>0.40923019205165662</v>
      </c>
      <c r="Q26" s="1195">
        <f t="shared" si="18"/>
        <v>0.35307088918220891</v>
      </c>
      <c r="R26" s="1195">
        <f t="shared" si="19"/>
        <v>0</v>
      </c>
      <c r="S26" s="1196">
        <f t="shared" si="20"/>
        <v>0</v>
      </c>
    </row>
    <row r="27" spans="1:19" x14ac:dyDescent="0.2">
      <c r="A27" s="1191">
        <v>2024</v>
      </c>
      <c r="B27" s="1194">
        <f>IF('Mkt Pen Veh-Mi'!B26=0,$B$5,($B$5-SUMPRODUCT(C27:G27,'Mkt Pen Veh-Mi'!C26:G26))/'Mkt Pen Veh-Mi'!B26)</f>
        <v>0.23063051727875197</v>
      </c>
      <c r="C27" s="1195">
        <f t="shared" si="6"/>
        <v>0.2387181134209243</v>
      </c>
      <c r="D27" s="1195">
        <f t="shared" si="7"/>
        <v>0.21576938926781783</v>
      </c>
      <c r="E27" s="1195">
        <f t="shared" si="8"/>
        <v>0</v>
      </c>
      <c r="F27" s="1195">
        <f t="shared" si="9"/>
        <v>0</v>
      </c>
      <c r="G27" s="1196">
        <f t="shared" si="10"/>
        <v>0</v>
      </c>
      <c r="H27" s="1194">
        <f>IF('Mkt Pen Veh-Mi'!H26=0,$H$5,($H$5-SUMPRODUCT(I27:M27,'Mkt Pen Veh-Mi'!I26:M26))/'Mkt Pen Veh-Mi'!H26)</f>
        <v>0.61129930390216158</v>
      </c>
      <c r="I27" s="1195">
        <f t="shared" si="11"/>
        <v>0.61940995304833013</v>
      </c>
      <c r="J27" s="1195">
        <f t="shared" si="12"/>
        <v>0.62400144635182153</v>
      </c>
      <c r="K27" s="1195">
        <f t="shared" si="13"/>
        <v>0</v>
      </c>
      <c r="L27" s="1195">
        <f t="shared" si="14"/>
        <v>0</v>
      </c>
      <c r="M27" s="1196">
        <f t="shared" si="15"/>
        <v>0</v>
      </c>
      <c r="N27" s="1194">
        <f>IF('Mkt Pen Veh-Mi'!N26=0,$N$5,($N$5-SUMPRODUCT(O27:S27,'Mkt Pen Veh-Mi'!O26:S26))/'Mkt Pen Veh-Mi'!N26)</f>
        <v>0.39922236229771424</v>
      </c>
      <c r="O27" s="1195">
        <f t="shared" si="16"/>
        <v>0.39625178120614929</v>
      </c>
      <c r="P27" s="1195">
        <f t="shared" si="17"/>
        <v>0.40919376277790992</v>
      </c>
      <c r="Q27" s="1195">
        <f t="shared" si="18"/>
        <v>0.37669043859550827</v>
      </c>
      <c r="R27" s="1195">
        <f t="shared" si="19"/>
        <v>0</v>
      </c>
      <c r="S27" s="1196">
        <f t="shared" si="20"/>
        <v>0</v>
      </c>
    </row>
    <row r="28" spans="1:19" x14ac:dyDescent="0.2">
      <c r="A28" s="1197">
        <v>2025</v>
      </c>
      <c r="B28" s="1198">
        <f>IF('Mkt Pen Veh-Mi'!B27=0,$B$5,($B$5-SUMPRODUCT(C28:G28,'Mkt Pen Veh-Mi'!C27:G27))/'Mkt Pen Veh-Mi'!B27)</f>
        <v>0.23020863148363349</v>
      </c>
      <c r="C28" s="1199">
        <f t="shared" si="6"/>
        <v>0.23963340363545738</v>
      </c>
      <c r="D28" s="1199">
        <f t="shared" si="7"/>
        <v>0.21834594379859565</v>
      </c>
      <c r="E28" s="1199">
        <f t="shared" si="8"/>
        <v>0</v>
      </c>
      <c r="F28" s="1199">
        <f t="shared" si="9"/>
        <v>0</v>
      </c>
      <c r="G28" s="1200">
        <f t="shared" si="10"/>
        <v>0</v>
      </c>
      <c r="H28" s="1198">
        <f>IF('Mkt Pen Veh-Mi'!H27=0,$H$5,($H$5-SUMPRODUCT(I28:M28,'Mkt Pen Veh-Mi'!I27:M27))/'Mkt Pen Veh-Mi'!H27)</f>
        <v>0.60496046250110891</v>
      </c>
      <c r="I28" s="1199">
        <f t="shared" si="11"/>
        <v>0.62618895713836031</v>
      </c>
      <c r="J28" s="1199">
        <f t="shared" si="12"/>
        <v>0.62715604596539309</v>
      </c>
      <c r="K28" s="1199">
        <f t="shared" si="13"/>
        <v>0</v>
      </c>
      <c r="L28" s="1199">
        <f t="shared" si="14"/>
        <v>0</v>
      </c>
      <c r="M28" s="1200">
        <f t="shared" si="15"/>
        <v>0</v>
      </c>
      <c r="N28" s="1198">
        <f>IF('Mkt Pen Veh-Mi'!N27=0,$N$5,($N$5-SUMPRODUCT(O28:S28,'Mkt Pen Veh-Mi'!O27:S27))/'Mkt Pen Veh-Mi'!N27)</f>
        <v>0.39928999956144412</v>
      </c>
      <c r="O28" s="1199">
        <f t="shared" si="16"/>
        <v>0.39114973968588401</v>
      </c>
      <c r="P28" s="1199">
        <f t="shared" si="17"/>
        <v>0.41117750265704106</v>
      </c>
      <c r="Q28" s="1199">
        <f t="shared" si="18"/>
        <v>0.38568164242911052</v>
      </c>
      <c r="R28" s="1199">
        <f t="shared" si="19"/>
        <v>0</v>
      </c>
      <c r="S28" s="1200">
        <f t="shared" si="20"/>
        <v>0</v>
      </c>
    </row>
    <row r="29" spans="1:19" x14ac:dyDescent="0.2">
      <c r="A29" s="1191">
        <v>2026</v>
      </c>
      <c r="B29" s="1201">
        <f>IF('Mkt Pen Veh-Mi'!B28=0,$B$5,($B$5-SUMPRODUCT(C29:G29,'Mkt Pen Veh-Mi'!C28:G28))/'Mkt Pen Veh-Mi'!B28)</f>
        <v>0.23132588409183796</v>
      </c>
      <c r="C29" s="1202">
        <f t="shared" si="6"/>
        <v>0.23995640806586224</v>
      </c>
      <c r="D29" s="1202">
        <f t="shared" si="7"/>
        <v>0.21496192876793715</v>
      </c>
      <c r="E29" s="1202">
        <f t="shared" si="8"/>
        <v>0</v>
      </c>
      <c r="F29" s="1202">
        <f t="shared" si="9"/>
        <v>0</v>
      </c>
      <c r="G29" s="1203">
        <f t="shared" si="10"/>
        <v>0</v>
      </c>
      <c r="H29" s="1201">
        <f>IF('Mkt Pen Veh-Mi'!H28=0,$H$5,($H$5-SUMPRODUCT(I29:M29,'Mkt Pen Veh-Mi'!I28:M28))/'Mkt Pen Veh-Mi'!H28)</f>
        <v>0.60447880478251936</v>
      </c>
      <c r="I29" s="1202">
        <f t="shared" si="11"/>
        <v>0.62036118105328464</v>
      </c>
      <c r="J29" s="1202">
        <f t="shared" si="12"/>
        <v>0.62338945409342339</v>
      </c>
      <c r="K29" s="1202">
        <f t="shared" si="13"/>
        <v>0</v>
      </c>
      <c r="L29" s="1202">
        <f t="shared" si="14"/>
        <v>0</v>
      </c>
      <c r="M29" s="1203">
        <f t="shared" si="15"/>
        <v>0</v>
      </c>
      <c r="N29" s="1201">
        <f>IF('Mkt Pen Veh-Mi'!N28=0,$N$5,($N$5-SUMPRODUCT(O29:S29,'Mkt Pen Veh-Mi'!O28:S28))/'Mkt Pen Veh-Mi'!N28)</f>
        <v>0.39969985181908479</v>
      </c>
      <c r="O29" s="1202">
        <f t="shared" si="16"/>
        <v>0.40182574936577198</v>
      </c>
      <c r="P29" s="1202">
        <f t="shared" si="17"/>
        <v>0.39780983828984473</v>
      </c>
      <c r="Q29" s="1202">
        <f t="shared" si="18"/>
        <v>0.39439874250149515</v>
      </c>
      <c r="R29" s="1202">
        <f t="shared" si="19"/>
        <v>0</v>
      </c>
      <c r="S29" s="1203">
        <f t="shared" si="20"/>
        <v>0</v>
      </c>
    </row>
    <row r="30" spans="1:19" x14ac:dyDescent="0.2">
      <c r="A30" s="1191">
        <v>2027</v>
      </c>
      <c r="B30" s="1194">
        <f>IF('Mkt Pen Veh-Mi'!B29=0,$B$5,($B$5-SUMPRODUCT(C30:G30,'Mkt Pen Veh-Mi'!C29:G29))/'Mkt Pen Veh-Mi'!B29)</f>
        <v>0.23266381558921728</v>
      </c>
      <c r="C30" s="1195">
        <f t="shared" si="6"/>
        <v>0.23925095466069024</v>
      </c>
      <c r="D30" s="1195">
        <f t="shared" si="7"/>
        <v>0.21136390124728144</v>
      </c>
      <c r="E30" s="1195">
        <f t="shared" si="8"/>
        <v>0</v>
      </c>
      <c r="F30" s="1195">
        <f t="shared" si="9"/>
        <v>0</v>
      </c>
      <c r="G30" s="1196">
        <f t="shared" si="10"/>
        <v>0</v>
      </c>
      <c r="H30" s="1194">
        <f>IF('Mkt Pen Veh-Mi'!H29=0,$H$5,($H$5-SUMPRODUCT(I30:M30,'Mkt Pen Veh-Mi'!I29:M29))/'Mkt Pen Veh-Mi'!H29)</f>
        <v>0.60182648482328105</v>
      </c>
      <c r="I30" s="1195">
        <f t="shared" si="11"/>
        <v>0.62079191256689581</v>
      </c>
      <c r="J30" s="1195">
        <f t="shared" si="12"/>
        <v>0.62154477719450751</v>
      </c>
      <c r="K30" s="1195">
        <f t="shared" si="13"/>
        <v>0</v>
      </c>
      <c r="L30" s="1195">
        <f t="shared" si="14"/>
        <v>0</v>
      </c>
      <c r="M30" s="1196">
        <f t="shared" si="15"/>
        <v>0</v>
      </c>
      <c r="N30" s="1194">
        <f>IF('Mkt Pen Veh-Mi'!N29=0,$N$5,($N$5-SUMPRODUCT(O30:S30,'Mkt Pen Veh-Mi'!O29:S29))/'Mkt Pen Veh-Mi'!N29)</f>
        <v>0.3974987760889841</v>
      </c>
      <c r="O30" s="1195">
        <f t="shared" si="16"/>
        <v>0.40503947078112862</v>
      </c>
      <c r="P30" s="1195">
        <f t="shared" si="17"/>
        <v>0.40389811612654664</v>
      </c>
      <c r="Q30" s="1195">
        <f t="shared" si="18"/>
        <v>0.39392645417792743</v>
      </c>
      <c r="R30" s="1195">
        <f t="shared" si="19"/>
        <v>0.23048370281811492</v>
      </c>
      <c r="S30" s="1196">
        <f t="shared" si="20"/>
        <v>0</v>
      </c>
    </row>
    <row r="31" spans="1:19" x14ac:dyDescent="0.2">
      <c r="A31" s="1191">
        <v>2028</v>
      </c>
      <c r="B31" s="1194">
        <f>IF('Mkt Pen Veh-Mi'!B30=0,$B$5,($B$5-SUMPRODUCT(C31:G31,'Mkt Pen Veh-Mi'!C30:G30))/'Mkt Pen Veh-Mi'!B30)</f>
        <v>0.2328833653117349</v>
      </c>
      <c r="C31" s="1195">
        <f t="shared" si="6"/>
        <v>0.24100501154620177</v>
      </c>
      <c r="D31" s="1195">
        <f t="shared" si="7"/>
        <v>0.2114619081265145</v>
      </c>
      <c r="E31" s="1195">
        <f t="shared" si="8"/>
        <v>0</v>
      </c>
      <c r="F31" s="1195">
        <f t="shared" si="9"/>
        <v>0</v>
      </c>
      <c r="G31" s="1196">
        <f t="shared" si="10"/>
        <v>0</v>
      </c>
      <c r="H31" s="1194">
        <f>IF('Mkt Pen Veh-Mi'!H30=0,$H$5,($H$5-SUMPRODUCT(I31:M31,'Mkt Pen Veh-Mi'!I30:M30))/'Mkt Pen Veh-Mi'!H30)</f>
        <v>0.59648142693806583</v>
      </c>
      <c r="I31" s="1195">
        <f t="shared" si="11"/>
        <v>0.62311663809680207</v>
      </c>
      <c r="J31" s="1195">
        <f t="shared" si="12"/>
        <v>0.62046481270739584</v>
      </c>
      <c r="K31" s="1195">
        <f t="shared" si="13"/>
        <v>0</v>
      </c>
      <c r="L31" s="1195">
        <f t="shared" si="14"/>
        <v>0</v>
      </c>
      <c r="M31" s="1196">
        <f t="shared" si="15"/>
        <v>0</v>
      </c>
      <c r="N31" s="1194">
        <f>IF('Mkt Pen Veh-Mi'!N30=0,$N$5,($N$5-SUMPRODUCT(O31:S31,'Mkt Pen Veh-Mi'!O30:S30))/'Mkt Pen Veh-Mi'!N30)</f>
        <v>0.39777949117065226</v>
      </c>
      <c r="O31" s="1195">
        <f t="shared" si="16"/>
        <v>0.40076136925732203</v>
      </c>
      <c r="P31" s="1195">
        <f t="shared" si="17"/>
        <v>0.40139646017112618</v>
      </c>
      <c r="Q31" s="1195">
        <f t="shared" si="18"/>
        <v>0.40194286813491464</v>
      </c>
      <c r="R31" s="1195">
        <f t="shared" si="19"/>
        <v>0.34217762585843176</v>
      </c>
      <c r="S31" s="1196">
        <f t="shared" si="20"/>
        <v>0</v>
      </c>
    </row>
    <row r="32" spans="1:19" x14ac:dyDescent="0.2">
      <c r="A32" s="1191">
        <v>2029</v>
      </c>
      <c r="B32" s="1194">
        <f>IF('Mkt Pen Veh-Mi'!B31=0,$B$5,($B$5-SUMPRODUCT(C32:G32,'Mkt Pen Veh-Mi'!C31:G31))/'Mkt Pen Veh-Mi'!B31)</f>
        <v>0.23205610699924503</v>
      </c>
      <c r="C32" s="1195">
        <f t="shared" si="6"/>
        <v>0.24020491703244692</v>
      </c>
      <c r="D32" s="1195">
        <f t="shared" si="7"/>
        <v>0.21300331414343648</v>
      </c>
      <c r="E32" s="1195">
        <f t="shared" si="8"/>
        <v>0</v>
      </c>
      <c r="F32" s="1195">
        <f t="shared" si="9"/>
        <v>0</v>
      </c>
      <c r="G32" s="1196">
        <f t="shared" si="10"/>
        <v>0</v>
      </c>
      <c r="H32" s="1194">
        <f>IF('Mkt Pen Veh-Mi'!H31=0,$H$5,($H$5-SUMPRODUCT(I32:M32,'Mkt Pen Veh-Mi'!I31:M31))/'Mkt Pen Veh-Mi'!H31)</f>
        <v>0.59179834377647</v>
      </c>
      <c r="I32" s="1195">
        <f t="shared" si="11"/>
        <v>0.62381762876836122</v>
      </c>
      <c r="J32" s="1195">
        <f t="shared" si="12"/>
        <v>0.62128032076242701</v>
      </c>
      <c r="K32" s="1195">
        <f t="shared" si="13"/>
        <v>0</v>
      </c>
      <c r="L32" s="1195">
        <f t="shared" si="14"/>
        <v>0</v>
      </c>
      <c r="M32" s="1196">
        <f t="shared" si="15"/>
        <v>0</v>
      </c>
      <c r="N32" s="1194">
        <f>IF('Mkt Pen Veh-Mi'!N31=0,$N$5,($N$5-SUMPRODUCT(O32:S32,'Mkt Pen Veh-Mi'!O31:S31))/'Mkt Pen Veh-Mi'!N31)</f>
        <v>0.39498491223701887</v>
      </c>
      <c r="O32" s="1195">
        <f t="shared" si="16"/>
        <v>0.40311805493464237</v>
      </c>
      <c r="P32" s="1195">
        <f t="shared" si="17"/>
        <v>0.40528170754576481</v>
      </c>
      <c r="Q32" s="1195">
        <f t="shared" si="18"/>
        <v>0.40499080423532352</v>
      </c>
      <c r="R32" s="1195">
        <f t="shared" si="19"/>
        <v>0.26329812703815592</v>
      </c>
      <c r="S32" s="1196">
        <f t="shared" si="20"/>
        <v>0</v>
      </c>
    </row>
    <row r="33" spans="1:19" x14ac:dyDescent="0.2">
      <c r="A33" s="1197">
        <v>2030</v>
      </c>
      <c r="B33" s="1198">
        <f>IF('Mkt Pen Veh-Mi'!B32=0,$B$5,($B$5-SUMPRODUCT(C33:G33,'Mkt Pen Veh-Mi'!C32:G32))/'Mkt Pen Veh-Mi'!B32)</f>
        <v>0.2325368127144869</v>
      </c>
      <c r="C33" s="1199">
        <f t="shared" si="6"/>
        <v>0.24121183443558067</v>
      </c>
      <c r="D33" s="1199">
        <f t="shared" si="7"/>
        <v>0.21220285344796883</v>
      </c>
      <c r="E33" s="1199">
        <f t="shared" si="8"/>
        <v>0</v>
      </c>
      <c r="F33" s="1199">
        <f t="shared" si="9"/>
        <v>0</v>
      </c>
      <c r="G33" s="1200">
        <f t="shared" si="10"/>
        <v>0</v>
      </c>
      <c r="H33" s="1198">
        <f>IF('Mkt Pen Veh-Mi'!H32=0,$H$5,($H$5-SUMPRODUCT(I33:M33,'Mkt Pen Veh-Mi'!I32:M32))/'Mkt Pen Veh-Mi'!H32)</f>
        <v>0.5956133335417596</v>
      </c>
      <c r="I33" s="1199">
        <f t="shared" si="11"/>
        <v>0.61944004403813868</v>
      </c>
      <c r="J33" s="1199">
        <f t="shared" si="12"/>
        <v>0.62109772672887753</v>
      </c>
      <c r="K33" s="1199">
        <f t="shared" si="13"/>
        <v>0</v>
      </c>
      <c r="L33" s="1199">
        <f t="shared" si="14"/>
        <v>0</v>
      </c>
      <c r="M33" s="1200">
        <f t="shared" si="15"/>
        <v>0</v>
      </c>
      <c r="N33" s="1198">
        <f>IF('Mkt Pen Veh-Mi'!N32=0,$N$5,($N$5-SUMPRODUCT(O33:S33,'Mkt Pen Veh-Mi'!O32:S32))/'Mkt Pen Veh-Mi'!N32)</f>
        <v>0.39327984324354387</v>
      </c>
      <c r="O33" s="1199">
        <f t="shared" si="16"/>
        <v>0.40873893043027898</v>
      </c>
      <c r="P33" s="1199">
        <f t="shared" si="17"/>
        <v>0.40725960744785328</v>
      </c>
      <c r="Q33" s="1199">
        <f t="shared" si="18"/>
        <v>0.402597888716204</v>
      </c>
      <c r="R33" s="1199">
        <f t="shared" si="19"/>
        <v>0.22645555583681812</v>
      </c>
      <c r="S33" s="1200">
        <f t="shared" si="20"/>
        <v>0</v>
      </c>
    </row>
    <row r="34" spans="1:19" x14ac:dyDescent="0.2">
      <c r="A34" s="1191">
        <v>2031</v>
      </c>
      <c r="B34" s="1201">
        <f>IF('Mkt Pen Veh-Mi'!B33=0,$B$5,($B$5-SUMPRODUCT(C34:G34,'Mkt Pen Veh-Mi'!C33:G33))/'Mkt Pen Veh-Mi'!B33)</f>
        <v>0.23299118766940238</v>
      </c>
      <c r="C34" s="1202">
        <f t="shared" si="6"/>
        <v>0.24168804319039028</v>
      </c>
      <c r="D34" s="1202">
        <f t="shared" si="7"/>
        <v>0.2113430359573415</v>
      </c>
      <c r="E34" s="1202">
        <f t="shared" si="8"/>
        <v>0</v>
      </c>
      <c r="F34" s="1202">
        <f t="shared" si="9"/>
        <v>0</v>
      </c>
      <c r="G34" s="1203">
        <f t="shared" si="10"/>
        <v>0</v>
      </c>
      <c r="H34" s="1201">
        <f>IF('Mkt Pen Veh-Mi'!H33=0,$H$5,($H$5-SUMPRODUCT(I34:M34,'Mkt Pen Veh-Mi'!I33:M33))/'Mkt Pen Veh-Mi'!H33)</f>
        <v>0.59583106677124942</v>
      </c>
      <c r="I34" s="1202">
        <f t="shared" si="11"/>
        <v>0.62014916185628643</v>
      </c>
      <c r="J34" s="1202">
        <f t="shared" si="12"/>
        <v>0.62014916185628632</v>
      </c>
      <c r="K34" s="1202">
        <f t="shared" si="13"/>
        <v>0</v>
      </c>
      <c r="L34" s="1202">
        <f t="shared" si="14"/>
        <v>0</v>
      </c>
      <c r="M34" s="1203">
        <f t="shared" si="15"/>
        <v>0</v>
      </c>
      <c r="N34" s="1201">
        <f>IF('Mkt Pen Veh-Mi'!N33=0,$N$5,($N$5-SUMPRODUCT(O34:S34,'Mkt Pen Veh-Mi'!O33:S33))/'Mkt Pen Veh-Mi'!N33)</f>
        <v>0.39341978267649186</v>
      </c>
      <c r="O34" s="1202">
        <f t="shared" si="16"/>
        <v>0.40339680113595061</v>
      </c>
      <c r="P34" s="1202">
        <f t="shared" si="17"/>
        <v>0.40926110021545198</v>
      </c>
      <c r="Q34" s="1202">
        <f t="shared" si="18"/>
        <v>0.40718220990036436</v>
      </c>
      <c r="R34" s="1202">
        <f t="shared" si="19"/>
        <v>0.23544145609890263</v>
      </c>
      <c r="S34" s="1203">
        <f t="shared" si="20"/>
        <v>0</v>
      </c>
    </row>
    <row r="35" spans="1:19" x14ac:dyDescent="0.2">
      <c r="A35" s="1191">
        <v>2032</v>
      </c>
      <c r="B35" s="1194">
        <f>IF('Mkt Pen Veh-Mi'!B34=0,$B$5,($B$5-SUMPRODUCT(C35:G35,'Mkt Pen Veh-Mi'!C34:G34))/'Mkt Pen Veh-Mi'!B34)</f>
        <v>0.2318928847240504</v>
      </c>
      <c r="C35" s="1195">
        <f t="shared" si="6"/>
        <v>0.2397325513962528</v>
      </c>
      <c r="D35" s="1195">
        <f t="shared" si="7"/>
        <v>0.21620766320480281</v>
      </c>
      <c r="E35" s="1195">
        <f t="shared" si="8"/>
        <v>0</v>
      </c>
      <c r="F35" s="1195">
        <f t="shared" si="9"/>
        <v>0</v>
      </c>
      <c r="G35" s="1196">
        <f t="shared" si="10"/>
        <v>0</v>
      </c>
      <c r="H35" s="1194">
        <f>IF('Mkt Pen Veh-Mi'!H34=0,$H$5,($H$5-SUMPRODUCT(I35:M35,'Mkt Pen Veh-Mi'!I34:M34))/'Mkt Pen Veh-Mi'!H34)</f>
        <v>0.60102524775762556</v>
      </c>
      <c r="I35" s="1195">
        <f t="shared" si="11"/>
        <v>0.61801373155658201</v>
      </c>
      <c r="J35" s="1195">
        <f t="shared" si="12"/>
        <v>0.619106756571975</v>
      </c>
      <c r="K35" s="1195">
        <f t="shared" si="13"/>
        <v>0.37999299827820182</v>
      </c>
      <c r="L35" s="1195">
        <f t="shared" si="14"/>
        <v>0</v>
      </c>
      <c r="M35" s="1196">
        <f t="shared" si="15"/>
        <v>0</v>
      </c>
      <c r="N35" s="1194">
        <f>IF('Mkt Pen Veh-Mi'!N34=0,$N$5,($N$5-SUMPRODUCT(O35:S35,'Mkt Pen Veh-Mi'!O34:S34))/'Mkt Pen Veh-Mi'!N34)</f>
        <v>0.39931751410826127</v>
      </c>
      <c r="O35" s="1195">
        <f t="shared" si="16"/>
        <v>0.40260316430078852</v>
      </c>
      <c r="P35" s="1195">
        <f t="shared" si="17"/>
        <v>0.39856988142370831</v>
      </c>
      <c r="Q35" s="1195">
        <f t="shared" si="18"/>
        <v>0.40517836922188993</v>
      </c>
      <c r="R35" s="1195">
        <f t="shared" si="19"/>
        <v>0.22982209548185567</v>
      </c>
      <c r="S35" s="1196">
        <f t="shared" si="20"/>
        <v>0</v>
      </c>
    </row>
    <row r="36" spans="1:19" x14ac:dyDescent="0.2">
      <c r="A36" s="1191">
        <v>2033</v>
      </c>
      <c r="B36" s="1194">
        <f>IF('Mkt Pen Veh-Mi'!B35=0,$B$5,($B$5-SUMPRODUCT(C36:G36,'Mkt Pen Veh-Mi'!C35:G35))/'Mkt Pen Veh-Mi'!B35)</f>
        <v>0.23875154645474539</v>
      </c>
      <c r="C36" s="1195">
        <f t="shared" si="6"/>
        <v>0.23836102530975553</v>
      </c>
      <c r="D36" s="1195">
        <f t="shared" si="7"/>
        <v>0.20776550327572824</v>
      </c>
      <c r="E36" s="1195">
        <f t="shared" si="8"/>
        <v>0</v>
      </c>
      <c r="F36" s="1195">
        <f t="shared" si="9"/>
        <v>0</v>
      </c>
      <c r="G36" s="1196">
        <f t="shared" si="10"/>
        <v>0</v>
      </c>
      <c r="H36" s="1194">
        <f>IF('Mkt Pen Veh-Mi'!H35=0,$H$5,($H$5-SUMPRODUCT(I36:M36,'Mkt Pen Veh-Mi'!I35:M35))/'Mkt Pen Veh-Mi'!H35)</f>
        <v>0.59554112544141802</v>
      </c>
      <c r="I36" s="1195">
        <f t="shared" si="11"/>
        <v>0.62019254745390517</v>
      </c>
      <c r="J36" s="1195">
        <f t="shared" si="12"/>
        <v>0.62019254745390517</v>
      </c>
      <c r="K36" s="1195">
        <f t="shared" si="13"/>
        <v>0.54124280899733934</v>
      </c>
      <c r="L36" s="1195">
        <f t="shared" si="14"/>
        <v>0</v>
      </c>
      <c r="M36" s="1196">
        <f t="shared" si="15"/>
        <v>0</v>
      </c>
      <c r="N36" s="1194">
        <f>IF('Mkt Pen Veh-Mi'!N35=0,$N$5,($N$5-SUMPRODUCT(O36:S36,'Mkt Pen Veh-Mi'!O35:S35))/'Mkt Pen Veh-Mi'!N35)</f>
        <v>0.39543319323571191</v>
      </c>
      <c r="O36" s="1195">
        <f t="shared" si="16"/>
        <v>0.40574610123971921</v>
      </c>
      <c r="P36" s="1195">
        <f t="shared" si="17"/>
        <v>0.40609346901195059</v>
      </c>
      <c r="Q36" s="1195">
        <f t="shared" si="18"/>
        <v>0.40523491226334574</v>
      </c>
      <c r="R36" s="1195">
        <f t="shared" si="19"/>
        <v>0.24599703585391799</v>
      </c>
      <c r="S36" s="1196">
        <f t="shared" si="20"/>
        <v>0</v>
      </c>
    </row>
    <row r="37" spans="1:19" x14ac:dyDescent="0.2">
      <c r="A37" s="1191">
        <v>2034</v>
      </c>
      <c r="B37" s="1194">
        <f>IF('Mkt Pen Veh-Mi'!B36=0,$B$5,($B$5-SUMPRODUCT(C37:G37,'Mkt Pen Veh-Mi'!C36:G36))/'Mkt Pen Veh-Mi'!B36)</f>
        <v>0.23765872386667919</v>
      </c>
      <c r="C37" s="1195">
        <f t="shared" si="6"/>
        <v>0.237744975466397</v>
      </c>
      <c r="D37" s="1195">
        <f t="shared" si="7"/>
        <v>0.2108402299729224</v>
      </c>
      <c r="E37" s="1195">
        <f t="shared" si="8"/>
        <v>0</v>
      </c>
      <c r="F37" s="1195">
        <f t="shared" si="9"/>
        <v>0</v>
      </c>
      <c r="G37" s="1196">
        <f t="shared" si="10"/>
        <v>0</v>
      </c>
      <c r="H37" s="1194">
        <f>IF('Mkt Pen Veh-Mi'!H36=0,$H$5,($H$5-SUMPRODUCT(I37:M37,'Mkt Pen Veh-Mi'!I36:M36))/'Mkt Pen Veh-Mi'!H36)</f>
        <v>0.59553430792170359</v>
      </c>
      <c r="I37" s="1195">
        <f t="shared" si="11"/>
        <v>0.62006991434464676</v>
      </c>
      <c r="J37" s="1195">
        <f t="shared" si="12"/>
        <v>0.62006991434464676</v>
      </c>
      <c r="K37" s="1195">
        <f t="shared" si="13"/>
        <v>0.60184868378642453</v>
      </c>
      <c r="L37" s="1195">
        <f t="shared" si="14"/>
        <v>0</v>
      </c>
      <c r="M37" s="1196">
        <f t="shared" si="15"/>
        <v>0</v>
      </c>
      <c r="N37" s="1194">
        <f>IF('Mkt Pen Veh-Mi'!N36=0,$N$5,($N$5-SUMPRODUCT(O37:S37,'Mkt Pen Veh-Mi'!O36:S36))/'Mkt Pen Veh-Mi'!N36)</f>
        <v>0.39747205069174879</v>
      </c>
      <c r="O37" s="1195">
        <f t="shared" si="16"/>
        <v>0.40406549235252087</v>
      </c>
      <c r="P37" s="1195">
        <f t="shared" si="17"/>
        <v>0.4036047471044622</v>
      </c>
      <c r="Q37" s="1195">
        <f t="shared" si="18"/>
        <v>0.40658449712292488</v>
      </c>
      <c r="R37" s="1195">
        <f t="shared" si="19"/>
        <v>0.24910073338927397</v>
      </c>
      <c r="S37" s="1196">
        <f t="shared" si="20"/>
        <v>0</v>
      </c>
    </row>
    <row r="38" spans="1:19" x14ac:dyDescent="0.2">
      <c r="A38" s="1197">
        <v>2035</v>
      </c>
      <c r="B38" s="1198">
        <f>IF('Mkt Pen Veh-Mi'!B37=0,$B$5,($B$5-SUMPRODUCT(C38:G38,'Mkt Pen Veh-Mi'!C37:G37))/'Mkt Pen Veh-Mi'!B37)</f>
        <v>0.23567996874223934</v>
      </c>
      <c r="C38" s="1199">
        <f t="shared" si="6"/>
        <v>0.23820107378041525</v>
      </c>
      <c r="D38" s="1199">
        <f t="shared" si="7"/>
        <v>0.21413330679795953</v>
      </c>
      <c r="E38" s="1199">
        <f t="shared" si="8"/>
        <v>0</v>
      </c>
      <c r="F38" s="1199">
        <f t="shared" si="9"/>
        <v>0</v>
      </c>
      <c r="G38" s="1200">
        <f t="shared" si="10"/>
        <v>0</v>
      </c>
      <c r="H38" s="1198">
        <f>IF('Mkt Pen Veh-Mi'!H37=0,$H$5,($H$5-SUMPRODUCT(I38:M38,'Mkt Pen Veh-Mi'!I37:M37))/'Mkt Pen Veh-Mi'!H37)</f>
        <v>0.59595634728121261</v>
      </c>
      <c r="I38" s="1199">
        <f t="shared" si="11"/>
        <v>0.61937278519233363</v>
      </c>
      <c r="J38" s="1199">
        <f t="shared" si="12"/>
        <v>0.61937278519233363</v>
      </c>
      <c r="K38" s="1199">
        <f t="shared" si="13"/>
        <v>0.62656484773256949</v>
      </c>
      <c r="L38" s="1199">
        <f t="shared" si="14"/>
        <v>0</v>
      </c>
      <c r="M38" s="1200">
        <f t="shared" si="15"/>
        <v>0</v>
      </c>
      <c r="N38" s="1198">
        <f>IF('Mkt Pen Veh-Mi'!N37=0,$N$5,($N$5-SUMPRODUCT(O38:S38,'Mkt Pen Veh-Mi'!O37:S37))/'Mkt Pen Veh-Mi'!N37)</f>
        <v>0.3974763333470952</v>
      </c>
      <c r="O38" s="1199">
        <f t="shared" si="16"/>
        <v>0.40877439333430521</v>
      </c>
      <c r="P38" s="1199">
        <f t="shared" si="17"/>
        <v>0.40246361712386269</v>
      </c>
      <c r="Q38" s="1199">
        <f t="shared" si="18"/>
        <v>0.40627543506594133</v>
      </c>
      <c r="R38" s="1199">
        <f t="shared" si="19"/>
        <v>0.25877310155535488</v>
      </c>
      <c r="S38" s="1200">
        <f t="shared" si="20"/>
        <v>0</v>
      </c>
    </row>
    <row r="39" spans="1:19" x14ac:dyDescent="0.2">
      <c r="A39" s="1191">
        <v>2036</v>
      </c>
      <c r="B39" s="1201">
        <f>IF('Mkt Pen Veh-Mi'!B38=0,$B$5,($B$5-SUMPRODUCT(C39:G39,'Mkt Pen Veh-Mi'!C38:G38))/'Mkt Pen Veh-Mi'!B38)</f>
        <v>0.24028745677616672</v>
      </c>
      <c r="C39" s="1202">
        <f t="shared" si="6"/>
        <v>0.25140561629812891</v>
      </c>
      <c r="D39" s="1202">
        <f t="shared" si="7"/>
        <v>0.20614224403563147</v>
      </c>
      <c r="E39" s="1202">
        <f t="shared" si="8"/>
        <v>0</v>
      </c>
      <c r="F39" s="1202">
        <f t="shared" si="9"/>
        <v>0</v>
      </c>
      <c r="G39" s="1203">
        <f t="shared" si="10"/>
        <v>0</v>
      </c>
      <c r="H39" s="1201">
        <f>IF('Mkt Pen Veh-Mi'!H38=0,$H$5,($H$5-SUMPRODUCT(I39:M39,'Mkt Pen Veh-Mi'!I38:M38))/'Mkt Pen Veh-Mi'!H38)</f>
        <v>0.60197942856930176</v>
      </c>
      <c r="I39" s="1202">
        <f t="shared" si="11"/>
        <v>0.61694261746944545</v>
      </c>
      <c r="J39" s="1202">
        <f t="shared" si="12"/>
        <v>0.61711318954716166</v>
      </c>
      <c r="K39" s="1202">
        <f t="shared" si="13"/>
        <v>0.63417380373910082</v>
      </c>
      <c r="L39" s="1202">
        <f t="shared" si="14"/>
        <v>0</v>
      </c>
      <c r="M39" s="1203">
        <f t="shared" si="15"/>
        <v>0</v>
      </c>
      <c r="N39" s="1201">
        <f>IF('Mkt Pen Veh-Mi'!N38=0,$N$5,($N$5-SUMPRODUCT(O39:S39,'Mkt Pen Veh-Mi'!O38:S38))/'Mkt Pen Veh-Mi'!N38)</f>
        <v>0.39515137072445128</v>
      </c>
      <c r="O39" s="1202">
        <f t="shared" si="16"/>
        <v>0.40489062209215704</v>
      </c>
      <c r="P39" s="1202">
        <f t="shared" si="17"/>
        <v>0.40836704749206365</v>
      </c>
      <c r="Q39" s="1202">
        <f t="shared" si="18"/>
        <v>0.4092712472810911</v>
      </c>
      <c r="R39" s="1202">
        <f t="shared" si="19"/>
        <v>0.26742412777015301</v>
      </c>
      <c r="S39" s="1203">
        <f t="shared" si="20"/>
        <v>0</v>
      </c>
    </row>
    <row r="40" spans="1:19" x14ac:dyDescent="0.2">
      <c r="A40" s="1191">
        <v>2037</v>
      </c>
      <c r="B40" s="1194">
        <f>IF('Mkt Pen Veh-Mi'!B39=0,$B$5,($B$5-SUMPRODUCT(C40:G40,'Mkt Pen Veh-Mi'!C39:G39))/'Mkt Pen Veh-Mi'!B39)</f>
        <v>0.24864519028071697</v>
      </c>
      <c r="C40" s="1195">
        <f t="shared" si="6"/>
        <v>0.22282523024833775</v>
      </c>
      <c r="D40" s="1195">
        <f t="shared" si="7"/>
        <v>0.21583311592028021</v>
      </c>
      <c r="E40" s="1195">
        <f t="shared" si="8"/>
        <v>0</v>
      </c>
      <c r="F40" s="1195">
        <f t="shared" si="9"/>
        <v>0</v>
      </c>
      <c r="G40" s="1196">
        <f t="shared" si="10"/>
        <v>0</v>
      </c>
      <c r="H40" s="1194">
        <f>IF('Mkt Pen Veh-Mi'!H39=0,$H$5,($H$5-SUMPRODUCT(I40:M40,'Mkt Pen Veh-Mi'!I39:M39))/'Mkt Pen Veh-Mi'!H39)</f>
        <v>0.59024495549530254</v>
      </c>
      <c r="I40" s="1195">
        <f t="shared" si="11"/>
        <v>0.62085922038629648</v>
      </c>
      <c r="J40" s="1195">
        <f t="shared" si="12"/>
        <v>0.61975784263161549</v>
      </c>
      <c r="K40" s="1195">
        <f t="shared" si="13"/>
        <v>0.6276992282216417</v>
      </c>
      <c r="L40" s="1195">
        <f t="shared" si="14"/>
        <v>0</v>
      </c>
      <c r="M40" s="1196">
        <f t="shared" si="15"/>
        <v>0</v>
      </c>
      <c r="N40" s="1194">
        <f>IF('Mkt Pen Veh-Mi'!N39=0,$N$5,($N$5-SUMPRODUCT(O40:S40,'Mkt Pen Veh-Mi'!O39:S39))/'Mkt Pen Veh-Mi'!N39)</f>
        <v>0.39480109856562079</v>
      </c>
      <c r="O40" s="1195">
        <f t="shared" si="16"/>
        <v>0.40641078456935742</v>
      </c>
      <c r="P40" s="1195">
        <f t="shared" si="17"/>
        <v>0.4098408385438882</v>
      </c>
      <c r="Q40" s="1195">
        <f t="shared" si="18"/>
        <v>0.40650814032694776</v>
      </c>
      <c r="R40" s="1195">
        <f t="shared" si="19"/>
        <v>0.26940598966730411</v>
      </c>
      <c r="S40" s="1196">
        <f t="shared" si="20"/>
        <v>0</v>
      </c>
    </row>
    <row r="41" spans="1:19" x14ac:dyDescent="0.2">
      <c r="A41" s="1191">
        <v>2038</v>
      </c>
      <c r="B41" s="1194">
        <f>IF('Mkt Pen Veh-Mi'!B40=0,$B$5,($B$5-SUMPRODUCT(C41:G41,'Mkt Pen Veh-Mi'!C40:G40))/'Mkt Pen Veh-Mi'!B40)</f>
        <v>0.25433556979125205</v>
      </c>
      <c r="C41" s="1195">
        <f t="shared" si="6"/>
        <v>0.21309855929968299</v>
      </c>
      <c r="D41" s="1195">
        <f t="shared" si="7"/>
        <v>0.21967093086358827</v>
      </c>
      <c r="E41" s="1195">
        <f t="shared" si="8"/>
        <v>0</v>
      </c>
      <c r="F41" s="1195">
        <f t="shared" si="9"/>
        <v>0</v>
      </c>
      <c r="G41" s="1196">
        <f t="shared" si="10"/>
        <v>0</v>
      </c>
      <c r="H41" s="1194">
        <f>IF('Mkt Pen Veh-Mi'!H40=0,$H$5,($H$5-SUMPRODUCT(I41:M41,'Mkt Pen Veh-Mi'!I40:M40))/'Mkt Pen Veh-Mi'!H40)</f>
        <v>0.59024478572642725</v>
      </c>
      <c r="I41" s="1195">
        <f t="shared" si="11"/>
        <v>0.62006709675846439</v>
      </c>
      <c r="J41" s="1195">
        <f t="shared" si="12"/>
        <v>0.62006709675846439</v>
      </c>
      <c r="K41" s="1195">
        <f t="shared" si="13"/>
        <v>0.62950565589764085</v>
      </c>
      <c r="L41" s="1195">
        <f t="shared" si="14"/>
        <v>0</v>
      </c>
      <c r="M41" s="1196">
        <f t="shared" si="15"/>
        <v>0</v>
      </c>
      <c r="N41" s="1194">
        <f>IF('Mkt Pen Veh-Mi'!N40=0,$N$5,($N$5-SUMPRODUCT(O41:S41,'Mkt Pen Veh-Mi'!O40:S40))/'Mkt Pen Veh-Mi'!N40)</f>
        <v>0.39479654702484818</v>
      </c>
      <c r="O41" s="1195">
        <f t="shared" si="16"/>
        <v>0.41241328420859158</v>
      </c>
      <c r="P41" s="1195">
        <f t="shared" si="17"/>
        <v>0.40515546764203614</v>
      </c>
      <c r="Q41" s="1195">
        <f t="shared" si="18"/>
        <v>0.40761471519495152</v>
      </c>
      <c r="R41" s="1195">
        <f t="shared" si="19"/>
        <v>0.2802717116879046</v>
      </c>
      <c r="S41" s="1196">
        <f t="shared" si="20"/>
        <v>0</v>
      </c>
    </row>
    <row r="42" spans="1:19" x14ac:dyDescent="0.2">
      <c r="A42" s="1191">
        <v>2039</v>
      </c>
      <c r="B42" s="1194">
        <f>IF('Mkt Pen Veh-Mi'!B41=0,$B$5,($B$5-SUMPRODUCT(C42:G42,'Mkt Pen Veh-Mi'!C41:G41))/'Mkt Pen Veh-Mi'!B41)</f>
        <v>0.26017310827920725</v>
      </c>
      <c r="C42" s="1195">
        <f t="shared" si="6"/>
        <v>0.21399143473708643</v>
      </c>
      <c r="D42" s="1195">
        <f t="shared" si="7"/>
        <v>0.21922393379449903</v>
      </c>
      <c r="E42" s="1195">
        <f t="shared" si="8"/>
        <v>0</v>
      </c>
      <c r="F42" s="1195">
        <f t="shared" si="9"/>
        <v>0</v>
      </c>
      <c r="G42" s="1196">
        <f t="shared" si="10"/>
        <v>0</v>
      </c>
      <c r="H42" s="1194">
        <f>IF('Mkt Pen Veh-Mi'!H41=0,$H$5,($H$5-SUMPRODUCT(I42:M42,'Mkt Pen Veh-Mi'!I41:M41))/'Mkt Pen Veh-Mi'!H41)</f>
        <v>0.59011140417559982</v>
      </c>
      <c r="I42" s="1195">
        <f t="shared" si="11"/>
        <v>0.62045842502552084</v>
      </c>
      <c r="J42" s="1195">
        <f t="shared" si="12"/>
        <v>0.62027307317753</v>
      </c>
      <c r="K42" s="1195">
        <f t="shared" si="13"/>
        <v>0.62485904309680718</v>
      </c>
      <c r="L42" s="1195">
        <f t="shared" si="14"/>
        <v>0</v>
      </c>
      <c r="M42" s="1196">
        <f t="shared" si="15"/>
        <v>0</v>
      </c>
      <c r="N42" s="1194">
        <f>IF('Mkt Pen Veh-Mi'!N41=0,$N$5,($N$5-SUMPRODUCT(O42:S42,'Mkt Pen Veh-Mi'!O41:S41))/'Mkt Pen Veh-Mi'!N41)</f>
        <v>0.39357336120732639</v>
      </c>
      <c r="O42" s="1195">
        <f t="shared" si="16"/>
        <v>0.40771189554795495</v>
      </c>
      <c r="P42" s="1195">
        <f t="shared" si="17"/>
        <v>0.40988954556805063</v>
      </c>
      <c r="Q42" s="1195">
        <f t="shared" si="18"/>
        <v>0.41098427843900465</v>
      </c>
      <c r="R42" s="1195">
        <f t="shared" si="19"/>
        <v>0.28756600270873484</v>
      </c>
      <c r="S42" s="1196">
        <f t="shared" si="20"/>
        <v>0</v>
      </c>
    </row>
    <row r="43" spans="1:19" x14ac:dyDescent="0.2">
      <c r="A43" s="1197">
        <v>2040</v>
      </c>
      <c r="B43" s="1198">
        <f>IF('Mkt Pen Veh-Mi'!B42=0,$B$5,($B$5-SUMPRODUCT(C43:G43,'Mkt Pen Veh-Mi'!C42:G42))/'Mkt Pen Veh-Mi'!B42)</f>
        <v>0.25911316630997649</v>
      </c>
      <c r="C43" s="1199">
        <f t="shared" si="6"/>
        <v>0.21776997783168928</v>
      </c>
      <c r="D43" s="1199">
        <f t="shared" si="7"/>
        <v>0.22177010904134967</v>
      </c>
      <c r="E43" s="1199">
        <f t="shared" si="8"/>
        <v>0</v>
      </c>
      <c r="F43" s="1199">
        <f t="shared" si="9"/>
        <v>0</v>
      </c>
      <c r="G43" s="1200">
        <f t="shared" si="10"/>
        <v>0</v>
      </c>
      <c r="H43" s="1220">
        <f>IF('Mkt Pen Veh-Mi'!H42=0,$H$5,($H$5-SUMPRODUCT(I43:M43,'Mkt Pen Veh-Mi'!I42:M42))/'Mkt Pen Veh-Mi'!H42)</f>
        <v>0.59011138101437965</v>
      </c>
      <c r="I43" s="1221">
        <f t="shared" si="11"/>
        <v>0.61888302202756607</v>
      </c>
      <c r="J43" s="1221">
        <f t="shared" si="12"/>
        <v>0.61869170331316248</v>
      </c>
      <c r="K43" s="1221">
        <f t="shared" si="13"/>
        <v>0.60815712561340007</v>
      </c>
      <c r="L43" s="1221">
        <f t="shared" si="14"/>
        <v>0</v>
      </c>
      <c r="M43" s="1222">
        <f t="shared" si="15"/>
        <v>0.98815537356569838</v>
      </c>
      <c r="N43" s="1194">
        <f>IF('Mkt Pen Veh-Mi'!N42=0,$N$5,($N$5-SUMPRODUCT(O43:S43,'Mkt Pen Veh-Mi'!O42:S42))/'Mkt Pen Veh-Mi'!N42)</f>
        <v>0.39357335491746653</v>
      </c>
      <c r="O43" s="1195">
        <f t="shared" si="16"/>
        <v>0.40788248435207242</v>
      </c>
      <c r="P43" s="1195">
        <f t="shared" si="17"/>
        <v>0.41002797958554543</v>
      </c>
      <c r="Q43" s="1195">
        <f t="shared" si="18"/>
        <v>0.4111994113436237</v>
      </c>
      <c r="R43" s="1195">
        <f t="shared" si="19"/>
        <v>0.3020796207985631</v>
      </c>
      <c r="S43" s="1196">
        <f t="shared" si="20"/>
        <v>2.7379363152781735E-2</v>
      </c>
    </row>
    <row r="44" spans="1:19" x14ac:dyDescent="0.2">
      <c r="A44" s="1191">
        <v>2041</v>
      </c>
      <c r="B44" s="1201">
        <f>IF('Mkt Pen Veh-Mi'!B43=0,$B$5,($B$5-SUMPRODUCT(C44:G44,'Mkt Pen Veh-Mi'!C43:G43))/'Mkt Pen Veh-Mi'!B43)</f>
        <v>0.26691439429992297</v>
      </c>
      <c r="C44" s="1202">
        <f t="shared" si="6"/>
        <v>0.21888069861757917</v>
      </c>
      <c r="D44" s="1202">
        <f t="shared" si="7"/>
        <v>0.2198812726690417</v>
      </c>
      <c r="E44" s="1202">
        <f t="shared" si="8"/>
        <v>0</v>
      </c>
      <c r="F44" s="1202">
        <f t="shared" si="9"/>
        <v>0.84659449537066278</v>
      </c>
      <c r="G44" s="1203">
        <f t="shared" si="10"/>
        <v>0</v>
      </c>
      <c r="H44" s="1201">
        <f>IF('Mkt Pen Veh-Mi'!H43=0,$H$5,($H$5-SUMPRODUCT(I44:M44,'Mkt Pen Veh-Mi'!I43:M43))/'Mkt Pen Veh-Mi'!H43)</f>
        <v>0.6006148636923222</v>
      </c>
      <c r="I44" s="1202">
        <f t="shared" si="11"/>
        <v>0.59141987481603464</v>
      </c>
      <c r="J44" s="1202">
        <f t="shared" si="12"/>
        <v>0.59143045321410714</v>
      </c>
      <c r="K44" s="1202">
        <f t="shared" si="13"/>
        <v>0.56737741213826032</v>
      </c>
      <c r="L44" s="1202">
        <f t="shared" si="14"/>
        <v>0</v>
      </c>
      <c r="M44" s="1203">
        <f t="shared" si="15"/>
        <v>0.99491287624028191</v>
      </c>
      <c r="N44" s="1201">
        <f>IF('Mkt Pen Veh-Mi'!N43=0,$N$5,($N$5-SUMPRODUCT(O44:S44,'Mkt Pen Veh-Mi'!O43:S43))/'Mkt Pen Veh-Mi'!N43)</f>
        <v>0.4003258767522298</v>
      </c>
      <c r="O44" s="1202">
        <f t="shared" si="16"/>
        <v>0.40429554157965264</v>
      </c>
      <c r="P44" s="1202">
        <f t="shared" si="17"/>
        <v>0.39954085787453042</v>
      </c>
      <c r="Q44" s="1202">
        <f t="shared" si="18"/>
        <v>0.41191693434000781</v>
      </c>
      <c r="R44" s="1202">
        <f t="shared" si="19"/>
        <v>0.31638497923214498</v>
      </c>
      <c r="S44" s="1203">
        <f t="shared" si="20"/>
        <v>0.15152833148407116</v>
      </c>
    </row>
    <row r="45" spans="1:19" x14ac:dyDescent="0.2">
      <c r="A45" s="1191">
        <v>2042</v>
      </c>
      <c r="B45" s="1194">
        <f>IF('Mkt Pen Veh-Mi'!B44=0,$B$5,($B$5-SUMPRODUCT(C45:G45,'Mkt Pen Veh-Mi'!C44:G44))/'Mkt Pen Veh-Mi'!B44)</f>
        <v>0.2585540042277088</v>
      </c>
      <c r="C45" s="1195">
        <f t="shared" si="6"/>
        <v>0.21835193933806682</v>
      </c>
      <c r="D45" s="1195">
        <f t="shared" si="7"/>
        <v>0.22575898240646028</v>
      </c>
      <c r="E45" s="1195">
        <f t="shared" si="8"/>
        <v>0</v>
      </c>
      <c r="F45" s="1195">
        <f t="shared" si="9"/>
        <v>0.94762009000357794</v>
      </c>
      <c r="G45" s="1196">
        <f t="shared" si="10"/>
        <v>0</v>
      </c>
      <c r="H45" s="1194">
        <f>IF('Mkt Pen Veh-Mi'!H44=0,$H$5,($H$5-SUMPRODUCT(I45:M45,'Mkt Pen Veh-Mi'!I44:M44))/'Mkt Pen Veh-Mi'!H44)</f>
        <v>0.59809367101139221</v>
      </c>
      <c r="I45" s="1195">
        <f t="shared" si="11"/>
        <v>0.56394813895329521</v>
      </c>
      <c r="J45" s="1195">
        <f t="shared" si="12"/>
        <v>0.56394813895329521</v>
      </c>
      <c r="K45" s="1195">
        <f t="shared" si="13"/>
        <v>0.54371616616944629</v>
      </c>
      <c r="L45" s="1195">
        <f t="shared" si="14"/>
        <v>0</v>
      </c>
      <c r="M45" s="1196">
        <f t="shared" si="15"/>
        <v>0.99339190547020739</v>
      </c>
      <c r="N45" s="1194">
        <f>IF('Mkt Pen Veh-Mi'!N44=0,$N$5,($N$5-SUMPRODUCT(O45:S45,'Mkt Pen Veh-Mi'!O44:S44))/'Mkt Pen Veh-Mi'!N44)</f>
        <v>0.39679500164478232</v>
      </c>
      <c r="O45" s="1195">
        <f t="shared" si="16"/>
        <v>0.40986512324813518</v>
      </c>
      <c r="P45" s="1195">
        <f t="shared" si="17"/>
        <v>0.40421049672682668</v>
      </c>
      <c r="Q45" s="1195">
        <f t="shared" si="18"/>
        <v>0.41095124420121071</v>
      </c>
      <c r="R45" s="1195">
        <f t="shared" si="19"/>
        <v>0.33753529483043077</v>
      </c>
      <c r="S45" s="1196">
        <f t="shared" si="20"/>
        <v>0.29689141680541387</v>
      </c>
    </row>
    <row r="46" spans="1:19" x14ac:dyDescent="0.2">
      <c r="A46" s="1191">
        <v>2043</v>
      </c>
      <c r="B46" s="1194">
        <f>IF('Mkt Pen Veh-Mi'!B45=0,$B$5,($B$5-SUMPRODUCT(C46:G46,'Mkt Pen Veh-Mi'!C45:G45))/'Mkt Pen Veh-Mi'!B45)</f>
        <v>0.26397895164744128</v>
      </c>
      <c r="C46" s="1195">
        <f t="shared" si="6"/>
        <v>0.21789680565004393</v>
      </c>
      <c r="D46" s="1195">
        <f t="shared" si="7"/>
        <v>0.22096047112760292</v>
      </c>
      <c r="E46" s="1195">
        <f t="shared" si="8"/>
        <v>0</v>
      </c>
      <c r="F46" s="1195">
        <f t="shared" si="9"/>
        <v>0.92661530462652597</v>
      </c>
      <c r="G46" s="1196">
        <f t="shared" si="10"/>
        <v>0</v>
      </c>
      <c r="H46" s="1194">
        <f>IF('Mkt Pen Veh-Mi'!H45=0,$H$5,($H$5-SUMPRODUCT(I46:M46,'Mkt Pen Veh-Mi'!I45:M45))/'Mkt Pen Veh-Mi'!H45)</f>
        <v>0.59645392341613679</v>
      </c>
      <c r="I46" s="1195">
        <f t="shared" si="11"/>
        <v>0.55278498752509508</v>
      </c>
      <c r="J46" s="1195">
        <f t="shared" si="12"/>
        <v>0.55324369108630267</v>
      </c>
      <c r="K46" s="1195">
        <f t="shared" si="13"/>
        <v>0.54012992150667782</v>
      </c>
      <c r="L46" s="1195">
        <f t="shared" si="14"/>
        <v>6.914942397931699E-2</v>
      </c>
      <c r="M46" s="1196">
        <f t="shared" si="15"/>
        <v>0.98949752675516689</v>
      </c>
      <c r="N46" s="1194">
        <f>IF('Mkt Pen Veh-Mi'!N45=0,$N$5,($N$5-SUMPRODUCT(O46:S46,'Mkt Pen Veh-Mi'!O45:S45))/'Mkt Pen Veh-Mi'!N45)</f>
        <v>0.39680891341904478</v>
      </c>
      <c r="O46" s="1195">
        <f t="shared" si="16"/>
        <v>0.4032736090386615</v>
      </c>
      <c r="P46" s="1195">
        <f t="shared" si="17"/>
        <v>0.40594840258880072</v>
      </c>
      <c r="Q46" s="1195">
        <f t="shared" si="18"/>
        <v>0.41027482660907072</v>
      </c>
      <c r="R46" s="1195">
        <f t="shared" si="19"/>
        <v>0.36918161310581205</v>
      </c>
      <c r="S46" s="1196">
        <f t="shared" si="20"/>
        <v>0.35515700726810501</v>
      </c>
    </row>
    <row r="47" spans="1:19" x14ac:dyDescent="0.2">
      <c r="A47" s="1191">
        <v>2044</v>
      </c>
      <c r="B47" s="1194">
        <f>IF('Mkt Pen Veh-Mi'!B46=0,$B$5,($B$5-SUMPRODUCT(C47:G47,'Mkt Pen Veh-Mi'!C46:G46))/'Mkt Pen Veh-Mi'!B46)</f>
        <v>0.2604252503092444</v>
      </c>
      <c r="C47" s="1195">
        <f t="shared" si="6"/>
        <v>0.21591913857432576</v>
      </c>
      <c r="D47" s="1195">
        <f t="shared" si="7"/>
        <v>0.21818980426313805</v>
      </c>
      <c r="E47" s="1195">
        <f t="shared" si="8"/>
        <v>0</v>
      </c>
      <c r="F47" s="1195">
        <f t="shared" si="9"/>
        <v>0.91860617471736228</v>
      </c>
      <c r="G47" s="1196">
        <f t="shared" si="10"/>
        <v>0</v>
      </c>
      <c r="H47" s="1194">
        <f>IF('Mkt Pen Veh-Mi'!H46=0,$H$5,($H$5-SUMPRODUCT(I47:M47,'Mkt Pen Veh-Mi'!I46:M46))/'Mkt Pen Veh-Mi'!H46)</f>
        <v>0.5995124368183915</v>
      </c>
      <c r="I47" s="1195">
        <f t="shared" si="11"/>
        <v>0.5462240327637814</v>
      </c>
      <c r="J47" s="1195">
        <f t="shared" si="12"/>
        <v>0.5462240327637814</v>
      </c>
      <c r="K47" s="1195">
        <f t="shared" si="13"/>
        <v>0.53786403052677179</v>
      </c>
      <c r="L47" s="1195">
        <f t="shared" si="14"/>
        <v>0.3248272133309596</v>
      </c>
      <c r="M47" s="1196">
        <f t="shared" si="15"/>
        <v>0.987116332758881</v>
      </c>
      <c r="N47" s="1194">
        <f>IF('Mkt Pen Veh-Mi'!N46=0,$N$5,($N$5-SUMPRODUCT(O47:S47,'Mkt Pen Veh-Mi'!O46:S46))/'Mkt Pen Veh-Mi'!N46)</f>
        <v>0.3941975314351433</v>
      </c>
      <c r="O47" s="1195">
        <f t="shared" si="16"/>
        <v>0.4070097481280977</v>
      </c>
      <c r="P47" s="1195">
        <f t="shared" si="17"/>
        <v>0.40860404187107657</v>
      </c>
      <c r="Q47" s="1195">
        <f t="shared" si="18"/>
        <v>0.40700340739839008</v>
      </c>
      <c r="R47" s="1195">
        <f t="shared" si="19"/>
        <v>0.37586517103284772</v>
      </c>
      <c r="S47" s="1196">
        <f t="shared" si="20"/>
        <v>0.39370342058177937</v>
      </c>
    </row>
    <row r="48" spans="1:19" x14ac:dyDescent="0.2">
      <c r="A48" s="1197">
        <v>2045</v>
      </c>
      <c r="B48" s="1198">
        <f>IF('Mkt Pen Veh-Mi'!B47=0,$B$5,($B$5-SUMPRODUCT(C48:G48,'Mkt Pen Veh-Mi'!C47:G47))/'Mkt Pen Veh-Mi'!B47)</f>
        <v>0.24979558310783509</v>
      </c>
      <c r="C48" s="1199">
        <f t="shared" si="6"/>
        <v>0.2110936615034027</v>
      </c>
      <c r="D48" s="1199">
        <f t="shared" si="7"/>
        <v>0.21788614915431515</v>
      </c>
      <c r="E48" s="1199">
        <f t="shared" si="8"/>
        <v>3.3772089165973608E-2</v>
      </c>
      <c r="F48" s="1199">
        <f t="shared" si="9"/>
        <v>0.88171447153182869</v>
      </c>
      <c r="G48" s="1200">
        <f t="shared" si="10"/>
        <v>0</v>
      </c>
      <c r="H48" s="1198">
        <f>IF('Mkt Pen Veh-Mi'!H47=0,$H$5,($H$5-SUMPRODUCT(I48:M48,'Mkt Pen Veh-Mi'!I47:M47))/'Mkt Pen Veh-Mi'!H47)</f>
        <v>0.48619873773972139</v>
      </c>
      <c r="I48" s="1199">
        <f t="shared" si="11"/>
        <v>0.56276372659659113</v>
      </c>
      <c r="J48" s="1199">
        <f t="shared" si="12"/>
        <v>0.56312936504767908</v>
      </c>
      <c r="K48" s="1199">
        <f t="shared" si="13"/>
        <v>0.55708020232248978</v>
      </c>
      <c r="L48" s="1199">
        <f t="shared" si="14"/>
        <v>0.48971661969639174</v>
      </c>
      <c r="M48" s="1200">
        <f t="shared" si="15"/>
        <v>0.98132806703888198</v>
      </c>
      <c r="N48" s="1198">
        <f>IF('Mkt Pen Veh-Mi'!N47=0,$N$5,($N$5-SUMPRODUCT(O48:S48,'Mkt Pen Veh-Mi'!O47:S47))/'Mkt Pen Veh-Mi'!N47)</f>
        <v>0.39558980724123466</v>
      </c>
      <c r="O48" s="1199">
        <f t="shared" si="16"/>
        <v>0.40848224481396012</v>
      </c>
      <c r="P48" s="1199">
        <f t="shared" si="17"/>
        <v>0.40248208595134327</v>
      </c>
      <c r="Q48" s="1199">
        <f t="shared" si="18"/>
        <v>0.40755243899534832</v>
      </c>
      <c r="R48" s="1199">
        <f t="shared" si="19"/>
        <v>0.38089290711584195</v>
      </c>
      <c r="S48" s="1200">
        <f t="shared" si="20"/>
        <v>0.40564806643538986</v>
      </c>
    </row>
    <row r="49" spans="1:19" x14ac:dyDescent="0.2">
      <c r="A49" s="1191">
        <v>2046</v>
      </c>
      <c r="B49" s="1201">
        <f>IF('Mkt Pen Veh-Mi'!B48=0,$B$5,($B$5-SUMPRODUCT(C49:G49,'Mkt Pen Veh-Mi'!C48:G48))/'Mkt Pen Veh-Mi'!B48)</f>
        <v>0.25076780622533784</v>
      </c>
      <c r="C49" s="1202">
        <f t="shared" si="6"/>
        <v>0.20619950624039071</v>
      </c>
      <c r="D49" s="1202">
        <f t="shared" si="7"/>
        <v>0.21375894891417027</v>
      </c>
      <c r="E49" s="1202">
        <f t="shared" si="8"/>
        <v>9.161015505885356E-2</v>
      </c>
      <c r="F49" s="1202">
        <f t="shared" si="9"/>
        <v>0.83636551519337521</v>
      </c>
      <c r="G49" s="1203">
        <f t="shared" si="10"/>
        <v>0</v>
      </c>
      <c r="H49" s="1201">
        <f>IF('Mkt Pen Veh-Mi'!H48=0,$H$5,($H$5-SUMPRODUCT(I49:M49,'Mkt Pen Veh-Mi'!I48:M48))/'Mkt Pen Veh-Mi'!H48)</f>
        <v>0.43600456493157891</v>
      </c>
      <c r="I49" s="1202">
        <f t="shared" si="11"/>
        <v>0.56869038621424228</v>
      </c>
      <c r="J49" s="1202">
        <f t="shared" si="12"/>
        <v>0.56812599611608727</v>
      </c>
      <c r="K49" s="1202">
        <f t="shared" si="13"/>
        <v>0.56120410451532132</v>
      </c>
      <c r="L49" s="1202">
        <f t="shared" si="14"/>
        <v>0.52515977895252286</v>
      </c>
      <c r="M49" s="1203">
        <f t="shared" si="15"/>
        <v>0.97195917685799793</v>
      </c>
      <c r="N49" s="1201">
        <f>IF('Mkt Pen Veh-Mi'!N48=0,$N$5,($N$5-SUMPRODUCT(O49:S49,'Mkt Pen Veh-Mi'!O48:S48))/'Mkt Pen Veh-Mi'!N48)</f>
        <v>0.395589807230385</v>
      </c>
      <c r="O49" s="1202">
        <f t="shared" si="16"/>
        <v>0.40884582475518311</v>
      </c>
      <c r="P49" s="1202">
        <f t="shared" si="17"/>
        <v>0.40354895373496119</v>
      </c>
      <c r="Q49" s="1202">
        <f t="shared" si="18"/>
        <v>0.40714969165161696</v>
      </c>
      <c r="R49" s="1202">
        <f t="shared" si="19"/>
        <v>0.3760033341384087</v>
      </c>
      <c r="S49" s="1203">
        <f t="shared" si="20"/>
        <v>0.41342089594183035</v>
      </c>
    </row>
    <row r="50" spans="1:19" x14ac:dyDescent="0.2">
      <c r="A50" s="1191">
        <v>2047</v>
      </c>
      <c r="B50" s="1194">
        <f>IF('Mkt Pen Veh-Mi'!B49=0,$B$5,($B$5-SUMPRODUCT(C50:G50,'Mkt Pen Veh-Mi'!C49:G49))/'Mkt Pen Veh-Mi'!B49)</f>
        <v>0.26219441307862434</v>
      </c>
      <c r="C50" s="1195">
        <f t="shared" si="6"/>
        <v>0.2009530838564669</v>
      </c>
      <c r="D50" s="1195">
        <f t="shared" si="7"/>
        <v>0.20529092591940723</v>
      </c>
      <c r="E50" s="1195">
        <f t="shared" si="8"/>
        <v>0.12303291520909325</v>
      </c>
      <c r="F50" s="1195">
        <f t="shared" si="9"/>
        <v>0.77948723463953218</v>
      </c>
      <c r="G50" s="1196">
        <f t="shared" si="10"/>
        <v>0</v>
      </c>
      <c r="H50" s="1194">
        <f>IF('Mkt Pen Veh-Mi'!H49=0,$H$5,($H$5-SUMPRODUCT(I50:M50,'Mkt Pen Veh-Mi'!I49:M49))/'Mkt Pen Veh-Mi'!H49)</f>
        <v>0.3649923404710852</v>
      </c>
      <c r="I50" s="1195">
        <f t="shared" si="11"/>
        <v>0.57437456372318629</v>
      </c>
      <c r="J50" s="1195">
        <f t="shared" si="12"/>
        <v>0.57402487694811855</v>
      </c>
      <c r="K50" s="1195">
        <f t="shared" si="13"/>
        <v>0.56610390605478933</v>
      </c>
      <c r="L50" s="1195">
        <f t="shared" si="14"/>
        <v>0.55809366659668036</v>
      </c>
      <c r="M50" s="1196">
        <f t="shared" si="15"/>
        <v>0.95959474233580233</v>
      </c>
      <c r="N50" s="1194">
        <f>IF('Mkt Pen Veh-Mi'!N49=0,$N$5,($N$5-SUMPRODUCT(O50:S50,'Mkt Pen Veh-Mi'!O49:S49))/'Mkt Pen Veh-Mi'!N49)</f>
        <v>0.39558124076290108</v>
      </c>
      <c r="O50" s="1195">
        <f t="shared" si="16"/>
        <v>0.40002964634308658</v>
      </c>
      <c r="P50" s="1195">
        <f t="shared" si="17"/>
        <v>0.40640248023139391</v>
      </c>
      <c r="Q50" s="1195">
        <f t="shared" si="18"/>
        <v>0.40611098768845111</v>
      </c>
      <c r="R50" s="1195">
        <f t="shared" si="19"/>
        <v>0.38928214399954114</v>
      </c>
      <c r="S50" s="1196">
        <f t="shared" si="20"/>
        <v>0.40810013838536213</v>
      </c>
    </row>
    <row r="51" spans="1:19" x14ac:dyDescent="0.2">
      <c r="A51" s="1191">
        <v>2048</v>
      </c>
      <c r="B51" s="1194">
        <f>IF('Mkt Pen Veh-Mi'!B50=0,$B$5,($B$5-SUMPRODUCT(C51:G51,'Mkt Pen Veh-Mi'!C50:G50))/'Mkt Pen Veh-Mi'!B50)</f>
        <v>0.26322958132501956</v>
      </c>
      <c r="C51" s="1195">
        <f t="shared" si="6"/>
        <v>0.1956314920229639</v>
      </c>
      <c r="D51" s="1195">
        <f t="shared" si="7"/>
        <v>0.20116322594336408</v>
      </c>
      <c r="E51" s="1195">
        <f t="shared" si="8"/>
        <v>0.14126028785751946</v>
      </c>
      <c r="F51" s="1195">
        <f t="shared" si="9"/>
        <v>0.75037398917425235</v>
      </c>
      <c r="G51" s="1196">
        <f t="shared" si="10"/>
        <v>0</v>
      </c>
      <c r="H51" s="1194">
        <f>IF('Mkt Pen Veh-Mi'!H50=0,$H$5,($H$5-SUMPRODUCT(I51:M51,'Mkt Pen Veh-Mi'!I50:M50))/'Mkt Pen Veh-Mi'!H50)</f>
        <v>0.3034514324563663</v>
      </c>
      <c r="I51" s="1195">
        <f t="shared" si="11"/>
        <v>0.57513246648320016</v>
      </c>
      <c r="J51" s="1195">
        <f t="shared" si="12"/>
        <v>0.57513246648320004</v>
      </c>
      <c r="K51" s="1195">
        <f t="shared" si="13"/>
        <v>0.57275047658548417</v>
      </c>
      <c r="L51" s="1195">
        <f t="shared" si="14"/>
        <v>0.56552719959887998</v>
      </c>
      <c r="M51" s="1196">
        <f t="shared" si="15"/>
        <v>0.95151563442730924</v>
      </c>
      <c r="N51" s="1194">
        <f>IF('Mkt Pen Veh-Mi'!N50=0,$N$5,($N$5-SUMPRODUCT(O51:S51,'Mkt Pen Veh-Mi'!O50:S50))/'Mkt Pen Veh-Mi'!N50)</f>
        <v>0.39554359902907882</v>
      </c>
      <c r="O51" s="1195">
        <f t="shared" si="16"/>
        <v>0.4041466804250689</v>
      </c>
      <c r="P51" s="1195">
        <f t="shared" si="17"/>
        <v>0.40336197144976049</v>
      </c>
      <c r="Q51" s="1195">
        <f t="shared" si="18"/>
        <v>0.40138809028208883</v>
      </c>
      <c r="R51" s="1195">
        <f t="shared" si="19"/>
        <v>0.39364643976978347</v>
      </c>
      <c r="S51" s="1196">
        <f t="shared" si="20"/>
        <v>0.40973079464224393</v>
      </c>
    </row>
    <row r="52" spans="1:19" x14ac:dyDescent="0.2">
      <c r="A52" s="1191">
        <v>2049</v>
      </c>
      <c r="B52" s="1194">
        <f>IF('Mkt Pen Veh-Mi'!B51=0,$B$5,($B$5-SUMPRODUCT(C52:G52,'Mkt Pen Veh-Mi'!C51:G51))/'Mkt Pen Veh-Mi'!B51)</f>
        <v>0.26284240740374293</v>
      </c>
      <c r="C52" s="1195">
        <f t="shared" si="6"/>
        <v>0.19256596868906295</v>
      </c>
      <c r="D52" s="1195">
        <f t="shared" si="7"/>
        <v>0.19842570231756804</v>
      </c>
      <c r="E52" s="1195">
        <f t="shared" si="8"/>
        <v>0.156365577600168</v>
      </c>
      <c r="F52" s="1195">
        <f t="shared" si="9"/>
        <v>0.68205306102761631</v>
      </c>
      <c r="G52" s="1196">
        <f t="shared" si="10"/>
        <v>0</v>
      </c>
      <c r="H52" s="1194">
        <f>IF('Mkt Pen Veh-Mi'!H51=0,$H$5,($H$5-SUMPRODUCT(I52:M52,'Mkt Pen Veh-Mi'!I51:M51))/'Mkt Pen Veh-Mi'!H51)</f>
        <v>0.25052627094383312</v>
      </c>
      <c r="I52" s="1195">
        <f t="shared" si="11"/>
        <v>0.57949964225022077</v>
      </c>
      <c r="J52" s="1195">
        <f t="shared" si="12"/>
        <v>0.57996119191914675</v>
      </c>
      <c r="K52" s="1195">
        <f t="shared" si="13"/>
        <v>0.57484657579262444</v>
      </c>
      <c r="L52" s="1195">
        <f t="shared" si="14"/>
        <v>0.5796339170406456</v>
      </c>
      <c r="M52" s="1196">
        <f t="shared" si="15"/>
        <v>0.93325080683437056</v>
      </c>
      <c r="N52" s="1194">
        <f>IF('Mkt Pen Veh-Mi'!N51=0,$N$5,($N$5-SUMPRODUCT(O52:S52,'Mkt Pen Veh-Mi'!O51:S51))/'Mkt Pen Veh-Mi'!N51)</f>
        <v>0.39556605278964957</v>
      </c>
      <c r="O52" s="1195">
        <f t="shared" si="16"/>
        <v>0.40500122731969718</v>
      </c>
      <c r="P52" s="1195">
        <f t="shared" si="17"/>
        <v>0.4043935881995579</v>
      </c>
      <c r="Q52" s="1195">
        <f t="shared" si="18"/>
        <v>0.40134532185727806</v>
      </c>
      <c r="R52" s="1195">
        <f t="shared" si="19"/>
        <v>0.39318541775308519</v>
      </c>
      <c r="S52" s="1196">
        <f t="shared" si="20"/>
        <v>0.40590775193464929</v>
      </c>
    </row>
    <row r="53" spans="1:19" ht="16" thickBot="1" x14ac:dyDescent="0.25">
      <c r="A53" s="1204">
        <v>2050</v>
      </c>
      <c r="B53" s="1205">
        <f>IF('Mkt Pen Veh-Mi'!B52=0,$B$5,($B$5-SUMPRODUCT(C53:G53,'Mkt Pen Veh-Mi'!C52:G52))/'Mkt Pen Veh-Mi'!B52)</f>
        <v>0.26275055789079438</v>
      </c>
      <c r="C53" s="1206">
        <f t="shared" si="6"/>
        <v>0.18881979314526995</v>
      </c>
      <c r="D53" s="1206">
        <f t="shared" si="7"/>
        <v>0.19467672950044457</v>
      </c>
      <c r="E53" s="1206">
        <f t="shared" si="8"/>
        <v>0.16962358702620725</v>
      </c>
      <c r="F53" s="1206">
        <f t="shared" si="9"/>
        <v>0.64757155947652489</v>
      </c>
      <c r="G53" s="1207">
        <f t="shared" si="10"/>
        <v>0</v>
      </c>
      <c r="H53" s="1205">
        <f>IF('Mkt Pen Veh-Mi'!H52=0,$H$5,($H$5-SUMPRODUCT(I53:M53,'Mkt Pen Veh-Mi'!I52:M52))/'Mkt Pen Veh-Mi'!H52)</f>
        <v>0.18757982011335786</v>
      </c>
      <c r="I53" s="1206">
        <f t="shared" si="11"/>
        <v>0.58098755196048346</v>
      </c>
      <c r="J53" s="1206">
        <f t="shared" si="12"/>
        <v>0.58098755196048357</v>
      </c>
      <c r="K53" s="1206">
        <f t="shared" si="13"/>
        <v>0.57996073813255777</v>
      </c>
      <c r="L53" s="1206">
        <f t="shared" si="14"/>
        <v>0.58468049540166078</v>
      </c>
      <c r="M53" s="1207">
        <f t="shared" si="15"/>
        <v>0.92210624854988144</v>
      </c>
      <c r="N53" s="1205">
        <f>IF('Mkt Pen Veh-Mi'!N52=0,$N$5,($N$5-SUMPRODUCT(O53:S53,'Mkt Pen Veh-Mi'!O52:S52))/'Mkt Pen Veh-Mi'!N52)</f>
        <v>0.39686362990324553</v>
      </c>
      <c r="O53" s="1206">
        <f t="shared" si="16"/>
        <v>0.4059026811119868</v>
      </c>
      <c r="P53" s="1206">
        <f t="shared" si="17"/>
        <v>0.40454230688398807</v>
      </c>
      <c r="Q53" s="1206">
        <f t="shared" si="18"/>
        <v>0.40164846647165153</v>
      </c>
      <c r="R53" s="1206">
        <f t="shared" si="19"/>
        <v>0.38697214464748103</v>
      </c>
      <c r="S53" s="1207">
        <f t="shared" si="20"/>
        <v>0.40267245993039208</v>
      </c>
    </row>
    <row r="55" spans="1:19" x14ac:dyDescent="0.2">
      <c r="K55" s="1176">
        <f>MATCH($A53,$A$10:$A$53,0)</f>
        <v>44</v>
      </c>
    </row>
    <row r="56" spans="1:19" x14ac:dyDescent="0.2">
      <c r="K56" s="1176">
        <f>ROWS(Cls2TechCCentShr)</f>
        <v>44</v>
      </c>
    </row>
  </sheetData>
  <mergeCells count="9">
    <mergeCell ref="B4:G4"/>
    <mergeCell ref="H4:M4"/>
    <mergeCell ref="N4:S4"/>
    <mergeCell ref="B6:G6"/>
    <mergeCell ref="H6:M6"/>
    <mergeCell ref="N6:S6"/>
    <mergeCell ref="N5:S5"/>
    <mergeCell ref="H5:M5"/>
    <mergeCell ref="B5:G5"/>
  </mergeCells>
  <conditionalFormatting sqref="B7:S53">
    <cfRule type="expression" dxfId="18" priority="1">
      <formula>B$8="not used"</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Fuel2Shr">
    <tabColor rgb="FF008000"/>
  </sheetPr>
  <dimension ref="A1:S53"/>
  <sheetViews>
    <sheetView showZeros="0" zoomScale="70" zoomScaleNormal="70" workbookViewId="0">
      <selection activeCell="B8" sqref="B8"/>
    </sheetView>
  </sheetViews>
  <sheetFormatPr baseColWidth="10" defaultColWidth="9.1640625" defaultRowHeight="15" x14ac:dyDescent="0.2"/>
  <cols>
    <col min="1" max="1" width="9.1640625" style="1176"/>
    <col min="2" max="19" width="13.5" style="1176" customWidth="1"/>
    <col min="20" max="16384" width="9.1640625" style="1176"/>
  </cols>
  <sheetData>
    <row r="1" spans="1:19" ht="16" x14ac:dyDescent="0.2">
      <c r="A1" s="1208" t="s">
        <v>315</v>
      </c>
    </row>
    <row r="3" spans="1:19" ht="16" thickBot="1" x14ac:dyDescent="0.25"/>
    <row r="4" spans="1:19" x14ac:dyDescent="0.2">
      <c r="A4" s="1177"/>
      <c r="B4" s="1612" t="s">
        <v>249</v>
      </c>
      <c r="C4" s="1613"/>
      <c r="D4" s="1613"/>
      <c r="E4" s="1613"/>
      <c r="F4" s="1613"/>
      <c r="G4" s="1614"/>
      <c r="H4" s="1612" t="s">
        <v>250</v>
      </c>
      <c r="I4" s="1613"/>
      <c r="J4" s="1613"/>
      <c r="K4" s="1613"/>
      <c r="L4" s="1613"/>
      <c r="M4" s="1614"/>
      <c r="N4" s="1612" t="s">
        <v>154</v>
      </c>
      <c r="O4" s="1613"/>
      <c r="P4" s="1613"/>
      <c r="Q4" s="1613"/>
      <c r="R4" s="1613"/>
      <c r="S4" s="1614"/>
    </row>
    <row r="5" spans="1:19" x14ac:dyDescent="0.2">
      <c r="A5" s="1178"/>
      <c r="B5" s="1615" t="s">
        <v>129</v>
      </c>
      <c r="C5" s="1616"/>
      <c r="D5" s="1616"/>
      <c r="E5" s="1616"/>
      <c r="F5" s="1616"/>
      <c r="G5" s="1617"/>
      <c r="H5" s="1615" t="s">
        <v>129</v>
      </c>
      <c r="I5" s="1616"/>
      <c r="J5" s="1616"/>
      <c r="K5" s="1616"/>
      <c r="L5" s="1616"/>
      <c r="M5" s="1617"/>
      <c r="N5" s="1615" t="s">
        <v>129</v>
      </c>
      <c r="O5" s="1616"/>
      <c r="P5" s="1616"/>
      <c r="Q5" s="1616"/>
      <c r="R5" s="1616"/>
      <c r="S5" s="1617"/>
    </row>
    <row r="6" spans="1:19"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ISG</v>
      </c>
      <c r="K7" s="1184" t="str">
        <f t="shared" si="1"/>
        <v>PHEV</v>
      </c>
      <c r="L7" s="1184" t="str">
        <f t="shared" si="1"/>
        <v>BEV</v>
      </c>
      <c r="M7" s="1185" t="str">
        <f t="shared" si="1"/>
        <v>FCHEV</v>
      </c>
      <c r="N7" s="1183" t="str">
        <f t="shared" ref="N7:S7" si="2">INDEX(TECH_OPT_DESC_Cls3,MATCH(N6,TECH_OPT_ROWS_Cls3,0))</f>
        <v>Conventional Diesel ICE</v>
      </c>
      <c r="O7" s="1184" t="str">
        <f t="shared" si="2"/>
        <v>Adv Conv</v>
      </c>
      <c r="P7" s="1184" t="str">
        <f t="shared" si="2"/>
        <v>ISG</v>
      </c>
      <c r="Q7" s="1184" t="str">
        <f t="shared" si="2"/>
        <v>HEV</v>
      </c>
      <c r="R7" s="1184" t="str">
        <f t="shared" si="2"/>
        <v>PHEV</v>
      </c>
      <c r="S7" s="1185" t="str">
        <f t="shared" si="2"/>
        <v>BEV</v>
      </c>
    </row>
    <row r="8" spans="1:19" ht="16" x14ac:dyDescent="0.2">
      <c r="A8" s="1182" t="s">
        <v>314</v>
      </c>
      <c r="B8" s="1223" t="str">
        <f t="shared" ref="B8:G8" si="3">INDEX(TECH_OPT_FUEL2_Cls1,MATCH(B6,TECH_OPT_ROWS_Cls1,0))</f>
        <v>N/A</v>
      </c>
      <c r="C8" s="1224" t="str">
        <f t="shared" si="3"/>
        <v>N/A</v>
      </c>
      <c r="D8" s="1224" t="str">
        <f t="shared" si="3"/>
        <v>N/A</v>
      </c>
      <c r="E8" s="1224" t="str">
        <f t="shared" si="3"/>
        <v>N/A</v>
      </c>
      <c r="F8" s="1224" t="str">
        <f t="shared" si="3"/>
        <v>N/A</v>
      </c>
      <c r="G8" s="1225" t="str">
        <f t="shared" si="3"/>
        <v>N/A</v>
      </c>
      <c r="H8" s="1223" t="str">
        <f t="shared" ref="H8:M8" si="4">INDEX(TECH_OPT_FUEL2_Cls2,MATCH(H6,TECH_OPT_ROWS_Cls2,0))</f>
        <v>N/A</v>
      </c>
      <c r="I8" s="1224" t="str">
        <f t="shared" si="4"/>
        <v>N/A</v>
      </c>
      <c r="J8" s="1224" t="str">
        <f t="shared" si="4"/>
        <v>N/A</v>
      </c>
      <c r="K8" s="1224" t="str">
        <f t="shared" si="4"/>
        <v>Electricity</v>
      </c>
      <c r="L8" s="1224" t="str">
        <f t="shared" si="4"/>
        <v>N/A</v>
      </c>
      <c r="M8" s="1225" t="str">
        <f t="shared" si="4"/>
        <v>N/A</v>
      </c>
      <c r="N8" s="1223" t="str">
        <f t="shared" ref="N8:S8" si="5">INDEX(TECH_OPT_FUEL2_Cls3,MATCH(N6,TECH_OPT_ROWS_Cls3,0))</f>
        <v>N/A</v>
      </c>
      <c r="O8" s="1224" t="str">
        <f t="shared" si="5"/>
        <v>N/A</v>
      </c>
      <c r="P8" s="1224" t="str">
        <f t="shared" si="5"/>
        <v>N/A</v>
      </c>
      <c r="Q8" s="1224" t="str">
        <f t="shared" si="5"/>
        <v>N/A</v>
      </c>
      <c r="R8" s="1224" t="str">
        <f t="shared" si="5"/>
        <v>Electricity</v>
      </c>
      <c r="S8" s="1225" t="str">
        <f t="shared" si="5"/>
        <v>N/A</v>
      </c>
    </row>
    <row r="9" spans="1:19" ht="17" thickBot="1" x14ac:dyDescent="0.25">
      <c r="A9" s="1186" t="s">
        <v>3</v>
      </c>
      <c r="B9" s="1187" t="str">
        <f t="shared" ref="B9:G9" si="6">INDEX(TECH_OPT_FUEL1_Cls1,MATCH(B6,TECH_OPT_ROWS_Cls1,0))</f>
        <v>Diesel</v>
      </c>
      <c r="C9" s="1188" t="str">
        <f t="shared" si="6"/>
        <v>Diesel</v>
      </c>
      <c r="D9" s="1188" t="str">
        <f t="shared" si="6"/>
        <v>Diesel</v>
      </c>
      <c r="E9" s="1188" t="str">
        <f t="shared" si="6"/>
        <v>Electricity</v>
      </c>
      <c r="F9" s="1188" t="str">
        <f t="shared" si="6"/>
        <v>Hydrogen</v>
      </c>
      <c r="G9" s="1189" t="str">
        <f t="shared" si="6"/>
        <v>Diesel</v>
      </c>
      <c r="H9" s="1190" t="str">
        <f t="shared" ref="H9:M9" si="7">INDEX(TECH_OPT_FUEL1_Cls2,MATCH(H6,TECH_OPT_ROWS_Cls2,0))</f>
        <v>Diesel</v>
      </c>
      <c r="I9" s="1188" t="str">
        <f t="shared" si="7"/>
        <v>Diesel</v>
      </c>
      <c r="J9" s="1188" t="str">
        <f t="shared" si="7"/>
        <v>Diesel</v>
      </c>
      <c r="K9" s="1188" t="str">
        <f t="shared" si="7"/>
        <v>Diesel</v>
      </c>
      <c r="L9" s="1188" t="str">
        <f t="shared" si="7"/>
        <v>Electricity</v>
      </c>
      <c r="M9" s="1189" t="str">
        <f t="shared" si="7"/>
        <v>Hydrogen</v>
      </c>
      <c r="N9" s="1187" t="str">
        <f t="shared" ref="N9:S9" si="8">INDEX(TECH_OPT_FUEL1_Cls3,MATCH(N6,TECH_OPT_ROWS_Cls3,0))</f>
        <v>Diesel</v>
      </c>
      <c r="O9" s="1188" t="str">
        <f t="shared" si="8"/>
        <v>Diesel</v>
      </c>
      <c r="P9" s="1188" t="str">
        <f t="shared" si="8"/>
        <v>Diesel</v>
      </c>
      <c r="Q9" s="1188" t="str">
        <f t="shared" si="8"/>
        <v>Diesel</v>
      </c>
      <c r="R9" s="1188" t="str">
        <f t="shared" si="8"/>
        <v>Diesel</v>
      </c>
      <c r="S9" s="1189" t="str">
        <f t="shared" si="8"/>
        <v>Electricity</v>
      </c>
    </row>
    <row r="10" spans="1:19" ht="16" thickTop="1" x14ac:dyDescent="0.2">
      <c r="A10" s="1191">
        <v>2007</v>
      </c>
      <c r="B10" s="1192">
        <v>0</v>
      </c>
      <c r="C10" s="1193">
        <f>'7&amp;8 Sleep'!AD76</f>
        <v>0</v>
      </c>
      <c r="D10" s="1193">
        <f>'7&amp;8 Sleep'!AD128</f>
        <v>0</v>
      </c>
      <c r="E10" s="1193">
        <f>'7&amp;8 Sleep'!AD180</f>
        <v>0</v>
      </c>
      <c r="F10" s="1193">
        <f>'7&amp;8 Sleep'!AD233</f>
        <v>0</v>
      </c>
      <c r="G10" s="1218">
        <f>'7&amp;8 Sleep'!AD286</f>
        <v>0</v>
      </c>
      <c r="H10" s="1192">
        <v>0</v>
      </c>
      <c r="I10" s="1193">
        <f>'7&amp;8 Day'!AD76</f>
        <v>0</v>
      </c>
      <c r="J10" s="1193">
        <f>'7&amp;8 Day'!AD128</f>
        <v>0</v>
      </c>
      <c r="K10" s="1193">
        <f>'7&amp;8 Day'!AD180</f>
        <v>0</v>
      </c>
      <c r="L10" s="1193">
        <f>'7&amp;8 Day'!AD233</f>
        <v>0</v>
      </c>
      <c r="M10" s="1219">
        <f>'7&amp;8 Day'!AD286</f>
        <v>0</v>
      </c>
      <c r="N10" s="1192">
        <v>0</v>
      </c>
      <c r="O10" s="1193">
        <f>'7&amp;8 SU'!AD76</f>
        <v>0</v>
      </c>
      <c r="P10" s="1193">
        <f>'7&amp;8 SU'!AD128</f>
        <v>0</v>
      </c>
      <c r="Q10" s="1193">
        <f>'7&amp;8 SU'!AD180</f>
        <v>0</v>
      </c>
      <c r="R10" s="1193">
        <f>'7&amp;8 SU'!AD233</f>
        <v>0</v>
      </c>
      <c r="S10" s="1219">
        <f>'7&amp;8 SU'!AD286</f>
        <v>0</v>
      </c>
    </row>
    <row r="11" spans="1:19" x14ac:dyDescent="0.2">
      <c r="A11" s="1191">
        <v>2008</v>
      </c>
      <c r="B11" s="1194">
        <v>0</v>
      </c>
      <c r="C11" s="1195">
        <f>'7&amp;8 Sleep'!AD77</f>
        <v>0</v>
      </c>
      <c r="D11" s="1195">
        <f>'7&amp;8 Sleep'!AD129</f>
        <v>0</v>
      </c>
      <c r="E11" s="1195">
        <f>'7&amp;8 Sleep'!AD181</f>
        <v>0</v>
      </c>
      <c r="F11" s="1195">
        <f>'7&amp;8 Sleep'!AD234</f>
        <v>0</v>
      </c>
      <c r="G11" s="1196">
        <f>'7&amp;8 Sleep'!AD287</f>
        <v>0</v>
      </c>
      <c r="H11" s="1194">
        <v>0</v>
      </c>
      <c r="I11" s="1195">
        <f>'7&amp;8 Day'!AD77</f>
        <v>0</v>
      </c>
      <c r="J11" s="1195">
        <f>'7&amp;8 Day'!AD129</f>
        <v>0</v>
      </c>
      <c r="K11" s="1195">
        <f>'7&amp;8 Day'!AD181</f>
        <v>0</v>
      </c>
      <c r="L11" s="1195">
        <f>'7&amp;8 Day'!AD234</f>
        <v>0</v>
      </c>
      <c r="M11" s="1196">
        <f>'7&amp;8 Day'!AD287</f>
        <v>0</v>
      </c>
      <c r="N11" s="1194">
        <v>0</v>
      </c>
      <c r="O11" s="1195">
        <f>'7&amp;8 SU'!AD77</f>
        <v>0</v>
      </c>
      <c r="P11" s="1195">
        <f>'7&amp;8 SU'!AD129</f>
        <v>0</v>
      </c>
      <c r="Q11" s="1195">
        <f>'7&amp;8 SU'!AD181</f>
        <v>0</v>
      </c>
      <c r="R11" s="1195">
        <f>'7&amp;8 SU'!AD234</f>
        <v>0</v>
      </c>
      <c r="S11" s="1196">
        <f>'7&amp;8 SU'!AD287</f>
        <v>0</v>
      </c>
    </row>
    <row r="12" spans="1:19" x14ac:dyDescent="0.2">
      <c r="A12" s="1191">
        <v>2009</v>
      </c>
      <c r="B12" s="1194">
        <v>0</v>
      </c>
      <c r="C12" s="1195">
        <f>'7&amp;8 Sleep'!AD78</f>
        <v>0</v>
      </c>
      <c r="D12" s="1195">
        <f>'7&amp;8 Sleep'!AD130</f>
        <v>0</v>
      </c>
      <c r="E12" s="1195">
        <f>'7&amp;8 Sleep'!AD182</f>
        <v>0</v>
      </c>
      <c r="F12" s="1195">
        <f>'7&amp;8 Sleep'!AD235</f>
        <v>0</v>
      </c>
      <c r="G12" s="1196">
        <f>'7&amp;8 Sleep'!AD288</f>
        <v>0</v>
      </c>
      <c r="H12" s="1194">
        <v>0</v>
      </c>
      <c r="I12" s="1195">
        <f>'7&amp;8 Day'!AD78</f>
        <v>0</v>
      </c>
      <c r="J12" s="1195">
        <f>'7&amp;8 Day'!AD130</f>
        <v>0</v>
      </c>
      <c r="K12" s="1195">
        <f>'7&amp;8 Day'!AD182</f>
        <v>0</v>
      </c>
      <c r="L12" s="1195">
        <f>'7&amp;8 Day'!AD235</f>
        <v>0</v>
      </c>
      <c r="M12" s="1196">
        <f>'7&amp;8 Day'!AD288</f>
        <v>0</v>
      </c>
      <c r="N12" s="1194">
        <v>0</v>
      </c>
      <c r="O12" s="1195">
        <f>'7&amp;8 SU'!AD78</f>
        <v>0</v>
      </c>
      <c r="P12" s="1195">
        <f>'7&amp;8 SU'!AD130</f>
        <v>0</v>
      </c>
      <c r="Q12" s="1195">
        <f>'7&amp;8 SU'!AD182</f>
        <v>0</v>
      </c>
      <c r="R12" s="1195">
        <f>'7&amp;8 SU'!AD235</f>
        <v>0</v>
      </c>
      <c r="S12" s="1196">
        <f>'7&amp;8 SU'!AD288</f>
        <v>0</v>
      </c>
    </row>
    <row r="13" spans="1:19" x14ac:dyDescent="0.2">
      <c r="A13" s="1197">
        <v>2010</v>
      </c>
      <c r="B13" s="1198">
        <v>0</v>
      </c>
      <c r="C13" s="1199">
        <f>'7&amp;8 Sleep'!AD79</f>
        <v>0</v>
      </c>
      <c r="D13" s="1199">
        <f>'7&amp;8 Sleep'!AD131</f>
        <v>0</v>
      </c>
      <c r="E13" s="1199">
        <f>'7&amp;8 Sleep'!AD183</f>
        <v>0</v>
      </c>
      <c r="F13" s="1199">
        <f>'7&amp;8 Sleep'!AD236</f>
        <v>0</v>
      </c>
      <c r="G13" s="1200">
        <f>'7&amp;8 Sleep'!AD289</f>
        <v>0</v>
      </c>
      <c r="H13" s="1198">
        <v>0</v>
      </c>
      <c r="I13" s="1199">
        <f>'7&amp;8 Day'!AD79</f>
        <v>0</v>
      </c>
      <c r="J13" s="1199">
        <f>'7&amp;8 Day'!AD131</f>
        <v>0</v>
      </c>
      <c r="K13" s="1199">
        <f>'7&amp;8 Day'!AD183</f>
        <v>0</v>
      </c>
      <c r="L13" s="1199">
        <f>'7&amp;8 Day'!AD236</f>
        <v>0</v>
      </c>
      <c r="M13" s="1200">
        <f>'7&amp;8 Day'!AD289</f>
        <v>0</v>
      </c>
      <c r="N13" s="1198">
        <v>0</v>
      </c>
      <c r="O13" s="1199">
        <f>'7&amp;8 SU'!AD79</f>
        <v>0</v>
      </c>
      <c r="P13" s="1199">
        <f>'7&amp;8 SU'!AD131</f>
        <v>0</v>
      </c>
      <c r="Q13" s="1199">
        <f>'7&amp;8 SU'!AD183</f>
        <v>0</v>
      </c>
      <c r="R13" s="1199">
        <f>'7&amp;8 SU'!AD236</f>
        <v>0</v>
      </c>
      <c r="S13" s="1200">
        <f>'7&amp;8 SU'!AD289</f>
        <v>0</v>
      </c>
    </row>
    <row r="14" spans="1:19" x14ac:dyDescent="0.2">
      <c r="A14" s="1191">
        <v>2011</v>
      </c>
      <c r="B14" s="1201">
        <v>0</v>
      </c>
      <c r="C14" s="1202">
        <f>'7&amp;8 Sleep'!AD80</f>
        <v>0</v>
      </c>
      <c r="D14" s="1202">
        <f>'7&amp;8 Sleep'!AD132</f>
        <v>0</v>
      </c>
      <c r="E14" s="1202">
        <f>'7&amp;8 Sleep'!AD184</f>
        <v>0</v>
      </c>
      <c r="F14" s="1202">
        <f>'7&amp;8 Sleep'!AD237</f>
        <v>0</v>
      </c>
      <c r="G14" s="1203">
        <f>'7&amp;8 Sleep'!AD290</f>
        <v>0</v>
      </c>
      <c r="H14" s="1201">
        <v>0</v>
      </c>
      <c r="I14" s="1202">
        <f>'7&amp;8 Day'!AD80</f>
        <v>0</v>
      </c>
      <c r="J14" s="1202">
        <f>'7&amp;8 Day'!AD132</f>
        <v>0</v>
      </c>
      <c r="K14" s="1202">
        <f>'7&amp;8 Day'!AD184</f>
        <v>0</v>
      </c>
      <c r="L14" s="1202">
        <f>'7&amp;8 Day'!AD237</f>
        <v>0</v>
      </c>
      <c r="M14" s="1203">
        <f>'7&amp;8 Day'!AD290</f>
        <v>0</v>
      </c>
      <c r="N14" s="1201">
        <v>0</v>
      </c>
      <c r="O14" s="1202">
        <f>'7&amp;8 SU'!AD80</f>
        <v>0</v>
      </c>
      <c r="P14" s="1202">
        <f>'7&amp;8 SU'!AD132</f>
        <v>0</v>
      </c>
      <c r="Q14" s="1202">
        <f>'7&amp;8 SU'!AD184</f>
        <v>0</v>
      </c>
      <c r="R14" s="1202">
        <f>'7&amp;8 SU'!AD237</f>
        <v>0</v>
      </c>
      <c r="S14" s="1203">
        <f>'7&amp;8 SU'!AD290</f>
        <v>0</v>
      </c>
    </row>
    <row r="15" spans="1:19" x14ac:dyDescent="0.2">
      <c r="A15" s="1191">
        <v>2012</v>
      </c>
      <c r="B15" s="1194">
        <v>0</v>
      </c>
      <c r="C15" s="1195">
        <f>'7&amp;8 Sleep'!AD81</f>
        <v>0</v>
      </c>
      <c r="D15" s="1195">
        <f>'7&amp;8 Sleep'!AD133</f>
        <v>0</v>
      </c>
      <c r="E15" s="1195">
        <f>'7&amp;8 Sleep'!AD185</f>
        <v>0</v>
      </c>
      <c r="F15" s="1195">
        <f>'7&amp;8 Sleep'!AD238</f>
        <v>0</v>
      </c>
      <c r="G15" s="1196">
        <f>'7&amp;8 Sleep'!AD291</f>
        <v>0</v>
      </c>
      <c r="H15" s="1194">
        <v>0</v>
      </c>
      <c r="I15" s="1195">
        <f>'7&amp;8 Day'!AD81</f>
        <v>0</v>
      </c>
      <c r="J15" s="1195">
        <f>'7&amp;8 Day'!AD133</f>
        <v>0</v>
      </c>
      <c r="K15" s="1195">
        <f>'7&amp;8 Day'!AD185</f>
        <v>0</v>
      </c>
      <c r="L15" s="1195">
        <f>'7&amp;8 Day'!AD238</f>
        <v>0</v>
      </c>
      <c r="M15" s="1196">
        <f>'7&amp;8 Day'!AD291</f>
        <v>0</v>
      </c>
      <c r="N15" s="1194">
        <v>0</v>
      </c>
      <c r="O15" s="1195">
        <f>'7&amp;8 SU'!AD81</f>
        <v>0</v>
      </c>
      <c r="P15" s="1195">
        <f>'7&amp;8 SU'!AD133</f>
        <v>0</v>
      </c>
      <c r="Q15" s="1195">
        <f>'7&amp;8 SU'!AD185</f>
        <v>0</v>
      </c>
      <c r="R15" s="1195">
        <f>'7&amp;8 SU'!AD238</f>
        <v>0</v>
      </c>
      <c r="S15" s="1196">
        <f>'7&amp;8 SU'!AD291</f>
        <v>0</v>
      </c>
    </row>
    <row r="16" spans="1:19" x14ac:dyDescent="0.2">
      <c r="A16" s="1191">
        <v>2013</v>
      </c>
      <c r="B16" s="1194">
        <v>0</v>
      </c>
      <c r="C16" s="1195">
        <f>'7&amp;8 Sleep'!AD82</f>
        <v>0</v>
      </c>
      <c r="D16" s="1195">
        <f>'7&amp;8 Sleep'!AD134</f>
        <v>0</v>
      </c>
      <c r="E16" s="1195">
        <f>'7&amp;8 Sleep'!AD186</f>
        <v>0</v>
      </c>
      <c r="F16" s="1195">
        <f>'7&amp;8 Sleep'!AD239</f>
        <v>0</v>
      </c>
      <c r="G16" s="1196">
        <f>'7&amp;8 Sleep'!AD292</f>
        <v>0</v>
      </c>
      <c r="H16" s="1194">
        <v>0</v>
      </c>
      <c r="I16" s="1195">
        <f>'7&amp;8 Day'!AD82</f>
        <v>0</v>
      </c>
      <c r="J16" s="1195">
        <f>'7&amp;8 Day'!AD134</f>
        <v>0</v>
      </c>
      <c r="K16" s="1195">
        <f>'7&amp;8 Day'!AD186</f>
        <v>0</v>
      </c>
      <c r="L16" s="1195">
        <f>'7&amp;8 Day'!AD239</f>
        <v>0</v>
      </c>
      <c r="M16" s="1196">
        <f>'7&amp;8 Day'!AD292</f>
        <v>0</v>
      </c>
      <c r="N16" s="1194">
        <v>0</v>
      </c>
      <c r="O16" s="1195">
        <f>'7&amp;8 SU'!AD82</f>
        <v>0</v>
      </c>
      <c r="P16" s="1195">
        <f>'7&amp;8 SU'!AD134</f>
        <v>0</v>
      </c>
      <c r="Q16" s="1195">
        <f>'7&amp;8 SU'!AD186</f>
        <v>0</v>
      </c>
      <c r="R16" s="1195">
        <f>'7&amp;8 SU'!AD239</f>
        <v>0</v>
      </c>
      <c r="S16" s="1196">
        <f>'7&amp;8 SU'!AD292</f>
        <v>0</v>
      </c>
    </row>
    <row r="17" spans="1:19" x14ac:dyDescent="0.2">
      <c r="A17" s="1191">
        <v>2014</v>
      </c>
      <c r="B17" s="1194">
        <v>0</v>
      </c>
      <c r="C17" s="1195">
        <f>'7&amp;8 Sleep'!AD83</f>
        <v>0</v>
      </c>
      <c r="D17" s="1195">
        <f>'7&amp;8 Sleep'!AD135</f>
        <v>0</v>
      </c>
      <c r="E17" s="1195">
        <f>'7&amp;8 Sleep'!AD187</f>
        <v>0</v>
      </c>
      <c r="F17" s="1195">
        <f>'7&amp;8 Sleep'!AD240</f>
        <v>0</v>
      </c>
      <c r="G17" s="1196">
        <f>'7&amp;8 Sleep'!AD293</f>
        <v>0</v>
      </c>
      <c r="H17" s="1194">
        <v>0</v>
      </c>
      <c r="I17" s="1195">
        <f>'7&amp;8 Day'!AD83</f>
        <v>0</v>
      </c>
      <c r="J17" s="1195">
        <f>'7&amp;8 Day'!AD135</f>
        <v>0</v>
      </c>
      <c r="K17" s="1195">
        <f>'7&amp;8 Day'!AD187</f>
        <v>0</v>
      </c>
      <c r="L17" s="1195">
        <f>'7&amp;8 Day'!AD240</f>
        <v>0</v>
      </c>
      <c r="M17" s="1196">
        <f>'7&amp;8 Day'!AD293</f>
        <v>0</v>
      </c>
      <c r="N17" s="1194">
        <v>0</v>
      </c>
      <c r="O17" s="1195">
        <f>'7&amp;8 SU'!AD83</f>
        <v>0</v>
      </c>
      <c r="P17" s="1195">
        <f>'7&amp;8 SU'!AD135</f>
        <v>0</v>
      </c>
      <c r="Q17" s="1195">
        <f>'7&amp;8 SU'!AD187</f>
        <v>0</v>
      </c>
      <c r="R17" s="1195">
        <f>'7&amp;8 SU'!AD240</f>
        <v>0</v>
      </c>
      <c r="S17" s="1196">
        <f>'7&amp;8 SU'!AD293</f>
        <v>0</v>
      </c>
    </row>
    <row r="18" spans="1:19" x14ac:dyDescent="0.2">
      <c r="A18" s="1197">
        <v>2015</v>
      </c>
      <c r="B18" s="1198">
        <v>0</v>
      </c>
      <c r="C18" s="1199">
        <f>'7&amp;8 Sleep'!AD84</f>
        <v>0</v>
      </c>
      <c r="D18" s="1199">
        <f>'7&amp;8 Sleep'!AD136</f>
        <v>0</v>
      </c>
      <c r="E18" s="1199">
        <f>'7&amp;8 Sleep'!AD188</f>
        <v>0</v>
      </c>
      <c r="F18" s="1199">
        <f>'7&amp;8 Sleep'!AD241</f>
        <v>0</v>
      </c>
      <c r="G18" s="1200">
        <f>'7&amp;8 Sleep'!AD294</f>
        <v>0</v>
      </c>
      <c r="H18" s="1198">
        <v>0</v>
      </c>
      <c r="I18" s="1199">
        <f>'7&amp;8 Day'!AD84</f>
        <v>0</v>
      </c>
      <c r="J18" s="1199">
        <f>'7&amp;8 Day'!AD136</f>
        <v>0</v>
      </c>
      <c r="K18" s="1199">
        <f>'7&amp;8 Day'!AD188</f>
        <v>0</v>
      </c>
      <c r="L18" s="1199">
        <f>'7&amp;8 Day'!AD241</f>
        <v>0</v>
      </c>
      <c r="M18" s="1200">
        <f>'7&amp;8 Day'!AD294</f>
        <v>0</v>
      </c>
      <c r="N18" s="1198">
        <v>0</v>
      </c>
      <c r="O18" s="1199">
        <f>'7&amp;8 SU'!AD84</f>
        <v>0</v>
      </c>
      <c r="P18" s="1199">
        <f>'7&amp;8 SU'!AD136</f>
        <v>0</v>
      </c>
      <c r="Q18" s="1199">
        <f>'7&amp;8 SU'!AD188</f>
        <v>0</v>
      </c>
      <c r="R18" s="1199">
        <f>'7&amp;8 SU'!AD241</f>
        <v>0</v>
      </c>
      <c r="S18" s="1200">
        <f>'7&amp;8 SU'!AD294</f>
        <v>0</v>
      </c>
    </row>
    <row r="19" spans="1:19" x14ac:dyDescent="0.2">
      <c r="A19" s="1191">
        <v>2016</v>
      </c>
      <c r="B19" s="1201">
        <v>0</v>
      </c>
      <c r="C19" s="1202">
        <f>'7&amp;8 Sleep'!AD85</f>
        <v>0</v>
      </c>
      <c r="D19" s="1202">
        <f>'7&amp;8 Sleep'!AD137</f>
        <v>0</v>
      </c>
      <c r="E19" s="1202">
        <f>'7&amp;8 Sleep'!AD189</f>
        <v>0</v>
      </c>
      <c r="F19" s="1202">
        <f>'7&amp;8 Sleep'!AD242</f>
        <v>0</v>
      </c>
      <c r="G19" s="1203">
        <f>'7&amp;8 Sleep'!AD295</f>
        <v>0</v>
      </c>
      <c r="H19" s="1201">
        <v>0</v>
      </c>
      <c r="I19" s="1202">
        <f>'7&amp;8 Day'!AD85</f>
        <v>0</v>
      </c>
      <c r="J19" s="1202">
        <f>'7&amp;8 Day'!AD137</f>
        <v>0</v>
      </c>
      <c r="K19" s="1202">
        <f>'7&amp;8 Day'!AD189</f>
        <v>0</v>
      </c>
      <c r="L19" s="1202">
        <f>'7&amp;8 Day'!AD242</f>
        <v>0</v>
      </c>
      <c r="M19" s="1203">
        <f>'7&amp;8 Day'!AD295</f>
        <v>0</v>
      </c>
      <c r="N19" s="1201">
        <v>0</v>
      </c>
      <c r="O19" s="1202">
        <f>'7&amp;8 SU'!AD85</f>
        <v>0</v>
      </c>
      <c r="P19" s="1202">
        <f>'7&amp;8 SU'!AD137</f>
        <v>0</v>
      </c>
      <c r="Q19" s="1202">
        <f>'7&amp;8 SU'!AD189</f>
        <v>0</v>
      </c>
      <c r="R19" s="1202">
        <f>'7&amp;8 SU'!AD242</f>
        <v>0</v>
      </c>
      <c r="S19" s="1203">
        <f>'7&amp;8 SU'!AD295</f>
        <v>0</v>
      </c>
    </row>
    <row r="20" spans="1:19" x14ac:dyDescent="0.2">
      <c r="A20" s="1191">
        <v>2017</v>
      </c>
      <c r="B20" s="1194">
        <v>0</v>
      </c>
      <c r="C20" s="1195">
        <f>'7&amp;8 Sleep'!AD86</f>
        <v>0</v>
      </c>
      <c r="D20" s="1195">
        <f>'7&amp;8 Sleep'!AD138</f>
        <v>0</v>
      </c>
      <c r="E20" s="1195">
        <f>'7&amp;8 Sleep'!AD190</f>
        <v>0</v>
      </c>
      <c r="F20" s="1195">
        <f>'7&amp;8 Sleep'!AD243</f>
        <v>0</v>
      </c>
      <c r="G20" s="1196">
        <f>'7&amp;8 Sleep'!AD296</f>
        <v>0</v>
      </c>
      <c r="H20" s="1194">
        <v>0</v>
      </c>
      <c r="I20" s="1195">
        <f>'7&amp;8 Day'!AD86</f>
        <v>0</v>
      </c>
      <c r="J20" s="1195">
        <f>'7&amp;8 Day'!AD138</f>
        <v>0</v>
      </c>
      <c r="K20" s="1195">
        <f>'7&amp;8 Day'!AD190</f>
        <v>0</v>
      </c>
      <c r="L20" s="1195">
        <f>'7&amp;8 Day'!AD243</f>
        <v>0</v>
      </c>
      <c r="M20" s="1196">
        <f>'7&amp;8 Day'!AD296</f>
        <v>0</v>
      </c>
      <c r="N20" s="1194">
        <v>0</v>
      </c>
      <c r="O20" s="1195">
        <f>'7&amp;8 SU'!AD86</f>
        <v>0</v>
      </c>
      <c r="P20" s="1195">
        <f>'7&amp;8 SU'!AD138</f>
        <v>0</v>
      </c>
      <c r="Q20" s="1195">
        <f>'7&amp;8 SU'!AD190</f>
        <v>0</v>
      </c>
      <c r="R20" s="1195">
        <f>'7&amp;8 SU'!AD243</f>
        <v>0</v>
      </c>
      <c r="S20" s="1196">
        <f>'7&amp;8 SU'!AD296</f>
        <v>0</v>
      </c>
    </row>
    <row r="21" spans="1:19" x14ac:dyDescent="0.2">
      <c r="A21" s="1191">
        <v>2018</v>
      </c>
      <c r="B21" s="1194">
        <v>0</v>
      </c>
      <c r="C21" s="1195">
        <f>'7&amp;8 Sleep'!AD87</f>
        <v>0</v>
      </c>
      <c r="D21" s="1195">
        <f>'7&amp;8 Sleep'!AD139</f>
        <v>0</v>
      </c>
      <c r="E21" s="1195">
        <f>'7&amp;8 Sleep'!AD191</f>
        <v>0</v>
      </c>
      <c r="F21" s="1195">
        <f>'7&amp;8 Sleep'!AD244</f>
        <v>0</v>
      </c>
      <c r="G21" s="1196">
        <f>'7&amp;8 Sleep'!AD297</f>
        <v>0</v>
      </c>
      <c r="H21" s="1194">
        <v>0</v>
      </c>
      <c r="I21" s="1195">
        <f>'7&amp;8 Day'!AD87</f>
        <v>0</v>
      </c>
      <c r="J21" s="1195">
        <f>'7&amp;8 Day'!AD139</f>
        <v>0</v>
      </c>
      <c r="K21" s="1195">
        <f>'7&amp;8 Day'!AD191</f>
        <v>0</v>
      </c>
      <c r="L21" s="1195">
        <f>'7&amp;8 Day'!AD244</f>
        <v>0</v>
      </c>
      <c r="M21" s="1196">
        <f>'7&amp;8 Day'!AD297</f>
        <v>0</v>
      </c>
      <c r="N21" s="1194">
        <v>0</v>
      </c>
      <c r="O21" s="1195">
        <f>'7&amp;8 SU'!AD87</f>
        <v>0</v>
      </c>
      <c r="P21" s="1195">
        <f>'7&amp;8 SU'!AD139</f>
        <v>0</v>
      </c>
      <c r="Q21" s="1195">
        <f>'7&amp;8 SU'!AD191</f>
        <v>0</v>
      </c>
      <c r="R21" s="1195">
        <f>'7&amp;8 SU'!AD244</f>
        <v>0</v>
      </c>
      <c r="S21" s="1196">
        <f>'7&amp;8 SU'!AD297</f>
        <v>0</v>
      </c>
    </row>
    <row r="22" spans="1:19" x14ac:dyDescent="0.2">
      <c r="A22" s="1191">
        <v>2019</v>
      </c>
      <c r="B22" s="1194">
        <v>0</v>
      </c>
      <c r="C22" s="1195">
        <f>'7&amp;8 Sleep'!AD88</f>
        <v>0</v>
      </c>
      <c r="D22" s="1195">
        <f>'7&amp;8 Sleep'!AD140</f>
        <v>0</v>
      </c>
      <c r="E22" s="1195">
        <f>'7&amp;8 Sleep'!AD192</f>
        <v>0</v>
      </c>
      <c r="F22" s="1195">
        <f>'7&amp;8 Sleep'!AD245</f>
        <v>0</v>
      </c>
      <c r="G22" s="1196">
        <f>'7&amp;8 Sleep'!AD298</f>
        <v>0</v>
      </c>
      <c r="H22" s="1194">
        <v>0</v>
      </c>
      <c r="I22" s="1195">
        <f>'7&amp;8 Day'!AD88</f>
        <v>0</v>
      </c>
      <c r="J22" s="1195">
        <f>'7&amp;8 Day'!AD140</f>
        <v>0</v>
      </c>
      <c r="K22" s="1195">
        <f>'7&amp;8 Day'!AD192</f>
        <v>0</v>
      </c>
      <c r="L22" s="1195">
        <f>'7&amp;8 Day'!AD245</f>
        <v>0</v>
      </c>
      <c r="M22" s="1196">
        <f>'7&amp;8 Day'!AD298</f>
        <v>0</v>
      </c>
      <c r="N22" s="1194">
        <v>0</v>
      </c>
      <c r="O22" s="1195">
        <f>'7&amp;8 SU'!AD88</f>
        <v>0</v>
      </c>
      <c r="P22" s="1195">
        <f>'7&amp;8 SU'!AD140</f>
        <v>0</v>
      </c>
      <c r="Q22" s="1195">
        <f>'7&amp;8 SU'!AD192</f>
        <v>0</v>
      </c>
      <c r="R22" s="1195">
        <f>'7&amp;8 SU'!AD245</f>
        <v>0</v>
      </c>
      <c r="S22" s="1196">
        <f>'7&amp;8 SU'!AD298</f>
        <v>0</v>
      </c>
    </row>
    <row r="23" spans="1:19" x14ac:dyDescent="0.2">
      <c r="A23" s="1197">
        <v>2020</v>
      </c>
      <c r="B23" s="1198">
        <v>0</v>
      </c>
      <c r="C23" s="1199">
        <f>'7&amp;8 Sleep'!AD89</f>
        <v>0</v>
      </c>
      <c r="D23" s="1199">
        <f>'7&amp;8 Sleep'!AD141</f>
        <v>0</v>
      </c>
      <c r="E23" s="1199">
        <f>'7&amp;8 Sleep'!AD193</f>
        <v>0</v>
      </c>
      <c r="F23" s="1199">
        <f>'7&amp;8 Sleep'!AD246</f>
        <v>0</v>
      </c>
      <c r="G23" s="1200">
        <f>'7&amp;8 Sleep'!AD299</f>
        <v>0</v>
      </c>
      <c r="H23" s="1198">
        <v>0</v>
      </c>
      <c r="I23" s="1199">
        <f>'7&amp;8 Day'!AD89</f>
        <v>0</v>
      </c>
      <c r="J23" s="1199">
        <f>'7&amp;8 Day'!AD141</f>
        <v>0</v>
      </c>
      <c r="K23" s="1199">
        <f>'7&amp;8 Day'!AD193</f>
        <v>0</v>
      </c>
      <c r="L23" s="1199">
        <f>'7&amp;8 Day'!AD246</f>
        <v>0</v>
      </c>
      <c r="M23" s="1200">
        <f>'7&amp;8 Day'!AD299</f>
        <v>0</v>
      </c>
      <c r="N23" s="1198">
        <v>0</v>
      </c>
      <c r="O23" s="1199">
        <f>'7&amp;8 SU'!AD89</f>
        <v>0</v>
      </c>
      <c r="P23" s="1199">
        <f>'7&amp;8 SU'!AD141</f>
        <v>0</v>
      </c>
      <c r="Q23" s="1199">
        <f>'7&amp;8 SU'!AD193</f>
        <v>0</v>
      </c>
      <c r="R23" s="1199">
        <f>'7&amp;8 SU'!AD246</f>
        <v>0</v>
      </c>
      <c r="S23" s="1200">
        <f>'7&amp;8 SU'!AD299</f>
        <v>0</v>
      </c>
    </row>
    <row r="24" spans="1:19" x14ac:dyDescent="0.2">
      <c r="A24" s="1191">
        <v>2021</v>
      </c>
      <c r="B24" s="1201">
        <v>0</v>
      </c>
      <c r="C24" s="1202">
        <f>'7&amp;8 Sleep'!AD90</f>
        <v>0</v>
      </c>
      <c r="D24" s="1202">
        <f>'7&amp;8 Sleep'!AD142</f>
        <v>0</v>
      </c>
      <c r="E24" s="1202">
        <f>'7&amp;8 Sleep'!AD194</f>
        <v>0</v>
      </c>
      <c r="F24" s="1202">
        <f>'7&amp;8 Sleep'!AD247</f>
        <v>0</v>
      </c>
      <c r="G24" s="1203">
        <f>'7&amp;8 Sleep'!AD300</f>
        <v>0</v>
      </c>
      <c r="H24" s="1201">
        <v>0</v>
      </c>
      <c r="I24" s="1202">
        <f>'7&amp;8 Day'!AD90</f>
        <v>0</v>
      </c>
      <c r="J24" s="1202">
        <f>'7&amp;8 Day'!AD142</f>
        <v>0</v>
      </c>
      <c r="K24" s="1202">
        <f>'7&amp;8 Day'!AD194</f>
        <v>0</v>
      </c>
      <c r="L24" s="1202">
        <f>'7&amp;8 Day'!AD247</f>
        <v>0</v>
      </c>
      <c r="M24" s="1203">
        <f>'7&amp;8 Day'!AD300</f>
        <v>0</v>
      </c>
      <c r="N24" s="1201">
        <v>0</v>
      </c>
      <c r="O24" s="1202">
        <f>'7&amp;8 SU'!AD90</f>
        <v>0</v>
      </c>
      <c r="P24" s="1202">
        <f>'7&amp;8 SU'!AD142</f>
        <v>0</v>
      </c>
      <c r="Q24" s="1202">
        <f>'7&amp;8 SU'!AD194</f>
        <v>0</v>
      </c>
      <c r="R24" s="1202">
        <f>'7&amp;8 SU'!AD247</f>
        <v>0</v>
      </c>
      <c r="S24" s="1203">
        <f>'7&amp;8 SU'!AD300</f>
        <v>0</v>
      </c>
    </row>
    <row r="25" spans="1:19" x14ac:dyDescent="0.2">
      <c r="A25" s="1191">
        <v>2022</v>
      </c>
      <c r="B25" s="1194">
        <v>0</v>
      </c>
      <c r="C25" s="1195">
        <f>'7&amp;8 Sleep'!AD91</f>
        <v>0</v>
      </c>
      <c r="D25" s="1195">
        <f>'7&amp;8 Sleep'!AD143</f>
        <v>0</v>
      </c>
      <c r="E25" s="1195">
        <f>'7&amp;8 Sleep'!AD195</f>
        <v>0</v>
      </c>
      <c r="F25" s="1195">
        <f>'7&amp;8 Sleep'!AD248</f>
        <v>0</v>
      </c>
      <c r="G25" s="1196">
        <f>'7&amp;8 Sleep'!AD301</f>
        <v>0</v>
      </c>
      <c r="H25" s="1194">
        <v>0</v>
      </c>
      <c r="I25" s="1195">
        <f>'7&amp;8 Day'!AD91</f>
        <v>0</v>
      </c>
      <c r="J25" s="1195">
        <f>'7&amp;8 Day'!AD143</f>
        <v>0</v>
      </c>
      <c r="K25" s="1195">
        <f>'7&amp;8 Day'!AD195</f>
        <v>0</v>
      </c>
      <c r="L25" s="1195">
        <f>'7&amp;8 Day'!AD248</f>
        <v>0</v>
      </c>
      <c r="M25" s="1196">
        <f>'7&amp;8 Day'!AD301</f>
        <v>0</v>
      </c>
      <c r="N25" s="1194">
        <v>0</v>
      </c>
      <c r="O25" s="1195">
        <f>'7&amp;8 SU'!AD91</f>
        <v>0</v>
      </c>
      <c r="P25" s="1195">
        <f>'7&amp;8 SU'!AD143</f>
        <v>0</v>
      </c>
      <c r="Q25" s="1195">
        <f>'7&amp;8 SU'!AD195</f>
        <v>0</v>
      </c>
      <c r="R25" s="1195">
        <f>'7&amp;8 SU'!AD248</f>
        <v>0</v>
      </c>
      <c r="S25" s="1196">
        <f>'7&amp;8 SU'!AD301</f>
        <v>0</v>
      </c>
    </row>
    <row r="26" spans="1:19" x14ac:dyDescent="0.2">
      <c r="A26" s="1191">
        <v>2023</v>
      </c>
      <c r="B26" s="1194">
        <v>0</v>
      </c>
      <c r="C26" s="1195">
        <f>'7&amp;8 Sleep'!AD92</f>
        <v>0</v>
      </c>
      <c r="D26" s="1195">
        <f>'7&amp;8 Sleep'!AD144</f>
        <v>0</v>
      </c>
      <c r="E26" s="1195">
        <f>'7&amp;8 Sleep'!AD196</f>
        <v>0</v>
      </c>
      <c r="F26" s="1195">
        <f>'7&amp;8 Sleep'!AD249</f>
        <v>0</v>
      </c>
      <c r="G26" s="1196">
        <f>'7&amp;8 Sleep'!AD302</f>
        <v>0</v>
      </c>
      <c r="H26" s="1194">
        <v>0</v>
      </c>
      <c r="I26" s="1195">
        <f>'7&amp;8 Day'!AD92</f>
        <v>0</v>
      </c>
      <c r="J26" s="1195">
        <f>'7&amp;8 Day'!AD144</f>
        <v>0</v>
      </c>
      <c r="K26" s="1195">
        <f>'7&amp;8 Day'!AD196</f>
        <v>0</v>
      </c>
      <c r="L26" s="1195">
        <f>'7&amp;8 Day'!AD249</f>
        <v>0</v>
      </c>
      <c r="M26" s="1196">
        <f>'7&amp;8 Day'!AD302</f>
        <v>0</v>
      </c>
      <c r="N26" s="1194">
        <v>0</v>
      </c>
      <c r="O26" s="1195">
        <f>'7&amp;8 SU'!AD92</f>
        <v>0</v>
      </c>
      <c r="P26" s="1195">
        <f>'7&amp;8 SU'!AD144</f>
        <v>0</v>
      </c>
      <c r="Q26" s="1195">
        <f>'7&amp;8 SU'!AD196</f>
        <v>0</v>
      </c>
      <c r="R26" s="1195">
        <f>'7&amp;8 SU'!AD249</f>
        <v>0</v>
      </c>
      <c r="S26" s="1196">
        <f>'7&amp;8 SU'!AD302</f>
        <v>0</v>
      </c>
    </row>
    <row r="27" spans="1:19" x14ac:dyDescent="0.2">
      <c r="A27" s="1191">
        <v>2024</v>
      </c>
      <c r="B27" s="1194">
        <v>0</v>
      </c>
      <c r="C27" s="1195">
        <f>'7&amp;8 Sleep'!AD93</f>
        <v>0</v>
      </c>
      <c r="D27" s="1195">
        <f>'7&amp;8 Sleep'!AD145</f>
        <v>0</v>
      </c>
      <c r="E27" s="1195">
        <f>'7&amp;8 Sleep'!AD197</f>
        <v>0</v>
      </c>
      <c r="F27" s="1195">
        <f>'7&amp;8 Sleep'!AD250</f>
        <v>0</v>
      </c>
      <c r="G27" s="1196">
        <f>'7&amp;8 Sleep'!AD303</f>
        <v>0</v>
      </c>
      <c r="H27" s="1194">
        <v>0</v>
      </c>
      <c r="I27" s="1195">
        <f>'7&amp;8 Day'!AD93</f>
        <v>0</v>
      </c>
      <c r="J27" s="1195">
        <f>'7&amp;8 Day'!AD145</f>
        <v>0</v>
      </c>
      <c r="K27" s="1195">
        <f>'7&amp;8 Day'!AD197</f>
        <v>0</v>
      </c>
      <c r="L27" s="1195">
        <f>'7&amp;8 Day'!AD250</f>
        <v>0</v>
      </c>
      <c r="M27" s="1196">
        <f>'7&amp;8 Day'!AD303</f>
        <v>0</v>
      </c>
      <c r="N27" s="1194">
        <v>0</v>
      </c>
      <c r="O27" s="1195">
        <f>'7&amp;8 SU'!AD93</f>
        <v>0</v>
      </c>
      <c r="P27" s="1195">
        <f>'7&amp;8 SU'!AD145</f>
        <v>0</v>
      </c>
      <c r="Q27" s="1195">
        <f>'7&amp;8 SU'!AD197</f>
        <v>0</v>
      </c>
      <c r="R27" s="1195">
        <f>'7&amp;8 SU'!AD250</f>
        <v>0</v>
      </c>
      <c r="S27" s="1196">
        <f>'7&amp;8 SU'!AD303</f>
        <v>0</v>
      </c>
    </row>
    <row r="28" spans="1:19" x14ac:dyDescent="0.2">
      <c r="A28" s="1197">
        <v>2025</v>
      </c>
      <c r="B28" s="1198">
        <v>0</v>
      </c>
      <c r="C28" s="1199">
        <f>'7&amp;8 Sleep'!AD94</f>
        <v>0</v>
      </c>
      <c r="D28" s="1199">
        <f>'7&amp;8 Sleep'!AD146</f>
        <v>0</v>
      </c>
      <c r="E28" s="1199">
        <f>'7&amp;8 Sleep'!AD198</f>
        <v>0</v>
      </c>
      <c r="F28" s="1199">
        <f>'7&amp;8 Sleep'!AD251</f>
        <v>0</v>
      </c>
      <c r="G28" s="1200">
        <f>'7&amp;8 Sleep'!AD304</f>
        <v>0</v>
      </c>
      <c r="H28" s="1198">
        <v>0</v>
      </c>
      <c r="I28" s="1199">
        <f>'7&amp;8 Day'!AD94</f>
        <v>0</v>
      </c>
      <c r="J28" s="1199">
        <f>'7&amp;8 Day'!AD146</f>
        <v>0</v>
      </c>
      <c r="K28" s="1199">
        <f>'7&amp;8 Day'!AD198</f>
        <v>0</v>
      </c>
      <c r="L28" s="1199">
        <f>'7&amp;8 Day'!AD251</f>
        <v>0</v>
      </c>
      <c r="M28" s="1200">
        <f>'7&amp;8 Day'!AD304</f>
        <v>0</v>
      </c>
      <c r="N28" s="1198">
        <v>0</v>
      </c>
      <c r="O28" s="1199">
        <f>'7&amp;8 SU'!AD94</f>
        <v>0</v>
      </c>
      <c r="P28" s="1199">
        <f>'7&amp;8 SU'!AD146</f>
        <v>0</v>
      </c>
      <c r="Q28" s="1199">
        <f>'7&amp;8 SU'!AD198</f>
        <v>0</v>
      </c>
      <c r="R28" s="1199">
        <f>'7&amp;8 SU'!AD251</f>
        <v>0</v>
      </c>
      <c r="S28" s="1200">
        <f>'7&amp;8 SU'!AD304</f>
        <v>0</v>
      </c>
    </row>
    <row r="29" spans="1:19" x14ac:dyDescent="0.2">
      <c r="A29" s="1191">
        <v>2026</v>
      </c>
      <c r="B29" s="1201">
        <v>0</v>
      </c>
      <c r="C29" s="1202">
        <f>'7&amp;8 Sleep'!AD95</f>
        <v>0</v>
      </c>
      <c r="D29" s="1202">
        <f>'7&amp;8 Sleep'!AD147</f>
        <v>0</v>
      </c>
      <c r="E29" s="1202">
        <f>'7&amp;8 Sleep'!AD199</f>
        <v>0</v>
      </c>
      <c r="F29" s="1202">
        <f>'7&amp;8 Sleep'!AD252</f>
        <v>0</v>
      </c>
      <c r="G29" s="1203">
        <f>'7&amp;8 Sleep'!AD305</f>
        <v>0</v>
      </c>
      <c r="H29" s="1201">
        <v>0</v>
      </c>
      <c r="I29" s="1202">
        <f>'7&amp;8 Day'!AD95</f>
        <v>0</v>
      </c>
      <c r="J29" s="1202">
        <f>'7&amp;8 Day'!AD147</f>
        <v>0</v>
      </c>
      <c r="K29" s="1202">
        <f>'7&amp;8 Day'!AD199</f>
        <v>0</v>
      </c>
      <c r="L29" s="1202">
        <f>'7&amp;8 Day'!AD252</f>
        <v>0</v>
      </c>
      <c r="M29" s="1203">
        <f>'7&amp;8 Day'!AD305</f>
        <v>0</v>
      </c>
      <c r="N29" s="1201">
        <v>0</v>
      </c>
      <c r="O29" s="1202">
        <f>'7&amp;8 SU'!AD95</f>
        <v>0</v>
      </c>
      <c r="P29" s="1202">
        <f>'7&amp;8 SU'!AD147</f>
        <v>0</v>
      </c>
      <c r="Q29" s="1202">
        <f>'7&amp;8 SU'!AD199</f>
        <v>0</v>
      </c>
      <c r="R29" s="1202">
        <f>'7&amp;8 SU'!AD252</f>
        <v>0.16889843268474264</v>
      </c>
      <c r="S29" s="1203">
        <f>'7&amp;8 SU'!AD305</f>
        <v>0</v>
      </c>
    </row>
    <row r="30" spans="1:19" x14ac:dyDescent="0.2">
      <c r="A30" s="1191">
        <v>2027</v>
      </c>
      <c r="B30" s="1194">
        <v>0</v>
      </c>
      <c r="C30" s="1195">
        <f>'7&amp;8 Sleep'!AD96</f>
        <v>0</v>
      </c>
      <c r="D30" s="1195">
        <f>'7&amp;8 Sleep'!AD148</f>
        <v>0</v>
      </c>
      <c r="E30" s="1195">
        <f>'7&amp;8 Sleep'!AD200</f>
        <v>0</v>
      </c>
      <c r="F30" s="1195">
        <f>'7&amp;8 Sleep'!AD253</f>
        <v>0</v>
      </c>
      <c r="G30" s="1196">
        <f>'7&amp;8 Sleep'!AD306</f>
        <v>0</v>
      </c>
      <c r="H30" s="1194">
        <v>0</v>
      </c>
      <c r="I30" s="1195">
        <f>'7&amp;8 Day'!AD96</f>
        <v>0</v>
      </c>
      <c r="J30" s="1195">
        <f>'7&amp;8 Day'!AD148</f>
        <v>0</v>
      </c>
      <c r="K30" s="1195">
        <f>'7&amp;8 Day'!AD200</f>
        <v>0</v>
      </c>
      <c r="L30" s="1195">
        <f>'7&amp;8 Day'!AD253</f>
        <v>0</v>
      </c>
      <c r="M30" s="1196">
        <f>'7&amp;8 Day'!AD306</f>
        <v>0</v>
      </c>
      <c r="N30" s="1194">
        <v>0</v>
      </c>
      <c r="O30" s="1195">
        <f>'7&amp;8 SU'!AD96</f>
        <v>0</v>
      </c>
      <c r="P30" s="1195">
        <f>'7&amp;8 SU'!AD148</f>
        <v>0</v>
      </c>
      <c r="Q30" s="1195">
        <f>'7&amp;8 SU'!AD200</f>
        <v>0</v>
      </c>
      <c r="R30" s="1195">
        <f>'7&amp;8 SU'!AD253</f>
        <v>0.17864599634862016</v>
      </c>
      <c r="S30" s="1196">
        <f>'7&amp;8 SU'!AD306</f>
        <v>0</v>
      </c>
    </row>
    <row r="31" spans="1:19" x14ac:dyDescent="0.2">
      <c r="A31" s="1191">
        <v>2028</v>
      </c>
      <c r="B31" s="1194">
        <v>0</v>
      </c>
      <c r="C31" s="1195">
        <f>'7&amp;8 Sleep'!AD97</f>
        <v>0</v>
      </c>
      <c r="D31" s="1195">
        <f>'7&amp;8 Sleep'!AD149</f>
        <v>0</v>
      </c>
      <c r="E31" s="1195">
        <f>'7&amp;8 Sleep'!AD201</f>
        <v>0</v>
      </c>
      <c r="F31" s="1195">
        <f>'7&amp;8 Sleep'!AD254</f>
        <v>0</v>
      </c>
      <c r="G31" s="1196">
        <f>'7&amp;8 Sleep'!AD307</f>
        <v>0</v>
      </c>
      <c r="H31" s="1194">
        <v>0</v>
      </c>
      <c r="I31" s="1195">
        <f>'7&amp;8 Day'!AD97</f>
        <v>0</v>
      </c>
      <c r="J31" s="1195">
        <f>'7&amp;8 Day'!AD149</f>
        <v>0</v>
      </c>
      <c r="K31" s="1195">
        <f>'7&amp;8 Day'!AD201</f>
        <v>0</v>
      </c>
      <c r="L31" s="1195">
        <f>'7&amp;8 Day'!AD254</f>
        <v>0</v>
      </c>
      <c r="M31" s="1196">
        <f>'7&amp;8 Day'!AD307</f>
        <v>0</v>
      </c>
      <c r="N31" s="1194">
        <v>0</v>
      </c>
      <c r="O31" s="1195">
        <f>'7&amp;8 SU'!AD97</f>
        <v>0</v>
      </c>
      <c r="P31" s="1195">
        <f>'7&amp;8 SU'!AD149</f>
        <v>0</v>
      </c>
      <c r="Q31" s="1195">
        <f>'7&amp;8 SU'!AD201</f>
        <v>0</v>
      </c>
      <c r="R31" s="1195">
        <f>'7&amp;8 SU'!AD254</f>
        <v>0.20157277963620687</v>
      </c>
      <c r="S31" s="1196">
        <f>'7&amp;8 SU'!AD307</f>
        <v>0</v>
      </c>
    </row>
    <row r="32" spans="1:19" x14ac:dyDescent="0.2">
      <c r="A32" s="1191">
        <v>2029</v>
      </c>
      <c r="B32" s="1194">
        <v>0</v>
      </c>
      <c r="C32" s="1195">
        <f>'7&amp;8 Sleep'!AD98</f>
        <v>0</v>
      </c>
      <c r="D32" s="1195">
        <f>'7&amp;8 Sleep'!AD150</f>
        <v>0</v>
      </c>
      <c r="E32" s="1195">
        <f>'7&amp;8 Sleep'!AD202</f>
        <v>0</v>
      </c>
      <c r="F32" s="1195">
        <f>'7&amp;8 Sleep'!AD255</f>
        <v>0</v>
      </c>
      <c r="G32" s="1196">
        <f>'7&amp;8 Sleep'!AD308</f>
        <v>0</v>
      </c>
      <c r="H32" s="1194">
        <v>0</v>
      </c>
      <c r="I32" s="1195">
        <f>'7&amp;8 Day'!AD98</f>
        <v>0</v>
      </c>
      <c r="J32" s="1195">
        <f>'7&amp;8 Day'!AD150</f>
        <v>0</v>
      </c>
      <c r="K32" s="1195">
        <f>'7&amp;8 Day'!AD202</f>
        <v>0</v>
      </c>
      <c r="L32" s="1195">
        <f>'7&amp;8 Day'!AD255</f>
        <v>0</v>
      </c>
      <c r="M32" s="1196">
        <f>'7&amp;8 Day'!AD308</f>
        <v>0</v>
      </c>
      <c r="N32" s="1194">
        <v>0</v>
      </c>
      <c r="O32" s="1195">
        <f>'7&amp;8 SU'!AD98</f>
        <v>0</v>
      </c>
      <c r="P32" s="1195">
        <f>'7&amp;8 SU'!AD150</f>
        <v>0</v>
      </c>
      <c r="Q32" s="1195">
        <f>'7&amp;8 SU'!AD202</f>
        <v>0</v>
      </c>
      <c r="R32" s="1195">
        <f>'7&amp;8 SU'!AD255</f>
        <v>0.22565022139993335</v>
      </c>
      <c r="S32" s="1196">
        <f>'7&amp;8 SU'!AD308</f>
        <v>0</v>
      </c>
    </row>
    <row r="33" spans="1:19" x14ac:dyDescent="0.2">
      <c r="A33" s="1197">
        <v>2030</v>
      </c>
      <c r="B33" s="1198">
        <v>0</v>
      </c>
      <c r="C33" s="1199">
        <f>'7&amp;8 Sleep'!AD99</f>
        <v>0</v>
      </c>
      <c r="D33" s="1199">
        <f>'7&amp;8 Sleep'!AD151</f>
        <v>0</v>
      </c>
      <c r="E33" s="1199">
        <f>'7&amp;8 Sleep'!AD203</f>
        <v>0</v>
      </c>
      <c r="F33" s="1199">
        <f>'7&amp;8 Sleep'!AD256</f>
        <v>0</v>
      </c>
      <c r="G33" s="1200">
        <f>'7&amp;8 Sleep'!AD309</f>
        <v>0</v>
      </c>
      <c r="H33" s="1198">
        <v>0</v>
      </c>
      <c r="I33" s="1199">
        <f>'7&amp;8 Day'!AD99</f>
        <v>0</v>
      </c>
      <c r="J33" s="1199">
        <f>'7&amp;8 Day'!AD151</f>
        <v>0</v>
      </c>
      <c r="K33" s="1199">
        <f>'7&amp;8 Day'!AD203</f>
        <v>0</v>
      </c>
      <c r="L33" s="1199">
        <f>'7&amp;8 Day'!AD256</f>
        <v>0</v>
      </c>
      <c r="M33" s="1200">
        <f>'7&amp;8 Day'!AD309</f>
        <v>0</v>
      </c>
      <c r="N33" s="1198">
        <v>0</v>
      </c>
      <c r="O33" s="1199">
        <f>'7&amp;8 SU'!AD99</f>
        <v>0</v>
      </c>
      <c r="P33" s="1199">
        <f>'7&amp;8 SU'!AD151</f>
        <v>0</v>
      </c>
      <c r="Q33" s="1199">
        <f>'7&amp;8 SU'!AD203</f>
        <v>0</v>
      </c>
      <c r="R33" s="1199">
        <f>'7&amp;8 SU'!AD256</f>
        <v>0.24825031514657239</v>
      </c>
      <c r="S33" s="1200">
        <f>'7&amp;8 SU'!AD309</f>
        <v>0</v>
      </c>
    </row>
    <row r="34" spans="1:19" x14ac:dyDescent="0.2">
      <c r="A34" s="1191">
        <v>2031</v>
      </c>
      <c r="B34" s="1201">
        <v>0</v>
      </c>
      <c r="C34" s="1202">
        <f>'7&amp;8 Sleep'!AD100</f>
        <v>0</v>
      </c>
      <c r="D34" s="1202">
        <f>'7&amp;8 Sleep'!AD152</f>
        <v>0</v>
      </c>
      <c r="E34" s="1202">
        <f>'7&amp;8 Sleep'!AD204</f>
        <v>0</v>
      </c>
      <c r="F34" s="1202">
        <f>'7&amp;8 Sleep'!AD257</f>
        <v>0</v>
      </c>
      <c r="G34" s="1203">
        <f>'7&amp;8 Sleep'!AD310</f>
        <v>0</v>
      </c>
      <c r="H34" s="1201">
        <v>0</v>
      </c>
      <c r="I34" s="1202">
        <f>'7&amp;8 Day'!AD100</f>
        <v>0</v>
      </c>
      <c r="J34" s="1202">
        <f>'7&amp;8 Day'!AD152</f>
        <v>0</v>
      </c>
      <c r="K34" s="1202">
        <f>'7&amp;8 Day'!AD204</f>
        <v>0.15603295236606704</v>
      </c>
      <c r="L34" s="1202">
        <f>'7&amp;8 Day'!AD257</f>
        <v>0</v>
      </c>
      <c r="M34" s="1203">
        <f>'7&amp;8 Day'!AD310</f>
        <v>0</v>
      </c>
      <c r="N34" s="1201">
        <v>0</v>
      </c>
      <c r="O34" s="1202">
        <f>'7&amp;8 SU'!AD100</f>
        <v>0</v>
      </c>
      <c r="P34" s="1202">
        <f>'7&amp;8 SU'!AD152</f>
        <v>0</v>
      </c>
      <c r="Q34" s="1202">
        <f>'7&amp;8 SU'!AD204</f>
        <v>0</v>
      </c>
      <c r="R34" s="1202">
        <f>'7&amp;8 SU'!AD257</f>
        <v>0.25839466414568374</v>
      </c>
      <c r="S34" s="1203">
        <f>'7&amp;8 SU'!AD310</f>
        <v>0</v>
      </c>
    </row>
    <row r="35" spans="1:19" x14ac:dyDescent="0.2">
      <c r="A35" s="1191">
        <v>2032</v>
      </c>
      <c r="B35" s="1194">
        <v>0</v>
      </c>
      <c r="C35" s="1195">
        <f>'7&amp;8 Sleep'!AD101</f>
        <v>0</v>
      </c>
      <c r="D35" s="1195">
        <f>'7&amp;8 Sleep'!AD153</f>
        <v>0</v>
      </c>
      <c r="E35" s="1195">
        <f>'7&amp;8 Sleep'!AD205</f>
        <v>0</v>
      </c>
      <c r="F35" s="1195">
        <f>'7&amp;8 Sleep'!AD258</f>
        <v>0</v>
      </c>
      <c r="G35" s="1196">
        <f>'7&amp;8 Sleep'!AD311</f>
        <v>0</v>
      </c>
      <c r="H35" s="1194">
        <v>0</v>
      </c>
      <c r="I35" s="1195">
        <f>'7&amp;8 Day'!AD101</f>
        <v>0</v>
      </c>
      <c r="J35" s="1195">
        <f>'7&amp;8 Day'!AD153</f>
        <v>0</v>
      </c>
      <c r="K35" s="1195">
        <f>'7&amp;8 Day'!AD205</f>
        <v>0.15617650810866854</v>
      </c>
      <c r="L35" s="1195">
        <f>'7&amp;8 Day'!AD258</f>
        <v>0</v>
      </c>
      <c r="M35" s="1196">
        <f>'7&amp;8 Day'!AD311</f>
        <v>0</v>
      </c>
      <c r="N35" s="1194">
        <v>0</v>
      </c>
      <c r="O35" s="1195">
        <f>'7&amp;8 SU'!AD101</f>
        <v>0</v>
      </c>
      <c r="P35" s="1195">
        <f>'7&amp;8 SU'!AD153</f>
        <v>0</v>
      </c>
      <c r="Q35" s="1195">
        <f>'7&amp;8 SU'!AD205</f>
        <v>0</v>
      </c>
      <c r="R35" s="1195">
        <f>'7&amp;8 SU'!AD258</f>
        <v>0.26693478657857134</v>
      </c>
      <c r="S35" s="1196">
        <f>'7&amp;8 SU'!AD311</f>
        <v>0</v>
      </c>
    </row>
    <row r="36" spans="1:19" x14ac:dyDescent="0.2">
      <c r="A36" s="1191">
        <v>2033</v>
      </c>
      <c r="B36" s="1194">
        <v>0</v>
      </c>
      <c r="C36" s="1195">
        <f>'7&amp;8 Sleep'!AD102</f>
        <v>0</v>
      </c>
      <c r="D36" s="1195">
        <f>'7&amp;8 Sleep'!AD154</f>
        <v>0</v>
      </c>
      <c r="E36" s="1195">
        <f>'7&amp;8 Sleep'!AD206</f>
        <v>0</v>
      </c>
      <c r="F36" s="1195">
        <f>'7&amp;8 Sleep'!AD259</f>
        <v>0</v>
      </c>
      <c r="G36" s="1196">
        <f>'7&amp;8 Sleep'!AD312</f>
        <v>0</v>
      </c>
      <c r="H36" s="1194">
        <v>0</v>
      </c>
      <c r="I36" s="1195">
        <f>'7&amp;8 Day'!AD102</f>
        <v>0</v>
      </c>
      <c r="J36" s="1195">
        <f>'7&amp;8 Day'!AD154</f>
        <v>0</v>
      </c>
      <c r="K36" s="1195">
        <f>'7&amp;8 Day'!AD206</f>
        <v>0.16115164577810429</v>
      </c>
      <c r="L36" s="1195">
        <f>'7&amp;8 Day'!AD259</f>
        <v>0</v>
      </c>
      <c r="M36" s="1196">
        <f>'7&amp;8 Day'!AD312</f>
        <v>0</v>
      </c>
      <c r="N36" s="1194">
        <v>0</v>
      </c>
      <c r="O36" s="1195">
        <f>'7&amp;8 SU'!AD102</f>
        <v>0</v>
      </c>
      <c r="P36" s="1195">
        <f>'7&amp;8 SU'!AD154</f>
        <v>0</v>
      </c>
      <c r="Q36" s="1195">
        <f>'7&amp;8 SU'!AD206</f>
        <v>0</v>
      </c>
      <c r="R36" s="1195">
        <f>'7&amp;8 SU'!AD259</f>
        <v>0.27777689399041144</v>
      </c>
      <c r="S36" s="1196">
        <f>'7&amp;8 SU'!AD312</f>
        <v>0</v>
      </c>
    </row>
    <row r="37" spans="1:19" x14ac:dyDescent="0.2">
      <c r="A37" s="1191">
        <v>2034</v>
      </c>
      <c r="B37" s="1194">
        <v>0</v>
      </c>
      <c r="C37" s="1195">
        <f>'7&amp;8 Sleep'!AD103</f>
        <v>0</v>
      </c>
      <c r="D37" s="1195">
        <f>'7&amp;8 Sleep'!AD155</f>
        <v>0</v>
      </c>
      <c r="E37" s="1195">
        <f>'7&amp;8 Sleep'!AD207</f>
        <v>0</v>
      </c>
      <c r="F37" s="1195">
        <f>'7&amp;8 Sleep'!AD260</f>
        <v>0</v>
      </c>
      <c r="G37" s="1196">
        <f>'7&amp;8 Sleep'!AD313</f>
        <v>0</v>
      </c>
      <c r="H37" s="1194">
        <v>0</v>
      </c>
      <c r="I37" s="1195">
        <f>'7&amp;8 Day'!AD103</f>
        <v>0</v>
      </c>
      <c r="J37" s="1195">
        <f>'7&amp;8 Day'!AD155</f>
        <v>0</v>
      </c>
      <c r="K37" s="1195">
        <f>'7&amp;8 Day'!AD207</f>
        <v>0.17374296711375925</v>
      </c>
      <c r="L37" s="1195">
        <f>'7&amp;8 Day'!AD260</f>
        <v>0</v>
      </c>
      <c r="M37" s="1196">
        <f>'7&amp;8 Day'!AD313</f>
        <v>0</v>
      </c>
      <c r="N37" s="1194">
        <v>0</v>
      </c>
      <c r="O37" s="1195">
        <f>'7&amp;8 SU'!AD103</f>
        <v>0</v>
      </c>
      <c r="P37" s="1195">
        <f>'7&amp;8 SU'!AD155</f>
        <v>0</v>
      </c>
      <c r="Q37" s="1195">
        <f>'7&amp;8 SU'!AD207</f>
        <v>0</v>
      </c>
      <c r="R37" s="1195">
        <f>'7&amp;8 SU'!AD260</f>
        <v>0.29279817045207257</v>
      </c>
      <c r="S37" s="1196">
        <f>'7&amp;8 SU'!AD313</f>
        <v>0</v>
      </c>
    </row>
    <row r="38" spans="1:19" x14ac:dyDescent="0.2">
      <c r="A38" s="1197">
        <v>2035</v>
      </c>
      <c r="B38" s="1198">
        <v>0</v>
      </c>
      <c r="C38" s="1199">
        <f>'7&amp;8 Sleep'!AD104</f>
        <v>0</v>
      </c>
      <c r="D38" s="1199">
        <f>'7&amp;8 Sleep'!AD156</f>
        <v>0</v>
      </c>
      <c r="E38" s="1199">
        <f>'7&amp;8 Sleep'!AD208</f>
        <v>0</v>
      </c>
      <c r="F38" s="1199">
        <f>'7&amp;8 Sleep'!AD261</f>
        <v>0</v>
      </c>
      <c r="G38" s="1200">
        <f>'7&amp;8 Sleep'!AD314</f>
        <v>0</v>
      </c>
      <c r="H38" s="1198">
        <v>0</v>
      </c>
      <c r="I38" s="1199">
        <f>'7&amp;8 Day'!AD104</f>
        <v>0</v>
      </c>
      <c r="J38" s="1199">
        <f>'7&amp;8 Day'!AD156</f>
        <v>0</v>
      </c>
      <c r="K38" s="1199">
        <f>'7&amp;8 Day'!AD208</f>
        <v>0.19943834809524263</v>
      </c>
      <c r="L38" s="1199">
        <f>'7&amp;8 Day'!AD261</f>
        <v>0</v>
      </c>
      <c r="M38" s="1200">
        <f>'7&amp;8 Day'!AD314</f>
        <v>0</v>
      </c>
      <c r="N38" s="1198">
        <v>0</v>
      </c>
      <c r="O38" s="1199">
        <f>'7&amp;8 SU'!AD104</f>
        <v>0</v>
      </c>
      <c r="P38" s="1199">
        <f>'7&amp;8 SU'!AD156</f>
        <v>0</v>
      </c>
      <c r="Q38" s="1199">
        <f>'7&amp;8 SU'!AD208</f>
        <v>0</v>
      </c>
      <c r="R38" s="1199">
        <f>'7&amp;8 SU'!AD261</f>
        <v>0.31784118596227184</v>
      </c>
      <c r="S38" s="1200">
        <f>'7&amp;8 SU'!AD314</f>
        <v>0</v>
      </c>
    </row>
    <row r="39" spans="1:19" x14ac:dyDescent="0.2">
      <c r="A39" s="1191">
        <v>2036</v>
      </c>
      <c r="B39" s="1201">
        <v>0</v>
      </c>
      <c r="C39" s="1202">
        <f>'7&amp;8 Sleep'!AD105</f>
        <v>0</v>
      </c>
      <c r="D39" s="1202">
        <f>'7&amp;8 Sleep'!AD157</f>
        <v>0</v>
      </c>
      <c r="E39" s="1202">
        <f>'7&amp;8 Sleep'!AD209</f>
        <v>0</v>
      </c>
      <c r="F39" s="1202">
        <f>'7&amp;8 Sleep'!AD262</f>
        <v>0</v>
      </c>
      <c r="G39" s="1203">
        <f>'7&amp;8 Sleep'!AD315</f>
        <v>0</v>
      </c>
      <c r="H39" s="1201">
        <v>0</v>
      </c>
      <c r="I39" s="1202">
        <f>'7&amp;8 Day'!AD105</f>
        <v>0</v>
      </c>
      <c r="J39" s="1202">
        <f>'7&amp;8 Day'!AD157</f>
        <v>0</v>
      </c>
      <c r="K39" s="1202">
        <f>'7&amp;8 Day'!AD209</f>
        <v>0.20833778080543369</v>
      </c>
      <c r="L39" s="1202">
        <f>'7&amp;8 Day'!AD262</f>
        <v>0</v>
      </c>
      <c r="M39" s="1203">
        <f>'7&amp;8 Day'!AD315</f>
        <v>0</v>
      </c>
      <c r="N39" s="1201">
        <v>0</v>
      </c>
      <c r="O39" s="1202">
        <f>'7&amp;8 SU'!AD105</f>
        <v>0</v>
      </c>
      <c r="P39" s="1202">
        <f>'7&amp;8 SU'!AD157</f>
        <v>0</v>
      </c>
      <c r="Q39" s="1202">
        <f>'7&amp;8 SU'!AD209</f>
        <v>0</v>
      </c>
      <c r="R39" s="1202">
        <f>'7&amp;8 SU'!AD262</f>
        <v>0.32937027215683201</v>
      </c>
      <c r="S39" s="1203">
        <f>'7&amp;8 SU'!AD315</f>
        <v>0</v>
      </c>
    </row>
    <row r="40" spans="1:19" x14ac:dyDescent="0.2">
      <c r="A40" s="1191">
        <v>2037</v>
      </c>
      <c r="B40" s="1194">
        <v>0</v>
      </c>
      <c r="C40" s="1195">
        <f>'7&amp;8 Sleep'!AD106</f>
        <v>0</v>
      </c>
      <c r="D40" s="1195">
        <f>'7&amp;8 Sleep'!AD158</f>
        <v>0</v>
      </c>
      <c r="E40" s="1195">
        <f>'7&amp;8 Sleep'!AD210</f>
        <v>0</v>
      </c>
      <c r="F40" s="1195">
        <f>'7&amp;8 Sleep'!AD263</f>
        <v>0</v>
      </c>
      <c r="G40" s="1196">
        <f>'7&amp;8 Sleep'!AD316</f>
        <v>0</v>
      </c>
      <c r="H40" s="1194">
        <v>0</v>
      </c>
      <c r="I40" s="1195">
        <f>'7&amp;8 Day'!AD106</f>
        <v>0</v>
      </c>
      <c r="J40" s="1195">
        <f>'7&amp;8 Day'!AD158</f>
        <v>0</v>
      </c>
      <c r="K40" s="1195">
        <f>'7&amp;8 Day'!AD210</f>
        <v>0.21670515338402874</v>
      </c>
      <c r="L40" s="1195">
        <f>'7&amp;8 Day'!AD263</f>
        <v>0</v>
      </c>
      <c r="M40" s="1196">
        <f>'7&amp;8 Day'!AD316</f>
        <v>0</v>
      </c>
      <c r="N40" s="1194">
        <v>0</v>
      </c>
      <c r="O40" s="1195">
        <f>'7&amp;8 SU'!AD106</f>
        <v>0</v>
      </c>
      <c r="P40" s="1195">
        <f>'7&amp;8 SU'!AD158</f>
        <v>0</v>
      </c>
      <c r="Q40" s="1195">
        <f>'7&amp;8 SU'!AD210</f>
        <v>0</v>
      </c>
      <c r="R40" s="1195">
        <f>'7&amp;8 SU'!AD263</f>
        <v>0.33981745421415727</v>
      </c>
      <c r="S40" s="1196">
        <f>'7&amp;8 SU'!AD316</f>
        <v>0</v>
      </c>
    </row>
    <row r="41" spans="1:19" x14ac:dyDescent="0.2">
      <c r="A41" s="1191">
        <v>2038</v>
      </c>
      <c r="B41" s="1194">
        <v>0</v>
      </c>
      <c r="C41" s="1195">
        <f>'7&amp;8 Sleep'!AD107</f>
        <v>0</v>
      </c>
      <c r="D41" s="1195">
        <f>'7&amp;8 Sleep'!AD159</f>
        <v>0</v>
      </c>
      <c r="E41" s="1195">
        <f>'7&amp;8 Sleep'!AD211</f>
        <v>0</v>
      </c>
      <c r="F41" s="1195">
        <f>'7&amp;8 Sleep'!AD264</f>
        <v>0</v>
      </c>
      <c r="G41" s="1196">
        <f>'7&amp;8 Sleep'!AD317</f>
        <v>0</v>
      </c>
      <c r="H41" s="1194">
        <v>0</v>
      </c>
      <c r="I41" s="1195">
        <f>'7&amp;8 Day'!AD107</f>
        <v>0</v>
      </c>
      <c r="J41" s="1195">
        <f>'7&amp;8 Day'!AD159</f>
        <v>0</v>
      </c>
      <c r="K41" s="1195">
        <f>'7&amp;8 Day'!AD211</f>
        <v>0.22471408048898545</v>
      </c>
      <c r="L41" s="1195">
        <f>'7&amp;8 Day'!AD264</f>
        <v>0</v>
      </c>
      <c r="M41" s="1196">
        <f>'7&amp;8 Day'!AD317</f>
        <v>0</v>
      </c>
      <c r="N41" s="1194">
        <v>0</v>
      </c>
      <c r="O41" s="1195">
        <f>'7&amp;8 SU'!AD107</f>
        <v>0</v>
      </c>
      <c r="P41" s="1195">
        <f>'7&amp;8 SU'!AD159</f>
        <v>0</v>
      </c>
      <c r="Q41" s="1195">
        <f>'7&amp;8 SU'!AD211</f>
        <v>0</v>
      </c>
      <c r="R41" s="1195">
        <f>'7&amp;8 SU'!AD264</f>
        <v>0.35043595105181041</v>
      </c>
      <c r="S41" s="1196">
        <f>'7&amp;8 SU'!AD317</f>
        <v>0</v>
      </c>
    </row>
    <row r="42" spans="1:19" x14ac:dyDescent="0.2">
      <c r="A42" s="1191">
        <v>2039</v>
      </c>
      <c r="B42" s="1194">
        <v>0</v>
      </c>
      <c r="C42" s="1195">
        <f>'7&amp;8 Sleep'!AD108</f>
        <v>0</v>
      </c>
      <c r="D42" s="1195">
        <f>'7&amp;8 Sleep'!AD160</f>
        <v>0</v>
      </c>
      <c r="E42" s="1195">
        <f>'7&amp;8 Sleep'!AD212</f>
        <v>0</v>
      </c>
      <c r="F42" s="1195">
        <f>'7&amp;8 Sleep'!AD265</f>
        <v>0</v>
      </c>
      <c r="G42" s="1196">
        <f>'7&amp;8 Sleep'!AD318</f>
        <v>0</v>
      </c>
      <c r="H42" s="1194">
        <v>0</v>
      </c>
      <c r="I42" s="1195">
        <f>'7&amp;8 Day'!AD108</f>
        <v>0</v>
      </c>
      <c r="J42" s="1195">
        <f>'7&amp;8 Day'!AD160</f>
        <v>0</v>
      </c>
      <c r="K42" s="1195">
        <f>'7&amp;8 Day'!AD212</f>
        <v>0.23639181658814812</v>
      </c>
      <c r="L42" s="1195">
        <f>'7&amp;8 Day'!AD265</f>
        <v>0</v>
      </c>
      <c r="M42" s="1196">
        <f>'7&amp;8 Day'!AD318</f>
        <v>0</v>
      </c>
      <c r="N42" s="1194">
        <v>0</v>
      </c>
      <c r="O42" s="1195">
        <f>'7&amp;8 SU'!AD108</f>
        <v>0</v>
      </c>
      <c r="P42" s="1195">
        <f>'7&amp;8 SU'!AD160</f>
        <v>0</v>
      </c>
      <c r="Q42" s="1195">
        <f>'7&amp;8 SU'!AD212</f>
        <v>0</v>
      </c>
      <c r="R42" s="1195">
        <f>'7&amp;8 SU'!AD265</f>
        <v>0.36503833076944925</v>
      </c>
      <c r="S42" s="1196">
        <f>'7&amp;8 SU'!AD318</f>
        <v>0</v>
      </c>
    </row>
    <row r="43" spans="1:19" x14ac:dyDescent="0.2">
      <c r="A43" s="1197">
        <v>2040</v>
      </c>
      <c r="B43" s="1198">
        <v>0</v>
      </c>
      <c r="C43" s="1199">
        <f>'7&amp;8 Sleep'!AD109</f>
        <v>0</v>
      </c>
      <c r="D43" s="1199">
        <f>'7&amp;8 Sleep'!AD161</f>
        <v>0</v>
      </c>
      <c r="E43" s="1199">
        <f>'7&amp;8 Sleep'!AD213</f>
        <v>0</v>
      </c>
      <c r="F43" s="1199">
        <f>'7&amp;8 Sleep'!AD266</f>
        <v>0</v>
      </c>
      <c r="G43" s="1200">
        <f>'7&amp;8 Sleep'!AD319</f>
        <v>0</v>
      </c>
      <c r="H43" s="1220">
        <v>0</v>
      </c>
      <c r="I43" s="1221">
        <f>'7&amp;8 Day'!AD109</f>
        <v>0</v>
      </c>
      <c r="J43" s="1221">
        <f>'7&amp;8 Day'!AD161</f>
        <v>0</v>
      </c>
      <c r="K43" s="1221">
        <f>'7&amp;8 Day'!AD213</f>
        <v>0.24951817728847736</v>
      </c>
      <c r="L43" s="1221">
        <f>'7&amp;8 Day'!AD266</f>
        <v>0</v>
      </c>
      <c r="M43" s="1222">
        <f>'7&amp;8 Day'!AD319</f>
        <v>0</v>
      </c>
      <c r="N43" s="1194">
        <v>0</v>
      </c>
      <c r="O43" s="1221">
        <f>'7&amp;8 SU'!AD109</f>
        <v>0</v>
      </c>
      <c r="P43" s="1221">
        <f>'7&amp;8 SU'!AD161</f>
        <v>0</v>
      </c>
      <c r="Q43" s="1221">
        <f>'7&amp;8 SU'!AD213</f>
        <v>0</v>
      </c>
      <c r="R43" s="1221">
        <f>'7&amp;8 SU'!AD266</f>
        <v>0.3826984484994207</v>
      </c>
      <c r="S43" s="1222">
        <f>'7&amp;8 SU'!AD319</f>
        <v>0</v>
      </c>
    </row>
    <row r="44" spans="1:19" x14ac:dyDescent="0.2">
      <c r="A44" s="1191">
        <v>2041</v>
      </c>
      <c r="B44" s="1201">
        <v>0</v>
      </c>
      <c r="C44" s="1202">
        <f>'7&amp;8 Sleep'!AD110</f>
        <v>0</v>
      </c>
      <c r="D44" s="1202">
        <f>'7&amp;8 Sleep'!AD162</f>
        <v>0</v>
      </c>
      <c r="E44" s="1202">
        <f>'7&amp;8 Sleep'!AD214</f>
        <v>0</v>
      </c>
      <c r="F44" s="1202">
        <f>'7&amp;8 Sleep'!AD267</f>
        <v>0</v>
      </c>
      <c r="G44" s="1203">
        <f>'7&amp;8 Sleep'!AD320</f>
        <v>0</v>
      </c>
      <c r="H44" s="1201">
        <v>0</v>
      </c>
      <c r="I44" s="1202">
        <f>'7&amp;8 Day'!AD110</f>
        <v>0</v>
      </c>
      <c r="J44" s="1202">
        <f>'7&amp;8 Day'!AD162</f>
        <v>0</v>
      </c>
      <c r="K44" s="1202">
        <f>'7&amp;8 Day'!AD214</f>
        <v>0.27056153764547264</v>
      </c>
      <c r="L44" s="1202">
        <f>'7&amp;8 Day'!AD267</f>
        <v>0</v>
      </c>
      <c r="M44" s="1203">
        <f>'7&amp;8 Day'!AD320</f>
        <v>0</v>
      </c>
      <c r="N44" s="1201">
        <v>0</v>
      </c>
      <c r="O44" s="1202">
        <f>'7&amp;8 SU'!AD110</f>
        <v>0</v>
      </c>
      <c r="P44" s="1202">
        <f>'7&amp;8 SU'!AD162</f>
        <v>0</v>
      </c>
      <c r="Q44" s="1202">
        <f>'7&amp;8 SU'!AD214</f>
        <v>0</v>
      </c>
      <c r="R44" s="1202">
        <f>'7&amp;8 SU'!AD267</f>
        <v>0.41384177312849962</v>
      </c>
      <c r="S44" s="1203">
        <f>'7&amp;8 SU'!AD320</f>
        <v>0</v>
      </c>
    </row>
    <row r="45" spans="1:19" x14ac:dyDescent="0.2">
      <c r="A45" s="1191">
        <v>2042</v>
      </c>
      <c r="B45" s="1194">
        <v>0</v>
      </c>
      <c r="C45" s="1195">
        <f>'7&amp;8 Sleep'!AD111</f>
        <v>0</v>
      </c>
      <c r="D45" s="1195">
        <f>'7&amp;8 Sleep'!AD163</f>
        <v>0</v>
      </c>
      <c r="E45" s="1195">
        <f>'7&amp;8 Sleep'!AD215</f>
        <v>0</v>
      </c>
      <c r="F45" s="1195">
        <f>'7&amp;8 Sleep'!AD268</f>
        <v>0</v>
      </c>
      <c r="G45" s="1196">
        <f>'7&amp;8 Sleep'!AD321</f>
        <v>0</v>
      </c>
      <c r="H45" s="1194">
        <v>0</v>
      </c>
      <c r="I45" s="1195">
        <f>'7&amp;8 Day'!AD111</f>
        <v>0</v>
      </c>
      <c r="J45" s="1195">
        <f>'7&amp;8 Day'!AD163</f>
        <v>0</v>
      </c>
      <c r="K45" s="1195">
        <f>'7&amp;8 Day'!AD215</f>
        <v>0.29526853896738797</v>
      </c>
      <c r="L45" s="1195">
        <f>'7&amp;8 Day'!AD268</f>
        <v>0</v>
      </c>
      <c r="M45" s="1196">
        <f>'7&amp;8 Day'!AD321</f>
        <v>0</v>
      </c>
      <c r="N45" s="1194">
        <v>0</v>
      </c>
      <c r="O45" s="1195">
        <f>'7&amp;8 SU'!AD111</f>
        <v>0</v>
      </c>
      <c r="P45" s="1195">
        <f>'7&amp;8 SU'!AD163</f>
        <v>0</v>
      </c>
      <c r="Q45" s="1195">
        <f>'7&amp;8 SU'!AD215</f>
        <v>0</v>
      </c>
      <c r="R45" s="1195">
        <f>'7&amp;8 SU'!AD268</f>
        <v>0.46500030504491263</v>
      </c>
      <c r="S45" s="1196">
        <f>'7&amp;8 SU'!AD321</f>
        <v>0</v>
      </c>
    </row>
    <row r="46" spans="1:19" x14ac:dyDescent="0.2">
      <c r="A46" s="1191">
        <v>2043</v>
      </c>
      <c r="B46" s="1194">
        <v>0</v>
      </c>
      <c r="C46" s="1195">
        <f>'7&amp;8 Sleep'!AD112</f>
        <v>0</v>
      </c>
      <c r="D46" s="1195">
        <f>'7&amp;8 Sleep'!AD164</f>
        <v>0</v>
      </c>
      <c r="E46" s="1195">
        <f>'7&amp;8 Sleep'!AD216</f>
        <v>0</v>
      </c>
      <c r="F46" s="1195">
        <f>'7&amp;8 Sleep'!AD269</f>
        <v>0</v>
      </c>
      <c r="G46" s="1196">
        <f>'7&amp;8 Sleep'!AD322</f>
        <v>0</v>
      </c>
      <c r="H46" s="1194">
        <v>0</v>
      </c>
      <c r="I46" s="1195">
        <f>'7&amp;8 Day'!AD112</f>
        <v>0</v>
      </c>
      <c r="J46" s="1195">
        <f>'7&amp;8 Day'!AD164</f>
        <v>0</v>
      </c>
      <c r="K46" s="1195">
        <f>'7&amp;8 Day'!AD216</f>
        <v>0.31981063830900891</v>
      </c>
      <c r="L46" s="1195">
        <f>'7&amp;8 Day'!AD269</f>
        <v>0</v>
      </c>
      <c r="M46" s="1196">
        <f>'7&amp;8 Day'!AD322</f>
        <v>0</v>
      </c>
      <c r="N46" s="1194">
        <v>0</v>
      </c>
      <c r="O46" s="1195">
        <f>'7&amp;8 SU'!AD112</f>
        <v>0</v>
      </c>
      <c r="P46" s="1195">
        <f>'7&amp;8 SU'!AD164</f>
        <v>0</v>
      </c>
      <c r="Q46" s="1195">
        <f>'7&amp;8 SU'!AD216</f>
        <v>0</v>
      </c>
      <c r="R46" s="1195">
        <f>'7&amp;8 SU'!AD269</f>
        <v>0.52544752701038822</v>
      </c>
      <c r="S46" s="1196">
        <f>'7&amp;8 SU'!AD322</f>
        <v>0</v>
      </c>
    </row>
    <row r="47" spans="1:19" x14ac:dyDescent="0.2">
      <c r="A47" s="1191">
        <v>2044</v>
      </c>
      <c r="B47" s="1194">
        <v>0</v>
      </c>
      <c r="C47" s="1195">
        <f>'7&amp;8 Sleep'!AD113</f>
        <v>0</v>
      </c>
      <c r="D47" s="1195">
        <f>'7&amp;8 Sleep'!AD165</f>
        <v>0</v>
      </c>
      <c r="E47" s="1195">
        <f>'7&amp;8 Sleep'!AD217</f>
        <v>0</v>
      </c>
      <c r="F47" s="1195">
        <f>'7&amp;8 Sleep'!AD270</f>
        <v>0</v>
      </c>
      <c r="G47" s="1196">
        <f>'7&amp;8 Sleep'!AD323</f>
        <v>0</v>
      </c>
      <c r="H47" s="1194">
        <v>0</v>
      </c>
      <c r="I47" s="1195">
        <f>'7&amp;8 Day'!AD113</f>
        <v>0</v>
      </c>
      <c r="J47" s="1195">
        <f>'7&amp;8 Day'!AD165</f>
        <v>0</v>
      </c>
      <c r="K47" s="1195">
        <f>'7&amp;8 Day'!AD217</f>
        <v>0.33946442655740583</v>
      </c>
      <c r="L47" s="1195">
        <f>'7&amp;8 Day'!AD270</f>
        <v>0</v>
      </c>
      <c r="M47" s="1196">
        <f>'7&amp;8 Day'!AD323</f>
        <v>0</v>
      </c>
      <c r="N47" s="1194">
        <v>0</v>
      </c>
      <c r="O47" s="1195">
        <f>'7&amp;8 SU'!AD113</f>
        <v>0</v>
      </c>
      <c r="P47" s="1195">
        <f>'7&amp;8 SU'!AD165</f>
        <v>0</v>
      </c>
      <c r="Q47" s="1195">
        <f>'7&amp;8 SU'!AD217</f>
        <v>0</v>
      </c>
      <c r="R47" s="1195">
        <f>'7&amp;8 SU'!AD270</f>
        <v>0.59021510253286469</v>
      </c>
      <c r="S47" s="1196">
        <f>'7&amp;8 SU'!AD323</f>
        <v>0</v>
      </c>
    </row>
    <row r="48" spans="1:19" x14ac:dyDescent="0.2">
      <c r="A48" s="1197">
        <v>2045</v>
      </c>
      <c r="B48" s="1198">
        <v>0</v>
      </c>
      <c r="C48" s="1199">
        <f>'7&amp;8 Sleep'!AD114</f>
        <v>0</v>
      </c>
      <c r="D48" s="1199">
        <f>'7&amp;8 Sleep'!AD166</f>
        <v>0</v>
      </c>
      <c r="E48" s="1199">
        <f>'7&amp;8 Sleep'!AD218</f>
        <v>0</v>
      </c>
      <c r="F48" s="1199">
        <f>'7&amp;8 Sleep'!AD271</f>
        <v>0</v>
      </c>
      <c r="G48" s="1200">
        <f>'7&amp;8 Sleep'!AD324</f>
        <v>0</v>
      </c>
      <c r="H48" s="1198">
        <v>0</v>
      </c>
      <c r="I48" s="1199">
        <f>'7&amp;8 Day'!AD114</f>
        <v>0</v>
      </c>
      <c r="J48" s="1199">
        <f>'7&amp;8 Day'!AD166</f>
        <v>0</v>
      </c>
      <c r="K48" s="1199">
        <f>'7&amp;8 Day'!AD218</f>
        <v>0.35888316380781549</v>
      </c>
      <c r="L48" s="1199">
        <f>'7&amp;8 Day'!AD271</f>
        <v>0</v>
      </c>
      <c r="M48" s="1200">
        <f>'7&amp;8 Day'!AD324</f>
        <v>0</v>
      </c>
      <c r="N48" s="1198">
        <v>0</v>
      </c>
      <c r="O48" s="1199">
        <f>'7&amp;8 SU'!AD114</f>
        <v>0</v>
      </c>
      <c r="P48" s="1199">
        <f>'7&amp;8 SU'!AD166</f>
        <v>0</v>
      </c>
      <c r="Q48" s="1199">
        <f>'7&amp;8 SU'!AD218</f>
        <v>0</v>
      </c>
      <c r="R48" s="1199">
        <f>'7&amp;8 SU'!AD271</f>
        <v>0.65476147101926618</v>
      </c>
      <c r="S48" s="1200">
        <f>'7&amp;8 SU'!AD324</f>
        <v>0</v>
      </c>
    </row>
    <row r="49" spans="1:19" x14ac:dyDescent="0.2">
      <c r="A49" s="1191">
        <v>2046</v>
      </c>
      <c r="B49" s="1201">
        <v>0</v>
      </c>
      <c r="C49" s="1202">
        <f>'7&amp;8 Sleep'!AD115</f>
        <v>0</v>
      </c>
      <c r="D49" s="1202">
        <f>'7&amp;8 Sleep'!AD167</f>
        <v>0</v>
      </c>
      <c r="E49" s="1202">
        <f>'7&amp;8 Sleep'!AD219</f>
        <v>0</v>
      </c>
      <c r="F49" s="1202">
        <f>'7&amp;8 Sleep'!AD272</f>
        <v>0</v>
      </c>
      <c r="G49" s="1203">
        <f>'7&amp;8 Sleep'!AD325</f>
        <v>0</v>
      </c>
      <c r="H49" s="1201">
        <v>0</v>
      </c>
      <c r="I49" s="1202">
        <f>'7&amp;8 Day'!AD115</f>
        <v>0</v>
      </c>
      <c r="J49" s="1202">
        <f>'7&amp;8 Day'!AD167</f>
        <v>0</v>
      </c>
      <c r="K49" s="1202">
        <f>'7&amp;8 Day'!AD219</f>
        <v>0.37139455906498359</v>
      </c>
      <c r="L49" s="1202">
        <f>'7&amp;8 Day'!AD272</f>
        <v>0</v>
      </c>
      <c r="M49" s="1203">
        <f>'7&amp;8 Day'!AD325</f>
        <v>0</v>
      </c>
      <c r="N49" s="1201">
        <v>0</v>
      </c>
      <c r="O49" s="1202">
        <f>'7&amp;8 SU'!AD115</f>
        <v>0</v>
      </c>
      <c r="P49" s="1202">
        <f>'7&amp;8 SU'!AD167</f>
        <v>0</v>
      </c>
      <c r="Q49" s="1202">
        <f>'7&amp;8 SU'!AD219</f>
        <v>0</v>
      </c>
      <c r="R49" s="1202">
        <f>'7&amp;8 SU'!AD272</f>
        <v>0.68525721601837453</v>
      </c>
      <c r="S49" s="1203">
        <f>'7&amp;8 SU'!AD325</f>
        <v>0</v>
      </c>
    </row>
    <row r="50" spans="1:19" x14ac:dyDescent="0.2">
      <c r="A50" s="1191">
        <v>2047</v>
      </c>
      <c r="B50" s="1194">
        <v>0</v>
      </c>
      <c r="C50" s="1195">
        <f>'7&amp;8 Sleep'!AD116</f>
        <v>0</v>
      </c>
      <c r="D50" s="1195">
        <f>'7&amp;8 Sleep'!AD168</f>
        <v>0</v>
      </c>
      <c r="E50" s="1195">
        <f>'7&amp;8 Sleep'!AD220</f>
        <v>0</v>
      </c>
      <c r="F50" s="1195">
        <f>'7&amp;8 Sleep'!AD273</f>
        <v>0</v>
      </c>
      <c r="G50" s="1196">
        <f>'7&amp;8 Sleep'!AD326</f>
        <v>0</v>
      </c>
      <c r="H50" s="1194">
        <v>0</v>
      </c>
      <c r="I50" s="1195">
        <f>'7&amp;8 Day'!AD116</f>
        <v>0</v>
      </c>
      <c r="J50" s="1195">
        <f>'7&amp;8 Day'!AD168</f>
        <v>0</v>
      </c>
      <c r="K50" s="1195">
        <f>'7&amp;8 Day'!AD220</f>
        <v>0.37966368385229876</v>
      </c>
      <c r="L50" s="1195">
        <f>'7&amp;8 Day'!AD273</f>
        <v>0</v>
      </c>
      <c r="M50" s="1196">
        <f>'7&amp;8 Day'!AD326</f>
        <v>0</v>
      </c>
      <c r="N50" s="1194">
        <v>0</v>
      </c>
      <c r="O50" s="1195">
        <f>'7&amp;8 SU'!AD116</f>
        <v>0</v>
      </c>
      <c r="P50" s="1195">
        <f>'7&amp;8 SU'!AD168</f>
        <v>0</v>
      </c>
      <c r="Q50" s="1195">
        <f>'7&amp;8 SU'!AD220</f>
        <v>0</v>
      </c>
      <c r="R50" s="1195">
        <f>'7&amp;8 SU'!AD273</f>
        <v>0.69901378635391409</v>
      </c>
      <c r="S50" s="1196">
        <f>'7&amp;8 SU'!AD326</f>
        <v>0</v>
      </c>
    </row>
    <row r="51" spans="1:19" x14ac:dyDescent="0.2">
      <c r="A51" s="1191">
        <v>2048</v>
      </c>
      <c r="B51" s="1194">
        <v>0</v>
      </c>
      <c r="C51" s="1195">
        <f>'7&amp;8 Sleep'!AD117</f>
        <v>0</v>
      </c>
      <c r="D51" s="1195">
        <f>'7&amp;8 Sleep'!AD169</f>
        <v>0</v>
      </c>
      <c r="E51" s="1195">
        <f>'7&amp;8 Sleep'!AD221</f>
        <v>0</v>
      </c>
      <c r="F51" s="1195">
        <f>'7&amp;8 Sleep'!AD274</f>
        <v>0</v>
      </c>
      <c r="G51" s="1196">
        <f>'7&amp;8 Sleep'!AD327</f>
        <v>0</v>
      </c>
      <c r="H51" s="1194">
        <v>0</v>
      </c>
      <c r="I51" s="1195">
        <f>'7&amp;8 Day'!AD117</f>
        <v>0</v>
      </c>
      <c r="J51" s="1195">
        <f>'7&amp;8 Day'!AD169</f>
        <v>0</v>
      </c>
      <c r="K51" s="1195">
        <f>'7&amp;8 Day'!AD221</f>
        <v>0.38675939758260625</v>
      </c>
      <c r="L51" s="1195">
        <f>'7&amp;8 Day'!AD274</f>
        <v>0</v>
      </c>
      <c r="M51" s="1196">
        <f>'7&amp;8 Day'!AD327</f>
        <v>0</v>
      </c>
      <c r="N51" s="1194">
        <v>0</v>
      </c>
      <c r="O51" s="1195">
        <f>'7&amp;8 SU'!AD117</f>
        <v>0</v>
      </c>
      <c r="P51" s="1195">
        <f>'7&amp;8 SU'!AD169</f>
        <v>0</v>
      </c>
      <c r="Q51" s="1195">
        <f>'7&amp;8 SU'!AD221</f>
        <v>0</v>
      </c>
      <c r="R51" s="1195">
        <f>'7&amp;8 SU'!AD274</f>
        <v>0.70722054603681717</v>
      </c>
      <c r="S51" s="1196">
        <f>'7&amp;8 SU'!AD327</f>
        <v>0</v>
      </c>
    </row>
    <row r="52" spans="1:19" x14ac:dyDescent="0.2">
      <c r="A52" s="1191">
        <v>2049</v>
      </c>
      <c r="B52" s="1194">
        <v>0</v>
      </c>
      <c r="C52" s="1195">
        <f>'7&amp;8 Sleep'!AD118</f>
        <v>0</v>
      </c>
      <c r="D52" s="1195">
        <f>'7&amp;8 Sleep'!AD170</f>
        <v>0</v>
      </c>
      <c r="E52" s="1195">
        <f>'7&amp;8 Sleep'!AD222</f>
        <v>0</v>
      </c>
      <c r="F52" s="1195">
        <f>'7&amp;8 Sleep'!AD275</f>
        <v>0</v>
      </c>
      <c r="G52" s="1196">
        <f>'7&amp;8 Sleep'!AD328</f>
        <v>0</v>
      </c>
      <c r="H52" s="1194">
        <v>0</v>
      </c>
      <c r="I52" s="1195">
        <f>'7&amp;8 Day'!AD118</f>
        <v>0</v>
      </c>
      <c r="J52" s="1195">
        <f>'7&amp;8 Day'!AD170</f>
        <v>0</v>
      </c>
      <c r="K52" s="1195">
        <f>'7&amp;8 Day'!AD222</f>
        <v>0.38889244879954726</v>
      </c>
      <c r="L52" s="1195">
        <f>'7&amp;8 Day'!AD275</f>
        <v>0</v>
      </c>
      <c r="M52" s="1196">
        <f>'7&amp;8 Day'!AD328</f>
        <v>0</v>
      </c>
      <c r="N52" s="1194">
        <v>0</v>
      </c>
      <c r="O52" s="1195">
        <f>'7&amp;8 SU'!AD118</f>
        <v>0</v>
      </c>
      <c r="P52" s="1195">
        <f>'7&amp;8 SU'!AD170</f>
        <v>0</v>
      </c>
      <c r="Q52" s="1195">
        <f>'7&amp;8 SU'!AD222</f>
        <v>0</v>
      </c>
      <c r="R52" s="1195">
        <f>'7&amp;8 SU'!AD275</f>
        <v>0.71093576229472566</v>
      </c>
      <c r="S52" s="1196">
        <f>'7&amp;8 SU'!AD328</f>
        <v>0</v>
      </c>
    </row>
    <row r="53" spans="1:19" ht="16" thickBot="1" x14ac:dyDescent="0.25">
      <c r="A53" s="1204">
        <v>2050</v>
      </c>
      <c r="B53" s="1205">
        <v>0</v>
      </c>
      <c r="C53" s="1206">
        <f>'7&amp;8 Sleep'!AD119</f>
        <v>0</v>
      </c>
      <c r="D53" s="1206">
        <f>'7&amp;8 Sleep'!AD171</f>
        <v>0</v>
      </c>
      <c r="E53" s="1206">
        <f>'7&amp;8 Sleep'!AD223</f>
        <v>0</v>
      </c>
      <c r="F53" s="1206">
        <f>'7&amp;8 Sleep'!AD276</f>
        <v>0</v>
      </c>
      <c r="G53" s="1207">
        <f>'7&amp;8 Sleep'!AD329</f>
        <v>0</v>
      </c>
      <c r="H53" s="1205">
        <v>0</v>
      </c>
      <c r="I53" s="1206">
        <f>'7&amp;8 Day'!AD119</f>
        <v>0</v>
      </c>
      <c r="J53" s="1206">
        <f>'7&amp;8 Day'!AD171</f>
        <v>0</v>
      </c>
      <c r="K53" s="1206">
        <f>'7&amp;8 Day'!AD223</f>
        <v>0.39140517486556248</v>
      </c>
      <c r="L53" s="1206">
        <f>'7&amp;8 Day'!AD276</f>
        <v>0</v>
      </c>
      <c r="M53" s="1207">
        <f>'7&amp;8 Day'!AD329</f>
        <v>0</v>
      </c>
      <c r="N53" s="1205">
        <v>0</v>
      </c>
      <c r="O53" s="1206">
        <f>'7&amp;8 SU'!AD119</f>
        <v>0</v>
      </c>
      <c r="P53" s="1206">
        <f>'7&amp;8 SU'!AD171</f>
        <v>0</v>
      </c>
      <c r="Q53" s="1206">
        <f>'7&amp;8 SU'!AD223</f>
        <v>0</v>
      </c>
      <c r="R53" s="1206">
        <f>'7&amp;8 SU'!AD276</f>
        <v>0.71933824115936829</v>
      </c>
      <c r="S53" s="1207">
        <f>'7&amp;8 SU'!AD329</f>
        <v>0</v>
      </c>
    </row>
  </sheetData>
  <mergeCells count="6">
    <mergeCell ref="B5:G5"/>
    <mergeCell ref="H5:M5"/>
    <mergeCell ref="N5:S5"/>
    <mergeCell ref="B4:G4"/>
    <mergeCell ref="H4:M4"/>
    <mergeCell ref="N4:S4"/>
  </mergeCells>
  <conditionalFormatting sqref="B6:S53">
    <cfRule type="expression" dxfId="17" priority="1">
      <formula>B$7="not used"</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PG">
    <tabColor rgb="FF008000"/>
  </sheetPr>
  <dimension ref="A1:AV52"/>
  <sheetViews>
    <sheetView showZeros="0" topLeftCell="T1" zoomScale="55" zoomScaleNormal="55" workbookViewId="0">
      <selection activeCell="AO9" sqref="AO9"/>
    </sheetView>
  </sheetViews>
  <sheetFormatPr baseColWidth="10" defaultColWidth="8.83203125" defaultRowHeight="13" x14ac:dyDescent="0.15"/>
  <cols>
    <col min="2" max="19" width="10.5" customWidth="1"/>
    <col min="22" max="22" width="12.33203125" customWidth="1"/>
    <col min="23" max="25" width="11.5" bestFit="1" customWidth="1"/>
    <col min="26" max="26" width="10" customWidth="1"/>
    <col min="27" max="27" width="9.83203125" customWidth="1"/>
    <col min="28" max="28" width="12.6640625" customWidth="1"/>
    <col min="29" max="30" width="10.5" bestFit="1" customWidth="1"/>
    <col min="31" max="31" width="11.5" bestFit="1" customWidth="1"/>
    <col min="32" max="32" width="9.83203125" customWidth="1"/>
    <col min="33" max="33" width="10.1640625" customWidth="1"/>
    <col min="34" max="34" width="13.33203125" customWidth="1"/>
    <col min="35" max="38" width="11.5" bestFit="1" customWidth="1"/>
    <col min="39" max="39" width="11.1640625" customWidth="1"/>
    <col min="41" max="43" width="15.6640625" customWidth="1"/>
    <col min="44" max="44" width="10.5" customWidth="1"/>
    <col min="45" max="48" width="15.1640625" customWidth="1"/>
  </cols>
  <sheetData>
    <row r="1" spans="1:48" s="1176" customFormat="1" ht="16" x14ac:dyDescent="0.2">
      <c r="A1" s="1208" t="s">
        <v>325</v>
      </c>
    </row>
    <row r="2" spans="1:48" s="1176" customFormat="1" ht="15" x14ac:dyDescent="0.2">
      <c r="A2" s="1176" t="s">
        <v>316</v>
      </c>
    </row>
    <row r="3" spans="1:48" s="1176" customFormat="1" ht="16" thickBot="1" x14ac:dyDescent="0.25"/>
    <row r="4" spans="1:48" s="1176" customFormat="1" ht="15" x14ac:dyDescent="0.2">
      <c r="A4" s="1177"/>
      <c r="B4" s="1612" t="s">
        <v>249</v>
      </c>
      <c r="C4" s="1613"/>
      <c r="D4" s="1613"/>
      <c r="E4" s="1613"/>
      <c r="F4" s="1613"/>
      <c r="G4" s="1614"/>
      <c r="H4" s="1612" t="s">
        <v>250</v>
      </c>
      <c r="I4" s="1613"/>
      <c r="J4" s="1613"/>
      <c r="K4" s="1613"/>
      <c r="L4" s="1613"/>
      <c r="M4" s="1614"/>
      <c r="N4" s="1612" t="s">
        <v>154</v>
      </c>
      <c r="O4" s="1613"/>
      <c r="P4" s="1613"/>
      <c r="Q4" s="1613"/>
      <c r="R4" s="1613"/>
      <c r="S4" s="1614"/>
      <c r="U4" s="1177"/>
      <c r="V4" s="1612" t="s">
        <v>249</v>
      </c>
      <c r="W4" s="1613"/>
      <c r="X4" s="1613"/>
      <c r="Y4" s="1613"/>
      <c r="Z4" s="1613"/>
      <c r="AA4" s="1614"/>
      <c r="AB4" s="1612" t="s">
        <v>250</v>
      </c>
      <c r="AC4" s="1613"/>
      <c r="AD4" s="1613"/>
      <c r="AE4" s="1613"/>
      <c r="AF4" s="1613"/>
      <c r="AG4" s="1614"/>
      <c r="AH4" s="1612" t="s">
        <v>154</v>
      </c>
      <c r="AI4" s="1613"/>
      <c r="AJ4" s="1613"/>
      <c r="AK4" s="1613"/>
      <c r="AL4" s="1613"/>
      <c r="AM4" s="1614"/>
    </row>
    <row r="5" spans="1:48" s="1176" customFormat="1" ht="15" x14ac:dyDescent="0.2">
      <c r="A5" s="1178"/>
      <c r="B5" s="1615" t="s">
        <v>129</v>
      </c>
      <c r="C5" s="1616"/>
      <c r="D5" s="1616"/>
      <c r="E5" s="1616"/>
      <c r="F5" s="1616"/>
      <c r="G5" s="1617"/>
      <c r="H5" s="1615" t="s">
        <v>129</v>
      </c>
      <c r="I5" s="1616"/>
      <c r="J5" s="1616"/>
      <c r="K5" s="1616"/>
      <c r="L5" s="1616"/>
      <c r="M5" s="1617"/>
      <c r="N5" s="1615" t="s">
        <v>129</v>
      </c>
      <c r="O5" s="1616"/>
      <c r="P5" s="1616"/>
      <c r="Q5" s="1616"/>
      <c r="R5" s="1616"/>
      <c r="S5" s="1617"/>
      <c r="U5" s="1178"/>
      <c r="V5" s="1615" t="s">
        <v>129</v>
      </c>
      <c r="W5" s="1616"/>
      <c r="X5" s="1616"/>
      <c r="Y5" s="1616"/>
      <c r="Z5" s="1616"/>
      <c r="AA5" s="1617"/>
      <c r="AB5" s="1615" t="s">
        <v>129</v>
      </c>
      <c r="AC5" s="1616"/>
      <c r="AD5" s="1616"/>
      <c r="AE5" s="1616"/>
      <c r="AF5" s="1616"/>
      <c r="AG5" s="1617"/>
      <c r="AH5" s="1615" t="s">
        <v>129</v>
      </c>
      <c r="AI5" s="1616"/>
      <c r="AJ5" s="1616"/>
      <c r="AK5" s="1616"/>
      <c r="AL5" s="1616"/>
      <c r="AM5" s="1617"/>
    </row>
    <row r="6" spans="1:48"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c r="U6" s="1178"/>
      <c r="V6" s="1179" t="s">
        <v>69</v>
      </c>
      <c r="W6" s="1180" t="s">
        <v>65</v>
      </c>
      <c r="X6" s="1180" t="s">
        <v>66</v>
      </c>
      <c r="Y6" s="1180" t="s">
        <v>67</v>
      </c>
      <c r="Z6" s="1180" t="s">
        <v>205</v>
      </c>
      <c r="AA6" s="1181" t="s">
        <v>206</v>
      </c>
      <c r="AB6" s="1179" t="s">
        <v>69</v>
      </c>
      <c r="AC6" s="1180" t="s">
        <v>65</v>
      </c>
      <c r="AD6" s="1180" t="s">
        <v>66</v>
      </c>
      <c r="AE6" s="1180" t="s">
        <v>67</v>
      </c>
      <c r="AF6" s="1180" t="s">
        <v>205</v>
      </c>
      <c r="AG6" s="1181" t="s">
        <v>206</v>
      </c>
      <c r="AH6" s="1179" t="s">
        <v>69</v>
      </c>
      <c r="AI6" s="1180" t="s">
        <v>65</v>
      </c>
      <c r="AJ6" s="1180" t="s">
        <v>66</v>
      </c>
      <c r="AK6" s="1180" t="s">
        <v>67</v>
      </c>
      <c r="AL6" s="1180" t="s">
        <v>205</v>
      </c>
      <c r="AM6" s="1181" t="s">
        <v>206</v>
      </c>
    </row>
    <row r="7" spans="1:48" s="1176" customFormat="1" ht="45" customHeight="1"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ISG</v>
      </c>
      <c r="K7" s="1184" t="str">
        <f t="shared" si="1"/>
        <v>PHEV</v>
      </c>
      <c r="L7" s="1184" t="str">
        <f t="shared" si="1"/>
        <v>BEV</v>
      </c>
      <c r="M7" s="1185" t="str">
        <f t="shared" si="1"/>
        <v>FCHEV</v>
      </c>
      <c r="N7" s="1183" t="str">
        <f t="shared" ref="N7:S7" si="2">INDEX(TECH_OPT_DESC_Cls3,MATCH(N6,TECH_OPT_ROWS_Cls3,0))</f>
        <v>Conventional Diesel ICE</v>
      </c>
      <c r="O7" s="1184" t="str">
        <f t="shared" si="2"/>
        <v>Adv Conv</v>
      </c>
      <c r="P7" s="1184" t="str">
        <f t="shared" si="2"/>
        <v>ISG</v>
      </c>
      <c r="Q7" s="1184" t="str">
        <f t="shared" si="2"/>
        <v>HEV</v>
      </c>
      <c r="R7" s="1184" t="str">
        <f t="shared" si="2"/>
        <v>PHEV</v>
      </c>
      <c r="S7" s="1185" t="str">
        <f t="shared" si="2"/>
        <v>BEV</v>
      </c>
      <c r="U7" s="1182"/>
      <c r="V7" s="1183" t="str">
        <f t="shared" ref="V7:AA7" si="3">INDEX(TECH_OPT_DESC_Cls1,MATCH(V6,TECH_OPT_ROWS_Cls1,0))</f>
        <v>Conventional Diesel ICE</v>
      </c>
      <c r="W7" s="1184" t="str">
        <f t="shared" si="3"/>
        <v>Adv Conv</v>
      </c>
      <c r="X7" s="1184" t="str">
        <f t="shared" si="3"/>
        <v>HEV</v>
      </c>
      <c r="Y7" s="1184" t="str">
        <f t="shared" si="3"/>
        <v>BEV</v>
      </c>
      <c r="Z7" s="1184" t="str">
        <f t="shared" si="3"/>
        <v>FCEV</v>
      </c>
      <c r="AA7" s="1185">
        <f t="shared" si="3"/>
        <v>0</v>
      </c>
      <c r="AB7" s="1183" t="str">
        <f t="shared" ref="AB7:AG7" si="4">INDEX(TECH_OPT_DESC_Cls2,MATCH(AB6,TECH_OPT_ROWS_Cls2,0))</f>
        <v>Conventional Diesel ICE</v>
      </c>
      <c r="AC7" s="1184" t="str">
        <f t="shared" si="4"/>
        <v>Adv Conv</v>
      </c>
      <c r="AD7" s="1184" t="str">
        <f t="shared" si="4"/>
        <v>ISG</v>
      </c>
      <c r="AE7" s="1184" t="str">
        <f t="shared" si="4"/>
        <v>PHEV</v>
      </c>
      <c r="AF7" s="1184" t="str">
        <f t="shared" si="4"/>
        <v>BEV</v>
      </c>
      <c r="AG7" s="1185" t="str">
        <f t="shared" si="4"/>
        <v>FCHEV</v>
      </c>
      <c r="AH7" s="1183" t="str">
        <f t="shared" ref="AH7:AM7" si="5">INDEX(TECH_OPT_DESC_Cls3,MATCH(AH6,TECH_OPT_ROWS_Cls3,0))</f>
        <v>Conventional Diesel ICE</v>
      </c>
      <c r="AI7" s="1184" t="str">
        <f t="shared" si="5"/>
        <v>Adv Conv</v>
      </c>
      <c r="AJ7" s="1184" t="str">
        <f t="shared" si="5"/>
        <v>ISG</v>
      </c>
      <c r="AK7" s="1184" t="str">
        <f t="shared" si="5"/>
        <v>HEV</v>
      </c>
      <c r="AL7" s="1184" t="str">
        <f t="shared" si="5"/>
        <v>PHEV</v>
      </c>
      <c r="AM7" s="1185" t="str">
        <f t="shared" si="5"/>
        <v>BEV</v>
      </c>
      <c r="AO7" s="1621" t="s">
        <v>379</v>
      </c>
      <c r="AP7" s="1622"/>
      <c r="AQ7" s="1623"/>
      <c r="AR7" s="1335"/>
      <c r="AS7" s="1621" t="s">
        <v>380</v>
      </c>
      <c r="AT7" s="1622"/>
      <c r="AU7" s="1622"/>
      <c r="AV7" s="1623"/>
    </row>
    <row r="8" spans="1:48" s="1176" customFormat="1" ht="17" thickBot="1" x14ac:dyDescent="0.25">
      <c r="A8" s="1186" t="s">
        <v>3</v>
      </c>
      <c r="B8" s="1187" t="str">
        <f t="shared" ref="B8:G8" si="6">INDEX(TECH_OPT_FUEL1_Cls1,MATCH(B6,TECH_OPT_ROWS_Cls1,0))</f>
        <v>Diesel</v>
      </c>
      <c r="C8" s="1188" t="str">
        <f t="shared" si="6"/>
        <v>Diesel</v>
      </c>
      <c r="D8" s="1188" t="str">
        <f t="shared" si="6"/>
        <v>Diesel</v>
      </c>
      <c r="E8" s="1188" t="str">
        <f t="shared" si="6"/>
        <v>Electricity</v>
      </c>
      <c r="F8" s="1188" t="str">
        <f t="shared" si="6"/>
        <v>Hydrogen</v>
      </c>
      <c r="G8" s="1189" t="str">
        <f t="shared" si="6"/>
        <v>Diesel</v>
      </c>
      <c r="H8" s="1190" t="str">
        <f t="shared" ref="H8:M8" si="7">INDEX(TECH_OPT_FUEL1_Cls2,MATCH(H6,TECH_OPT_ROWS_Cls2,0))</f>
        <v>Diesel</v>
      </c>
      <c r="I8" s="1188" t="str">
        <f t="shared" si="7"/>
        <v>Diesel</v>
      </c>
      <c r="J8" s="1188" t="str">
        <f t="shared" si="7"/>
        <v>Diesel</v>
      </c>
      <c r="K8" s="1188" t="str">
        <f t="shared" si="7"/>
        <v>Diesel</v>
      </c>
      <c r="L8" s="1188" t="str">
        <f t="shared" si="7"/>
        <v>Electricity</v>
      </c>
      <c r="M8" s="1189" t="str">
        <f t="shared" si="7"/>
        <v>Hydrogen</v>
      </c>
      <c r="N8" s="1187" t="str">
        <f t="shared" ref="N8:S8" si="8">INDEX(TECH_OPT_FUEL1_Cls3,MATCH(N6,TECH_OPT_ROWS_Cls3,0))</f>
        <v>Diesel</v>
      </c>
      <c r="O8" s="1188" t="str">
        <f t="shared" si="8"/>
        <v>Diesel</v>
      </c>
      <c r="P8" s="1188" t="str">
        <f t="shared" si="8"/>
        <v>Diesel</v>
      </c>
      <c r="Q8" s="1188" t="str">
        <f t="shared" si="8"/>
        <v>Diesel</v>
      </c>
      <c r="R8" s="1188" t="str">
        <f t="shared" si="8"/>
        <v>Diesel</v>
      </c>
      <c r="S8" s="1189" t="str">
        <f t="shared" si="8"/>
        <v>Electricity</v>
      </c>
      <c r="U8" s="1186" t="s">
        <v>3</v>
      </c>
      <c r="V8" s="1187" t="str">
        <f t="shared" ref="V8:AA8" si="9">INDEX(TECH_OPT_FUEL1_Cls1,MATCH(V6,TECH_OPT_ROWS_Cls1,0))</f>
        <v>Diesel</v>
      </c>
      <c r="W8" s="1188" t="str">
        <f t="shared" si="9"/>
        <v>Diesel</v>
      </c>
      <c r="X8" s="1188" t="str">
        <f t="shared" si="9"/>
        <v>Diesel</v>
      </c>
      <c r="Y8" s="1188" t="str">
        <f t="shared" si="9"/>
        <v>Electricity</v>
      </c>
      <c r="Z8" s="1188" t="str">
        <f t="shared" si="9"/>
        <v>Hydrogen</v>
      </c>
      <c r="AA8" s="1189" t="str">
        <f t="shared" si="9"/>
        <v>Diesel</v>
      </c>
      <c r="AB8" s="1190" t="str">
        <f t="shared" ref="AB8:AG8" si="10">INDEX(TECH_OPT_FUEL1_Cls2,MATCH(AB6,TECH_OPT_ROWS_Cls2,0))</f>
        <v>Diesel</v>
      </c>
      <c r="AC8" s="1188" t="str">
        <f t="shared" si="10"/>
        <v>Diesel</v>
      </c>
      <c r="AD8" s="1188" t="str">
        <f t="shared" si="10"/>
        <v>Diesel</v>
      </c>
      <c r="AE8" s="1188" t="str">
        <f t="shared" si="10"/>
        <v>Diesel</v>
      </c>
      <c r="AF8" s="1188" t="str">
        <f t="shared" si="10"/>
        <v>Electricity</v>
      </c>
      <c r="AG8" s="1189" t="str">
        <f t="shared" si="10"/>
        <v>Hydrogen</v>
      </c>
      <c r="AH8" s="1187" t="str">
        <f t="shared" ref="AH8:AM8" si="11">INDEX(TECH_OPT_FUEL1_Cls3,MATCH(AH6,TECH_OPT_ROWS_Cls3,0))</f>
        <v>Diesel</v>
      </c>
      <c r="AI8" s="1188" t="str">
        <f t="shared" si="11"/>
        <v>Diesel</v>
      </c>
      <c r="AJ8" s="1188" t="str">
        <f t="shared" si="11"/>
        <v>Diesel</v>
      </c>
      <c r="AK8" s="1188" t="str">
        <f t="shared" si="11"/>
        <v>Diesel</v>
      </c>
      <c r="AL8" s="1188" t="str">
        <f t="shared" si="11"/>
        <v>Diesel</v>
      </c>
      <c r="AM8" s="1189" t="str">
        <f t="shared" si="11"/>
        <v>Electricity</v>
      </c>
      <c r="AO8" s="1319" t="s">
        <v>376</v>
      </c>
      <c r="AP8" s="1320" t="s">
        <v>377</v>
      </c>
      <c r="AQ8" s="1321" t="s">
        <v>378</v>
      </c>
      <c r="AR8" s="1336"/>
      <c r="AS8" s="1319" t="s">
        <v>376</v>
      </c>
      <c r="AT8" s="1320" t="s">
        <v>377</v>
      </c>
      <c r="AU8" s="1320" t="s">
        <v>378</v>
      </c>
      <c r="AV8" s="1326" t="s">
        <v>375</v>
      </c>
    </row>
    <row r="9" spans="1:48" s="1176" customFormat="1" ht="16" thickTop="1" x14ac:dyDescent="0.2">
      <c r="A9" s="1191">
        <v>2007</v>
      </c>
      <c r="B9" s="1245">
        <f>IF('Mkt Pen Veh-Mi'!B9=0,1,1/((1-Fuel2ShrbyTech!B10)/'Inputs 7&amp;8 Sleep'!$N22+Fuel2ShrbyTech!B10/'Inputs 7&amp;8 Sleep'!$T22))</f>
        <v>5.9278738513698928</v>
      </c>
      <c r="C9" s="1242">
        <f>IF('Mkt Pen Veh-Mi'!C9=0,1,1/((1-Fuel2ShrbyTech!C10)/'Inputs 7&amp;8 Sleep'!$O22+Fuel2ShrbyTech!C10/'Inputs 7&amp;8 Sleep'!$U22))</f>
        <v>1</v>
      </c>
      <c r="D9" s="1242">
        <f>IF('Mkt Pen Veh-Mi'!D9=0,1,1/((1-Fuel2ShrbyTech!D10)/'Inputs 7&amp;8 Sleep'!$P22+Fuel2ShrbyTech!D10/'Inputs 7&amp;8 Sleep'!$V22))</f>
        <v>1</v>
      </c>
      <c r="E9" s="1242">
        <f>IF('Mkt Pen Veh-Mi'!E9=0,1,1/((1-Fuel2ShrbyTech!E10)/'Inputs 7&amp;8 Sleep'!$Q22+Fuel2ShrbyTech!E10/'Inputs 7&amp;8 Sleep'!$W22))</f>
        <v>1</v>
      </c>
      <c r="F9" s="1242">
        <f>IF('Mkt Pen Veh-Mi'!F9=0,1,1/((1-Fuel2ShrbyTech!F10)/'Inputs 7&amp;8 Sleep'!$R22+Fuel2ShrbyTech!F10/'Inputs 7&amp;8 Sleep'!$X22))</f>
        <v>1</v>
      </c>
      <c r="G9" s="1243">
        <f>IF('Mkt Pen Veh-Mi'!G9=0,1,1/((1-Fuel2ShrbyTech!G10)/'Inputs 7&amp;8 Sleep'!$S22+Fuel2ShrbyTech!G10/'Inputs 7&amp;8 Sleep'!$Y22))</f>
        <v>1</v>
      </c>
      <c r="H9" s="1245">
        <f>IF('Mkt Pen Veh-Mi'!H9=0,1,1/((1-Fuel2ShrbyTech!H10)/'Inputs 7&amp;8 Day'!$N22+Fuel2ShrbyTech!H10/'Inputs 7&amp;8 Day'!$T22))</f>
        <v>5.48300341765977</v>
      </c>
      <c r="I9" s="1242">
        <f>IF('Mkt Pen Veh-Mi'!I9=0,1,1/((1-Fuel2ShrbyTech!I10)/'Inputs 7&amp;8 Day'!$O22+Fuel2ShrbyTech!I10/'Inputs 7&amp;8 Day'!$U22))</f>
        <v>1</v>
      </c>
      <c r="J9" s="1242">
        <f>IF('Mkt Pen Veh-Mi'!J9=0,1,1/((1-Fuel2ShrbyTech!J10)/'Inputs 7&amp;8 Day'!$P22+Fuel2ShrbyTech!J10/'Inputs 7&amp;8 Day'!$V22))</f>
        <v>1</v>
      </c>
      <c r="K9" s="1242">
        <f>IF('Mkt Pen Veh-Mi'!K9=0,1,1/((1-Fuel2ShrbyTech!K10)/'Inputs 7&amp;8 Day'!$Q22+Fuel2ShrbyTech!K10/'Inputs 7&amp;8 Day'!$W22))</f>
        <v>1</v>
      </c>
      <c r="L9" s="1242">
        <f>IF('Mkt Pen Veh-Mi'!L9=0,1,1/((1-Fuel2ShrbyTech!L10)/'Inputs 7&amp;8 Day'!$R22+Fuel2ShrbyTech!L10/'Inputs 7&amp;8 Day'!$X22))</f>
        <v>1</v>
      </c>
      <c r="M9" s="1243">
        <f>IF('Mkt Pen Veh-Mi'!M9=0,1,1/((1-Fuel2ShrbyTech!M10)/'Inputs 7&amp;8 Day'!$S22+Fuel2ShrbyTech!M10/'Inputs 7&amp;8 Day'!$Y22))</f>
        <v>1</v>
      </c>
      <c r="N9" s="1245">
        <f>IF('Mkt Pen Veh-Mi'!N9=0,1,1/((1-Fuel2ShrbyTech!N10)/'Inputs 7&amp;8 SU'!$N22+Fuel2ShrbyTech!N10/'Inputs 7&amp;8 SU'!$T22))</f>
        <v>5.8642619111794092</v>
      </c>
      <c r="O9" s="1242">
        <f>IF('Mkt Pen Veh-Mi'!O9=0,1,1/((1-Fuel2ShrbyTech!O10)/'Inputs 7&amp;8 SU'!$O22+Fuel2ShrbyTech!O10/'Inputs 7&amp;8 SU'!$U22))</f>
        <v>1</v>
      </c>
      <c r="P9" s="1242">
        <f>IF('Mkt Pen Veh-Mi'!P9=0,1,1/((1-Fuel2ShrbyTech!P10)/'Inputs 7&amp;8 SU'!$P22+Fuel2ShrbyTech!P10/'Inputs 7&amp;8 SU'!$V22))</f>
        <v>1</v>
      </c>
      <c r="Q9" s="1242">
        <f>IF('Mkt Pen Veh-Mi'!Q9=0,1,1/((1-Fuel2ShrbyTech!Q10)/'Inputs 7&amp;8 SU'!$Q22+Fuel2ShrbyTech!Q10/'Inputs 7&amp;8 SU'!$W22))</f>
        <v>1</v>
      </c>
      <c r="R9" s="1242">
        <f>IF('Mkt Pen Veh-Mi'!R9=0,1,1/((1-Fuel2ShrbyTech!R10)/'Inputs 7&amp;8 SU'!$R22+Fuel2ShrbyTech!R10/'Inputs 7&amp;8 SU'!$X22))</f>
        <v>1</v>
      </c>
      <c r="S9" s="1244">
        <f>IF('Mkt Pen Veh-Mi'!S9=0,1,1/((1-Fuel2ShrbyTech!S10)/'Inputs 7&amp;8 SU'!$S22+Fuel2ShrbyTech!S10/'Inputs 7&amp;8 SU'!$Y22))</f>
        <v>1</v>
      </c>
      <c r="U9" s="1191">
        <f>A9</f>
        <v>2007</v>
      </c>
      <c r="V9" s="1245">
        <f>IF(B9=1,0,B9)</f>
        <v>5.9278738513698928</v>
      </c>
      <c r="W9" s="1242">
        <f t="shared" ref="W9:AM9" si="12">IF(C9=1,0,C9)</f>
        <v>0</v>
      </c>
      <c r="X9" s="1242">
        <f t="shared" si="12"/>
        <v>0</v>
      </c>
      <c r="Y9" s="1242">
        <f t="shared" si="12"/>
        <v>0</v>
      </c>
      <c r="Z9" s="1242">
        <f t="shared" si="12"/>
        <v>0</v>
      </c>
      <c r="AA9" s="1243">
        <f t="shared" si="12"/>
        <v>0</v>
      </c>
      <c r="AB9" s="1245">
        <f t="shared" si="12"/>
        <v>5.48300341765977</v>
      </c>
      <c r="AC9" s="1242">
        <f t="shared" si="12"/>
        <v>0</v>
      </c>
      <c r="AD9" s="1242">
        <f t="shared" si="12"/>
        <v>0</v>
      </c>
      <c r="AE9" s="1242">
        <f t="shared" si="12"/>
        <v>0</v>
      </c>
      <c r="AF9" s="1242">
        <f t="shared" si="12"/>
        <v>0</v>
      </c>
      <c r="AG9" s="1243">
        <f t="shared" si="12"/>
        <v>0</v>
      </c>
      <c r="AH9" s="1245">
        <f t="shared" si="12"/>
        <v>5.8642619111794092</v>
      </c>
      <c r="AI9" s="1242">
        <f t="shared" si="12"/>
        <v>0</v>
      </c>
      <c r="AJ9" s="1242">
        <f t="shared" si="12"/>
        <v>0</v>
      </c>
      <c r="AK9" s="1242">
        <f t="shared" si="12"/>
        <v>0</v>
      </c>
      <c r="AL9" s="1242">
        <f t="shared" si="12"/>
        <v>0</v>
      </c>
      <c r="AM9" s="1244">
        <f t="shared" si="12"/>
        <v>0</v>
      </c>
      <c r="AN9" s="1176">
        <v>2007</v>
      </c>
      <c r="AO9" s="1322">
        <f t="array" ref="AO9">1/SUMPRODUCT(IFERROR(1/V9:AA9,0),'Mkt Pen Veh-Mi'!B9:G9)</f>
        <v>5.9278738513698928</v>
      </c>
      <c r="AP9" s="1323">
        <f t="array" ref="AP9">1/SUMPRODUCT(IFERROR(1/AB9:AG9,0),'Mkt Pen Veh-Mi'!H9:M9)</f>
        <v>5.48300341765977</v>
      </c>
      <c r="AQ9" s="1327">
        <f t="array" ref="AQ9">1/SUMPRODUCT(IFERROR(1/AH9:AM9,0),'Mkt Pen Veh-Mi'!N9:S9)</f>
        <v>5.8642619111794092</v>
      </c>
      <c r="AR9" s="1320">
        <v>2007</v>
      </c>
      <c r="AS9" s="1322">
        <f>AO9/V9</f>
        <v>1</v>
      </c>
      <c r="AT9" s="1323">
        <f>AP9/AB9</f>
        <v>1</v>
      </c>
      <c r="AU9" s="1323">
        <f>AQ9/AH9</f>
        <v>1</v>
      </c>
      <c r="AV9" s="1327">
        <v>1</v>
      </c>
    </row>
    <row r="10" spans="1:48" s="1176" customFormat="1" ht="15" x14ac:dyDescent="0.2">
      <c r="A10" s="1191">
        <v>2008</v>
      </c>
      <c r="B10" s="1245">
        <f>IF('Mkt Pen Veh-Mi'!B10=0,1,1/((1-Fuel2ShrbyTech!B11)/'Inputs 7&amp;8 Sleep'!$N23+Fuel2ShrbyTech!B11/'Inputs 7&amp;8 Sleep'!$T23))</f>
        <v>5.9278738513698928</v>
      </c>
      <c r="C10" s="1246">
        <f>IF('Mkt Pen Veh-Mi'!C10=0,1,1/((1-Fuel2ShrbyTech!C11)/'Inputs 7&amp;8 Sleep'!$O23+Fuel2ShrbyTech!C11/'Inputs 7&amp;8 Sleep'!$U23))</f>
        <v>1</v>
      </c>
      <c r="D10" s="1246">
        <f>IF('Mkt Pen Veh-Mi'!D10=0,1,1/((1-Fuel2ShrbyTech!D11)/'Inputs 7&amp;8 Sleep'!$P23+Fuel2ShrbyTech!D11/'Inputs 7&amp;8 Sleep'!$V23))</f>
        <v>1</v>
      </c>
      <c r="E10" s="1246">
        <f>IF('Mkt Pen Veh-Mi'!E10=0,1,1/((1-Fuel2ShrbyTech!E11)/'Inputs 7&amp;8 Sleep'!$Q23+Fuel2ShrbyTech!E11/'Inputs 7&amp;8 Sleep'!$W23))</f>
        <v>1</v>
      </c>
      <c r="F10" s="1246">
        <f>IF('Mkt Pen Veh-Mi'!F10=0,1,1/((1-Fuel2ShrbyTech!F11)/'Inputs 7&amp;8 Sleep'!$R23+Fuel2ShrbyTech!F11/'Inputs 7&amp;8 Sleep'!$X23))</f>
        <v>1</v>
      </c>
      <c r="G10" s="1247">
        <f>IF('Mkt Pen Veh-Mi'!G10=0,1,1/((1-Fuel2ShrbyTech!G11)/'Inputs 7&amp;8 Sleep'!$S23+Fuel2ShrbyTech!G11/'Inputs 7&amp;8 Sleep'!$Y23))</f>
        <v>1</v>
      </c>
      <c r="H10" s="1245">
        <f>IF('Mkt Pen Veh-Mi'!H10=0,1,1/((1-Fuel2ShrbyTech!H11)/'Inputs 7&amp;8 Day'!$N23+Fuel2ShrbyTech!H11/'Inputs 7&amp;8 Day'!$T23))</f>
        <v>5.48300341765977</v>
      </c>
      <c r="I10" s="1246">
        <f>IF('Mkt Pen Veh-Mi'!I10=0,1,1/((1-Fuel2ShrbyTech!I11)/'Inputs 7&amp;8 Day'!$O23+Fuel2ShrbyTech!I11/'Inputs 7&amp;8 Day'!$U23))</f>
        <v>1</v>
      </c>
      <c r="J10" s="1246">
        <f>IF('Mkt Pen Veh-Mi'!J10=0,1,1/((1-Fuel2ShrbyTech!J11)/'Inputs 7&amp;8 Day'!$P23+Fuel2ShrbyTech!J11/'Inputs 7&amp;8 Day'!$V23))</f>
        <v>1</v>
      </c>
      <c r="K10" s="1246">
        <f>IF('Mkt Pen Veh-Mi'!K10=0,1,1/((1-Fuel2ShrbyTech!K11)/'Inputs 7&amp;8 Day'!$Q23+Fuel2ShrbyTech!K11/'Inputs 7&amp;8 Day'!$W23))</f>
        <v>1</v>
      </c>
      <c r="L10" s="1246">
        <f>IF('Mkt Pen Veh-Mi'!L10=0,1,1/((1-Fuel2ShrbyTech!L11)/'Inputs 7&amp;8 Day'!$R23+Fuel2ShrbyTech!L11/'Inputs 7&amp;8 Day'!$X23))</f>
        <v>1</v>
      </c>
      <c r="M10" s="1247">
        <f>IF('Mkt Pen Veh-Mi'!M10=0,1,1/((1-Fuel2ShrbyTech!M11)/'Inputs 7&amp;8 Day'!$S23+Fuel2ShrbyTech!M11/'Inputs 7&amp;8 Day'!$Y23))</f>
        <v>1</v>
      </c>
      <c r="N10" s="1245">
        <f>IF('Mkt Pen Veh-Mi'!N10=0,1,1/((1-Fuel2ShrbyTech!N11)/'Inputs 7&amp;8 SU'!$N23+Fuel2ShrbyTech!N11/'Inputs 7&amp;8 SU'!$T23))</f>
        <v>5.8642619111794092</v>
      </c>
      <c r="O10" s="1246">
        <f>IF('Mkt Pen Veh-Mi'!O10=0,1,1/((1-Fuel2ShrbyTech!O11)/'Inputs 7&amp;8 SU'!$O23+Fuel2ShrbyTech!O11/'Inputs 7&amp;8 SU'!$U23))</f>
        <v>1</v>
      </c>
      <c r="P10" s="1246">
        <f>IF('Mkt Pen Veh-Mi'!P10=0,1,1/((1-Fuel2ShrbyTech!P11)/'Inputs 7&amp;8 SU'!$P23+Fuel2ShrbyTech!P11/'Inputs 7&amp;8 SU'!$V23))</f>
        <v>1</v>
      </c>
      <c r="Q10" s="1246">
        <f>IF('Mkt Pen Veh-Mi'!Q10=0,1,1/((1-Fuel2ShrbyTech!Q11)/'Inputs 7&amp;8 SU'!$Q23+Fuel2ShrbyTech!Q11/'Inputs 7&amp;8 SU'!$W23))</f>
        <v>1</v>
      </c>
      <c r="R10" s="1246">
        <f>IF('Mkt Pen Veh-Mi'!R10=0,1,1/((1-Fuel2ShrbyTech!R11)/'Inputs 7&amp;8 SU'!$R23+Fuel2ShrbyTech!R11/'Inputs 7&amp;8 SU'!$X23))</f>
        <v>1</v>
      </c>
      <c r="S10" s="1247">
        <f>IF('Mkt Pen Veh-Mi'!S10=0,1,1/((1-Fuel2ShrbyTech!S11)/'Inputs 7&amp;8 SU'!$S23+Fuel2ShrbyTech!S11/'Inputs 7&amp;8 SU'!$Y23))</f>
        <v>1</v>
      </c>
      <c r="U10" s="1191">
        <f t="shared" ref="U10:U52" si="13">A10</f>
        <v>2008</v>
      </c>
      <c r="V10" s="1245">
        <f t="shared" ref="V10:V52" si="14">IF(B10=1,0,B10)</f>
        <v>5.9278738513698928</v>
      </c>
      <c r="W10" s="1246">
        <f t="shared" ref="W10:W52" si="15">IF(C10=1,0,C10)</f>
        <v>0</v>
      </c>
      <c r="X10" s="1246">
        <f t="shared" ref="X10:X52" si="16">IF(D10=1,0,D10)</f>
        <v>0</v>
      </c>
      <c r="Y10" s="1246">
        <f t="shared" ref="Y10:Y52" si="17">IF(E10=1,0,E10)</f>
        <v>0</v>
      </c>
      <c r="Z10" s="1246">
        <f t="shared" ref="Z10:Z52" si="18">IF(F10=1,0,F10)</f>
        <v>0</v>
      </c>
      <c r="AA10" s="1247">
        <f t="shared" ref="AA10:AA52" si="19">IF(G10=1,0,G10)</f>
        <v>0</v>
      </c>
      <c r="AB10" s="1245">
        <f t="shared" ref="AB10:AB52" si="20">IF(H10=1,0,H10)</f>
        <v>5.48300341765977</v>
      </c>
      <c r="AC10" s="1246">
        <f t="shared" ref="AC10:AC52" si="21">IF(I10=1,0,I10)</f>
        <v>0</v>
      </c>
      <c r="AD10" s="1246">
        <f t="shared" ref="AD10:AD52" si="22">IF(J10=1,0,J10)</f>
        <v>0</v>
      </c>
      <c r="AE10" s="1246">
        <f t="shared" ref="AE10:AE52" si="23">IF(K10=1,0,K10)</f>
        <v>0</v>
      </c>
      <c r="AF10" s="1246">
        <f t="shared" ref="AF10:AF52" si="24">IF(L10=1,0,L10)</f>
        <v>0</v>
      </c>
      <c r="AG10" s="1247">
        <f t="shared" ref="AG10:AG52" si="25">IF(M10=1,0,M10)</f>
        <v>0</v>
      </c>
      <c r="AH10" s="1245">
        <f t="shared" ref="AH10:AH52" si="26">IF(N10=1,0,N10)</f>
        <v>5.8642619111794092</v>
      </c>
      <c r="AI10" s="1246">
        <f t="shared" ref="AI10:AI52" si="27">IF(O10=1,0,O10)</f>
        <v>0</v>
      </c>
      <c r="AJ10" s="1246">
        <f t="shared" ref="AJ10:AJ52" si="28">IF(P10=1,0,P10)</f>
        <v>0</v>
      </c>
      <c r="AK10" s="1246">
        <f t="shared" ref="AK10:AK52" si="29">IF(Q10=1,0,Q10)</f>
        <v>0</v>
      </c>
      <c r="AL10" s="1246">
        <f t="shared" ref="AL10:AL52" si="30">IF(R10=1,0,R10)</f>
        <v>0</v>
      </c>
      <c r="AM10" s="1247">
        <f t="shared" ref="AM10:AM52" si="31">IF(S10=1,0,S10)</f>
        <v>0</v>
      </c>
      <c r="AN10" s="1176">
        <v>2008</v>
      </c>
      <c r="AO10" s="1322">
        <f t="array" ref="AO10">1/SUMPRODUCT(IFERROR(1/V10:AA10,0),'Mkt Pen Veh-Mi'!B10:G10)</f>
        <v>5.9278738513698928</v>
      </c>
      <c r="AP10" s="1323">
        <f t="array" ref="AP10">1/SUMPRODUCT(IFERROR(1/AB10:AG10,0),'Mkt Pen Veh-Mi'!H10:M10)</f>
        <v>5.48300341765977</v>
      </c>
      <c r="AQ10" s="1327">
        <f t="array" ref="AQ10">1/SUMPRODUCT(IFERROR(1/AH10:AM10,0),'Mkt Pen Veh-Mi'!N10:S10)</f>
        <v>5.8642619111794092</v>
      </c>
      <c r="AR10" s="1320">
        <v>2008</v>
      </c>
      <c r="AS10" s="1322">
        <f t="shared" ref="AS10:AS52" si="32">AO10/V10</f>
        <v>1</v>
      </c>
      <c r="AT10" s="1323">
        <f t="shared" ref="AT10:AT52" si="33">AP10/AB10</f>
        <v>1</v>
      </c>
      <c r="AU10" s="1323">
        <f t="shared" ref="AU10:AU52" si="34">AQ10/AH10</f>
        <v>1</v>
      </c>
      <c r="AV10" s="1327">
        <v>1</v>
      </c>
    </row>
    <row r="11" spans="1:48" s="1176" customFormat="1" ht="15" x14ac:dyDescent="0.2">
      <c r="A11" s="1191">
        <v>2009</v>
      </c>
      <c r="B11" s="1245">
        <f>IF('Mkt Pen Veh-Mi'!B11=0,1,1/((1-Fuel2ShrbyTech!B12)/'Inputs 7&amp;8 Sleep'!$N24+Fuel2ShrbyTech!B12/'Inputs 7&amp;8 Sleep'!$T24))</f>
        <v>5.9278738513698928</v>
      </c>
      <c r="C11" s="1246">
        <f>IF('Mkt Pen Veh-Mi'!C11=0,1,1/((1-Fuel2ShrbyTech!C12)/'Inputs 7&amp;8 Sleep'!$O24+Fuel2ShrbyTech!C12/'Inputs 7&amp;8 Sleep'!$U24))</f>
        <v>1</v>
      </c>
      <c r="D11" s="1246">
        <f>IF('Mkt Pen Veh-Mi'!D11=0,1,1/((1-Fuel2ShrbyTech!D12)/'Inputs 7&amp;8 Sleep'!$P24+Fuel2ShrbyTech!D12/'Inputs 7&amp;8 Sleep'!$V24))</f>
        <v>1</v>
      </c>
      <c r="E11" s="1246">
        <f>IF('Mkt Pen Veh-Mi'!E11=0,1,1/((1-Fuel2ShrbyTech!E12)/'Inputs 7&amp;8 Sleep'!$Q24+Fuel2ShrbyTech!E12/'Inputs 7&amp;8 Sleep'!$W24))</f>
        <v>1</v>
      </c>
      <c r="F11" s="1246">
        <f>IF('Mkt Pen Veh-Mi'!F11=0,1,1/((1-Fuel2ShrbyTech!F12)/'Inputs 7&amp;8 Sleep'!$R24+Fuel2ShrbyTech!F12/'Inputs 7&amp;8 Sleep'!$X24))</f>
        <v>1</v>
      </c>
      <c r="G11" s="1247">
        <f>IF('Mkt Pen Veh-Mi'!G11=0,1,1/((1-Fuel2ShrbyTech!G12)/'Inputs 7&amp;8 Sleep'!$S24+Fuel2ShrbyTech!G12/'Inputs 7&amp;8 Sleep'!$Y24))</f>
        <v>1</v>
      </c>
      <c r="H11" s="1245">
        <f>IF('Mkt Pen Veh-Mi'!H11=0,1,1/((1-Fuel2ShrbyTech!H12)/'Inputs 7&amp;8 Day'!$N24+Fuel2ShrbyTech!H12/'Inputs 7&amp;8 Day'!$T24))</f>
        <v>5.48300341765977</v>
      </c>
      <c r="I11" s="1246">
        <f>IF('Mkt Pen Veh-Mi'!I11=0,1,1/((1-Fuel2ShrbyTech!I12)/'Inputs 7&amp;8 Day'!$O24+Fuel2ShrbyTech!I12/'Inputs 7&amp;8 Day'!$U24))</f>
        <v>1</v>
      </c>
      <c r="J11" s="1246">
        <f>IF('Mkt Pen Veh-Mi'!J11=0,1,1/((1-Fuel2ShrbyTech!J12)/'Inputs 7&amp;8 Day'!$P24+Fuel2ShrbyTech!J12/'Inputs 7&amp;8 Day'!$V24))</f>
        <v>1</v>
      </c>
      <c r="K11" s="1246">
        <f>IF('Mkt Pen Veh-Mi'!K11=0,1,1/((1-Fuel2ShrbyTech!K12)/'Inputs 7&amp;8 Day'!$Q24+Fuel2ShrbyTech!K12/'Inputs 7&amp;8 Day'!$W24))</f>
        <v>1</v>
      </c>
      <c r="L11" s="1246">
        <f>IF('Mkt Pen Veh-Mi'!L11=0,1,1/((1-Fuel2ShrbyTech!L12)/'Inputs 7&amp;8 Day'!$R24+Fuel2ShrbyTech!L12/'Inputs 7&amp;8 Day'!$X24))</f>
        <v>1</v>
      </c>
      <c r="M11" s="1247">
        <f>IF('Mkt Pen Veh-Mi'!M11=0,1,1/((1-Fuel2ShrbyTech!M12)/'Inputs 7&amp;8 Day'!$S24+Fuel2ShrbyTech!M12/'Inputs 7&amp;8 Day'!$Y24))</f>
        <v>1</v>
      </c>
      <c r="N11" s="1245">
        <f>IF('Mkt Pen Veh-Mi'!N11=0,1,1/((1-Fuel2ShrbyTech!N12)/'Inputs 7&amp;8 SU'!$N24+Fuel2ShrbyTech!N12/'Inputs 7&amp;8 SU'!$T24))</f>
        <v>5.8642619111794092</v>
      </c>
      <c r="O11" s="1246">
        <f>IF('Mkt Pen Veh-Mi'!O11=0,1,1/((1-Fuel2ShrbyTech!O12)/'Inputs 7&amp;8 SU'!$O24+Fuel2ShrbyTech!O12/'Inputs 7&amp;8 SU'!$U24))</f>
        <v>1</v>
      </c>
      <c r="P11" s="1246">
        <f>IF('Mkt Pen Veh-Mi'!P11=0,1,1/((1-Fuel2ShrbyTech!P12)/'Inputs 7&amp;8 SU'!$P24+Fuel2ShrbyTech!P12/'Inputs 7&amp;8 SU'!$V24))</f>
        <v>1</v>
      </c>
      <c r="Q11" s="1246">
        <f>IF('Mkt Pen Veh-Mi'!Q11=0,1,1/((1-Fuel2ShrbyTech!Q12)/'Inputs 7&amp;8 SU'!$Q24+Fuel2ShrbyTech!Q12/'Inputs 7&amp;8 SU'!$W24))</f>
        <v>1</v>
      </c>
      <c r="R11" s="1246">
        <f>IF('Mkt Pen Veh-Mi'!R11=0,1,1/((1-Fuel2ShrbyTech!R12)/'Inputs 7&amp;8 SU'!$R24+Fuel2ShrbyTech!R12/'Inputs 7&amp;8 SU'!$X24))</f>
        <v>1</v>
      </c>
      <c r="S11" s="1247">
        <f>IF('Mkt Pen Veh-Mi'!S11=0,1,1/((1-Fuel2ShrbyTech!S12)/'Inputs 7&amp;8 SU'!$S24+Fuel2ShrbyTech!S12/'Inputs 7&amp;8 SU'!$Y24))</f>
        <v>1</v>
      </c>
      <c r="U11" s="1191">
        <f t="shared" si="13"/>
        <v>2009</v>
      </c>
      <c r="V11" s="1245">
        <f t="shared" si="14"/>
        <v>5.9278738513698928</v>
      </c>
      <c r="W11" s="1246">
        <f t="shared" si="15"/>
        <v>0</v>
      </c>
      <c r="X11" s="1246">
        <f t="shared" si="16"/>
        <v>0</v>
      </c>
      <c r="Y11" s="1246">
        <f t="shared" si="17"/>
        <v>0</v>
      </c>
      <c r="Z11" s="1246">
        <f t="shared" si="18"/>
        <v>0</v>
      </c>
      <c r="AA11" s="1247">
        <f t="shared" si="19"/>
        <v>0</v>
      </c>
      <c r="AB11" s="1245">
        <f t="shared" si="20"/>
        <v>5.48300341765977</v>
      </c>
      <c r="AC11" s="1246">
        <f t="shared" si="21"/>
        <v>0</v>
      </c>
      <c r="AD11" s="1246">
        <f t="shared" si="22"/>
        <v>0</v>
      </c>
      <c r="AE11" s="1246">
        <f t="shared" si="23"/>
        <v>0</v>
      </c>
      <c r="AF11" s="1246">
        <f t="shared" si="24"/>
        <v>0</v>
      </c>
      <c r="AG11" s="1247">
        <f t="shared" si="25"/>
        <v>0</v>
      </c>
      <c r="AH11" s="1245">
        <f t="shared" si="26"/>
        <v>5.8642619111794092</v>
      </c>
      <c r="AI11" s="1246">
        <f t="shared" si="27"/>
        <v>0</v>
      </c>
      <c r="AJ11" s="1246">
        <f t="shared" si="28"/>
        <v>0</v>
      </c>
      <c r="AK11" s="1246">
        <f t="shared" si="29"/>
        <v>0</v>
      </c>
      <c r="AL11" s="1246">
        <f t="shared" si="30"/>
        <v>0</v>
      </c>
      <c r="AM11" s="1247">
        <f t="shared" si="31"/>
        <v>0</v>
      </c>
      <c r="AN11" s="1176">
        <v>2009</v>
      </c>
      <c r="AO11" s="1322">
        <f t="array" ref="AO11">1/SUMPRODUCT(IFERROR(1/V11:AA11,0),'Mkt Pen Veh-Mi'!B11:G11)</f>
        <v>5.9278738513698928</v>
      </c>
      <c r="AP11" s="1323">
        <f t="array" ref="AP11">1/SUMPRODUCT(IFERROR(1/AB11:AG11,0),'Mkt Pen Veh-Mi'!H11:M11)</f>
        <v>5.48300341765977</v>
      </c>
      <c r="AQ11" s="1327">
        <f t="array" ref="AQ11">1/SUMPRODUCT(IFERROR(1/AH11:AM11,0),'Mkt Pen Veh-Mi'!N11:S11)</f>
        <v>5.8642619111794092</v>
      </c>
      <c r="AR11" s="1320">
        <v>2009</v>
      </c>
      <c r="AS11" s="1322">
        <f t="shared" si="32"/>
        <v>1</v>
      </c>
      <c r="AT11" s="1323">
        <f t="shared" si="33"/>
        <v>1</v>
      </c>
      <c r="AU11" s="1323">
        <f t="shared" si="34"/>
        <v>1</v>
      </c>
      <c r="AV11" s="1327">
        <v>1</v>
      </c>
    </row>
    <row r="12" spans="1:48" s="1176" customFormat="1" ht="15" x14ac:dyDescent="0.2">
      <c r="A12" s="1197">
        <v>2010</v>
      </c>
      <c r="B12" s="1248">
        <f>IF('Mkt Pen Veh-Mi'!B12=0,1,1/((1-Fuel2ShrbyTech!B13)/'Inputs 7&amp;8 Sleep'!$N25+Fuel2ShrbyTech!B13/'Inputs 7&amp;8 Sleep'!$T25))</f>
        <v>5.6529804659012148</v>
      </c>
      <c r="C12" s="1249">
        <f>IF('Mkt Pen Veh-Mi'!C12=0,1,1/((1-Fuel2ShrbyTech!C13)/'Inputs 7&amp;8 Sleep'!$O25+Fuel2ShrbyTech!C13/'Inputs 7&amp;8 Sleep'!$U25))</f>
        <v>1</v>
      </c>
      <c r="D12" s="1249">
        <f>IF('Mkt Pen Veh-Mi'!D12=0,1,1/((1-Fuel2ShrbyTech!D13)/'Inputs 7&amp;8 Sleep'!$P25+Fuel2ShrbyTech!D13/'Inputs 7&amp;8 Sleep'!$V25))</f>
        <v>1</v>
      </c>
      <c r="E12" s="1249">
        <f>IF('Mkt Pen Veh-Mi'!E12=0,1,1/((1-Fuel2ShrbyTech!E13)/'Inputs 7&amp;8 Sleep'!$Q25+Fuel2ShrbyTech!E13/'Inputs 7&amp;8 Sleep'!$W25))</f>
        <v>1</v>
      </c>
      <c r="F12" s="1249">
        <f>IF('Mkt Pen Veh-Mi'!F12=0,1,1/((1-Fuel2ShrbyTech!F13)/'Inputs 7&amp;8 Sleep'!$R25+Fuel2ShrbyTech!F13/'Inputs 7&amp;8 Sleep'!$X25))</f>
        <v>1</v>
      </c>
      <c r="G12" s="1250">
        <f>IF('Mkt Pen Veh-Mi'!G12=0,1,1/((1-Fuel2ShrbyTech!G13)/'Inputs 7&amp;8 Sleep'!$S25+Fuel2ShrbyTech!G13/'Inputs 7&amp;8 Sleep'!$Y25))</f>
        <v>1</v>
      </c>
      <c r="H12" s="1248">
        <f>IF('Mkt Pen Veh-Mi'!H12=0,1,1/((1-Fuel2ShrbyTech!H13)/'Inputs 7&amp;8 Day'!$N25+Fuel2ShrbyTech!H13/'Inputs 7&amp;8 Day'!$T25))</f>
        <v>5.5209184022550879</v>
      </c>
      <c r="I12" s="1249">
        <f>IF('Mkt Pen Veh-Mi'!I12=0,1,1/((1-Fuel2ShrbyTech!I13)/'Inputs 7&amp;8 Day'!$O25+Fuel2ShrbyTech!I13/'Inputs 7&amp;8 Day'!$U25))</f>
        <v>1</v>
      </c>
      <c r="J12" s="1249">
        <f>IF('Mkt Pen Veh-Mi'!J12=0,1,1/((1-Fuel2ShrbyTech!J13)/'Inputs 7&amp;8 Day'!$P25+Fuel2ShrbyTech!J13/'Inputs 7&amp;8 Day'!$V25))</f>
        <v>1</v>
      </c>
      <c r="K12" s="1249">
        <f>IF('Mkt Pen Veh-Mi'!K12=0,1,1/((1-Fuel2ShrbyTech!K13)/'Inputs 7&amp;8 Day'!$Q25+Fuel2ShrbyTech!K13/'Inputs 7&amp;8 Day'!$W25))</f>
        <v>1</v>
      </c>
      <c r="L12" s="1249">
        <f>IF('Mkt Pen Veh-Mi'!L12=0,1,1/((1-Fuel2ShrbyTech!L13)/'Inputs 7&amp;8 Day'!$R25+Fuel2ShrbyTech!L13/'Inputs 7&amp;8 Day'!$X25))</f>
        <v>1</v>
      </c>
      <c r="M12" s="1250">
        <f>IF('Mkt Pen Veh-Mi'!M12=0,1,1/((1-Fuel2ShrbyTech!M13)/'Inputs 7&amp;8 Day'!$S25+Fuel2ShrbyTech!M13/'Inputs 7&amp;8 Day'!$Y25))</f>
        <v>1</v>
      </c>
      <c r="N12" s="1248">
        <f>IF('Mkt Pen Veh-Mi'!N12=0,1,1/((1-Fuel2ShrbyTech!N13)/'Inputs 7&amp;8 SU'!$N25+Fuel2ShrbyTech!N13/'Inputs 7&amp;8 SU'!$T25))</f>
        <v>6.0528670437085221</v>
      </c>
      <c r="O12" s="1249">
        <f>IF('Mkt Pen Veh-Mi'!O12=0,1,1/((1-Fuel2ShrbyTech!O13)/'Inputs 7&amp;8 SU'!$O25+Fuel2ShrbyTech!O13/'Inputs 7&amp;8 SU'!$U25))</f>
        <v>1</v>
      </c>
      <c r="P12" s="1249">
        <f>IF('Mkt Pen Veh-Mi'!P12=0,1,1/((1-Fuel2ShrbyTech!P13)/'Inputs 7&amp;8 SU'!$P25+Fuel2ShrbyTech!P13/'Inputs 7&amp;8 SU'!$V25))</f>
        <v>1</v>
      </c>
      <c r="Q12" s="1249">
        <f>IF('Mkt Pen Veh-Mi'!Q12=0,1,1/((1-Fuel2ShrbyTech!Q13)/'Inputs 7&amp;8 SU'!$Q25+Fuel2ShrbyTech!Q13/'Inputs 7&amp;8 SU'!$W25))</f>
        <v>1</v>
      </c>
      <c r="R12" s="1249">
        <f>IF('Mkt Pen Veh-Mi'!R12=0,1,1/((1-Fuel2ShrbyTech!R13)/'Inputs 7&amp;8 SU'!$R25+Fuel2ShrbyTech!R13/'Inputs 7&amp;8 SU'!$X25))</f>
        <v>1</v>
      </c>
      <c r="S12" s="1250">
        <f>IF('Mkt Pen Veh-Mi'!S12=0,1,1/((1-Fuel2ShrbyTech!S13)/'Inputs 7&amp;8 SU'!$S25+Fuel2ShrbyTech!S13/'Inputs 7&amp;8 SU'!$Y25))</f>
        <v>1</v>
      </c>
      <c r="U12" s="1197">
        <f t="shared" si="13"/>
        <v>2010</v>
      </c>
      <c r="V12" s="1248">
        <f t="shared" si="14"/>
        <v>5.6529804659012148</v>
      </c>
      <c r="W12" s="1249">
        <f t="shared" si="15"/>
        <v>0</v>
      </c>
      <c r="X12" s="1249">
        <f t="shared" si="16"/>
        <v>0</v>
      </c>
      <c r="Y12" s="1249">
        <f t="shared" si="17"/>
        <v>0</v>
      </c>
      <c r="Z12" s="1249">
        <f t="shared" si="18"/>
        <v>0</v>
      </c>
      <c r="AA12" s="1250">
        <f t="shared" si="19"/>
        <v>0</v>
      </c>
      <c r="AB12" s="1248">
        <f t="shared" si="20"/>
        <v>5.5209184022550879</v>
      </c>
      <c r="AC12" s="1249">
        <f t="shared" si="21"/>
        <v>0</v>
      </c>
      <c r="AD12" s="1249">
        <f t="shared" si="22"/>
        <v>0</v>
      </c>
      <c r="AE12" s="1249">
        <f t="shared" si="23"/>
        <v>0</v>
      </c>
      <c r="AF12" s="1249">
        <f t="shared" si="24"/>
        <v>0</v>
      </c>
      <c r="AG12" s="1250">
        <f t="shared" si="25"/>
        <v>0</v>
      </c>
      <c r="AH12" s="1248">
        <f t="shared" si="26"/>
        <v>6.0528670437085221</v>
      </c>
      <c r="AI12" s="1249">
        <f t="shared" si="27"/>
        <v>0</v>
      </c>
      <c r="AJ12" s="1249">
        <f t="shared" si="28"/>
        <v>0</v>
      </c>
      <c r="AK12" s="1249">
        <f t="shared" si="29"/>
        <v>0</v>
      </c>
      <c r="AL12" s="1249">
        <f t="shared" si="30"/>
        <v>0</v>
      </c>
      <c r="AM12" s="1250">
        <f t="shared" si="31"/>
        <v>0</v>
      </c>
      <c r="AN12" s="1176">
        <v>2010</v>
      </c>
      <c r="AO12" s="1322">
        <f t="array" ref="AO12">1/SUMPRODUCT(IFERROR(1/V12:AA12,0),'Mkt Pen Veh-Mi'!B12:G12)</f>
        <v>5.6529804659012148</v>
      </c>
      <c r="AP12" s="1323">
        <f t="array" ref="AP12">1/SUMPRODUCT(IFERROR(1/AB12:AG12,0),'Mkt Pen Veh-Mi'!H12:M12)</f>
        <v>5.5209184022550879</v>
      </c>
      <c r="AQ12" s="1327">
        <f t="array" ref="AQ12">1/SUMPRODUCT(IFERROR(1/AH12:AM12,0),'Mkt Pen Veh-Mi'!N12:S12)</f>
        <v>6.0528670437085221</v>
      </c>
      <c r="AR12" s="1320">
        <v>2010</v>
      </c>
      <c r="AS12" s="1322">
        <f t="shared" si="32"/>
        <v>1</v>
      </c>
      <c r="AT12" s="1323">
        <f t="shared" si="33"/>
        <v>1</v>
      </c>
      <c r="AU12" s="1323">
        <f t="shared" si="34"/>
        <v>1</v>
      </c>
      <c r="AV12" s="1327">
        <v>1</v>
      </c>
    </row>
    <row r="13" spans="1:48" s="1176" customFormat="1" ht="15" x14ac:dyDescent="0.2">
      <c r="A13" s="1191">
        <v>2011</v>
      </c>
      <c r="B13" s="1251">
        <f>IF('Mkt Pen Veh-Mi'!B13=0,1,1/((1-Fuel2ShrbyTech!B14)/'Inputs 7&amp;8 Sleep'!$N26+Fuel2ShrbyTech!B14/'Inputs 7&amp;8 Sleep'!$T26))</f>
        <v>5.7697883792198921</v>
      </c>
      <c r="C13" s="1252">
        <f>IF('Mkt Pen Veh-Mi'!C13=0,1,1/((1-Fuel2ShrbyTech!C14)/'Inputs 7&amp;8 Sleep'!$O26+Fuel2ShrbyTech!C14/'Inputs 7&amp;8 Sleep'!$U26))</f>
        <v>1</v>
      </c>
      <c r="D13" s="1252">
        <f>IF('Mkt Pen Veh-Mi'!D13=0,1,1/((1-Fuel2ShrbyTech!D14)/'Inputs 7&amp;8 Sleep'!$P26+Fuel2ShrbyTech!D14/'Inputs 7&amp;8 Sleep'!$V26))</f>
        <v>1</v>
      </c>
      <c r="E13" s="1252">
        <f>IF('Mkt Pen Veh-Mi'!E13=0,1,1/((1-Fuel2ShrbyTech!E14)/'Inputs 7&amp;8 Sleep'!$Q26+Fuel2ShrbyTech!E14/'Inputs 7&amp;8 Sleep'!$W26))</f>
        <v>1</v>
      </c>
      <c r="F13" s="1252">
        <f>IF('Mkt Pen Veh-Mi'!F13=0,1,1/((1-Fuel2ShrbyTech!F14)/'Inputs 7&amp;8 Sleep'!$R26+Fuel2ShrbyTech!F14/'Inputs 7&amp;8 Sleep'!$X26))</f>
        <v>1</v>
      </c>
      <c r="G13" s="1253">
        <f>IF('Mkt Pen Veh-Mi'!G13=0,1,1/((1-Fuel2ShrbyTech!G14)/'Inputs 7&amp;8 Sleep'!$S26+Fuel2ShrbyTech!G14/'Inputs 7&amp;8 Sleep'!$Y26))</f>
        <v>1</v>
      </c>
      <c r="H13" s="1251">
        <f>IF('Mkt Pen Veh-Mi'!H13=0,1,1/((1-Fuel2ShrbyTech!H14)/'Inputs 7&amp;8 Day'!$N26+Fuel2ShrbyTech!H14/'Inputs 7&amp;8 Day'!$T26))</f>
        <v>5.6389131953913116</v>
      </c>
      <c r="I13" s="1252">
        <f>IF('Mkt Pen Veh-Mi'!I13=0,1,1/((1-Fuel2ShrbyTech!I14)/'Inputs 7&amp;8 Day'!$O26+Fuel2ShrbyTech!I14/'Inputs 7&amp;8 Day'!$U26))</f>
        <v>1</v>
      </c>
      <c r="J13" s="1252">
        <f>IF('Mkt Pen Veh-Mi'!J13=0,1,1/((1-Fuel2ShrbyTech!J14)/'Inputs 7&amp;8 Day'!$P26+Fuel2ShrbyTech!J14/'Inputs 7&amp;8 Day'!$V26))</f>
        <v>1</v>
      </c>
      <c r="K13" s="1252">
        <f>IF('Mkt Pen Veh-Mi'!K13=0,1,1/((1-Fuel2ShrbyTech!K14)/'Inputs 7&amp;8 Day'!$Q26+Fuel2ShrbyTech!K14/'Inputs 7&amp;8 Day'!$W26))</f>
        <v>1</v>
      </c>
      <c r="L13" s="1252">
        <f>IF('Mkt Pen Veh-Mi'!L13=0,1,1/((1-Fuel2ShrbyTech!L14)/'Inputs 7&amp;8 Day'!$R26+Fuel2ShrbyTech!L14/'Inputs 7&amp;8 Day'!$X26))</f>
        <v>1</v>
      </c>
      <c r="M13" s="1253">
        <f>IF('Mkt Pen Veh-Mi'!M13=0,1,1/((1-Fuel2ShrbyTech!M14)/'Inputs 7&amp;8 Day'!$S26+Fuel2ShrbyTech!M14/'Inputs 7&amp;8 Day'!$Y26))</f>
        <v>1</v>
      </c>
      <c r="N13" s="1251">
        <f>IF('Mkt Pen Veh-Mi'!N13=0,1,1/((1-Fuel2ShrbyTech!N14)/'Inputs 7&amp;8 SU'!$N26+Fuel2ShrbyTech!N14/'Inputs 7&amp;8 SU'!$T26))</f>
        <v>6.1303718963155642</v>
      </c>
      <c r="O13" s="1252">
        <f>IF('Mkt Pen Veh-Mi'!O13=0,1,1/((1-Fuel2ShrbyTech!O14)/'Inputs 7&amp;8 SU'!$O26+Fuel2ShrbyTech!O14/'Inputs 7&amp;8 SU'!$U26))</f>
        <v>1</v>
      </c>
      <c r="P13" s="1252">
        <f>IF('Mkt Pen Veh-Mi'!P13=0,1,1/((1-Fuel2ShrbyTech!P14)/'Inputs 7&amp;8 SU'!$P26+Fuel2ShrbyTech!P14/'Inputs 7&amp;8 SU'!$V26))</f>
        <v>1</v>
      </c>
      <c r="Q13" s="1252">
        <f>IF('Mkt Pen Veh-Mi'!Q13=0,1,1/((1-Fuel2ShrbyTech!Q14)/'Inputs 7&amp;8 SU'!$Q26+Fuel2ShrbyTech!Q14/'Inputs 7&amp;8 SU'!$W26))</f>
        <v>1</v>
      </c>
      <c r="R13" s="1252">
        <f>IF('Mkt Pen Veh-Mi'!R13=0,1,1/((1-Fuel2ShrbyTech!R14)/'Inputs 7&amp;8 SU'!$R26+Fuel2ShrbyTech!R14/'Inputs 7&amp;8 SU'!$X26))</f>
        <v>1</v>
      </c>
      <c r="S13" s="1253">
        <f>IF('Mkt Pen Veh-Mi'!S13=0,1,1/((1-Fuel2ShrbyTech!S14)/'Inputs 7&amp;8 SU'!$S26+Fuel2ShrbyTech!S14/'Inputs 7&amp;8 SU'!$Y26))</f>
        <v>1</v>
      </c>
      <c r="U13" s="1191">
        <f t="shared" si="13"/>
        <v>2011</v>
      </c>
      <c r="V13" s="1251">
        <f t="shared" si="14"/>
        <v>5.7697883792198921</v>
      </c>
      <c r="W13" s="1252">
        <f t="shared" si="15"/>
        <v>0</v>
      </c>
      <c r="X13" s="1252">
        <f t="shared" si="16"/>
        <v>0</v>
      </c>
      <c r="Y13" s="1252">
        <f t="shared" si="17"/>
        <v>0</v>
      </c>
      <c r="Z13" s="1252">
        <f t="shared" si="18"/>
        <v>0</v>
      </c>
      <c r="AA13" s="1253">
        <f t="shared" si="19"/>
        <v>0</v>
      </c>
      <c r="AB13" s="1251">
        <f t="shared" si="20"/>
        <v>5.6389131953913116</v>
      </c>
      <c r="AC13" s="1252">
        <f t="shared" si="21"/>
        <v>0</v>
      </c>
      <c r="AD13" s="1252">
        <f t="shared" si="22"/>
        <v>0</v>
      </c>
      <c r="AE13" s="1252">
        <f t="shared" si="23"/>
        <v>0</v>
      </c>
      <c r="AF13" s="1252">
        <f t="shared" si="24"/>
        <v>0</v>
      </c>
      <c r="AG13" s="1253">
        <f t="shared" si="25"/>
        <v>0</v>
      </c>
      <c r="AH13" s="1251">
        <f t="shared" si="26"/>
        <v>6.1303718963155642</v>
      </c>
      <c r="AI13" s="1252">
        <f t="shared" si="27"/>
        <v>0</v>
      </c>
      <c r="AJ13" s="1252">
        <f t="shared" si="28"/>
        <v>0</v>
      </c>
      <c r="AK13" s="1252">
        <f t="shared" si="29"/>
        <v>0</v>
      </c>
      <c r="AL13" s="1252">
        <f t="shared" si="30"/>
        <v>0</v>
      </c>
      <c r="AM13" s="1253">
        <f t="shared" si="31"/>
        <v>0</v>
      </c>
      <c r="AN13" s="1176">
        <v>2011</v>
      </c>
      <c r="AO13" s="1322">
        <f t="array" ref="AO13">1/SUMPRODUCT(IFERROR(1/V13:AA13,0),'Mkt Pen Veh-Mi'!B13:G13)</f>
        <v>5.7697883792198921</v>
      </c>
      <c r="AP13" s="1323">
        <f t="array" ref="AP13">1/SUMPRODUCT(IFERROR(1/AB13:AG13,0),'Mkt Pen Veh-Mi'!H13:M13)</f>
        <v>5.6389131953913116</v>
      </c>
      <c r="AQ13" s="1327">
        <f t="array" ref="AQ13">1/SUMPRODUCT(IFERROR(1/AH13:AM13,0),'Mkt Pen Veh-Mi'!N13:S13)</f>
        <v>6.1303718963155642</v>
      </c>
      <c r="AR13" s="1320">
        <v>2011</v>
      </c>
      <c r="AS13" s="1322">
        <f t="shared" si="32"/>
        <v>1</v>
      </c>
      <c r="AT13" s="1323">
        <f t="shared" si="33"/>
        <v>1</v>
      </c>
      <c r="AU13" s="1323">
        <f t="shared" si="34"/>
        <v>1</v>
      </c>
      <c r="AV13" s="1327">
        <v>1</v>
      </c>
    </row>
    <row r="14" spans="1:48" s="1176" customFormat="1" ht="15" x14ac:dyDescent="0.2">
      <c r="A14" s="1191">
        <v>2012</v>
      </c>
      <c r="B14" s="1245">
        <f>IF('Mkt Pen Veh-Mi'!B14=0,1,1/((1-Fuel2ShrbyTech!B15)/'Inputs 7&amp;8 Sleep'!$N27+Fuel2ShrbyTech!B15/'Inputs 7&amp;8 Sleep'!$T27))</f>
        <v>5.8156338758937807</v>
      </c>
      <c r="C14" s="1246">
        <f>IF('Mkt Pen Veh-Mi'!C14=0,1,1/((1-Fuel2ShrbyTech!C15)/'Inputs 7&amp;8 Sleep'!$O27+Fuel2ShrbyTech!C15/'Inputs 7&amp;8 Sleep'!$U27))</f>
        <v>1</v>
      </c>
      <c r="D14" s="1246">
        <f>IF('Mkt Pen Veh-Mi'!D14=0,1,1/((1-Fuel2ShrbyTech!D15)/'Inputs 7&amp;8 Sleep'!$P27+Fuel2ShrbyTech!D15/'Inputs 7&amp;8 Sleep'!$V27))</f>
        <v>1</v>
      </c>
      <c r="E14" s="1246">
        <f>IF('Mkt Pen Veh-Mi'!E14=0,1,1/((1-Fuel2ShrbyTech!E15)/'Inputs 7&amp;8 Sleep'!$Q27+Fuel2ShrbyTech!E15/'Inputs 7&amp;8 Sleep'!$W27))</f>
        <v>1</v>
      </c>
      <c r="F14" s="1246">
        <f>IF('Mkt Pen Veh-Mi'!F14=0,1,1/((1-Fuel2ShrbyTech!F15)/'Inputs 7&amp;8 Sleep'!$R27+Fuel2ShrbyTech!F15/'Inputs 7&amp;8 Sleep'!$X27))</f>
        <v>1</v>
      </c>
      <c r="G14" s="1247">
        <f>IF('Mkt Pen Veh-Mi'!G14=0,1,1/((1-Fuel2ShrbyTech!G15)/'Inputs 7&amp;8 Sleep'!$S27+Fuel2ShrbyTech!G15/'Inputs 7&amp;8 Sleep'!$Y27))</f>
        <v>1</v>
      </c>
      <c r="H14" s="1245">
        <f>IF('Mkt Pen Veh-Mi'!H14=0,1,1/((1-Fuel2ShrbyTech!H15)/'Inputs 7&amp;8 Day'!$N27+Fuel2ShrbyTech!H15/'Inputs 7&amp;8 Day'!$T27))</f>
        <v>5.6839701888518315</v>
      </c>
      <c r="I14" s="1246">
        <f>IF('Mkt Pen Veh-Mi'!I14=0,1,1/((1-Fuel2ShrbyTech!I15)/'Inputs 7&amp;8 Day'!$O27+Fuel2ShrbyTech!I15/'Inputs 7&amp;8 Day'!$U27))</f>
        <v>1</v>
      </c>
      <c r="J14" s="1246">
        <f>IF('Mkt Pen Veh-Mi'!J14=0,1,1/((1-Fuel2ShrbyTech!J15)/'Inputs 7&amp;8 Day'!$P27+Fuel2ShrbyTech!J15/'Inputs 7&amp;8 Day'!$V27))</f>
        <v>1</v>
      </c>
      <c r="K14" s="1246">
        <f>IF('Mkt Pen Veh-Mi'!K14=0,1,1/((1-Fuel2ShrbyTech!K15)/'Inputs 7&amp;8 Day'!$Q27+Fuel2ShrbyTech!K15/'Inputs 7&amp;8 Day'!$W27))</f>
        <v>1</v>
      </c>
      <c r="L14" s="1246">
        <f>IF('Mkt Pen Veh-Mi'!L14=0,1,1/((1-Fuel2ShrbyTech!L15)/'Inputs 7&amp;8 Day'!$R27+Fuel2ShrbyTech!L15/'Inputs 7&amp;8 Day'!$X27))</f>
        <v>1</v>
      </c>
      <c r="M14" s="1247">
        <f>IF('Mkt Pen Veh-Mi'!M14=0,1,1/((1-Fuel2ShrbyTech!M15)/'Inputs 7&amp;8 Day'!$S27+Fuel2ShrbyTech!M15/'Inputs 7&amp;8 Day'!$Y27))</f>
        <v>1</v>
      </c>
      <c r="N14" s="1245">
        <f>IF('Mkt Pen Veh-Mi'!N14=0,1,1/((1-Fuel2ShrbyTech!N15)/'Inputs 7&amp;8 SU'!$N27+Fuel2ShrbyTech!N15/'Inputs 7&amp;8 SU'!$T27))</f>
        <v>6.1630746462831913</v>
      </c>
      <c r="O14" s="1246">
        <f>IF('Mkt Pen Veh-Mi'!O14=0,1,1/((1-Fuel2ShrbyTech!O15)/'Inputs 7&amp;8 SU'!$O27+Fuel2ShrbyTech!O15/'Inputs 7&amp;8 SU'!$U27))</f>
        <v>1</v>
      </c>
      <c r="P14" s="1246">
        <f>IF('Mkt Pen Veh-Mi'!P14=0,1,1/((1-Fuel2ShrbyTech!P15)/'Inputs 7&amp;8 SU'!$P27+Fuel2ShrbyTech!P15/'Inputs 7&amp;8 SU'!$V27))</f>
        <v>1</v>
      </c>
      <c r="Q14" s="1246">
        <f>IF('Mkt Pen Veh-Mi'!Q14=0,1,1/((1-Fuel2ShrbyTech!Q15)/'Inputs 7&amp;8 SU'!$Q27+Fuel2ShrbyTech!Q15/'Inputs 7&amp;8 SU'!$W27))</f>
        <v>1</v>
      </c>
      <c r="R14" s="1246">
        <f>IF('Mkt Pen Veh-Mi'!R14=0,1,1/((1-Fuel2ShrbyTech!R15)/'Inputs 7&amp;8 SU'!$R27+Fuel2ShrbyTech!R15/'Inputs 7&amp;8 SU'!$X27))</f>
        <v>1</v>
      </c>
      <c r="S14" s="1247">
        <f>IF('Mkt Pen Veh-Mi'!S14=0,1,1/((1-Fuel2ShrbyTech!S15)/'Inputs 7&amp;8 SU'!$S27+Fuel2ShrbyTech!S15/'Inputs 7&amp;8 SU'!$Y27))</f>
        <v>1</v>
      </c>
      <c r="U14" s="1191">
        <f t="shared" si="13"/>
        <v>2012</v>
      </c>
      <c r="V14" s="1245">
        <f t="shared" si="14"/>
        <v>5.8156338758937807</v>
      </c>
      <c r="W14" s="1246">
        <f t="shared" si="15"/>
        <v>0</v>
      </c>
      <c r="X14" s="1246">
        <f t="shared" si="16"/>
        <v>0</v>
      </c>
      <c r="Y14" s="1246">
        <f t="shared" si="17"/>
        <v>0</v>
      </c>
      <c r="Z14" s="1246">
        <f t="shared" si="18"/>
        <v>0</v>
      </c>
      <c r="AA14" s="1247">
        <f t="shared" si="19"/>
        <v>0</v>
      </c>
      <c r="AB14" s="1245">
        <f t="shared" si="20"/>
        <v>5.6839701888518315</v>
      </c>
      <c r="AC14" s="1246">
        <f t="shared" si="21"/>
        <v>0</v>
      </c>
      <c r="AD14" s="1246">
        <f t="shared" si="22"/>
        <v>0</v>
      </c>
      <c r="AE14" s="1246">
        <f t="shared" si="23"/>
        <v>0</v>
      </c>
      <c r="AF14" s="1246">
        <f t="shared" si="24"/>
        <v>0</v>
      </c>
      <c r="AG14" s="1247">
        <f t="shared" si="25"/>
        <v>0</v>
      </c>
      <c r="AH14" s="1245">
        <f t="shared" si="26"/>
        <v>6.1630746462831913</v>
      </c>
      <c r="AI14" s="1246">
        <f t="shared" si="27"/>
        <v>0</v>
      </c>
      <c r="AJ14" s="1246">
        <f t="shared" si="28"/>
        <v>0</v>
      </c>
      <c r="AK14" s="1246">
        <f t="shared" si="29"/>
        <v>0</v>
      </c>
      <c r="AL14" s="1246">
        <f t="shared" si="30"/>
        <v>0</v>
      </c>
      <c r="AM14" s="1247">
        <f t="shared" si="31"/>
        <v>0</v>
      </c>
      <c r="AN14" s="1176">
        <v>2012</v>
      </c>
      <c r="AO14" s="1322">
        <f t="array" ref="AO14">1/SUMPRODUCT(IFERROR(1/V14:AA14,0),'Mkt Pen Veh-Mi'!B14:G14)</f>
        <v>5.8156338758937807</v>
      </c>
      <c r="AP14" s="1323">
        <f t="array" ref="AP14">1/SUMPRODUCT(IFERROR(1/AB14:AG14,0),'Mkt Pen Veh-Mi'!H14:M14)</f>
        <v>5.6839701888518315</v>
      </c>
      <c r="AQ14" s="1327">
        <f t="array" ref="AQ14">1/SUMPRODUCT(IFERROR(1/AH14:AM14,0),'Mkt Pen Veh-Mi'!N14:S14)</f>
        <v>6.1630746462831913</v>
      </c>
      <c r="AR14" s="1320">
        <v>2012</v>
      </c>
      <c r="AS14" s="1322">
        <f t="shared" si="32"/>
        <v>1</v>
      </c>
      <c r="AT14" s="1323">
        <f t="shared" si="33"/>
        <v>1</v>
      </c>
      <c r="AU14" s="1323">
        <f t="shared" si="34"/>
        <v>1</v>
      </c>
      <c r="AV14" s="1327">
        <v>1</v>
      </c>
    </row>
    <row r="15" spans="1:48" s="1176" customFormat="1" ht="15" x14ac:dyDescent="0.2">
      <c r="A15" s="1191">
        <v>2013</v>
      </c>
      <c r="B15" s="1245">
        <f>IF('Mkt Pen Veh-Mi'!B15=0,1,1/((1-Fuel2ShrbyTech!B16)/'Inputs 7&amp;8 Sleep'!$N28+Fuel2ShrbyTech!B16/'Inputs 7&amp;8 Sleep'!$T28))</f>
        <v>5.9244625288706905</v>
      </c>
      <c r="C15" s="1246">
        <f>IF('Mkt Pen Veh-Mi'!C15=0,1,1/((1-Fuel2ShrbyTech!C16)/'Inputs 7&amp;8 Sleep'!$O28+Fuel2ShrbyTech!C16/'Inputs 7&amp;8 Sleep'!$U28))</f>
        <v>1</v>
      </c>
      <c r="D15" s="1246">
        <f>IF('Mkt Pen Veh-Mi'!D15=0,1,1/((1-Fuel2ShrbyTech!D16)/'Inputs 7&amp;8 Sleep'!$P28+Fuel2ShrbyTech!D16/'Inputs 7&amp;8 Sleep'!$V28))</f>
        <v>1</v>
      </c>
      <c r="E15" s="1246">
        <f>IF('Mkt Pen Veh-Mi'!E15=0,1,1/((1-Fuel2ShrbyTech!E16)/'Inputs 7&amp;8 Sleep'!$Q28+Fuel2ShrbyTech!E16/'Inputs 7&amp;8 Sleep'!$W28))</f>
        <v>1</v>
      </c>
      <c r="F15" s="1246">
        <f>IF('Mkt Pen Veh-Mi'!F15=0,1,1/((1-Fuel2ShrbyTech!F16)/'Inputs 7&amp;8 Sleep'!$R28+Fuel2ShrbyTech!F16/'Inputs 7&amp;8 Sleep'!$X28))</f>
        <v>1</v>
      </c>
      <c r="G15" s="1247">
        <f>IF('Mkt Pen Veh-Mi'!G15=0,1,1/((1-Fuel2ShrbyTech!G16)/'Inputs 7&amp;8 Sleep'!$S28+Fuel2ShrbyTech!G16/'Inputs 7&amp;8 Sleep'!$Y28))</f>
        <v>1</v>
      </c>
      <c r="H15" s="1245">
        <f>IF('Mkt Pen Veh-Mi'!H15=0,1,1/((1-Fuel2ShrbyTech!H16)/'Inputs 7&amp;8 Day'!$N28+Fuel2ShrbyTech!H16/'Inputs 7&amp;8 Day'!$T28))</f>
        <v>5.7743160896809451</v>
      </c>
      <c r="I15" s="1246">
        <f>IF('Mkt Pen Veh-Mi'!I15=0,1,1/((1-Fuel2ShrbyTech!I16)/'Inputs 7&amp;8 Day'!$O28+Fuel2ShrbyTech!I16/'Inputs 7&amp;8 Day'!$U28))</f>
        <v>1</v>
      </c>
      <c r="J15" s="1246">
        <f>IF('Mkt Pen Veh-Mi'!J15=0,1,1/((1-Fuel2ShrbyTech!J16)/'Inputs 7&amp;8 Day'!$P28+Fuel2ShrbyTech!J16/'Inputs 7&amp;8 Day'!$V28))</f>
        <v>1</v>
      </c>
      <c r="K15" s="1246">
        <f>IF('Mkt Pen Veh-Mi'!K15=0,1,1/((1-Fuel2ShrbyTech!K16)/'Inputs 7&amp;8 Day'!$Q28+Fuel2ShrbyTech!K16/'Inputs 7&amp;8 Day'!$W28))</f>
        <v>1</v>
      </c>
      <c r="L15" s="1246">
        <f>IF('Mkt Pen Veh-Mi'!L15=0,1,1/((1-Fuel2ShrbyTech!L16)/'Inputs 7&amp;8 Day'!$R28+Fuel2ShrbyTech!L16/'Inputs 7&amp;8 Day'!$X28))</f>
        <v>1</v>
      </c>
      <c r="M15" s="1247">
        <f>IF('Mkt Pen Veh-Mi'!M15=0,1,1/((1-Fuel2ShrbyTech!M16)/'Inputs 7&amp;8 Day'!$S28+Fuel2ShrbyTech!M16/'Inputs 7&amp;8 Day'!$Y28))</f>
        <v>1</v>
      </c>
      <c r="N15" s="1245">
        <f>IF('Mkt Pen Veh-Mi'!N15=0,1,1/((1-Fuel2ShrbyTech!N16)/'Inputs 7&amp;8 SU'!$N28+Fuel2ShrbyTech!N16/'Inputs 7&amp;8 SU'!$T28))</f>
        <v>6.2217527283520475</v>
      </c>
      <c r="O15" s="1246">
        <f>IF('Mkt Pen Veh-Mi'!O15=0,1,1/((1-Fuel2ShrbyTech!O16)/'Inputs 7&amp;8 SU'!$O28+Fuel2ShrbyTech!O16/'Inputs 7&amp;8 SU'!$U28))</f>
        <v>1</v>
      </c>
      <c r="P15" s="1246">
        <f>IF('Mkt Pen Veh-Mi'!P15=0,1,1/((1-Fuel2ShrbyTech!P16)/'Inputs 7&amp;8 SU'!$P28+Fuel2ShrbyTech!P16/'Inputs 7&amp;8 SU'!$V28))</f>
        <v>1</v>
      </c>
      <c r="Q15" s="1246">
        <f>IF('Mkt Pen Veh-Mi'!Q15=0,1,1/((1-Fuel2ShrbyTech!Q16)/'Inputs 7&amp;8 SU'!$Q28+Fuel2ShrbyTech!Q16/'Inputs 7&amp;8 SU'!$W28))</f>
        <v>1</v>
      </c>
      <c r="R15" s="1246">
        <f>IF('Mkt Pen Veh-Mi'!R15=0,1,1/((1-Fuel2ShrbyTech!R16)/'Inputs 7&amp;8 SU'!$R28+Fuel2ShrbyTech!R16/'Inputs 7&amp;8 SU'!$X28))</f>
        <v>1</v>
      </c>
      <c r="S15" s="1247">
        <f>IF('Mkt Pen Veh-Mi'!S15=0,1,1/((1-Fuel2ShrbyTech!S16)/'Inputs 7&amp;8 SU'!$S28+Fuel2ShrbyTech!S16/'Inputs 7&amp;8 SU'!$Y28))</f>
        <v>1</v>
      </c>
      <c r="U15" s="1191">
        <f t="shared" si="13"/>
        <v>2013</v>
      </c>
      <c r="V15" s="1245">
        <f t="shared" si="14"/>
        <v>5.9244625288706905</v>
      </c>
      <c r="W15" s="1246">
        <f t="shared" si="15"/>
        <v>0</v>
      </c>
      <c r="X15" s="1246">
        <f t="shared" si="16"/>
        <v>0</v>
      </c>
      <c r="Y15" s="1246">
        <f t="shared" si="17"/>
        <v>0</v>
      </c>
      <c r="Z15" s="1246">
        <f t="shared" si="18"/>
        <v>0</v>
      </c>
      <c r="AA15" s="1247">
        <f t="shared" si="19"/>
        <v>0</v>
      </c>
      <c r="AB15" s="1245">
        <f t="shared" si="20"/>
        <v>5.7743160896809451</v>
      </c>
      <c r="AC15" s="1246">
        <f t="shared" si="21"/>
        <v>0</v>
      </c>
      <c r="AD15" s="1246">
        <f t="shared" si="22"/>
        <v>0</v>
      </c>
      <c r="AE15" s="1246">
        <f t="shared" si="23"/>
        <v>0</v>
      </c>
      <c r="AF15" s="1246">
        <f t="shared" si="24"/>
        <v>0</v>
      </c>
      <c r="AG15" s="1247">
        <f t="shared" si="25"/>
        <v>0</v>
      </c>
      <c r="AH15" s="1245">
        <f t="shared" si="26"/>
        <v>6.2217527283520475</v>
      </c>
      <c r="AI15" s="1246">
        <f t="shared" si="27"/>
        <v>0</v>
      </c>
      <c r="AJ15" s="1246">
        <f t="shared" si="28"/>
        <v>0</v>
      </c>
      <c r="AK15" s="1246">
        <f t="shared" si="29"/>
        <v>0</v>
      </c>
      <c r="AL15" s="1246">
        <f t="shared" si="30"/>
        <v>0</v>
      </c>
      <c r="AM15" s="1247">
        <f t="shared" si="31"/>
        <v>0</v>
      </c>
      <c r="AN15" s="1176">
        <v>2013</v>
      </c>
      <c r="AO15" s="1322">
        <f t="array" ref="AO15">1/SUMPRODUCT(IFERROR(1/V15:AA15,0),'Mkt Pen Veh-Mi'!B15:G15)</f>
        <v>5.9244625288706905</v>
      </c>
      <c r="AP15" s="1323">
        <f t="array" ref="AP15">1/SUMPRODUCT(IFERROR(1/AB15:AG15,0),'Mkt Pen Veh-Mi'!H15:M15)</f>
        <v>5.7743160896809451</v>
      </c>
      <c r="AQ15" s="1327">
        <f t="array" ref="AQ15">1/SUMPRODUCT(IFERROR(1/AH15:AM15,0),'Mkt Pen Veh-Mi'!N15:S15)</f>
        <v>6.2217527283520475</v>
      </c>
      <c r="AR15" s="1320">
        <v>2013</v>
      </c>
      <c r="AS15" s="1322">
        <f t="shared" si="32"/>
        <v>1</v>
      </c>
      <c r="AT15" s="1323">
        <f t="shared" si="33"/>
        <v>1</v>
      </c>
      <c r="AU15" s="1323">
        <f t="shared" si="34"/>
        <v>1</v>
      </c>
      <c r="AV15" s="1327">
        <v>1</v>
      </c>
    </row>
    <row r="16" spans="1:48" s="1176" customFormat="1" ht="15" x14ac:dyDescent="0.2">
      <c r="A16" s="1191">
        <v>2014</v>
      </c>
      <c r="B16" s="1245">
        <f>IF('Mkt Pen Veh-Mi'!B16=0,1,1/((1-Fuel2ShrbyTech!B17)/'Inputs 7&amp;8 Sleep'!$N29+Fuel2ShrbyTech!B17/'Inputs 7&amp;8 Sleep'!$T29))</f>
        <v>6.0583595281689906</v>
      </c>
      <c r="C16" s="1246">
        <f>IF('Mkt Pen Veh-Mi'!C16=0,1,1/((1-Fuel2ShrbyTech!C17)/'Inputs 7&amp;8 Sleep'!$O29+Fuel2ShrbyTech!C17/'Inputs 7&amp;8 Sleep'!$U29))</f>
        <v>1</v>
      </c>
      <c r="D16" s="1246">
        <f>IF('Mkt Pen Veh-Mi'!D16=0,1,1/((1-Fuel2ShrbyTech!D17)/'Inputs 7&amp;8 Sleep'!$P29+Fuel2ShrbyTech!D17/'Inputs 7&amp;8 Sleep'!$V29))</f>
        <v>1</v>
      </c>
      <c r="E16" s="1246">
        <f>IF('Mkt Pen Veh-Mi'!E16=0,1,1/((1-Fuel2ShrbyTech!E17)/'Inputs 7&amp;8 Sleep'!$Q29+Fuel2ShrbyTech!E17/'Inputs 7&amp;8 Sleep'!$W29))</f>
        <v>1</v>
      </c>
      <c r="F16" s="1246">
        <f>IF('Mkt Pen Veh-Mi'!F16=0,1,1/((1-Fuel2ShrbyTech!F17)/'Inputs 7&amp;8 Sleep'!$R29+Fuel2ShrbyTech!F17/'Inputs 7&amp;8 Sleep'!$X29))</f>
        <v>1</v>
      </c>
      <c r="G16" s="1247">
        <f>IF('Mkt Pen Veh-Mi'!G16=0,1,1/((1-Fuel2ShrbyTech!G17)/'Inputs 7&amp;8 Sleep'!$S29+Fuel2ShrbyTech!G17/'Inputs 7&amp;8 Sleep'!$Y29))</f>
        <v>1</v>
      </c>
      <c r="H16" s="1245">
        <f>IF('Mkt Pen Veh-Mi'!H16=0,1,1/((1-Fuel2ShrbyTech!H17)/'Inputs 7&amp;8 Day'!$N29+Fuel2ShrbyTech!H17/'Inputs 7&amp;8 Day'!$T29))</f>
        <v>5.8589396926631565</v>
      </c>
      <c r="I16" s="1246">
        <f>IF('Mkt Pen Veh-Mi'!I16=0,1,1/((1-Fuel2ShrbyTech!I17)/'Inputs 7&amp;8 Day'!$O29+Fuel2ShrbyTech!I17/'Inputs 7&amp;8 Day'!$U29))</f>
        <v>1</v>
      </c>
      <c r="J16" s="1246">
        <f>IF('Mkt Pen Veh-Mi'!J16=0,1,1/((1-Fuel2ShrbyTech!J17)/'Inputs 7&amp;8 Day'!$P29+Fuel2ShrbyTech!J17/'Inputs 7&amp;8 Day'!$V29))</f>
        <v>1</v>
      </c>
      <c r="K16" s="1246">
        <f>IF('Mkt Pen Veh-Mi'!K16=0,1,1/((1-Fuel2ShrbyTech!K17)/'Inputs 7&amp;8 Day'!$Q29+Fuel2ShrbyTech!K17/'Inputs 7&amp;8 Day'!$W29))</f>
        <v>1</v>
      </c>
      <c r="L16" s="1246">
        <f>IF('Mkt Pen Veh-Mi'!L16=0,1,1/((1-Fuel2ShrbyTech!L17)/'Inputs 7&amp;8 Day'!$R29+Fuel2ShrbyTech!L17/'Inputs 7&amp;8 Day'!$X29))</f>
        <v>1</v>
      </c>
      <c r="M16" s="1247">
        <f>IF('Mkt Pen Veh-Mi'!M16=0,1,1/((1-Fuel2ShrbyTech!M17)/'Inputs 7&amp;8 Day'!$S29+Fuel2ShrbyTech!M17/'Inputs 7&amp;8 Day'!$Y29))</f>
        <v>1</v>
      </c>
      <c r="N16" s="1245">
        <f>IF('Mkt Pen Veh-Mi'!N16=0,1,1/((1-Fuel2ShrbyTech!N17)/'Inputs 7&amp;8 SU'!$N29+Fuel2ShrbyTech!N17/'Inputs 7&amp;8 SU'!$T29))</f>
        <v>6.271565642860951</v>
      </c>
      <c r="O16" s="1246">
        <f>IF('Mkt Pen Veh-Mi'!O16=0,1,1/((1-Fuel2ShrbyTech!O17)/'Inputs 7&amp;8 SU'!$O29+Fuel2ShrbyTech!O17/'Inputs 7&amp;8 SU'!$U29))</f>
        <v>1</v>
      </c>
      <c r="P16" s="1246">
        <f>IF('Mkt Pen Veh-Mi'!P16=0,1,1/((1-Fuel2ShrbyTech!P17)/'Inputs 7&amp;8 SU'!$P29+Fuel2ShrbyTech!P17/'Inputs 7&amp;8 SU'!$V29))</f>
        <v>1</v>
      </c>
      <c r="Q16" s="1246">
        <f>IF('Mkt Pen Veh-Mi'!Q16=0,1,1/((1-Fuel2ShrbyTech!Q17)/'Inputs 7&amp;8 SU'!$Q29+Fuel2ShrbyTech!Q17/'Inputs 7&amp;8 SU'!$W29))</f>
        <v>1</v>
      </c>
      <c r="R16" s="1246">
        <f>IF('Mkt Pen Veh-Mi'!R16=0,1,1/((1-Fuel2ShrbyTech!R17)/'Inputs 7&amp;8 SU'!$R29+Fuel2ShrbyTech!R17/'Inputs 7&amp;8 SU'!$X29))</f>
        <v>1</v>
      </c>
      <c r="S16" s="1247">
        <f>IF('Mkt Pen Veh-Mi'!S16=0,1,1/((1-Fuel2ShrbyTech!S17)/'Inputs 7&amp;8 SU'!$S29+Fuel2ShrbyTech!S17/'Inputs 7&amp;8 SU'!$Y29))</f>
        <v>1</v>
      </c>
      <c r="U16" s="1191">
        <f t="shared" si="13"/>
        <v>2014</v>
      </c>
      <c r="V16" s="1245">
        <f t="shared" si="14"/>
        <v>6.0583595281689906</v>
      </c>
      <c r="W16" s="1246">
        <f t="shared" si="15"/>
        <v>0</v>
      </c>
      <c r="X16" s="1246">
        <f t="shared" si="16"/>
        <v>0</v>
      </c>
      <c r="Y16" s="1246">
        <f t="shared" si="17"/>
        <v>0</v>
      </c>
      <c r="Z16" s="1246">
        <f t="shared" si="18"/>
        <v>0</v>
      </c>
      <c r="AA16" s="1247">
        <f t="shared" si="19"/>
        <v>0</v>
      </c>
      <c r="AB16" s="1245">
        <f t="shared" si="20"/>
        <v>5.8589396926631565</v>
      </c>
      <c r="AC16" s="1246">
        <f t="shared" si="21"/>
        <v>0</v>
      </c>
      <c r="AD16" s="1246">
        <f t="shared" si="22"/>
        <v>0</v>
      </c>
      <c r="AE16" s="1246">
        <f t="shared" si="23"/>
        <v>0</v>
      </c>
      <c r="AF16" s="1246">
        <f t="shared" si="24"/>
        <v>0</v>
      </c>
      <c r="AG16" s="1247">
        <f t="shared" si="25"/>
        <v>0</v>
      </c>
      <c r="AH16" s="1245">
        <f t="shared" si="26"/>
        <v>6.271565642860951</v>
      </c>
      <c r="AI16" s="1246">
        <f t="shared" si="27"/>
        <v>0</v>
      </c>
      <c r="AJ16" s="1246">
        <f t="shared" si="28"/>
        <v>0</v>
      </c>
      <c r="AK16" s="1246">
        <f t="shared" si="29"/>
        <v>0</v>
      </c>
      <c r="AL16" s="1246">
        <f t="shared" si="30"/>
        <v>0</v>
      </c>
      <c r="AM16" s="1247">
        <f t="shared" si="31"/>
        <v>0</v>
      </c>
      <c r="AN16" s="1176">
        <v>2014</v>
      </c>
      <c r="AO16" s="1322">
        <f t="array" ref="AO16">1/SUMPRODUCT(IFERROR(1/V16:AA16,0),'Mkt Pen Veh-Mi'!B16:G16)</f>
        <v>6.0583595281689906</v>
      </c>
      <c r="AP16" s="1323">
        <f t="array" ref="AP16">1/SUMPRODUCT(IFERROR(1/AB16:AG16,0),'Mkt Pen Veh-Mi'!H16:M16)</f>
        <v>5.8589396926631565</v>
      </c>
      <c r="AQ16" s="1327">
        <f t="array" ref="AQ16">1/SUMPRODUCT(IFERROR(1/AH16:AM16,0),'Mkt Pen Veh-Mi'!N16:S16)</f>
        <v>6.271565642860951</v>
      </c>
      <c r="AR16" s="1320">
        <v>2014</v>
      </c>
      <c r="AS16" s="1322">
        <f t="shared" si="32"/>
        <v>1</v>
      </c>
      <c r="AT16" s="1323">
        <f t="shared" si="33"/>
        <v>1</v>
      </c>
      <c r="AU16" s="1323">
        <f t="shared" si="34"/>
        <v>1</v>
      </c>
      <c r="AV16" s="1327">
        <v>1</v>
      </c>
    </row>
    <row r="17" spans="1:48" s="1176" customFormat="1" ht="15" x14ac:dyDescent="0.2">
      <c r="A17" s="1197">
        <v>2015</v>
      </c>
      <c r="B17" s="1248">
        <f>IF('Mkt Pen Veh-Mi'!B17=0,1,1/((1-Fuel2ShrbyTech!B18)/'Inputs 7&amp;8 Sleep'!$N30+Fuel2ShrbyTech!B18/'Inputs 7&amp;8 Sleep'!$T30))</f>
        <v>6.1703756815216178</v>
      </c>
      <c r="C17" s="1249">
        <f>IF('Mkt Pen Veh-Mi'!C17=0,1,1/((1-Fuel2ShrbyTech!C18)/'Inputs 7&amp;8 Sleep'!$O30+Fuel2ShrbyTech!C18/'Inputs 7&amp;8 Sleep'!$U30))</f>
        <v>1</v>
      </c>
      <c r="D17" s="1249">
        <f>IF('Mkt Pen Veh-Mi'!D17=0,1,1/((1-Fuel2ShrbyTech!D18)/'Inputs 7&amp;8 Sleep'!$P30+Fuel2ShrbyTech!D18/'Inputs 7&amp;8 Sleep'!$V30))</f>
        <v>1</v>
      </c>
      <c r="E17" s="1249">
        <f>IF('Mkt Pen Veh-Mi'!E17=0,1,1/((1-Fuel2ShrbyTech!E18)/'Inputs 7&amp;8 Sleep'!$Q30+Fuel2ShrbyTech!E18/'Inputs 7&amp;8 Sleep'!$W30))</f>
        <v>1</v>
      </c>
      <c r="F17" s="1249">
        <f>IF('Mkt Pen Veh-Mi'!F17=0,1,1/((1-Fuel2ShrbyTech!F18)/'Inputs 7&amp;8 Sleep'!$R30+Fuel2ShrbyTech!F18/'Inputs 7&amp;8 Sleep'!$X30))</f>
        <v>1</v>
      </c>
      <c r="G17" s="1250">
        <f>IF('Mkt Pen Veh-Mi'!G17=0,1,1/((1-Fuel2ShrbyTech!G18)/'Inputs 7&amp;8 Sleep'!$S30+Fuel2ShrbyTech!G18/'Inputs 7&amp;8 Sleep'!$Y30))</f>
        <v>1</v>
      </c>
      <c r="H17" s="1248">
        <f>IF('Mkt Pen Veh-Mi'!H17=0,1,1/((1-Fuel2ShrbyTech!H18)/'Inputs 7&amp;8 Day'!$N30+Fuel2ShrbyTech!H18/'Inputs 7&amp;8 Day'!$T30))</f>
        <v>6.0069416599255572</v>
      </c>
      <c r="I17" s="1249">
        <f>IF('Mkt Pen Veh-Mi'!I17=0,1,1/((1-Fuel2ShrbyTech!I18)/'Inputs 7&amp;8 Day'!$O30+Fuel2ShrbyTech!I18/'Inputs 7&amp;8 Day'!$U30))</f>
        <v>1</v>
      </c>
      <c r="J17" s="1249">
        <f>IF('Mkt Pen Veh-Mi'!J17=0,1,1/((1-Fuel2ShrbyTech!J18)/'Inputs 7&amp;8 Day'!$P30+Fuel2ShrbyTech!J18/'Inputs 7&amp;8 Day'!$V30))</f>
        <v>1</v>
      </c>
      <c r="K17" s="1249">
        <f>IF('Mkt Pen Veh-Mi'!K17=0,1,1/((1-Fuel2ShrbyTech!K18)/'Inputs 7&amp;8 Day'!$Q30+Fuel2ShrbyTech!K18/'Inputs 7&amp;8 Day'!$W30))</f>
        <v>1</v>
      </c>
      <c r="L17" s="1249">
        <f>IF('Mkt Pen Veh-Mi'!L17=0,1,1/((1-Fuel2ShrbyTech!L18)/'Inputs 7&amp;8 Day'!$R30+Fuel2ShrbyTech!L18/'Inputs 7&amp;8 Day'!$X30))</f>
        <v>1</v>
      </c>
      <c r="M17" s="1250">
        <f>IF('Mkt Pen Veh-Mi'!M17=0,1,1/((1-Fuel2ShrbyTech!M18)/'Inputs 7&amp;8 Day'!$S30+Fuel2ShrbyTech!M18/'Inputs 7&amp;8 Day'!$Y30))</f>
        <v>1</v>
      </c>
      <c r="N17" s="1248">
        <f>IF('Mkt Pen Veh-Mi'!N17=0,1,1/((1-Fuel2ShrbyTech!N18)/'Inputs 7&amp;8 SU'!$N30+Fuel2ShrbyTech!N18/'Inputs 7&amp;8 SU'!$T30))</f>
        <v>6.3449696493508245</v>
      </c>
      <c r="O17" s="1249">
        <f>IF('Mkt Pen Veh-Mi'!O17=0,1,1/((1-Fuel2ShrbyTech!O18)/'Inputs 7&amp;8 SU'!$O30+Fuel2ShrbyTech!O18/'Inputs 7&amp;8 SU'!$U30))</f>
        <v>1</v>
      </c>
      <c r="P17" s="1249">
        <f>IF('Mkt Pen Veh-Mi'!P17=0,1,1/((1-Fuel2ShrbyTech!P18)/'Inputs 7&amp;8 SU'!$P30+Fuel2ShrbyTech!P18/'Inputs 7&amp;8 SU'!$V30))</f>
        <v>1</v>
      </c>
      <c r="Q17" s="1249">
        <f>IF('Mkt Pen Veh-Mi'!Q17=0,1,1/((1-Fuel2ShrbyTech!Q18)/'Inputs 7&amp;8 SU'!$Q30+Fuel2ShrbyTech!Q18/'Inputs 7&amp;8 SU'!$W30))</f>
        <v>1</v>
      </c>
      <c r="R17" s="1249">
        <f>IF('Mkt Pen Veh-Mi'!R17=0,1,1/((1-Fuel2ShrbyTech!R18)/'Inputs 7&amp;8 SU'!$R30+Fuel2ShrbyTech!R18/'Inputs 7&amp;8 SU'!$X30))</f>
        <v>1</v>
      </c>
      <c r="S17" s="1250">
        <f>IF('Mkt Pen Veh-Mi'!S17=0,1,1/((1-Fuel2ShrbyTech!S18)/'Inputs 7&amp;8 SU'!$S30+Fuel2ShrbyTech!S18/'Inputs 7&amp;8 SU'!$Y30))</f>
        <v>1</v>
      </c>
      <c r="U17" s="1197">
        <f t="shared" si="13"/>
        <v>2015</v>
      </c>
      <c r="V17" s="1248">
        <f t="shared" si="14"/>
        <v>6.1703756815216178</v>
      </c>
      <c r="W17" s="1249">
        <f t="shared" si="15"/>
        <v>0</v>
      </c>
      <c r="X17" s="1249">
        <f t="shared" si="16"/>
        <v>0</v>
      </c>
      <c r="Y17" s="1249">
        <f t="shared" si="17"/>
        <v>0</v>
      </c>
      <c r="Z17" s="1249">
        <f t="shared" si="18"/>
        <v>0</v>
      </c>
      <c r="AA17" s="1250">
        <f t="shared" si="19"/>
        <v>0</v>
      </c>
      <c r="AB17" s="1248">
        <f t="shared" si="20"/>
        <v>6.0069416599255572</v>
      </c>
      <c r="AC17" s="1249">
        <f t="shared" si="21"/>
        <v>0</v>
      </c>
      <c r="AD17" s="1249">
        <f t="shared" si="22"/>
        <v>0</v>
      </c>
      <c r="AE17" s="1249">
        <f t="shared" si="23"/>
        <v>0</v>
      </c>
      <c r="AF17" s="1249">
        <f t="shared" si="24"/>
        <v>0</v>
      </c>
      <c r="AG17" s="1250">
        <f t="shared" si="25"/>
        <v>0</v>
      </c>
      <c r="AH17" s="1248">
        <f t="shared" si="26"/>
        <v>6.3449696493508245</v>
      </c>
      <c r="AI17" s="1249">
        <f t="shared" si="27"/>
        <v>0</v>
      </c>
      <c r="AJ17" s="1249">
        <f t="shared" si="28"/>
        <v>0</v>
      </c>
      <c r="AK17" s="1249">
        <f t="shared" si="29"/>
        <v>0</v>
      </c>
      <c r="AL17" s="1249">
        <f t="shared" si="30"/>
        <v>0</v>
      </c>
      <c r="AM17" s="1250">
        <f t="shared" si="31"/>
        <v>0</v>
      </c>
      <c r="AN17" s="1176">
        <v>2015</v>
      </c>
      <c r="AO17" s="1322">
        <f t="array" ref="AO17">1/SUMPRODUCT(IFERROR(1/V17:AA17,0),'Mkt Pen Veh-Mi'!B17:G17)</f>
        <v>6.1703756815216178</v>
      </c>
      <c r="AP17" s="1323">
        <f t="array" ref="AP17">1/SUMPRODUCT(IFERROR(1/AB17:AG17,0),'Mkt Pen Veh-Mi'!H17:M17)</f>
        <v>6.0069416599255572</v>
      </c>
      <c r="AQ17" s="1327">
        <f t="array" ref="AQ17">1/SUMPRODUCT(IFERROR(1/AH17:AM17,0),'Mkt Pen Veh-Mi'!N17:S17)</f>
        <v>6.3449696493508245</v>
      </c>
      <c r="AR17" s="1320">
        <v>2015</v>
      </c>
      <c r="AS17" s="1322">
        <f t="shared" si="32"/>
        <v>1</v>
      </c>
      <c r="AT17" s="1323">
        <f t="shared" si="33"/>
        <v>1</v>
      </c>
      <c r="AU17" s="1323">
        <f t="shared" si="34"/>
        <v>1</v>
      </c>
      <c r="AV17" s="1327">
        <v>1</v>
      </c>
    </row>
    <row r="18" spans="1:48" s="1176" customFormat="1" ht="15" x14ac:dyDescent="0.2">
      <c r="A18" s="1191">
        <v>2016</v>
      </c>
      <c r="B18" s="1251">
        <f>IF('Mkt Pen Veh-Mi'!B18=0,1,1/((1-Fuel2ShrbyTech!B19)/'Inputs 7&amp;8 Sleep'!$N31+Fuel2ShrbyTech!B19/'Inputs 7&amp;8 Sleep'!$T31))</f>
        <v>6.2992037959414624</v>
      </c>
      <c r="C18" s="1252">
        <f>IF('Mkt Pen Veh-Mi'!C18=0,1,1/((1-Fuel2ShrbyTech!C19)/'Inputs 7&amp;8 Sleep'!$O31+Fuel2ShrbyTech!C19/'Inputs 7&amp;8 Sleep'!$U31))</f>
        <v>1</v>
      </c>
      <c r="D18" s="1252">
        <f>IF('Mkt Pen Veh-Mi'!D18=0,1,1/((1-Fuel2ShrbyTech!D19)/'Inputs 7&amp;8 Sleep'!$P31+Fuel2ShrbyTech!D19/'Inputs 7&amp;8 Sleep'!$V31))</f>
        <v>1</v>
      </c>
      <c r="E18" s="1252">
        <f>IF('Mkt Pen Veh-Mi'!E18=0,1,1/((1-Fuel2ShrbyTech!E19)/'Inputs 7&amp;8 Sleep'!$Q31+Fuel2ShrbyTech!E19/'Inputs 7&amp;8 Sleep'!$W31))</f>
        <v>1</v>
      </c>
      <c r="F18" s="1252">
        <f>IF('Mkt Pen Veh-Mi'!F18=0,1,1/((1-Fuel2ShrbyTech!F19)/'Inputs 7&amp;8 Sleep'!$R31+Fuel2ShrbyTech!F19/'Inputs 7&amp;8 Sleep'!$X31))</f>
        <v>1</v>
      </c>
      <c r="G18" s="1253">
        <f>IF('Mkt Pen Veh-Mi'!G18=0,1,1/((1-Fuel2ShrbyTech!G19)/'Inputs 7&amp;8 Sleep'!$S31+Fuel2ShrbyTech!G19/'Inputs 7&amp;8 Sleep'!$Y31))</f>
        <v>1</v>
      </c>
      <c r="H18" s="1251">
        <f>IF('Mkt Pen Veh-Mi'!H18=0,1,1/((1-Fuel2ShrbyTech!H19)/'Inputs 7&amp;8 Day'!$N31+Fuel2ShrbyTech!H19/'Inputs 7&amp;8 Day'!$T31))</f>
        <v>6.1360651716134793</v>
      </c>
      <c r="I18" s="1252">
        <f>IF('Mkt Pen Veh-Mi'!I18=0,1,1/((1-Fuel2ShrbyTech!I19)/'Inputs 7&amp;8 Day'!$O31+Fuel2ShrbyTech!I19/'Inputs 7&amp;8 Day'!$U31))</f>
        <v>1</v>
      </c>
      <c r="J18" s="1252">
        <f>IF('Mkt Pen Veh-Mi'!J18=0,1,1/((1-Fuel2ShrbyTech!J19)/'Inputs 7&amp;8 Day'!$P31+Fuel2ShrbyTech!J19/'Inputs 7&amp;8 Day'!$V31))</f>
        <v>1</v>
      </c>
      <c r="K18" s="1252">
        <f>IF('Mkt Pen Veh-Mi'!K18=0,1,1/((1-Fuel2ShrbyTech!K19)/'Inputs 7&amp;8 Day'!$Q31+Fuel2ShrbyTech!K19/'Inputs 7&amp;8 Day'!$W31))</f>
        <v>1</v>
      </c>
      <c r="L18" s="1252">
        <f>IF('Mkt Pen Veh-Mi'!L18=0,1,1/((1-Fuel2ShrbyTech!L19)/'Inputs 7&amp;8 Day'!$R31+Fuel2ShrbyTech!L19/'Inputs 7&amp;8 Day'!$X31))</f>
        <v>1</v>
      </c>
      <c r="M18" s="1253">
        <f>IF('Mkt Pen Veh-Mi'!M18=0,1,1/((1-Fuel2ShrbyTech!M19)/'Inputs 7&amp;8 Day'!$S31+Fuel2ShrbyTech!M19/'Inputs 7&amp;8 Day'!$Y31))</f>
        <v>1</v>
      </c>
      <c r="N18" s="1251">
        <f>IF('Mkt Pen Veh-Mi'!N18=0,1,1/((1-Fuel2ShrbyTech!N19)/'Inputs 7&amp;8 SU'!$N31+Fuel2ShrbyTech!N19/'Inputs 7&amp;8 SU'!$T31))</f>
        <v>6.4041892526830697</v>
      </c>
      <c r="O18" s="1252">
        <f>IF('Mkt Pen Veh-Mi'!O18=0,1,1/((1-Fuel2ShrbyTech!O19)/'Inputs 7&amp;8 SU'!$O31+Fuel2ShrbyTech!O19/'Inputs 7&amp;8 SU'!$U31))</f>
        <v>1</v>
      </c>
      <c r="P18" s="1252">
        <f>IF('Mkt Pen Veh-Mi'!P18=0,1,1/((1-Fuel2ShrbyTech!P19)/'Inputs 7&amp;8 SU'!$P31+Fuel2ShrbyTech!P19/'Inputs 7&amp;8 SU'!$V31))</f>
        <v>1</v>
      </c>
      <c r="Q18" s="1252">
        <f>IF('Mkt Pen Veh-Mi'!Q18=0,1,1/((1-Fuel2ShrbyTech!Q19)/'Inputs 7&amp;8 SU'!$Q31+Fuel2ShrbyTech!Q19/'Inputs 7&amp;8 SU'!$W31))</f>
        <v>1</v>
      </c>
      <c r="R18" s="1252">
        <f>IF('Mkt Pen Veh-Mi'!R18=0,1,1/((1-Fuel2ShrbyTech!R19)/'Inputs 7&amp;8 SU'!$R31+Fuel2ShrbyTech!R19/'Inputs 7&amp;8 SU'!$X31))</f>
        <v>1</v>
      </c>
      <c r="S18" s="1253">
        <f>IF('Mkt Pen Veh-Mi'!S18=0,1,1/((1-Fuel2ShrbyTech!S19)/'Inputs 7&amp;8 SU'!$S31+Fuel2ShrbyTech!S19/'Inputs 7&amp;8 SU'!$Y31))</f>
        <v>1</v>
      </c>
      <c r="U18" s="1191">
        <f t="shared" si="13"/>
        <v>2016</v>
      </c>
      <c r="V18" s="1251">
        <f t="shared" si="14"/>
        <v>6.2992037959414624</v>
      </c>
      <c r="W18" s="1252">
        <f t="shared" si="15"/>
        <v>0</v>
      </c>
      <c r="X18" s="1252">
        <f t="shared" si="16"/>
        <v>0</v>
      </c>
      <c r="Y18" s="1252">
        <f t="shared" si="17"/>
        <v>0</v>
      </c>
      <c r="Z18" s="1252">
        <f t="shared" si="18"/>
        <v>0</v>
      </c>
      <c r="AA18" s="1253">
        <f t="shared" si="19"/>
        <v>0</v>
      </c>
      <c r="AB18" s="1251">
        <f t="shared" si="20"/>
        <v>6.1360651716134793</v>
      </c>
      <c r="AC18" s="1252">
        <f t="shared" si="21"/>
        <v>0</v>
      </c>
      <c r="AD18" s="1252">
        <f t="shared" si="22"/>
        <v>0</v>
      </c>
      <c r="AE18" s="1252">
        <f t="shared" si="23"/>
        <v>0</v>
      </c>
      <c r="AF18" s="1252">
        <f t="shared" si="24"/>
        <v>0</v>
      </c>
      <c r="AG18" s="1253">
        <f t="shared" si="25"/>
        <v>0</v>
      </c>
      <c r="AH18" s="1251">
        <f t="shared" si="26"/>
        <v>6.4041892526830697</v>
      </c>
      <c r="AI18" s="1252">
        <f t="shared" si="27"/>
        <v>0</v>
      </c>
      <c r="AJ18" s="1252">
        <f t="shared" si="28"/>
        <v>0</v>
      </c>
      <c r="AK18" s="1252">
        <f t="shared" si="29"/>
        <v>0</v>
      </c>
      <c r="AL18" s="1252">
        <f t="shared" si="30"/>
        <v>0</v>
      </c>
      <c r="AM18" s="1253">
        <f t="shared" si="31"/>
        <v>0</v>
      </c>
      <c r="AN18" s="1176">
        <v>2016</v>
      </c>
      <c r="AO18" s="1322">
        <f t="array" ref="AO18">1/SUMPRODUCT(IFERROR(1/V18:AA18,0),'Mkt Pen Veh-Mi'!B18:G18)</f>
        <v>6.2992037959414624</v>
      </c>
      <c r="AP18" s="1323">
        <f t="array" ref="AP18">1/SUMPRODUCT(IFERROR(1/AB18:AG18,0),'Mkt Pen Veh-Mi'!H18:M18)</f>
        <v>6.1360651716134793</v>
      </c>
      <c r="AQ18" s="1327">
        <f t="array" ref="AQ18">1/SUMPRODUCT(IFERROR(1/AH18:AM18,0),'Mkt Pen Veh-Mi'!N18:S18)</f>
        <v>6.4041892526830697</v>
      </c>
      <c r="AR18" s="1320">
        <v>2016</v>
      </c>
      <c r="AS18" s="1322">
        <f t="shared" si="32"/>
        <v>1</v>
      </c>
      <c r="AT18" s="1323">
        <f t="shared" si="33"/>
        <v>1</v>
      </c>
      <c r="AU18" s="1323">
        <f t="shared" si="34"/>
        <v>1</v>
      </c>
      <c r="AV18" s="1327">
        <v>1</v>
      </c>
    </row>
    <row r="19" spans="1:48" s="1176" customFormat="1" ht="15" x14ac:dyDescent="0.2">
      <c r="A19" s="1191">
        <v>2017</v>
      </c>
      <c r="B19" s="1245">
        <f>IF('Mkt Pen Veh-Mi'!B19=0,1,1/((1-Fuel2ShrbyTech!B20)/'Inputs 7&amp;8 Sleep'!$N32+Fuel2ShrbyTech!B20/'Inputs 7&amp;8 Sleep'!$T32))</f>
        <v>6.429880170141046</v>
      </c>
      <c r="C19" s="1246">
        <f>IF('Mkt Pen Veh-Mi'!C19=0,1,1/((1-Fuel2ShrbyTech!C20)/'Inputs 7&amp;8 Sleep'!$O32+Fuel2ShrbyTech!C20/'Inputs 7&amp;8 Sleep'!$U32))</f>
        <v>1</v>
      </c>
      <c r="D19" s="1246">
        <f>IF('Mkt Pen Veh-Mi'!D19=0,1,1/((1-Fuel2ShrbyTech!D20)/'Inputs 7&amp;8 Sleep'!$P32+Fuel2ShrbyTech!D20/'Inputs 7&amp;8 Sleep'!$V32))</f>
        <v>1</v>
      </c>
      <c r="E19" s="1246">
        <f>IF('Mkt Pen Veh-Mi'!E19=0,1,1/((1-Fuel2ShrbyTech!E20)/'Inputs 7&amp;8 Sleep'!$Q32+Fuel2ShrbyTech!E20/'Inputs 7&amp;8 Sleep'!$W32))</f>
        <v>1</v>
      </c>
      <c r="F19" s="1246">
        <f>IF('Mkt Pen Veh-Mi'!F19=0,1,1/((1-Fuel2ShrbyTech!F20)/'Inputs 7&amp;8 Sleep'!$R32+Fuel2ShrbyTech!F20/'Inputs 7&amp;8 Sleep'!$X32))</f>
        <v>1</v>
      </c>
      <c r="G19" s="1247">
        <f>IF('Mkt Pen Veh-Mi'!G19=0,1,1/((1-Fuel2ShrbyTech!G20)/'Inputs 7&amp;8 Sleep'!$S32+Fuel2ShrbyTech!G20/'Inputs 7&amp;8 Sleep'!$Y32))</f>
        <v>1</v>
      </c>
      <c r="H19" s="1245">
        <f>IF('Mkt Pen Veh-Mi'!H19=0,1,1/((1-Fuel2ShrbyTech!H20)/'Inputs 7&amp;8 Day'!$N32+Fuel2ShrbyTech!H20/'Inputs 7&amp;8 Day'!$T32))</f>
        <v>6.3119238751035152</v>
      </c>
      <c r="I19" s="1246">
        <f>IF('Mkt Pen Veh-Mi'!I19=0,1,1/((1-Fuel2ShrbyTech!I20)/'Inputs 7&amp;8 Day'!$O32+Fuel2ShrbyTech!I20/'Inputs 7&amp;8 Day'!$U32))</f>
        <v>1</v>
      </c>
      <c r="J19" s="1246">
        <f>IF('Mkt Pen Veh-Mi'!J19=0,1,1/((1-Fuel2ShrbyTech!J20)/'Inputs 7&amp;8 Day'!$P32+Fuel2ShrbyTech!J20/'Inputs 7&amp;8 Day'!$V32))</f>
        <v>1</v>
      </c>
      <c r="K19" s="1246">
        <f>IF('Mkt Pen Veh-Mi'!K19=0,1,1/((1-Fuel2ShrbyTech!K20)/'Inputs 7&amp;8 Day'!$Q32+Fuel2ShrbyTech!K20/'Inputs 7&amp;8 Day'!$W32))</f>
        <v>1</v>
      </c>
      <c r="L19" s="1246">
        <f>IF('Mkt Pen Veh-Mi'!L19=0,1,1/((1-Fuel2ShrbyTech!L20)/'Inputs 7&amp;8 Day'!$R32+Fuel2ShrbyTech!L20/'Inputs 7&amp;8 Day'!$X32))</f>
        <v>1</v>
      </c>
      <c r="M19" s="1247">
        <f>IF('Mkt Pen Veh-Mi'!M19=0,1,1/((1-Fuel2ShrbyTech!M20)/'Inputs 7&amp;8 Day'!$S32+Fuel2ShrbyTech!M20/'Inputs 7&amp;8 Day'!$Y32))</f>
        <v>1</v>
      </c>
      <c r="N19" s="1245">
        <f>IF('Mkt Pen Veh-Mi'!N19=0,1,1/((1-Fuel2ShrbyTech!N20)/'Inputs 7&amp;8 SU'!$N32+Fuel2ShrbyTech!N20/'Inputs 7&amp;8 SU'!$T32))</f>
        <v>6.4980207200052877</v>
      </c>
      <c r="O19" s="1246">
        <f>IF('Mkt Pen Veh-Mi'!O19=0,1,1/((1-Fuel2ShrbyTech!O20)/'Inputs 7&amp;8 SU'!$O32+Fuel2ShrbyTech!O20/'Inputs 7&amp;8 SU'!$U32))</f>
        <v>1</v>
      </c>
      <c r="P19" s="1246">
        <f>IF('Mkt Pen Veh-Mi'!P19=0,1,1/((1-Fuel2ShrbyTech!P20)/'Inputs 7&amp;8 SU'!$P32+Fuel2ShrbyTech!P20/'Inputs 7&amp;8 SU'!$V32))</f>
        <v>1</v>
      </c>
      <c r="Q19" s="1246">
        <f>IF('Mkt Pen Veh-Mi'!Q19=0,1,1/((1-Fuel2ShrbyTech!Q20)/'Inputs 7&amp;8 SU'!$Q32+Fuel2ShrbyTech!Q20/'Inputs 7&amp;8 SU'!$W32))</f>
        <v>1</v>
      </c>
      <c r="R19" s="1246">
        <f>IF('Mkt Pen Veh-Mi'!R19=0,1,1/((1-Fuel2ShrbyTech!R20)/'Inputs 7&amp;8 SU'!$R32+Fuel2ShrbyTech!R20/'Inputs 7&amp;8 SU'!$X32))</f>
        <v>1</v>
      </c>
      <c r="S19" s="1247">
        <f>IF('Mkt Pen Veh-Mi'!S19=0,1,1/((1-Fuel2ShrbyTech!S20)/'Inputs 7&amp;8 SU'!$S32+Fuel2ShrbyTech!S20/'Inputs 7&amp;8 SU'!$Y32))</f>
        <v>1</v>
      </c>
      <c r="U19" s="1191">
        <f t="shared" si="13"/>
        <v>2017</v>
      </c>
      <c r="V19" s="1245">
        <f t="shared" si="14"/>
        <v>6.429880170141046</v>
      </c>
      <c r="W19" s="1246">
        <f t="shared" si="15"/>
        <v>0</v>
      </c>
      <c r="X19" s="1246">
        <f t="shared" si="16"/>
        <v>0</v>
      </c>
      <c r="Y19" s="1246">
        <f t="shared" si="17"/>
        <v>0</v>
      </c>
      <c r="Z19" s="1246">
        <f t="shared" si="18"/>
        <v>0</v>
      </c>
      <c r="AA19" s="1247">
        <f t="shared" si="19"/>
        <v>0</v>
      </c>
      <c r="AB19" s="1245">
        <f t="shared" si="20"/>
        <v>6.3119238751035152</v>
      </c>
      <c r="AC19" s="1246">
        <f t="shared" si="21"/>
        <v>0</v>
      </c>
      <c r="AD19" s="1246">
        <f t="shared" si="22"/>
        <v>0</v>
      </c>
      <c r="AE19" s="1246">
        <f t="shared" si="23"/>
        <v>0</v>
      </c>
      <c r="AF19" s="1246">
        <f t="shared" si="24"/>
        <v>0</v>
      </c>
      <c r="AG19" s="1247">
        <f t="shared" si="25"/>
        <v>0</v>
      </c>
      <c r="AH19" s="1245">
        <f t="shared" si="26"/>
        <v>6.4980207200052877</v>
      </c>
      <c r="AI19" s="1246">
        <f t="shared" si="27"/>
        <v>0</v>
      </c>
      <c r="AJ19" s="1246">
        <f t="shared" si="28"/>
        <v>0</v>
      </c>
      <c r="AK19" s="1246">
        <f t="shared" si="29"/>
        <v>0</v>
      </c>
      <c r="AL19" s="1246">
        <f t="shared" si="30"/>
        <v>0</v>
      </c>
      <c r="AM19" s="1247">
        <f t="shared" si="31"/>
        <v>0</v>
      </c>
      <c r="AN19" s="1176">
        <v>2017</v>
      </c>
      <c r="AO19" s="1322">
        <f t="array" ref="AO19">1/SUMPRODUCT(IFERROR(1/V19:AA19,0),'Mkt Pen Veh-Mi'!B19:G19)</f>
        <v>6.429880170141046</v>
      </c>
      <c r="AP19" s="1323">
        <f t="array" ref="AP19">1/SUMPRODUCT(IFERROR(1/AB19:AG19,0),'Mkt Pen Veh-Mi'!H19:M19)</f>
        <v>6.3119238751035152</v>
      </c>
      <c r="AQ19" s="1327">
        <f t="array" ref="AQ19">1/SUMPRODUCT(IFERROR(1/AH19:AM19,0),'Mkt Pen Veh-Mi'!N19:S19)</f>
        <v>6.4980207200052877</v>
      </c>
      <c r="AR19" s="1320">
        <v>2017</v>
      </c>
      <c r="AS19" s="1322">
        <f t="shared" si="32"/>
        <v>1</v>
      </c>
      <c r="AT19" s="1323">
        <f t="shared" si="33"/>
        <v>1</v>
      </c>
      <c r="AU19" s="1323">
        <f t="shared" si="34"/>
        <v>1</v>
      </c>
      <c r="AV19" s="1327">
        <v>1</v>
      </c>
    </row>
    <row r="20" spans="1:48" s="1176" customFormat="1" ht="15" x14ac:dyDescent="0.2">
      <c r="A20" s="1191">
        <v>2018</v>
      </c>
      <c r="B20" s="1245">
        <f>IF('Mkt Pen Veh-Mi'!B20=0,1,1/((1-Fuel2ShrbyTech!B21)/'Inputs 7&amp;8 Sleep'!$N33+Fuel2ShrbyTech!B21/'Inputs 7&amp;8 Sleep'!$T33))</f>
        <v>6.3927777584473002</v>
      </c>
      <c r="C20" s="1246">
        <f>IF('Mkt Pen Veh-Mi'!C20=0,1,1/((1-Fuel2ShrbyTech!C21)/'Inputs 7&amp;8 Sleep'!$O33+Fuel2ShrbyTech!C21/'Inputs 7&amp;8 Sleep'!$U33))</f>
        <v>1</v>
      </c>
      <c r="D20" s="1246">
        <f>IF('Mkt Pen Veh-Mi'!D20=0,1,1/((1-Fuel2ShrbyTech!D21)/'Inputs 7&amp;8 Sleep'!$P33+Fuel2ShrbyTech!D21/'Inputs 7&amp;8 Sleep'!$V33))</f>
        <v>1</v>
      </c>
      <c r="E20" s="1246">
        <f>IF('Mkt Pen Veh-Mi'!E20=0,1,1/((1-Fuel2ShrbyTech!E21)/'Inputs 7&amp;8 Sleep'!$Q33+Fuel2ShrbyTech!E21/'Inputs 7&amp;8 Sleep'!$W33))</f>
        <v>1</v>
      </c>
      <c r="F20" s="1246">
        <f>IF('Mkt Pen Veh-Mi'!F20=0,1,1/((1-Fuel2ShrbyTech!F21)/'Inputs 7&amp;8 Sleep'!$R33+Fuel2ShrbyTech!F21/'Inputs 7&amp;8 Sleep'!$X33))</f>
        <v>1</v>
      </c>
      <c r="G20" s="1247">
        <f>IF('Mkt Pen Veh-Mi'!G20=0,1,1/((1-Fuel2ShrbyTech!G21)/'Inputs 7&amp;8 Sleep'!$S33+Fuel2ShrbyTech!G21/'Inputs 7&amp;8 Sleep'!$Y33))</f>
        <v>1</v>
      </c>
      <c r="H20" s="1245">
        <f>IF('Mkt Pen Veh-Mi'!H20=0,1,1/((1-Fuel2ShrbyTech!H21)/'Inputs 7&amp;8 Day'!$N33+Fuel2ShrbyTech!H21/'Inputs 7&amp;8 Day'!$T33))</f>
        <v>6.490547110519385</v>
      </c>
      <c r="I20" s="1246">
        <f>IF('Mkt Pen Veh-Mi'!I20=0,1,1/((1-Fuel2ShrbyTech!I21)/'Inputs 7&amp;8 Day'!$O33+Fuel2ShrbyTech!I21/'Inputs 7&amp;8 Day'!$U33))</f>
        <v>1</v>
      </c>
      <c r="J20" s="1246">
        <f>IF('Mkt Pen Veh-Mi'!J20=0,1,1/((1-Fuel2ShrbyTech!J21)/'Inputs 7&amp;8 Day'!$P33+Fuel2ShrbyTech!J21/'Inputs 7&amp;8 Day'!$V33))</f>
        <v>1</v>
      </c>
      <c r="K20" s="1246">
        <f>IF('Mkt Pen Veh-Mi'!K20=0,1,1/((1-Fuel2ShrbyTech!K21)/'Inputs 7&amp;8 Day'!$Q33+Fuel2ShrbyTech!K21/'Inputs 7&amp;8 Day'!$W33))</f>
        <v>1</v>
      </c>
      <c r="L20" s="1246">
        <f>IF('Mkt Pen Veh-Mi'!L20=0,1,1/((1-Fuel2ShrbyTech!L21)/'Inputs 7&amp;8 Day'!$R33+Fuel2ShrbyTech!L21/'Inputs 7&amp;8 Day'!$X33))</f>
        <v>1</v>
      </c>
      <c r="M20" s="1247">
        <f>IF('Mkt Pen Veh-Mi'!M20=0,1,1/((1-Fuel2ShrbyTech!M21)/'Inputs 7&amp;8 Day'!$S33+Fuel2ShrbyTech!M21/'Inputs 7&amp;8 Day'!$Y33))</f>
        <v>1</v>
      </c>
      <c r="N20" s="1245">
        <f>IF('Mkt Pen Veh-Mi'!N20=0,1,1/((1-Fuel2ShrbyTech!N21)/'Inputs 7&amp;8 SU'!$N33+Fuel2ShrbyTech!N21/'Inputs 7&amp;8 SU'!$T33))</f>
        <v>6.7882707106377271</v>
      </c>
      <c r="O20" s="1246">
        <f>IF('Mkt Pen Veh-Mi'!O20=0,1,1/((1-Fuel2ShrbyTech!O21)/'Inputs 7&amp;8 SU'!$O33+Fuel2ShrbyTech!O21/'Inputs 7&amp;8 SU'!$U33))</f>
        <v>1</v>
      </c>
      <c r="P20" s="1246">
        <f>IF('Mkt Pen Veh-Mi'!P20=0,1,1/((1-Fuel2ShrbyTech!P21)/'Inputs 7&amp;8 SU'!$P33+Fuel2ShrbyTech!P21/'Inputs 7&amp;8 SU'!$V33))</f>
        <v>1</v>
      </c>
      <c r="Q20" s="1246">
        <f>IF('Mkt Pen Veh-Mi'!Q20=0,1,1/((1-Fuel2ShrbyTech!Q21)/'Inputs 7&amp;8 SU'!$Q33+Fuel2ShrbyTech!Q21/'Inputs 7&amp;8 SU'!$W33))</f>
        <v>1</v>
      </c>
      <c r="R20" s="1246">
        <f>IF('Mkt Pen Veh-Mi'!R20=0,1,1/((1-Fuel2ShrbyTech!R21)/'Inputs 7&amp;8 SU'!$R33+Fuel2ShrbyTech!R21/'Inputs 7&amp;8 SU'!$X33))</f>
        <v>1</v>
      </c>
      <c r="S20" s="1247">
        <f>IF('Mkt Pen Veh-Mi'!S20=0,1,1/((1-Fuel2ShrbyTech!S21)/'Inputs 7&amp;8 SU'!$S33+Fuel2ShrbyTech!S21/'Inputs 7&amp;8 SU'!$Y33))</f>
        <v>1</v>
      </c>
      <c r="U20" s="1191">
        <f t="shared" si="13"/>
        <v>2018</v>
      </c>
      <c r="V20" s="1245">
        <f t="shared" si="14"/>
        <v>6.3927777584473002</v>
      </c>
      <c r="W20" s="1246">
        <f t="shared" si="15"/>
        <v>0</v>
      </c>
      <c r="X20" s="1246">
        <f t="shared" si="16"/>
        <v>0</v>
      </c>
      <c r="Y20" s="1246">
        <f t="shared" si="17"/>
        <v>0</v>
      </c>
      <c r="Z20" s="1246">
        <f t="shared" si="18"/>
        <v>0</v>
      </c>
      <c r="AA20" s="1247">
        <f t="shared" si="19"/>
        <v>0</v>
      </c>
      <c r="AB20" s="1245">
        <f t="shared" si="20"/>
        <v>6.490547110519385</v>
      </c>
      <c r="AC20" s="1246">
        <f t="shared" si="21"/>
        <v>0</v>
      </c>
      <c r="AD20" s="1246">
        <f t="shared" si="22"/>
        <v>0</v>
      </c>
      <c r="AE20" s="1246">
        <f t="shared" si="23"/>
        <v>0</v>
      </c>
      <c r="AF20" s="1246">
        <f t="shared" si="24"/>
        <v>0</v>
      </c>
      <c r="AG20" s="1247">
        <f t="shared" si="25"/>
        <v>0</v>
      </c>
      <c r="AH20" s="1245">
        <f t="shared" si="26"/>
        <v>6.7882707106377271</v>
      </c>
      <c r="AI20" s="1246">
        <f t="shared" si="27"/>
        <v>0</v>
      </c>
      <c r="AJ20" s="1246">
        <f t="shared" si="28"/>
        <v>0</v>
      </c>
      <c r="AK20" s="1246">
        <f t="shared" si="29"/>
        <v>0</v>
      </c>
      <c r="AL20" s="1246">
        <f t="shared" si="30"/>
        <v>0</v>
      </c>
      <c r="AM20" s="1247">
        <f t="shared" si="31"/>
        <v>0</v>
      </c>
      <c r="AN20" s="1176">
        <v>2018</v>
      </c>
      <c r="AO20" s="1322">
        <f t="array" ref="AO20">1/SUMPRODUCT(IFERROR(1/V20:AA20,0),'Mkt Pen Veh-Mi'!B20:G20)</f>
        <v>6.3927777584473002</v>
      </c>
      <c r="AP20" s="1323">
        <f t="array" ref="AP20">1/SUMPRODUCT(IFERROR(1/AB20:AG20,0),'Mkt Pen Veh-Mi'!H20:M20)</f>
        <v>6.490547110519385</v>
      </c>
      <c r="AQ20" s="1327">
        <f t="array" ref="AQ20">1/SUMPRODUCT(IFERROR(1/AH20:AM20,0),'Mkt Pen Veh-Mi'!N20:S20)</f>
        <v>6.7882707106377271</v>
      </c>
      <c r="AR20" s="1320">
        <v>2018</v>
      </c>
      <c r="AS20" s="1322">
        <f t="shared" si="32"/>
        <v>1</v>
      </c>
      <c r="AT20" s="1323">
        <f t="shared" si="33"/>
        <v>1</v>
      </c>
      <c r="AU20" s="1323">
        <f t="shared" si="34"/>
        <v>1</v>
      </c>
      <c r="AV20" s="1327">
        <v>1</v>
      </c>
    </row>
    <row r="21" spans="1:48" s="1176" customFormat="1" ht="15" x14ac:dyDescent="0.2">
      <c r="A21" s="1191">
        <v>2019</v>
      </c>
      <c r="B21" s="1245">
        <f>IF('Mkt Pen Veh-Mi'!B21=0,1,1/((1-Fuel2ShrbyTech!B22)/'Inputs 7&amp;8 Sleep'!$N34+Fuel2ShrbyTech!B22/'Inputs 7&amp;8 Sleep'!$T34))</f>
        <v>6.433352026317448</v>
      </c>
      <c r="C21" s="1246">
        <f>IF('Mkt Pen Veh-Mi'!C21=0,1,1/((1-Fuel2ShrbyTech!C22)/'Inputs 7&amp;8 Sleep'!$O34+Fuel2ShrbyTech!C22/'Inputs 7&amp;8 Sleep'!$U34))</f>
        <v>1</v>
      </c>
      <c r="D21" s="1246">
        <f>IF('Mkt Pen Veh-Mi'!D21=0,1,1/((1-Fuel2ShrbyTech!D22)/'Inputs 7&amp;8 Sleep'!$P34+Fuel2ShrbyTech!D22/'Inputs 7&amp;8 Sleep'!$V34))</f>
        <v>1</v>
      </c>
      <c r="E21" s="1246">
        <f>IF('Mkt Pen Veh-Mi'!E21=0,1,1/((1-Fuel2ShrbyTech!E22)/'Inputs 7&amp;8 Sleep'!$Q34+Fuel2ShrbyTech!E22/'Inputs 7&amp;8 Sleep'!$W34))</f>
        <v>1</v>
      </c>
      <c r="F21" s="1246">
        <f>IF('Mkt Pen Veh-Mi'!F21=0,1,1/((1-Fuel2ShrbyTech!F22)/'Inputs 7&amp;8 Sleep'!$R34+Fuel2ShrbyTech!F22/'Inputs 7&amp;8 Sleep'!$X34))</f>
        <v>1</v>
      </c>
      <c r="G21" s="1247">
        <f>IF('Mkt Pen Veh-Mi'!G21=0,1,1/((1-Fuel2ShrbyTech!G22)/'Inputs 7&amp;8 Sleep'!$S34+Fuel2ShrbyTech!G22/'Inputs 7&amp;8 Sleep'!$Y34))</f>
        <v>1</v>
      </c>
      <c r="H21" s="1245">
        <f>IF('Mkt Pen Veh-Mi'!H21=0,1,1/((1-Fuel2ShrbyTech!H22)/'Inputs 7&amp;8 Day'!$N34+Fuel2ShrbyTech!H22/'Inputs 7&amp;8 Day'!$T34))</f>
        <v>6.5335250359747858</v>
      </c>
      <c r="I21" s="1246">
        <f>IF('Mkt Pen Veh-Mi'!I21=0,1,1/((1-Fuel2ShrbyTech!I22)/'Inputs 7&amp;8 Day'!$O34+Fuel2ShrbyTech!I22/'Inputs 7&amp;8 Day'!$U34))</f>
        <v>1</v>
      </c>
      <c r="J21" s="1246">
        <f>IF('Mkt Pen Veh-Mi'!J21=0,1,1/((1-Fuel2ShrbyTech!J22)/'Inputs 7&amp;8 Day'!$P34+Fuel2ShrbyTech!J22/'Inputs 7&amp;8 Day'!$V34))</f>
        <v>1</v>
      </c>
      <c r="K21" s="1246">
        <f>IF('Mkt Pen Veh-Mi'!K21=0,1,1/((1-Fuel2ShrbyTech!K22)/'Inputs 7&amp;8 Day'!$Q34+Fuel2ShrbyTech!K22/'Inputs 7&amp;8 Day'!$W34))</f>
        <v>1</v>
      </c>
      <c r="L21" s="1246">
        <f>IF('Mkt Pen Veh-Mi'!L21=0,1,1/((1-Fuel2ShrbyTech!L22)/'Inputs 7&amp;8 Day'!$R34+Fuel2ShrbyTech!L22/'Inputs 7&amp;8 Day'!$X34))</f>
        <v>1</v>
      </c>
      <c r="M21" s="1247">
        <f>IF('Mkt Pen Veh-Mi'!M21=0,1,1/((1-Fuel2ShrbyTech!M22)/'Inputs 7&amp;8 Day'!$S34+Fuel2ShrbyTech!M22/'Inputs 7&amp;8 Day'!$Y34))</f>
        <v>1</v>
      </c>
      <c r="N21" s="1245">
        <f>IF('Mkt Pen Veh-Mi'!N21=0,1,1/((1-Fuel2ShrbyTech!N22)/'Inputs 7&amp;8 SU'!$N34+Fuel2ShrbyTech!N22/'Inputs 7&amp;8 SU'!$T34))</f>
        <v>6.8198260867882974</v>
      </c>
      <c r="O21" s="1246">
        <f>IF('Mkt Pen Veh-Mi'!O21=0,1,1/((1-Fuel2ShrbyTech!O22)/'Inputs 7&amp;8 SU'!$O34+Fuel2ShrbyTech!O22/'Inputs 7&amp;8 SU'!$U34))</f>
        <v>1</v>
      </c>
      <c r="P21" s="1246">
        <f>IF('Mkt Pen Veh-Mi'!P21=0,1,1/((1-Fuel2ShrbyTech!P22)/'Inputs 7&amp;8 SU'!$P34+Fuel2ShrbyTech!P22/'Inputs 7&amp;8 SU'!$V34))</f>
        <v>1</v>
      </c>
      <c r="Q21" s="1246">
        <f>IF('Mkt Pen Veh-Mi'!Q21=0,1,1/((1-Fuel2ShrbyTech!Q22)/'Inputs 7&amp;8 SU'!$Q34+Fuel2ShrbyTech!Q22/'Inputs 7&amp;8 SU'!$W34))</f>
        <v>1</v>
      </c>
      <c r="R21" s="1246">
        <f>IF('Mkt Pen Veh-Mi'!R21=0,1,1/((1-Fuel2ShrbyTech!R22)/'Inputs 7&amp;8 SU'!$R34+Fuel2ShrbyTech!R22/'Inputs 7&amp;8 SU'!$X34))</f>
        <v>1</v>
      </c>
      <c r="S21" s="1247">
        <f>IF('Mkt Pen Veh-Mi'!S21=0,1,1/((1-Fuel2ShrbyTech!S22)/'Inputs 7&amp;8 SU'!$S34+Fuel2ShrbyTech!S22/'Inputs 7&amp;8 SU'!$Y34))</f>
        <v>1</v>
      </c>
      <c r="U21" s="1191">
        <f t="shared" si="13"/>
        <v>2019</v>
      </c>
      <c r="V21" s="1245">
        <f t="shared" si="14"/>
        <v>6.433352026317448</v>
      </c>
      <c r="W21" s="1246">
        <f t="shared" si="15"/>
        <v>0</v>
      </c>
      <c r="X21" s="1246">
        <f t="shared" si="16"/>
        <v>0</v>
      </c>
      <c r="Y21" s="1246">
        <f t="shared" si="17"/>
        <v>0</v>
      </c>
      <c r="Z21" s="1246">
        <f t="shared" si="18"/>
        <v>0</v>
      </c>
      <c r="AA21" s="1247">
        <f t="shared" si="19"/>
        <v>0</v>
      </c>
      <c r="AB21" s="1245">
        <f t="shared" si="20"/>
        <v>6.5335250359747858</v>
      </c>
      <c r="AC21" s="1246">
        <f t="shared" si="21"/>
        <v>0</v>
      </c>
      <c r="AD21" s="1246">
        <f t="shared" si="22"/>
        <v>0</v>
      </c>
      <c r="AE21" s="1246">
        <f t="shared" si="23"/>
        <v>0</v>
      </c>
      <c r="AF21" s="1246">
        <f t="shared" si="24"/>
        <v>0</v>
      </c>
      <c r="AG21" s="1247">
        <f t="shared" si="25"/>
        <v>0</v>
      </c>
      <c r="AH21" s="1245">
        <f t="shared" si="26"/>
        <v>6.8198260867882974</v>
      </c>
      <c r="AI21" s="1246">
        <f t="shared" si="27"/>
        <v>0</v>
      </c>
      <c r="AJ21" s="1246">
        <f t="shared" si="28"/>
        <v>0</v>
      </c>
      <c r="AK21" s="1246">
        <f t="shared" si="29"/>
        <v>0</v>
      </c>
      <c r="AL21" s="1246">
        <f t="shared" si="30"/>
        <v>0</v>
      </c>
      <c r="AM21" s="1247">
        <f t="shared" si="31"/>
        <v>0</v>
      </c>
      <c r="AN21" s="1176">
        <v>2019</v>
      </c>
      <c r="AO21" s="1322">
        <f t="array" ref="AO21">1/SUMPRODUCT(IFERROR(1/V21:AA21,0),'Mkt Pen Veh-Mi'!B21:G21)</f>
        <v>6.433352026317448</v>
      </c>
      <c r="AP21" s="1323">
        <f t="array" ref="AP21">1/SUMPRODUCT(IFERROR(1/AB21:AG21,0),'Mkt Pen Veh-Mi'!H21:M21)</f>
        <v>6.5335250359747858</v>
      </c>
      <c r="AQ21" s="1327">
        <f t="array" ref="AQ21">1/SUMPRODUCT(IFERROR(1/AH21:AM21,0),'Mkt Pen Veh-Mi'!N21:S21)</f>
        <v>6.8198260867882974</v>
      </c>
      <c r="AR21" s="1320">
        <v>2019</v>
      </c>
      <c r="AS21" s="1322">
        <f t="shared" si="32"/>
        <v>1</v>
      </c>
      <c r="AT21" s="1323">
        <f t="shared" si="33"/>
        <v>1</v>
      </c>
      <c r="AU21" s="1323">
        <f t="shared" si="34"/>
        <v>1</v>
      </c>
      <c r="AV21" s="1327">
        <v>1</v>
      </c>
    </row>
    <row r="22" spans="1:48" s="1176" customFormat="1" ht="15" x14ac:dyDescent="0.2">
      <c r="A22" s="1197">
        <v>2020</v>
      </c>
      <c r="B22" s="1248">
        <f>IF('Mkt Pen Veh-Mi'!B22=0,1,1/((1-Fuel2ShrbyTech!B23)/'Inputs 7&amp;8 Sleep'!$N35+Fuel2ShrbyTech!B23/'Inputs 7&amp;8 Sleep'!$T35))</f>
        <v>6.4864337636120455</v>
      </c>
      <c r="C22" s="1249">
        <f>IF('Mkt Pen Veh-Mi'!C22=0,1,1/((1-Fuel2ShrbyTech!C23)/'Inputs 7&amp;8 Sleep'!$O35+Fuel2ShrbyTech!C23/'Inputs 7&amp;8 Sleep'!$U35))</f>
        <v>1</v>
      </c>
      <c r="D22" s="1249">
        <f>IF('Mkt Pen Veh-Mi'!D22=0,1,1/((1-Fuel2ShrbyTech!D23)/'Inputs 7&amp;8 Sleep'!$P35+Fuel2ShrbyTech!D23/'Inputs 7&amp;8 Sleep'!$V35))</f>
        <v>1</v>
      </c>
      <c r="E22" s="1249">
        <f>IF('Mkt Pen Veh-Mi'!E22=0,1,1/((1-Fuel2ShrbyTech!E23)/'Inputs 7&amp;8 Sleep'!$Q35+Fuel2ShrbyTech!E23/'Inputs 7&amp;8 Sleep'!$W35))</f>
        <v>1</v>
      </c>
      <c r="F22" s="1249">
        <f>IF('Mkt Pen Veh-Mi'!F22=0,1,1/((1-Fuel2ShrbyTech!F23)/'Inputs 7&amp;8 Sleep'!$R35+Fuel2ShrbyTech!F23/'Inputs 7&amp;8 Sleep'!$X35))</f>
        <v>1</v>
      </c>
      <c r="G22" s="1250">
        <f>IF('Mkt Pen Veh-Mi'!G22=0,1,1/((1-Fuel2ShrbyTech!G23)/'Inputs 7&amp;8 Sleep'!$S35+Fuel2ShrbyTech!G23/'Inputs 7&amp;8 Sleep'!$Y35))</f>
        <v>1</v>
      </c>
      <c r="H22" s="1248">
        <f>IF('Mkt Pen Veh-Mi'!H22=0,1,1/((1-Fuel2ShrbyTech!H23)/'Inputs 7&amp;8 Day'!$N35+Fuel2ShrbyTech!H23/'Inputs 7&amp;8 Day'!$T35))</f>
        <v>6.5937589910582313</v>
      </c>
      <c r="I22" s="1249">
        <f>IF('Mkt Pen Veh-Mi'!I22=0,1,1/((1-Fuel2ShrbyTech!I23)/'Inputs 7&amp;8 Day'!$O35+Fuel2ShrbyTech!I23/'Inputs 7&amp;8 Day'!$U35))</f>
        <v>1</v>
      </c>
      <c r="J22" s="1249">
        <f>IF('Mkt Pen Veh-Mi'!J22=0,1,1/((1-Fuel2ShrbyTech!J23)/'Inputs 7&amp;8 Day'!$P35+Fuel2ShrbyTech!J23/'Inputs 7&amp;8 Day'!$V35))</f>
        <v>1</v>
      </c>
      <c r="K22" s="1249">
        <f>IF('Mkt Pen Veh-Mi'!K22=0,1,1/((1-Fuel2ShrbyTech!K23)/'Inputs 7&amp;8 Day'!$Q35+Fuel2ShrbyTech!K23/'Inputs 7&amp;8 Day'!$W35))</f>
        <v>1</v>
      </c>
      <c r="L22" s="1249">
        <f>IF('Mkt Pen Veh-Mi'!L22=0,1,1/((1-Fuel2ShrbyTech!L23)/'Inputs 7&amp;8 Day'!$R35+Fuel2ShrbyTech!L23/'Inputs 7&amp;8 Day'!$X35))</f>
        <v>1</v>
      </c>
      <c r="M22" s="1250">
        <f>IF('Mkt Pen Veh-Mi'!M22=0,1,1/((1-Fuel2ShrbyTech!M23)/'Inputs 7&amp;8 Day'!$S35+Fuel2ShrbyTech!M23/'Inputs 7&amp;8 Day'!$Y35))</f>
        <v>1</v>
      </c>
      <c r="N22" s="1248">
        <f>IF('Mkt Pen Veh-Mi'!N22=0,1,1/((1-Fuel2ShrbyTech!N23)/'Inputs 7&amp;8 SU'!$N35+Fuel2ShrbyTech!N23/'Inputs 7&amp;8 SU'!$T35))</f>
        <v>6.8652961720744159</v>
      </c>
      <c r="O22" s="1249">
        <f>IF('Mkt Pen Veh-Mi'!O22=0,1,1/((1-Fuel2ShrbyTech!O23)/'Inputs 7&amp;8 SU'!$O35+Fuel2ShrbyTech!O23/'Inputs 7&amp;8 SU'!$U35))</f>
        <v>1</v>
      </c>
      <c r="P22" s="1249">
        <f>IF('Mkt Pen Veh-Mi'!P22=0,1,1/((1-Fuel2ShrbyTech!P23)/'Inputs 7&amp;8 SU'!$P35+Fuel2ShrbyTech!P23/'Inputs 7&amp;8 SU'!$V35))</f>
        <v>1</v>
      </c>
      <c r="Q22" s="1249">
        <f>IF('Mkt Pen Veh-Mi'!Q22=0,1,1/((1-Fuel2ShrbyTech!Q23)/'Inputs 7&amp;8 SU'!$Q35+Fuel2ShrbyTech!Q23/'Inputs 7&amp;8 SU'!$W35))</f>
        <v>1</v>
      </c>
      <c r="R22" s="1249">
        <f>IF('Mkt Pen Veh-Mi'!R22=0,1,1/((1-Fuel2ShrbyTech!R23)/'Inputs 7&amp;8 SU'!$R35+Fuel2ShrbyTech!R23/'Inputs 7&amp;8 SU'!$X35))</f>
        <v>1</v>
      </c>
      <c r="S22" s="1250">
        <f>IF('Mkt Pen Veh-Mi'!S22=0,1,1/((1-Fuel2ShrbyTech!S23)/'Inputs 7&amp;8 SU'!$S35+Fuel2ShrbyTech!S23/'Inputs 7&amp;8 SU'!$Y35))</f>
        <v>1</v>
      </c>
      <c r="U22" s="1197">
        <f t="shared" si="13"/>
        <v>2020</v>
      </c>
      <c r="V22" s="1248">
        <f t="shared" si="14"/>
        <v>6.4864337636120455</v>
      </c>
      <c r="W22" s="1249">
        <f t="shared" si="15"/>
        <v>0</v>
      </c>
      <c r="X22" s="1249">
        <f t="shared" si="16"/>
        <v>0</v>
      </c>
      <c r="Y22" s="1249">
        <f t="shared" si="17"/>
        <v>0</v>
      </c>
      <c r="Z22" s="1249">
        <f t="shared" si="18"/>
        <v>0</v>
      </c>
      <c r="AA22" s="1250">
        <f t="shared" si="19"/>
        <v>0</v>
      </c>
      <c r="AB22" s="1248">
        <f t="shared" si="20"/>
        <v>6.5937589910582313</v>
      </c>
      <c r="AC22" s="1249">
        <f t="shared" si="21"/>
        <v>0</v>
      </c>
      <c r="AD22" s="1249">
        <f t="shared" si="22"/>
        <v>0</v>
      </c>
      <c r="AE22" s="1249">
        <f t="shared" si="23"/>
        <v>0</v>
      </c>
      <c r="AF22" s="1249">
        <f t="shared" si="24"/>
        <v>0</v>
      </c>
      <c r="AG22" s="1250">
        <f t="shared" si="25"/>
        <v>0</v>
      </c>
      <c r="AH22" s="1248">
        <f t="shared" si="26"/>
        <v>6.8652961720744159</v>
      </c>
      <c r="AI22" s="1249">
        <f t="shared" si="27"/>
        <v>0</v>
      </c>
      <c r="AJ22" s="1249">
        <f t="shared" si="28"/>
        <v>0</v>
      </c>
      <c r="AK22" s="1249">
        <f t="shared" si="29"/>
        <v>0</v>
      </c>
      <c r="AL22" s="1249">
        <f t="shared" si="30"/>
        <v>0</v>
      </c>
      <c r="AM22" s="1250">
        <f t="shared" si="31"/>
        <v>0</v>
      </c>
      <c r="AN22" s="1176">
        <v>2020</v>
      </c>
      <c r="AO22" s="1322">
        <f t="array" ref="AO22">1/SUMPRODUCT(IFERROR(1/V22:AA22,0),'Mkt Pen Veh-Mi'!B22:G22)</f>
        <v>6.4864337636120455</v>
      </c>
      <c r="AP22" s="1323">
        <f t="array" ref="AP22">1/SUMPRODUCT(IFERROR(1/AB22:AG22,0),'Mkt Pen Veh-Mi'!H22:M22)</f>
        <v>6.5937589910582313</v>
      </c>
      <c r="AQ22" s="1327">
        <f t="array" ref="AQ22">1/SUMPRODUCT(IFERROR(1/AH22:AM22,0),'Mkt Pen Veh-Mi'!N22:S22)</f>
        <v>6.8652961720744159</v>
      </c>
      <c r="AR22" s="1320">
        <v>2020</v>
      </c>
      <c r="AS22" s="1322">
        <f t="shared" si="32"/>
        <v>1</v>
      </c>
      <c r="AT22" s="1323">
        <f t="shared" si="33"/>
        <v>1</v>
      </c>
      <c r="AU22" s="1323">
        <f t="shared" si="34"/>
        <v>1</v>
      </c>
      <c r="AV22" s="1327">
        <v>1</v>
      </c>
    </row>
    <row r="23" spans="1:48" s="1176" customFormat="1" ht="15" x14ac:dyDescent="0.2">
      <c r="A23" s="1191">
        <v>2021</v>
      </c>
      <c r="B23" s="1251">
        <f>IF('Mkt Pen Veh-Mi'!B23=0,1,1/((1-Fuel2ShrbyTech!B24)/'Inputs 7&amp;8 Sleep'!$N36+Fuel2ShrbyTech!B24/'Inputs 7&amp;8 Sleep'!$T36))</f>
        <v>6.4888939494054592</v>
      </c>
      <c r="C23" s="1252">
        <f>IF('Mkt Pen Veh-Mi'!C23=0,1,1/((1-Fuel2ShrbyTech!C24)/'Inputs 7&amp;8 Sleep'!$O36+Fuel2ShrbyTech!C24/'Inputs 7&amp;8 Sleep'!$U36))</f>
        <v>1</v>
      </c>
      <c r="D23" s="1252">
        <f>IF('Mkt Pen Veh-Mi'!D23=0,1,1/((1-Fuel2ShrbyTech!D24)/'Inputs 7&amp;8 Sleep'!$P36+Fuel2ShrbyTech!D24/'Inputs 7&amp;8 Sleep'!$V36))</f>
        <v>1</v>
      </c>
      <c r="E23" s="1252">
        <f>IF('Mkt Pen Veh-Mi'!E23=0,1,1/((1-Fuel2ShrbyTech!E24)/'Inputs 7&amp;8 Sleep'!$Q36+Fuel2ShrbyTech!E24/'Inputs 7&amp;8 Sleep'!$W36))</f>
        <v>1</v>
      </c>
      <c r="F23" s="1252">
        <f>IF('Mkt Pen Veh-Mi'!F23=0,1,1/((1-Fuel2ShrbyTech!F24)/'Inputs 7&amp;8 Sleep'!$R36+Fuel2ShrbyTech!F24/'Inputs 7&amp;8 Sleep'!$X36))</f>
        <v>1</v>
      </c>
      <c r="G23" s="1253">
        <f>IF('Mkt Pen Veh-Mi'!G23=0,1,1/((1-Fuel2ShrbyTech!G24)/'Inputs 7&amp;8 Sleep'!$S36+Fuel2ShrbyTech!G24/'Inputs 7&amp;8 Sleep'!$Y36))</f>
        <v>1</v>
      </c>
      <c r="H23" s="1251">
        <f>IF('Mkt Pen Veh-Mi'!H23=0,1,1/((1-Fuel2ShrbyTech!H24)/'Inputs 7&amp;8 Day'!$N36+Fuel2ShrbyTech!H24/'Inputs 7&amp;8 Day'!$T36))</f>
        <v>6.610100853808035</v>
      </c>
      <c r="I23" s="1252">
        <f>IF('Mkt Pen Veh-Mi'!I23=0,1,1/((1-Fuel2ShrbyTech!I24)/'Inputs 7&amp;8 Day'!$O36+Fuel2ShrbyTech!I24/'Inputs 7&amp;8 Day'!$U36))</f>
        <v>6.7450424840493035</v>
      </c>
      <c r="J23" s="1252">
        <f>IF('Mkt Pen Veh-Mi'!J23=0,1,1/((1-Fuel2ShrbyTech!J24)/'Inputs 7&amp;8 Day'!$P36+Fuel2ShrbyTech!J24/'Inputs 7&amp;8 Day'!$V36))</f>
        <v>6.7496952407848143</v>
      </c>
      <c r="K23" s="1252">
        <f>IF('Mkt Pen Veh-Mi'!K23=0,1,1/((1-Fuel2ShrbyTech!K24)/'Inputs 7&amp;8 Day'!$Q36+Fuel2ShrbyTech!K24/'Inputs 7&amp;8 Day'!$W36))</f>
        <v>1</v>
      </c>
      <c r="L23" s="1252">
        <f>IF('Mkt Pen Veh-Mi'!L23=0,1,1/((1-Fuel2ShrbyTech!L24)/'Inputs 7&amp;8 Day'!$R36+Fuel2ShrbyTech!L24/'Inputs 7&amp;8 Day'!$X36))</f>
        <v>1</v>
      </c>
      <c r="M23" s="1253">
        <f>IF('Mkt Pen Veh-Mi'!M23=0,1,1/((1-Fuel2ShrbyTech!M24)/'Inputs 7&amp;8 Day'!$S36+Fuel2ShrbyTech!M24/'Inputs 7&amp;8 Day'!$Y36))</f>
        <v>1</v>
      </c>
      <c r="N23" s="1251">
        <f>IF('Mkt Pen Veh-Mi'!N23=0,1,1/((1-Fuel2ShrbyTech!N24)/'Inputs 7&amp;8 SU'!$N36+Fuel2ShrbyTech!N24/'Inputs 7&amp;8 SU'!$T36))</f>
        <v>7.1066946066856191</v>
      </c>
      <c r="O23" s="1252">
        <f>IF('Mkt Pen Veh-Mi'!O23=0,1,1/((1-Fuel2ShrbyTech!O24)/'Inputs 7&amp;8 SU'!$O36+Fuel2ShrbyTech!O24/'Inputs 7&amp;8 SU'!$U36))</f>
        <v>1</v>
      </c>
      <c r="P23" s="1252">
        <f>IF('Mkt Pen Veh-Mi'!P23=0,1,1/((1-Fuel2ShrbyTech!P24)/'Inputs 7&amp;8 SU'!$P36+Fuel2ShrbyTech!P24/'Inputs 7&amp;8 SU'!$V36))</f>
        <v>1</v>
      </c>
      <c r="Q23" s="1252">
        <f>IF('Mkt Pen Veh-Mi'!Q23=0,1,1/((1-Fuel2ShrbyTech!Q24)/'Inputs 7&amp;8 SU'!$Q36+Fuel2ShrbyTech!Q24/'Inputs 7&amp;8 SU'!$W36))</f>
        <v>1</v>
      </c>
      <c r="R23" s="1252">
        <f>IF('Mkt Pen Veh-Mi'!R23=0,1,1/((1-Fuel2ShrbyTech!R24)/'Inputs 7&amp;8 SU'!$R36+Fuel2ShrbyTech!R24/'Inputs 7&amp;8 SU'!$X36))</f>
        <v>1</v>
      </c>
      <c r="S23" s="1253">
        <f>IF('Mkt Pen Veh-Mi'!S23=0,1,1/((1-Fuel2ShrbyTech!S24)/'Inputs 7&amp;8 SU'!$S36+Fuel2ShrbyTech!S24/'Inputs 7&amp;8 SU'!$Y36))</f>
        <v>1</v>
      </c>
      <c r="U23" s="1191">
        <f t="shared" si="13"/>
        <v>2021</v>
      </c>
      <c r="V23" s="1251">
        <f t="shared" si="14"/>
        <v>6.4888939494054592</v>
      </c>
      <c r="W23" s="1252">
        <f t="shared" si="15"/>
        <v>0</v>
      </c>
      <c r="X23" s="1252">
        <f t="shared" si="16"/>
        <v>0</v>
      </c>
      <c r="Y23" s="1252">
        <f t="shared" si="17"/>
        <v>0</v>
      </c>
      <c r="Z23" s="1252">
        <f t="shared" si="18"/>
        <v>0</v>
      </c>
      <c r="AA23" s="1253">
        <f t="shared" si="19"/>
        <v>0</v>
      </c>
      <c r="AB23" s="1251">
        <f t="shared" si="20"/>
        <v>6.610100853808035</v>
      </c>
      <c r="AC23" s="1252">
        <f t="shared" si="21"/>
        <v>6.7450424840493035</v>
      </c>
      <c r="AD23" s="1252">
        <f t="shared" si="22"/>
        <v>6.7496952407848143</v>
      </c>
      <c r="AE23" s="1252">
        <f t="shared" si="23"/>
        <v>0</v>
      </c>
      <c r="AF23" s="1252">
        <f t="shared" si="24"/>
        <v>0</v>
      </c>
      <c r="AG23" s="1253">
        <f t="shared" si="25"/>
        <v>0</v>
      </c>
      <c r="AH23" s="1251">
        <f t="shared" si="26"/>
        <v>7.1066946066856191</v>
      </c>
      <c r="AI23" s="1252">
        <f t="shared" si="27"/>
        <v>0</v>
      </c>
      <c r="AJ23" s="1252">
        <f t="shared" si="28"/>
        <v>0</v>
      </c>
      <c r="AK23" s="1252">
        <f t="shared" si="29"/>
        <v>0</v>
      </c>
      <c r="AL23" s="1252">
        <f t="shared" si="30"/>
        <v>0</v>
      </c>
      <c r="AM23" s="1253">
        <f t="shared" si="31"/>
        <v>0</v>
      </c>
      <c r="AN23" s="1176">
        <v>2021</v>
      </c>
      <c r="AO23" s="1322">
        <f t="array" ref="AO23">1/SUMPRODUCT(IFERROR(1/V23:AA23,0),'Mkt Pen Veh-Mi'!B23:G23)</f>
        <v>6.4888939494054592</v>
      </c>
      <c r="AP23" s="1323">
        <f t="array" ref="AP23">1/SUMPRODUCT(IFERROR(1/AB23:AG23,0),'Mkt Pen Veh-Mi'!H23:M23)</f>
        <v>6.6148304297140808</v>
      </c>
      <c r="AQ23" s="1327">
        <f t="array" ref="AQ23">1/SUMPRODUCT(IFERROR(1/AH23:AM23,0),'Mkt Pen Veh-Mi'!N23:S23)</f>
        <v>7.1066946066856191</v>
      </c>
      <c r="AR23" s="1320">
        <v>2021</v>
      </c>
      <c r="AS23" s="1322">
        <f t="shared" si="32"/>
        <v>1</v>
      </c>
      <c r="AT23" s="1323">
        <f t="shared" si="33"/>
        <v>1.0007155073743423</v>
      </c>
      <c r="AU23" s="1323">
        <f t="shared" si="34"/>
        <v>1</v>
      </c>
      <c r="AV23" s="1327">
        <v>1.0014357770328348</v>
      </c>
    </row>
    <row r="24" spans="1:48" s="1176" customFormat="1" ht="15" x14ac:dyDescent="0.2">
      <c r="A24" s="1191">
        <v>2022</v>
      </c>
      <c r="B24" s="1245">
        <f>IF('Mkt Pen Veh-Mi'!B24=0,1,1/((1-Fuel2ShrbyTech!B25)/'Inputs 7&amp;8 Sleep'!$N37+Fuel2ShrbyTech!B25/'Inputs 7&amp;8 Sleep'!$T37))</f>
        <v>6.618661358461285</v>
      </c>
      <c r="C24" s="1246">
        <f>IF('Mkt Pen Veh-Mi'!C24=0,1,1/((1-Fuel2ShrbyTech!C25)/'Inputs 7&amp;8 Sleep'!$O37+Fuel2ShrbyTech!C25/'Inputs 7&amp;8 Sleep'!$U37))</f>
        <v>6.6684443795976591</v>
      </c>
      <c r="D24" s="1246">
        <f>IF('Mkt Pen Veh-Mi'!D24=0,1,1/((1-Fuel2ShrbyTech!D25)/'Inputs 7&amp;8 Sleep'!$P37+Fuel2ShrbyTech!D25/'Inputs 7&amp;8 Sleep'!$V37))</f>
        <v>7.1163350034027939</v>
      </c>
      <c r="E24" s="1246">
        <f>IF('Mkt Pen Veh-Mi'!E24=0,1,1/((1-Fuel2ShrbyTech!E25)/'Inputs 7&amp;8 Sleep'!$Q37+Fuel2ShrbyTech!E25/'Inputs 7&amp;8 Sleep'!$W37))</f>
        <v>1</v>
      </c>
      <c r="F24" s="1246">
        <f>IF('Mkt Pen Veh-Mi'!F24=0,1,1/((1-Fuel2ShrbyTech!F25)/'Inputs 7&amp;8 Sleep'!$R37+Fuel2ShrbyTech!F25/'Inputs 7&amp;8 Sleep'!$X37))</f>
        <v>1</v>
      </c>
      <c r="G24" s="1247">
        <f>IF('Mkt Pen Veh-Mi'!G24=0,1,1/((1-Fuel2ShrbyTech!G25)/'Inputs 7&amp;8 Sleep'!$S37+Fuel2ShrbyTech!G25/'Inputs 7&amp;8 Sleep'!$Y37))</f>
        <v>1</v>
      </c>
      <c r="H24" s="1245">
        <f>IF('Mkt Pen Veh-Mi'!H24=0,1,1/((1-Fuel2ShrbyTech!H25)/'Inputs 7&amp;8 Day'!$N37+Fuel2ShrbyTech!H25/'Inputs 7&amp;8 Day'!$T37))</f>
        <v>6.7005254493390005</v>
      </c>
      <c r="I24" s="1246">
        <f>IF('Mkt Pen Veh-Mi'!I24=0,1,1/((1-Fuel2ShrbyTech!I25)/'Inputs 7&amp;8 Day'!$O37+Fuel2ShrbyTech!I25/'Inputs 7&amp;8 Day'!$U37))</f>
        <v>6.9690689215323394</v>
      </c>
      <c r="J24" s="1246">
        <f>IF('Mkt Pen Veh-Mi'!J24=0,1,1/((1-Fuel2ShrbyTech!J25)/'Inputs 7&amp;8 Day'!$P37+Fuel2ShrbyTech!J25/'Inputs 7&amp;8 Day'!$V37))</f>
        <v>6.978762914555956</v>
      </c>
      <c r="K24" s="1246">
        <f>IF('Mkt Pen Veh-Mi'!K24=0,1,1/((1-Fuel2ShrbyTech!K25)/'Inputs 7&amp;8 Day'!$Q37+Fuel2ShrbyTech!K25/'Inputs 7&amp;8 Day'!$W37))</f>
        <v>1</v>
      </c>
      <c r="L24" s="1246">
        <f>IF('Mkt Pen Veh-Mi'!L24=0,1,1/((1-Fuel2ShrbyTech!L25)/'Inputs 7&amp;8 Day'!$R37+Fuel2ShrbyTech!L25/'Inputs 7&amp;8 Day'!$X37))</f>
        <v>1</v>
      </c>
      <c r="M24" s="1247">
        <f>IF('Mkt Pen Veh-Mi'!M24=0,1,1/((1-Fuel2ShrbyTech!M25)/'Inputs 7&amp;8 Day'!$S37+Fuel2ShrbyTech!M25/'Inputs 7&amp;8 Day'!$Y37))</f>
        <v>1</v>
      </c>
      <c r="N24" s="1245">
        <f>IF('Mkt Pen Veh-Mi'!N24=0,1,1/((1-Fuel2ShrbyTech!N25)/'Inputs 7&amp;8 SU'!$N37+Fuel2ShrbyTech!N25/'Inputs 7&amp;8 SU'!$T37))</f>
        <v>7.2549468572317179</v>
      </c>
      <c r="O24" s="1246">
        <f>IF('Mkt Pen Veh-Mi'!O24=0,1,1/((1-Fuel2ShrbyTech!O25)/'Inputs 7&amp;8 SU'!$O37+Fuel2ShrbyTech!O25/'Inputs 7&amp;8 SU'!$U37))</f>
        <v>7.5470263474657697</v>
      </c>
      <c r="P24" s="1246">
        <f>IF('Mkt Pen Veh-Mi'!P24=0,1,1/((1-Fuel2ShrbyTech!P25)/'Inputs 7&amp;8 SU'!$P37+Fuel2ShrbyTech!P25/'Inputs 7&amp;8 SU'!$V37))</f>
        <v>7.9604767491506099</v>
      </c>
      <c r="Q24" s="1246">
        <f>IF('Mkt Pen Veh-Mi'!Q24=0,1,1/((1-Fuel2ShrbyTech!Q25)/'Inputs 7&amp;8 SU'!$Q37+Fuel2ShrbyTech!Q25/'Inputs 7&amp;8 SU'!$W37))</f>
        <v>8.5867009582406837</v>
      </c>
      <c r="R24" s="1246">
        <f>IF('Mkt Pen Veh-Mi'!R24=0,1,1/((1-Fuel2ShrbyTech!R25)/'Inputs 7&amp;8 SU'!$R37+Fuel2ShrbyTech!R25/'Inputs 7&amp;8 SU'!$X37))</f>
        <v>1</v>
      </c>
      <c r="S24" s="1247">
        <f>IF('Mkt Pen Veh-Mi'!S24=0,1,1/((1-Fuel2ShrbyTech!S25)/'Inputs 7&amp;8 SU'!$S37+Fuel2ShrbyTech!S25/'Inputs 7&amp;8 SU'!$Y37))</f>
        <v>1</v>
      </c>
      <c r="U24" s="1191">
        <f t="shared" si="13"/>
        <v>2022</v>
      </c>
      <c r="V24" s="1245">
        <f t="shared" si="14"/>
        <v>6.618661358461285</v>
      </c>
      <c r="W24" s="1246">
        <f t="shared" si="15"/>
        <v>6.6684443795976591</v>
      </c>
      <c r="X24" s="1246">
        <f t="shared" si="16"/>
        <v>7.1163350034027939</v>
      </c>
      <c r="Y24" s="1246">
        <f t="shared" si="17"/>
        <v>0</v>
      </c>
      <c r="Z24" s="1246">
        <f t="shared" si="18"/>
        <v>0</v>
      </c>
      <c r="AA24" s="1247">
        <f t="shared" si="19"/>
        <v>0</v>
      </c>
      <c r="AB24" s="1245">
        <f t="shared" si="20"/>
        <v>6.7005254493390005</v>
      </c>
      <c r="AC24" s="1246">
        <f t="shared" si="21"/>
        <v>6.9690689215323394</v>
      </c>
      <c r="AD24" s="1246">
        <f t="shared" si="22"/>
        <v>6.978762914555956</v>
      </c>
      <c r="AE24" s="1246">
        <f t="shared" si="23"/>
        <v>0</v>
      </c>
      <c r="AF24" s="1246">
        <f t="shared" si="24"/>
        <v>0</v>
      </c>
      <c r="AG24" s="1247">
        <f t="shared" si="25"/>
        <v>0</v>
      </c>
      <c r="AH24" s="1245">
        <f t="shared" si="26"/>
        <v>7.2549468572317179</v>
      </c>
      <c r="AI24" s="1246">
        <f t="shared" si="27"/>
        <v>7.5470263474657697</v>
      </c>
      <c r="AJ24" s="1246">
        <f t="shared" si="28"/>
        <v>7.9604767491506099</v>
      </c>
      <c r="AK24" s="1246">
        <f t="shared" si="29"/>
        <v>8.5867009582406837</v>
      </c>
      <c r="AL24" s="1246">
        <f t="shared" si="30"/>
        <v>0</v>
      </c>
      <c r="AM24" s="1247">
        <f t="shared" si="31"/>
        <v>0</v>
      </c>
      <c r="AN24" s="1176">
        <v>2022</v>
      </c>
      <c r="AO24" s="1322">
        <f t="array" ref="AO24">1/SUMPRODUCT(IFERROR(1/V24:AA24,0),'Mkt Pen Veh-Mi'!B24:G24)</f>
        <v>6.6236503212522466</v>
      </c>
      <c r="AP24" s="1323">
        <f t="array" ref="AP24">1/SUMPRODUCT(IFERROR(1/AB24:AG24,0),'Mkt Pen Veh-Mi'!H24:M24)</f>
        <v>6.7232936644481311</v>
      </c>
      <c r="AQ24" s="1327">
        <f t="array" ref="AQ24">1/SUMPRODUCT(IFERROR(1/AH24:AM24,0),'Mkt Pen Veh-Mi'!N24:S24)</f>
        <v>7.2705715316883719</v>
      </c>
      <c r="AR24" s="1320">
        <v>2022</v>
      </c>
      <c r="AS24" s="1322">
        <f t="shared" si="32"/>
        <v>1.000753772178506</v>
      </c>
      <c r="AT24" s="1323">
        <f t="shared" si="33"/>
        <v>1.0033979745739756</v>
      </c>
      <c r="AU24" s="1323">
        <f t="shared" si="34"/>
        <v>1.0021536580162651</v>
      </c>
      <c r="AV24" s="1327">
        <v>1.0062505931411208</v>
      </c>
    </row>
    <row r="25" spans="1:48" s="1176" customFormat="1" ht="15" x14ac:dyDescent="0.2">
      <c r="A25" s="1191">
        <v>2023</v>
      </c>
      <c r="B25" s="1245">
        <f>IF('Mkt Pen Veh-Mi'!B25=0,1,1/((1-Fuel2ShrbyTech!B26)/'Inputs 7&amp;8 Sleep'!$N38+Fuel2ShrbyTech!B26/'Inputs 7&amp;8 Sleep'!$T38))</f>
        <v>6.7394727631646916</v>
      </c>
      <c r="C25" s="1246">
        <f>IF('Mkt Pen Veh-Mi'!C25=0,1,1/((1-Fuel2ShrbyTech!C26)/'Inputs 7&amp;8 Sleep'!$O38+Fuel2ShrbyTech!C26/'Inputs 7&amp;8 Sleep'!$U38))</f>
        <v>6.8191902701014895</v>
      </c>
      <c r="D25" s="1246">
        <f>IF('Mkt Pen Veh-Mi'!D25=0,1,1/((1-Fuel2ShrbyTech!D26)/'Inputs 7&amp;8 Sleep'!$P38+Fuel2ShrbyTech!D26/'Inputs 7&amp;8 Sleep'!$V38))</f>
        <v>7.2869078625014438</v>
      </c>
      <c r="E25" s="1246">
        <f>IF('Mkt Pen Veh-Mi'!E25=0,1,1/((1-Fuel2ShrbyTech!E26)/'Inputs 7&amp;8 Sleep'!$Q38+Fuel2ShrbyTech!E26/'Inputs 7&amp;8 Sleep'!$W38))</f>
        <v>1</v>
      </c>
      <c r="F25" s="1246">
        <f>IF('Mkt Pen Veh-Mi'!F25=0,1,1/((1-Fuel2ShrbyTech!F26)/'Inputs 7&amp;8 Sleep'!$R38+Fuel2ShrbyTech!F26/'Inputs 7&amp;8 Sleep'!$X38))</f>
        <v>1</v>
      </c>
      <c r="G25" s="1247">
        <f>IF('Mkt Pen Veh-Mi'!G25=0,1,1/((1-Fuel2ShrbyTech!G26)/'Inputs 7&amp;8 Sleep'!$S38+Fuel2ShrbyTech!G26/'Inputs 7&amp;8 Sleep'!$Y38))</f>
        <v>1</v>
      </c>
      <c r="H25" s="1245">
        <f>IF('Mkt Pen Veh-Mi'!H25=0,1,1/((1-Fuel2ShrbyTech!H26)/'Inputs 7&amp;8 Day'!$N38+Fuel2ShrbyTech!H26/'Inputs 7&amp;8 Day'!$T38))</f>
        <v>6.7836459413167711</v>
      </c>
      <c r="I25" s="1246">
        <f>IF('Mkt Pen Veh-Mi'!I25=0,1,1/((1-Fuel2ShrbyTech!I26)/'Inputs 7&amp;8 Day'!$O38+Fuel2ShrbyTech!I26/'Inputs 7&amp;8 Day'!$U38))</f>
        <v>7.1840928879382586</v>
      </c>
      <c r="J25" s="1246">
        <f>IF('Mkt Pen Veh-Mi'!J25=0,1,1/((1-Fuel2ShrbyTech!J26)/'Inputs 7&amp;8 Day'!$P38+Fuel2ShrbyTech!J26/'Inputs 7&amp;8 Day'!$V38))</f>
        <v>7.1987644467737528</v>
      </c>
      <c r="K25" s="1246">
        <f>IF('Mkt Pen Veh-Mi'!K25=0,1,1/((1-Fuel2ShrbyTech!K26)/'Inputs 7&amp;8 Day'!$Q38+Fuel2ShrbyTech!K26/'Inputs 7&amp;8 Day'!$W38))</f>
        <v>1</v>
      </c>
      <c r="L25" s="1246">
        <f>IF('Mkt Pen Veh-Mi'!L25=0,1,1/((1-Fuel2ShrbyTech!L26)/'Inputs 7&amp;8 Day'!$R38+Fuel2ShrbyTech!L26/'Inputs 7&amp;8 Day'!$X38))</f>
        <v>1</v>
      </c>
      <c r="M25" s="1247">
        <f>IF('Mkt Pen Veh-Mi'!M25=0,1,1/((1-Fuel2ShrbyTech!M26)/'Inputs 7&amp;8 Day'!$S38+Fuel2ShrbyTech!M26/'Inputs 7&amp;8 Day'!$Y38))</f>
        <v>1</v>
      </c>
      <c r="N25" s="1245">
        <f>IF('Mkt Pen Veh-Mi'!N25=0,1,1/((1-Fuel2ShrbyTech!N26)/'Inputs 7&amp;8 SU'!$N38+Fuel2ShrbyTech!N26/'Inputs 7&amp;8 SU'!$T38))</f>
        <v>7.3952245468405877</v>
      </c>
      <c r="O25" s="1246">
        <f>IF('Mkt Pen Veh-Mi'!O25=0,1,1/((1-Fuel2ShrbyTech!O26)/'Inputs 7&amp;8 SU'!$O38+Fuel2ShrbyTech!O26/'Inputs 7&amp;8 SU'!$U38))</f>
        <v>7.8365961510935715</v>
      </c>
      <c r="P25" s="1246">
        <f>IF('Mkt Pen Veh-Mi'!P25=0,1,1/((1-Fuel2ShrbyTech!P26)/'Inputs 7&amp;8 SU'!$P38+Fuel2ShrbyTech!P26/'Inputs 7&amp;8 SU'!$V38))</f>
        <v>8.2719688938604357</v>
      </c>
      <c r="Q25" s="1246">
        <f>IF('Mkt Pen Veh-Mi'!Q25=0,1,1/((1-Fuel2ShrbyTech!Q26)/'Inputs 7&amp;8 SU'!$Q38+Fuel2ShrbyTech!Q26/'Inputs 7&amp;8 SU'!$W38))</f>
        <v>8.9144503459649904</v>
      </c>
      <c r="R25" s="1246">
        <f>IF('Mkt Pen Veh-Mi'!R25=0,1,1/((1-Fuel2ShrbyTech!R26)/'Inputs 7&amp;8 SU'!$R38+Fuel2ShrbyTech!R26/'Inputs 7&amp;8 SU'!$X38))</f>
        <v>1</v>
      </c>
      <c r="S25" s="1247">
        <f>IF('Mkt Pen Veh-Mi'!S25=0,1,1/((1-Fuel2ShrbyTech!S26)/'Inputs 7&amp;8 SU'!$S38+Fuel2ShrbyTech!S26/'Inputs 7&amp;8 SU'!$Y38))</f>
        <v>1</v>
      </c>
      <c r="U25" s="1191">
        <f t="shared" si="13"/>
        <v>2023</v>
      </c>
      <c r="V25" s="1245">
        <f t="shared" si="14"/>
        <v>6.7394727631646916</v>
      </c>
      <c r="W25" s="1246">
        <f t="shared" si="15"/>
        <v>6.8191902701014895</v>
      </c>
      <c r="X25" s="1246">
        <f t="shared" si="16"/>
        <v>7.2869078625014438</v>
      </c>
      <c r="Y25" s="1246">
        <f t="shared" si="17"/>
        <v>0</v>
      </c>
      <c r="Z25" s="1246">
        <f t="shared" si="18"/>
        <v>0</v>
      </c>
      <c r="AA25" s="1247">
        <f t="shared" si="19"/>
        <v>0</v>
      </c>
      <c r="AB25" s="1245">
        <f t="shared" si="20"/>
        <v>6.7836459413167711</v>
      </c>
      <c r="AC25" s="1246">
        <f t="shared" si="21"/>
        <v>7.1840928879382586</v>
      </c>
      <c r="AD25" s="1246">
        <f t="shared" si="22"/>
        <v>7.1987644467737528</v>
      </c>
      <c r="AE25" s="1246">
        <f t="shared" si="23"/>
        <v>0</v>
      </c>
      <c r="AF25" s="1246">
        <f t="shared" si="24"/>
        <v>0</v>
      </c>
      <c r="AG25" s="1247">
        <f t="shared" si="25"/>
        <v>0</v>
      </c>
      <c r="AH25" s="1245">
        <f t="shared" si="26"/>
        <v>7.3952245468405877</v>
      </c>
      <c r="AI25" s="1246">
        <f t="shared" si="27"/>
        <v>7.8365961510935715</v>
      </c>
      <c r="AJ25" s="1246">
        <f t="shared" si="28"/>
        <v>8.2719688938604357</v>
      </c>
      <c r="AK25" s="1246">
        <f t="shared" si="29"/>
        <v>8.9144503459649904</v>
      </c>
      <c r="AL25" s="1246">
        <f t="shared" si="30"/>
        <v>0</v>
      </c>
      <c r="AM25" s="1247">
        <f t="shared" si="31"/>
        <v>0</v>
      </c>
      <c r="AN25" s="1176">
        <v>2023</v>
      </c>
      <c r="AO25" s="1322">
        <f t="array" ref="AO25">1/SUMPRODUCT(IFERROR(1/V25:AA25,0),'Mkt Pen Veh-Mi'!B25:G25)</f>
        <v>6.7556979252448688</v>
      </c>
      <c r="AP25" s="1323">
        <f t="array" ref="AP25">1/SUMPRODUCT(IFERROR(1/AB25:AG25,0),'Mkt Pen Veh-Mi'!H25:M25)</f>
        <v>6.8554073587917408</v>
      </c>
      <c r="AQ25" s="1327">
        <f t="array" ref="AQ25">1/SUMPRODUCT(IFERROR(1/AH25:AM25,0),'Mkt Pen Veh-Mi'!N25:S25)</f>
        <v>7.4438687481139461</v>
      </c>
      <c r="AR25" s="1320">
        <v>2023</v>
      </c>
      <c r="AS25" s="1322">
        <f t="shared" si="32"/>
        <v>1.0024074824026084</v>
      </c>
      <c r="AT25" s="1323">
        <f t="shared" si="33"/>
        <v>1.0105785912318768</v>
      </c>
      <c r="AU25" s="1323">
        <f t="shared" si="34"/>
        <v>1.0065777855648941</v>
      </c>
      <c r="AV25" s="1327">
        <v>1.0208046069018777</v>
      </c>
    </row>
    <row r="26" spans="1:48" s="1176" customFormat="1" ht="15" x14ac:dyDescent="0.2">
      <c r="A26" s="1191">
        <v>2024</v>
      </c>
      <c r="B26" s="1245">
        <f>IF('Mkt Pen Veh-Mi'!B26=0,1,1/((1-Fuel2ShrbyTech!B27)/'Inputs 7&amp;8 Sleep'!$N39+Fuel2ShrbyTech!B27/'Inputs 7&amp;8 Sleep'!$T39))</f>
        <v>6.8995357521942369</v>
      </c>
      <c r="C26" s="1246">
        <f>IF('Mkt Pen Veh-Mi'!C26=0,1,1/((1-Fuel2ShrbyTech!C27)/'Inputs 7&amp;8 Sleep'!$O39+Fuel2ShrbyTech!C27/'Inputs 7&amp;8 Sleep'!$U39))</f>
        <v>7.025378546928116</v>
      </c>
      <c r="D26" s="1246">
        <f>IF('Mkt Pen Veh-Mi'!D26=0,1,1/((1-Fuel2ShrbyTech!D27)/'Inputs 7&amp;8 Sleep'!$P39+Fuel2ShrbyTech!D27/'Inputs 7&amp;8 Sleep'!$V39))</f>
        <v>7.5202152102068736</v>
      </c>
      <c r="E26" s="1246">
        <f>IF('Mkt Pen Veh-Mi'!E26=0,1,1/((1-Fuel2ShrbyTech!E27)/'Inputs 7&amp;8 Sleep'!$Q39+Fuel2ShrbyTech!E27/'Inputs 7&amp;8 Sleep'!$W39))</f>
        <v>1</v>
      </c>
      <c r="F26" s="1246">
        <f>IF('Mkt Pen Veh-Mi'!F26=0,1,1/((1-Fuel2ShrbyTech!F27)/'Inputs 7&amp;8 Sleep'!$R39+Fuel2ShrbyTech!F27/'Inputs 7&amp;8 Sleep'!$X39))</f>
        <v>1</v>
      </c>
      <c r="G26" s="1247">
        <f>IF('Mkt Pen Veh-Mi'!G26=0,1,1/((1-Fuel2ShrbyTech!G27)/'Inputs 7&amp;8 Sleep'!$S39+Fuel2ShrbyTech!G27/'Inputs 7&amp;8 Sleep'!$Y39))</f>
        <v>1</v>
      </c>
      <c r="H26" s="1245">
        <f>IF('Mkt Pen Veh-Mi'!H26=0,1,1/((1-Fuel2ShrbyTech!H27)/'Inputs 7&amp;8 Day'!$N39+Fuel2ShrbyTech!H27/'Inputs 7&amp;8 Day'!$T39))</f>
        <v>6.8935028575399588</v>
      </c>
      <c r="I26" s="1246">
        <f>IF('Mkt Pen Veh-Mi'!I26=0,1,1/((1-Fuel2ShrbyTech!I27)/'Inputs 7&amp;8 Day'!$O39+Fuel2ShrbyTech!I27/'Inputs 7&amp;8 Day'!$U39))</f>
        <v>7.4264535186122629</v>
      </c>
      <c r="J26" s="1246">
        <f>IF('Mkt Pen Veh-Mi'!J26=0,1,1/((1-Fuel2ShrbyTech!J27)/'Inputs 7&amp;8 Day'!$P39+Fuel2ShrbyTech!J27/'Inputs 7&amp;8 Day'!$V39))</f>
        <v>7.4461235189702206</v>
      </c>
      <c r="K26" s="1246">
        <f>IF('Mkt Pen Veh-Mi'!K26=0,1,1/((1-Fuel2ShrbyTech!K27)/'Inputs 7&amp;8 Day'!$Q39+Fuel2ShrbyTech!K27/'Inputs 7&amp;8 Day'!$W39))</f>
        <v>1</v>
      </c>
      <c r="L26" s="1246">
        <f>IF('Mkt Pen Veh-Mi'!L26=0,1,1/((1-Fuel2ShrbyTech!L27)/'Inputs 7&amp;8 Day'!$R39+Fuel2ShrbyTech!L27/'Inputs 7&amp;8 Day'!$X39))</f>
        <v>1</v>
      </c>
      <c r="M26" s="1247">
        <f>IF('Mkt Pen Veh-Mi'!M26=0,1,1/((1-Fuel2ShrbyTech!M27)/'Inputs 7&amp;8 Day'!$S39+Fuel2ShrbyTech!M27/'Inputs 7&amp;8 Day'!$Y39))</f>
        <v>1</v>
      </c>
      <c r="N26" s="1245">
        <f>IF('Mkt Pen Veh-Mi'!N26=0,1,1/((1-Fuel2ShrbyTech!N27)/'Inputs 7&amp;8 SU'!$N39+Fuel2ShrbyTech!N27/'Inputs 7&amp;8 SU'!$T39))</f>
        <v>7.5444330920738185</v>
      </c>
      <c r="O26" s="1246">
        <f>IF('Mkt Pen Veh-Mi'!O26=0,1,1/((1-Fuel2ShrbyTech!O27)/'Inputs 7&amp;8 SU'!$O39+Fuel2ShrbyTech!O27/'Inputs 7&amp;8 SU'!$U39))</f>
        <v>8.1378673626194438</v>
      </c>
      <c r="P26" s="1246">
        <f>IF('Mkt Pen Veh-Mi'!P26=0,1,1/((1-Fuel2ShrbyTech!P27)/'Inputs 7&amp;8 SU'!$P39+Fuel2ShrbyTech!P27/'Inputs 7&amp;8 SU'!$V39))</f>
        <v>8.5959051807146825</v>
      </c>
      <c r="Q26" s="1246">
        <f>IF('Mkt Pen Veh-Mi'!Q26=0,1,1/((1-Fuel2ShrbyTech!Q27)/'Inputs 7&amp;8 SU'!$Q39+Fuel2ShrbyTech!Q27/'Inputs 7&amp;8 SU'!$W39))</f>
        <v>9.2554843966218385</v>
      </c>
      <c r="R26" s="1246">
        <f>IF('Mkt Pen Veh-Mi'!R26=0,1,1/((1-Fuel2ShrbyTech!R27)/'Inputs 7&amp;8 SU'!$R39+Fuel2ShrbyTech!R27/'Inputs 7&amp;8 SU'!$X39))</f>
        <v>1</v>
      </c>
      <c r="S26" s="1247">
        <f>IF('Mkt Pen Veh-Mi'!S26=0,1,1/((1-Fuel2ShrbyTech!S27)/'Inputs 7&amp;8 SU'!$S39+Fuel2ShrbyTech!S27/'Inputs 7&amp;8 SU'!$Y39))</f>
        <v>1</v>
      </c>
      <c r="U26" s="1191">
        <f t="shared" si="13"/>
        <v>2024</v>
      </c>
      <c r="V26" s="1245">
        <f t="shared" si="14"/>
        <v>6.8995357521942369</v>
      </c>
      <c r="W26" s="1246">
        <f t="shared" si="15"/>
        <v>7.025378546928116</v>
      </c>
      <c r="X26" s="1246">
        <f t="shared" si="16"/>
        <v>7.5202152102068736</v>
      </c>
      <c r="Y26" s="1246">
        <f t="shared" si="17"/>
        <v>0</v>
      </c>
      <c r="Z26" s="1246">
        <f t="shared" si="18"/>
        <v>0</v>
      </c>
      <c r="AA26" s="1247">
        <f t="shared" si="19"/>
        <v>0</v>
      </c>
      <c r="AB26" s="1245">
        <f t="shared" si="20"/>
        <v>6.8935028575399588</v>
      </c>
      <c r="AC26" s="1246">
        <f t="shared" si="21"/>
        <v>7.4264535186122629</v>
      </c>
      <c r="AD26" s="1246">
        <f t="shared" si="22"/>
        <v>7.4461235189702206</v>
      </c>
      <c r="AE26" s="1246">
        <f t="shared" si="23"/>
        <v>0</v>
      </c>
      <c r="AF26" s="1246">
        <f t="shared" si="24"/>
        <v>0</v>
      </c>
      <c r="AG26" s="1247">
        <f t="shared" si="25"/>
        <v>0</v>
      </c>
      <c r="AH26" s="1245">
        <f t="shared" si="26"/>
        <v>7.5444330920738185</v>
      </c>
      <c r="AI26" s="1246">
        <f t="shared" si="27"/>
        <v>8.1378673626194438</v>
      </c>
      <c r="AJ26" s="1246">
        <f t="shared" si="28"/>
        <v>8.5959051807146825</v>
      </c>
      <c r="AK26" s="1246">
        <f t="shared" si="29"/>
        <v>9.2554843966218385</v>
      </c>
      <c r="AL26" s="1246">
        <f t="shared" si="30"/>
        <v>0</v>
      </c>
      <c r="AM26" s="1247">
        <f t="shared" si="31"/>
        <v>0</v>
      </c>
      <c r="AN26" s="1176">
        <v>2024</v>
      </c>
      <c r="AO26" s="1322">
        <f t="array" ref="AO26">1/SUMPRODUCT(IFERROR(1/V26:AA26,0),'Mkt Pen Veh-Mi'!B26:G26)</f>
        <v>6.9490515280744933</v>
      </c>
      <c r="AP26" s="1323">
        <f t="array" ref="AP26">1/SUMPRODUCT(IFERROR(1/AB26:AG26,0),'Mkt Pen Veh-Mi'!H26:M26)</f>
        <v>7.0552527535054184</v>
      </c>
      <c r="AQ26" s="1327">
        <f t="array" ref="AQ26">1/SUMPRODUCT(IFERROR(1/AH26:AM26,0),'Mkt Pen Veh-Mi'!N26:S26)</f>
        <v>7.666925762742042</v>
      </c>
      <c r="AR26" s="1320">
        <v>2024</v>
      </c>
      <c r="AS26" s="1322">
        <f t="shared" si="32"/>
        <v>1.0071766822665582</v>
      </c>
      <c r="AT26" s="1323">
        <f t="shared" si="33"/>
        <v>1.0234641080606126</v>
      </c>
      <c r="AU26" s="1323">
        <f t="shared" si="34"/>
        <v>1.0162361663458734</v>
      </c>
      <c r="AV26" s="1327">
        <v>1.0542395624100738</v>
      </c>
    </row>
    <row r="27" spans="1:48" s="1176" customFormat="1" ht="15" x14ac:dyDescent="0.2">
      <c r="A27" s="1197">
        <v>2025</v>
      </c>
      <c r="B27" s="1248">
        <f>IF('Mkt Pen Veh-Mi'!B27=0,1,1/((1-Fuel2ShrbyTech!B28)/'Inputs 7&amp;8 Sleep'!$N40+Fuel2ShrbyTech!B28/'Inputs 7&amp;8 Sleep'!$T40))</f>
        <v>7.0826454244148485</v>
      </c>
      <c r="C27" s="1249">
        <f>IF('Mkt Pen Veh-Mi'!C27=0,1,1/((1-Fuel2ShrbyTech!C28)/'Inputs 7&amp;8 Sleep'!$O40+Fuel2ShrbyTech!C28/'Inputs 7&amp;8 Sleep'!$U40))</f>
        <v>7.2315668237547417</v>
      </c>
      <c r="D27" s="1249">
        <f>IF('Mkt Pen Veh-Mi'!D27=0,1,1/((1-Fuel2ShrbyTech!D28)/'Inputs 7&amp;8 Sleep'!$P40+Fuel2ShrbyTech!D28/'Inputs 7&amp;8 Sleep'!$V40))</f>
        <v>7.7535225579123006</v>
      </c>
      <c r="E27" s="1249">
        <f>IF('Mkt Pen Veh-Mi'!E27=0,1,1/((1-Fuel2ShrbyTech!E28)/'Inputs 7&amp;8 Sleep'!$Q40+Fuel2ShrbyTech!E28/'Inputs 7&amp;8 Sleep'!$W40))</f>
        <v>1</v>
      </c>
      <c r="F27" s="1249">
        <f>IF('Mkt Pen Veh-Mi'!F27=0,1,1/((1-Fuel2ShrbyTech!F28)/'Inputs 7&amp;8 Sleep'!$R40+Fuel2ShrbyTech!F28/'Inputs 7&amp;8 Sleep'!$X40))</f>
        <v>1</v>
      </c>
      <c r="G27" s="1250">
        <f>IF('Mkt Pen Veh-Mi'!G27=0,1,1/((1-Fuel2ShrbyTech!G28)/'Inputs 7&amp;8 Sleep'!$S40+Fuel2ShrbyTech!G28/'Inputs 7&amp;8 Sleep'!$Y40))</f>
        <v>1</v>
      </c>
      <c r="H27" s="1248">
        <f>IF('Mkt Pen Veh-Mi'!H27=0,1,1/((1-Fuel2ShrbyTech!H28)/'Inputs 7&amp;8 Day'!$N40+Fuel2ShrbyTech!H28/'Inputs 7&amp;8 Day'!$T40))</f>
        <v>7.0085428042454856</v>
      </c>
      <c r="I27" s="1249">
        <f>IF('Mkt Pen Veh-Mi'!I27=0,1,1/((1-Fuel2ShrbyTech!I28)/'Inputs 7&amp;8 Day'!$O40+Fuel2ShrbyTech!I28/'Inputs 7&amp;8 Day'!$U40))</f>
        <v>7.6740426808692392</v>
      </c>
      <c r="J27" s="1249">
        <f>IF('Mkt Pen Veh-Mi'!J27=0,1,1/((1-Fuel2ShrbyTech!J28)/'Inputs 7&amp;8 Day'!$P40+Fuel2ShrbyTech!J28/'Inputs 7&amp;8 Day'!$V40))</f>
        <v>7.6987124926565631</v>
      </c>
      <c r="K27" s="1249">
        <f>IF('Mkt Pen Veh-Mi'!K27=0,1,1/((1-Fuel2ShrbyTech!K28)/'Inputs 7&amp;8 Day'!$Q40+Fuel2ShrbyTech!K28/'Inputs 7&amp;8 Day'!$W40))</f>
        <v>1</v>
      </c>
      <c r="L27" s="1249">
        <f>IF('Mkt Pen Veh-Mi'!L27=0,1,1/((1-Fuel2ShrbyTech!L28)/'Inputs 7&amp;8 Day'!$R40+Fuel2ShrbyTech!L28/'Inputs 7&amp;8 Day'!$X40))</f>
        <v>1</v>
      </c>
      <c r="M27" s="1250">
        <f>IF('Mkt Pen Veh-Mi'!M27=0,1,1/((1-Fuel2ShrbyTech!M28)/'Inputs 7&amp;8 Day'!$S40+Fuel2ShrbyTech!M28/'Inputs 7&amp;8 Day'!$Y40))</f>
        <v>1</v>
      </c>
      <c r="N27" s="1248">
        <f>IF('Mkt Pen Veh-Mi'!N27=0,1,1/((1-Fuel2ShrbyTech!N28)/'Inputs 7&amp;8 SU'!$N40+Fuel2ShrbyTech!N28/'Inputs 7&amp;8 SU'!$T40))</f>
        <v>7.6904954072333691</v>
      </c>
      <c r="O27" s="1249">
        <f>IF('Mkt Pen Veh-Mi'!O27=0,1,1/((1-Fuel2ShrbyTech!O28)/'Inputs 7&amp;8 SU'!$O40+Fuel2ShrbyTech!O28/'Inputs 7&amp;8 SU'!$U40))</f>
        <v>8.438014936260716</v>
      </c>
      <c r="P27" s="1249">
        <f>IF('Mkt Pen Veh-Mi'!P27=0,1,1/((1-Fuel2ShrbyTech!P28)/'Inputs 7&amp;8 SU'!$P40+Fuel2ShrbyTech!P28/'Inputs 7&amp;8 SU'!$V40))</f>
        <v>8.9187469265359489</v>
      </c>
      <c r="Q27" s="1249">
        <f>IF('Mkt Pen Veh-Mi'!Q27=0,1,1/((1-Fuel2ShrbyTech!Q28)/'Inputs 7&amp;8 SU'!$Q40+Fuel2ShrbyTech!Q28/'Inputs 7&amp;8 SU'!$W40))</f>
        <v>9.5952144109461681</v>
      </c>
      <c r="R27" s="1249">
        <f>IF('Mkt Pen Veh-Mi'!R27=0,1,1/((1-Fuel2ShrbyTech!R28)/'Inputs 7&amp;8 SU'!$R40+Fuel2ShrbyTech!R28/'Inputs 7&amp;8 SU'!$X40))</f>
        <v>1</v>
      </c>
      <c r="S27" s="1250">
        <f>IF('Mkt Pen Veh-Mi'!S27=0,1,1/((1-Fuel2ShrbyTech!S28)/'Inputs 7&amp;8 SU'!$S40+Fuel2ShrbyTech!S28/'Inputs 7&amp;8 SU'!$Y40))</f>
        <v>1</v>
      </c>
      <c r="U27" s="1197">
        <f t="shared" si="13"/>
        <v>2025</v>
      </c>
      <c r="V27" s="1248">
        <f t="shared" si="14"/>
        <v>7.0826454244148485</v>
      </c>
      <c r="W27" s="1249">
        <f t="shared" si="15"/>
        <v>7.2315668237547417</v>
      </c>
      <c r="X27" s="1249">
        <f t="shared" si="16"/>
        <v>7.7535225579123006</v>
      </c>
      <c r="Y27" s="1249">
        <f t="shared" si="17"/>
        <v>0</v>
      </c>
      <c r="Z27" s="1249">
        <f t="shared" si="18"/>
        <v>0</v>
      </c>
      <c r="AA27" s="1250">
        <f t="shared" si="19"/>
        <v>0</v>
      </c>
      <c r="AB27" s="1248">
        <f t="shared" si="20"/>
        <v>7.0085428042454856</v>
      </c>
      <c r="AC27" s="1249">
        <f t="shared" si="21"/>
        <v>7.6740426808692392</v>
      </c>
      <c r="AD27" s="1249">
        <f t="shared" si="22"/>
        <v>7.6987124926565631</v>
      </c>
      <c r="AE27" s="1249">
        <f t="shared" si="23"/>
        <v>0</v>
      </c>
      <c r="AF27" s="1249">
        <f t="shared" si="24"/>
        <v>0</v>
      </c>
      <c r="AG27" s="1250">
        <f t="shared" si="25"/>
        <v>0</v>
      </c>
      <c r="AH27" s="1248">
        <f t="shared" si="26"/>
        <v>7.6904954072333691</v>
      </c>
      <c r="AI27" s="1249">
        <f t="shared" si="27"/>
        <v>8.438014936260716</v>
      </c>
      <c r="AJ27" s="1249">
        <f t="shared" si="28"/>
        <v>8.9187469265359489</v>
      </c>
      <c r="AK27" s="1249">
        <f t="shared" si="29"/>
        <v>9.5952144109461681</v>
      </c>
      <c r="AL27" s="1249">
        <f t="shared" si="30"/>
        <v>0</v>
      </c>
      <c r="AM27" s="1250">
        <f t="shared" si="31"/>
        <v>0</v>
      </c>
      <c r="AN27" s="1176">
        <v>2025</v>
      </c>
      <c r="AO27" s="1322">
        <f t="array" ref="AO27">1/SUMPRODUCT(IFERROR(1/V27:AA27,0),'Mkt Pen Veh-Mi'!B27:G27)</f>
        <v>7.1918666026161278</v>
      </c>
      <c r="AP27" s="1323">
        <f t="array" ref="AP27">1/SUMPRODUCT(IFERROR(1/AB27:AG27,0),'Mkt Pen Veh-Mi'!H27:M27)</f>
        <v>7.2917614436750346</v>
      </c>
      <c r="AQ27" s="1327">
        <f t="array" ref="AQ27">1/SUMPRODUCT(IFERROR(1/AH27:AM27,0),'Mkt Pen Veh-Mi'!N27:S27)</f>
        <v>7.9008084613602794</v>
      </c>
      <c r="AR27" s="1320">
        <v>2025</v>
      </c>
      <c r="AS27" s="1322">
        <f t="shared" si="32"/>
        <v>1.0154209580822413</v>
      </c>
      <c r="AT27" s="1323">
        <f t="shared" si="33"/>
        <v>1.0404104886479379</v>
      </c>
      <c r="AU27" s="1323">
        <f t="shared" si="34"/>
        <v>1.0273471399422589</v>
      </c>
      <c r="AV27" s="1327">
        <v>1.0972655221641847</v>
      </c>
    </row>
    <row r="28" spans="1:48" s="1176" customFormat="1" ht="15" x14ac:dyDescent="0.2">
      <c r="A28" s="1191">
        <v>2026</v>
      </c>
      <c r="B28" s="1251">
        <f>IF('Mkt Pen Veh-Mi'!B28=0,1,1/((1-Fuel2ShrbyTech!B29)/'Inputs 7&amp;8 Sleep'!$N41+Fuel2ShrbyTech!B29/'Inputs 7&amp;8 Sleep'!$T41))</f>
        <v>7.294435606504738</v>
      </c>
      <c r="C28" s="1252">
        <f>IF('Mkt Pen Veh-Mi'!C28=0,1,1/((1-Fuel2ShrbyTech!C29)/'Inputs 7&amp;8 Sleep'!$O41+Fuel2ShrbyTech!C29/'Inputs 7&amp;8 Sleep'!$U41))</f>
        <v>7.3823127142585721</v>
      </c>
      <c r="D28" s="1252">
        <f>IF('Mkt Pen Veh-Mi'!D28=0,1,1/((1-Fuel2ShrbyTech!D29)/'Inputs 7&amp;8 Sleep'!$P41+Fuel2ShrbyTech!D29/'Inputs 7&amp;8 Sleep'!$V41))</f>
        <v>7.924095417010955</v>
      </c>
      <c r="E28" s="1252">
        <f>IF('Mkt Pen Veh-Mi'!E28=0,1,1/((1-Fuel2ShrbyTech!E29)/'Inputs 7&amp;8 Sleep'!$Q41+Fuel2ShrbyTech!E29/'Inputs 7&amp;8 Sleep'!$W41))</f>
        <v>1</v>
      </c>
      <c r="F28" s="1252">
        <f>IF('Mkt Pen Veh-Mi'!F28=0,1,1/((1-Fuel2ShrbyTech!F29)/'Inputs 7&amp;8 Sleep'!$R41+Fuel2ShrbyTech!F29/'Inputs 7&amp;8 Sleep'!$X41))</f>
        <v>1</v>
      </c>
      <c r="G28" s="1253">
        <f>IF('Mkt Pen Veh-Mi'!G28=0,1,1/((1-Fuel2ShrbyTech!G29)/'Inputs 7&amp;8 Sleep'!$S41+Fuel2ShrbyTech!G29/'Inputs 7&amp;8 Sleep'!$Y41))</f>
        <v>1</v>
      </c>
      <c r="H28" s="1251">
        <f>IF('Mkt Pen Veh-Mi'!H28=0,1,1/((1-Fuel2ShrbyTech!H29)/'Inputs 7&amp;8 Day'!$N41+Fuel2ShrbyTech!H29/'Inputs 7&amp;8 Day'!$T41))</f>
        <v>7.1518705692126217</v>
      </c>
      <c r="I28" s="1252">
        <f>IF('Mkt Pen Veh-Mi'!I28=0,1,1/((1-Fuel2ShrbyTech!I29)/'Inputs 7&amp;8 Day'!$O41+Fuel2ShrbyTech!I29/'Inputs 7&amp;8 Day'!$U41))</f>
        <v>7.9528406682628203</v>
      </c>
      <c r="J28" s="1252">
        <f>IF('Mkt Pen Veh-Mi'!J28=0,1,1/((1-Fuel2ShrbyTech!J29)/'Inputs 7&amp;8 Day'!$P41+Fuel2ShrbyTech!J29/'Inputs 7&amp;8 Day'!$V41))</f>
        <v>7.9826187386488376</v>
      </c>
      <c r="K28" s="1252">
        <f>IF('Mkt Pen Veh-Mi'!K28=0,1,1/((1-Fuel2ShrbyTech!K29)/'Inputs 7&amp;8 Day'!$Q41+Fuel2ShrbyTech!K29/'Inputs 7&amp;8 Day'!$W41))</f>
        <v>1</v>
      </c>
      <c r="L28" s="1252">
        <f>IF('Mkt Pen Veh-Mi'!L28=0,1,1/((1-Fuel2ShrbyTech!L29)/'Inputs 7&amp;8 Day'!$R41+Fuel2ShrbyTech!L29/'Inputs 7&amp;8 Day'!$X41))</f>
        <v>1</v>
      </c>
      <c r="M28" s="1253">
        <f>IF('Mkt Pen Veh-Mi'!M28=0,1,1/((1-Fuel2ShrbyTech!M29)/'Inputs 7&amp;8 Day'!$S41+Fuel2ShrbyTech!M29/'Inputs 7&amp;8 Day'!$Y41))</f>
        <v>1</v>
      </c>
      <c r="N28" s="1251">
        <f>IF('Mkt Pen Veh-Mi'!N28=0,1,1/((1-Fuel2ShrbyTech!N29)/'Inputs 7&amp;8 SU'!$N41+Fuel2ShrbyTech!N29/'Inputs 7&amp;8 SU'!$T41))</f>
        <v>7.8796174660298446</v>
      </c>
      <c r="O28" s="1252">
        <f>IF('Mkt Pen Veh-Mi'!O28=0,1,1/((1-Fuel2ShrbyTech!O29)/'Inputs 7&amp;8 SU'!$O41+Fuel2ShrbyTech!O29/'Inputs 7&amp;8 SU'!$U41))</f>
        <v>8.7883235625922929</v>
      </c>
      <c r="P28" s="1252">
        <f>IF('Mkt Pen Veh-Mi'!P28=0,1,1/((1-Fuel2ShrbyTech!P29)/'Inputs 7&amp;8 SU'!$P41+Fuel2ShrbyTech!P29/'Inputs 7&amp;8 SU'!$V41))</f>
        <v>9.2947241149660904</v>
      </c>
      <c r="Q28" s="1252">
        <f>IF('Mkt Pen Veh-Mi'!Q28=0,1,1/((1-Fuel2ShrbyTech!Q29)/'Inputs 7&amp;8 SU'!$Q41+Fuel2ShrbyTech!Q29/'Inputs 7&amp;8 SU'!$W41))</f>
        <v>9.9919516873462335</v>
      </c>
      <c r="R28" s="1252">
        <f>IF('Mkt Pen Veh-Mi'!R28=0,1,1/((1-Fuel2ShrbyTech!R29)/'Inputs 7&amp;8 SU'!$R41+Fuel2ShrbyTech!R29/'Inputs 7&amp;8 SU'!$X41))</f>
        <v>10.567937467867896</v>
      </c>
      <c r="S28" s="1253">
        <f>IF('Mkt Pen Veh-Mi'!S28=0,1,1/((1-Fuel2ShrbyTech!S29)/'Inputs 7&amp;8 SU'!$S41+Fuel2ShrbyTech!S29/'Inputs 7&amp;8 SU'!$Y41))</f>
        <v>1</v>
      </c>
      <c r="U28" s="1191">
        <f t="shared" si="13"/>
        <v>2026</v>
      </c>
      <c r="V28" s="1251">
        <f t="shared" si="14"/>
        <v>7.294435606504738</v>
      </c>
      <c r="W28" s="1252">
        <f t="shared" si="15"/>
        <v>7.3823127142585721</v>
      </c>
      <c r="X28" s="1252">
        <f t="shared" si="16"/>
        <v>7.924095417010955</v>
      </c>
      <c r="Y28" s="1252">
        <f t="shared" si="17"/>
        <v>0</v>
      </c>
      <c r="Z28" s="1252">
        <f t="shared" si="18"/>
        <v>0</v>
      </c>
      <c r="AA28" s="1253">
        <f t="shared" si="19"/>
        <v>0</v>
      </c>
      <c r="AB28" s="1251">
        <f t="shared" si="20"/>
        <v>7.1518705692126217</v>
      </c>
      <c r="AC28" s="1252">
        <f t="shared" si="21"/>
        <v>7.9528406682628203</v>
      </c>
      <c r="AD28" s="1252">
        <f t="shared" si="22"/>
        <v>7.9826187386488376</v>
      </c>
      <c r="AE28" s="1252">
        <f t="shared" si="23"/>
        <v>0</v>
      </c>
      <c r="AF28" s="1252">
        <f t="shared" si="24"/>
        <v>0</v>
      </c>
      <c r="AG28" s="1253">
        <f t="shared" si="25"/>
        <v>0</v>
      </c>
      <c r="AH28" s="1251">
        <f t="shared" si="26"/>
        <v>7.8796174660298446</v>
      </c>
      <c r="AI28" s="1252">
        <f t="shared" si="27"/>
        <v>8.7883235625922929</v>
      </c>
      <c r="AJ28" s="1252">
        <f t="shared" si="28"/>
        <v>9.2947241149660904</v>
      </c>
      <c r="AK28" s="1252">
        <f t="shared" si="29"/>
        <v>9.9919516873462335</v>
      </c>
      <c r="AL28" s="1252">
        <f t="shared" si="30"/>
        <v>10.567937467867896</v>
      </c>
      <c r="AM28" s="1253">
        <f t="shared" si="31"/>
        <v>0</v>
      </c>
      <c r="AN28" s="1176">
        <v>2026</v>
      </c>
      <c r="AO28" s="1322">
        <f t="array" ref="AO28">1/SUMPRODUCT(IFERROR(1/V28:AA28,0),'Mkt Pen Veh-Mi'!B28:G28)</f>
        <v>7.4182308267845931</v>
      </c>
      <c r="AP28" s="1323">
        <f t="array" ref="AP28">1/SUMPRODUCT(IFERROR(1/AB28:AG28,0),'Mkt Pen Veh-Mi'!H28:M28)</f>
        <v>7.6017532660426292</v>
      </c>
      <c r="AQ28" s="1327">
        <f t="array" ref="AQ28">1/SUMPRODUCT(IFERROR(1/AH28:AM28,0),'Mkt Pen Veh-Mi'!N28:S28)</f>
        <v>8.2594283794158105</v>
      </c>
      <c r="AR28" s="1320">
        <v>2026</v>
      </c>
      <c r="AS28" s="1322">
        <f t="shared" si="32"/>
        <v>1.0169711855663599</v>
      </c>
      <c r="AT28" s="1323">
        <f t="shared" si="33"/>
        <v>1.06290420002379</v>
      </c>
      <c r="AU28" s="1323">
        <f t="shared" si="34"/>
        <v>1.0482016944380086</v>
      </c>
      <c r="AV28" s="1327">
        <v>1.1088315108256861</v>
      </c>
    </row>
    <row r="29" spans="1:48" s="1176" customFormat="1" ht="15" x14ac:dyDescent="0.2">
      <c r="A29" s="1191">
        <v>2027</v>
      </c>
      <c r="B29" s="1245">
        <f>IF('Mkt Pen Veh-Mi'!B29=0,1,1/((1-Fuel2ShrbyTech!B30)/'Inputs 7&amp;8 Sleep'!$N42+Fuel2ShrbyTech!B30/'Inputs 7&amp;8 Sleep'!$T42))</f>
        <v>7.5037759176853553</v>
      </c>
      <c r="C29" s="1246">
        <f>IF('Mkt Pen Veh-Mi'!C29=0,1,1/((1-Fuel2ShrbyTech!C30)/'Inputs 7&amp;8 Sleep'!$O42+Fuel2ShrbyTech!C30/'Inputs 7&amp;8 Sleep'!$U42))</f>
        <v>7.548541609021707</v>
      </c>
      <c r="D29" s="1246">
        <f>IF('Mkt Pen Veh-Mi'!D29=0,1,1/((1-Fuel2ShrbyTech!D30)/'Inputs 7&amp;8 Sleep'!$P42+Fuel2ShrbyTech!D30/'Inputs 7&amp;8 Sleep'!$V42))</f>
        <v>8.1121876943512508</v>
      </c>
      <c r="E29" s="1246">
        <f>IF('Mkt Pen Veh-Mi'!E29=0,1,1/((1-Fuel2ShrbyTech!E30)/'Inputs 7&amp;8 Sleep'!$Q42+Fuel2ShrbyTech!E30/'Inputs 7&amp;8 Sleep'!$W42))</f>
        <v>1</v>
      </c>
      <c r="F29" s="1246">
        <f>IF('Mkt Pen Veh-Mi'!F29=0,1,1/((1-Fuel2ShrbyTech!F30)/'Inputs 7&amp;8 Sleep'!$R42+Fuel2ShrbyTech!F30/'Inputs 7&amp;8 Sleep'!$X42))</f>
        <v>1</v>
      </c>
      <c r="G29" s="1247">
        <f>IF('Mkt Pen Veh-Mi'!G29=0,1,1/((1-Fuel2ShrbyTech!G30)/'Inputs 7&amp;8 Sleep'!$S42+Fuel2ShrbyTech!G30/'Inputs 7&amp;8 Sleep'!$Y42))</f>
        <v>1</v>
      </c>
      <c r="H29" s="1245">
        <f>IF('Mkt Pen Veh-Mi'!H29=0,1,1/((1-Fuel2ShrbyTech!H30)/'Inputs 7&amp;8 Day'!$N42+Fuel2ShrbyTech!H30/'Inputs 7&amp;8 Day'!$T42))</f>
        <v>7.285737346405269</v>
      </c>
      <c r="I29" s="1246">
        <f>IF('Mkt Pen Veh-Mi'!I29=0,1,1/((1-Fuel2ShrbyTech!I30)/'Inputs 7&amp;8 Day'!$O42+Fuel2ShrbyTech!I30/'Inputs 7&amp;8 Day'!$U42))</f>
        <v>8.2216592425265489</v>
      </c>
      <c r="J29" s="1246">
        <f>IF('Mkt Pen Veh-Mi'!J29=0,1,1/((1-Fuel2ShrbyTech!J30)/'Inputs 7&amp;8 Day'!$P42+Fuel2ShrbyTech!J30/'Inputs 7&amp;8 Day'!$V42))</f>
        <v>8.2565266231786616</v>
      </c>
      <c r="K29" s="1246">
        <f>IF('Mkt Pen Veh-Mi'!K29=0,1,1/((1-Fuel2ShrbyTech!K30)/'Inputs 7&amp;8 Day'!$Q42+Fuel2ShrbyTech!K30/'Inputs 7&amp;8 Day'!$W42))</f>
        <v>1</v>
      </c>
      <c r="L29" s="1246">
        <f>IF('Mkt Pen Veh-Mi'!L29=0,1,1/((1-Fuel2ShrbyTech!L30)/'Inputs 7&amp;8 Day'!$R42+Fuel2ShrbyTech!L30/'Inputs 7&amp;8 Day'!$X42))</f>
        <v>1</v>
      </c>
      <c r="M29" s="1247">
        <f>IF('Mkt Pen Veh-Mi'!M29=0,1,1/((1-Fuel2ShrbyTech!M30)/'Inputs 7&amp;8 Day'!$S42+Fuel2ShrbyTech!M30/'Inputs 7&amp;8 Day'!$Y42))</f>
        <v>1</v>
      </c>
      <c r="N29" s="1245">
        <f>IF('Mkt Pen Veh-Mi'!N29=0,1,1/((1-Fuel2ShrbyTech!N30)/'Inputs 7&amp;8 SU'!$N42+Fuel2ShrbyTech!N30/'Inputs 7&amp;8 SU'!$T42))</f>
        <v>8.0838815874836101</v>
      </c>
      <c r="O29" s="1246">
        <f>IF('Mkt Pen Veh-Mi'!O29=0,1,1/((1-Fuel2ShrbyTech!O30)/'Inputs 7&amp;8 SU'!$O42+Fuel2ShrbyTech!O30/'Inputs 7&amp;8 SU'!$U42))</f>
        <v>9.1593786749555619</v>
      </c>
      <c r="P29" s="1246">
        <f>IF('Mkt Pen Veh-Mi'!P29=0,1,1/((1-Fuel2ShrbyTech!P30)/'Inputs 7&amp;8 SU'!$P42+Fuel2ShrbyTech!P30/'Inputs 7&amp;8 SU'!$V42))</f>
        <v>9.6927950245681878</v>
      </c>
      <c r="Q29" s="1246">
        <f>IF('Mkt Pen Veh-Mi'!Q29=0,1,1/((1-Fuel2ShrbyTech!Q30)/'Inputs 7&amp;8 SU'!$Q42+Fuel2ShrbyTech!Q30/'Inputs 7&amp;8 SU'!$W42))</f>
        <v>10.412233966282747</v>
      </c>
      <c r="R29" s="1246">
        <f>IF('Mkt Pen Veh-Mi'!R29=0,1,1/((1-Fuel2ShrbyTech!R30)/'Inputs 7&amp;8 SU'!$R42+Fuel2ShrbyTech!R30/'Inputs 7&amp;8 SU'!$X42))</f>
        <v>11.191734509578923</v>
      </c>
      <c r="S29" s="1247">
        <f>IF('Mkt Pen Veh-Mi'!S29=0,1,1/((1-Fuel2ShrbyTech!S30)/'Inputs 7&amp;8 SU'!$S42+Fuel2ShrbyTech!S30/'Inputs 7&amp;8 SU'!$Y42))</f>
        <v>1</v>
      </c>
      <c r="U29" s="1191">
        <f t="shared" si="13"/>
        <v>2027</v>
      </c>
      <c r="V29" s="1245">
        <f t="shared" si="14"/>
        <v>7.5037759176853553</v>
      </c>
      <c r="W29" s="1246">
        <f t="shared" si="15"/>
        <v>7.548541609021707</v>
      </c>
      <c r="X29" s="1246">
        <f t="shared" si="16"/>
        <v>8.1121876943512508</v>
      </c>
      <c r="Y29" s="1246">
        <f t="shared" si="17"/>
        <v>0</v>
      </c>
      <c r="Z29" s="1246">
        <f t="shared" si="18"/>
        <v>0</v>
      </c>
      <c r="AA29" s="1247">
        <f t="shared" si="19"/>
        <v>0</v>
      </c>
      <c r="AB29" s="1245">
        <f t="shared" si="20"/>
        <v>7.285737346405269</v>
      </c>
      <c r="AC29" s="1246">
        <f t="shared" si="21"/>
        <v>8.2216592425265489</v>
      </c>
      <c r="AD29" s="1246">
        <f t="shared" si="22"/>
        <v>8.2565266231786616</v>
      </c>
      <c r="AE29" s="1246">
        <f t="shared" si="23"/>
        <v>0</v>
      </c>
      <c r="AF29" s="1246">
        <f t="shared" si="24"/>
        <v>0</v>
      </c>
      <c r="AG29" s="1247">
        <f t="shared" si="25"/>
        <v>0</v>
      </c>
      <c r="AH29" s="1245">
        <f t="shared" si="26"/>
        <v>8.0838815874836101</v>
      </c>
      <c r="AI29" s="1246">
        <f t="shared" si="27"/>
        <v>9.1593786749555619</v>
      </c>
      <c r="AJ29" s="1246">
        <f t="shared" si="28"/>
        <v>9.6927950245681878</v>
      </c>
      <c r="AK29" s="1246">
        <f t="shared" si="29"/>
        <v>10.412233966282747</v>
      </c>
      <c r="AL29" s="1246">
        <f t="shared" si="30"/>
        <v>11.191734509578923</v>
      </c>
      <c r="AM29" s="1247">
        <f t="shared" si="31"/>
        <v>0</v>
      </c>
      <c r="AN29" s="1176">
        <v>2027</v>
      </c>
      <c r="AO29" s="1322">
        <f t="array" ref="AO29">1/SUMPRODUCT(IFERROR(1/V29:AA29,0),'Mkt Pen Veh-Mi'!B29:G29)</f>
        <v>7.627460494779541</v>
      </c>
      <c r="AP29" s="1323">
        <f t="array" ref="AP29">1/SUMPRODUCT(IFERROR(1/AB29:AG29,0),'Mkt Pen Veh-Mi'!H29:M29)</f>
        <v>7.8845573880592523</v>
      </c>
      <c r="AQ29" s="1327">
        <f t="array" ref="AQ29">1/SUMPRODUCT(IFERROR(1/AH29:AM29,0),'Mkt Pen Veh-Mi'!N29:S29)</f>
        <v>8.62542733421426</v>
      </c>
      <c r="AR29" s="1320">
        <v>2027</v>
      </c>
      <c r="AS29" s="1322">
        <f t="shared" si="32"/>
        <v>1.0164829784965563</v>
      </c>
      <c r="AT29" s="1323">
        <f t="shared" si="33"/>
        <v>1.0821907259598695</v>
      </c>
      <c r="AU29" s="1323">
        <f t="shared" si="34"/>
        <v>1.0669908064424314</v>
      </c>
      <c r="AV29" s="1327">
        <v>1.1157356459109145</v>
      </c>
    </row>
    <row r="30" spans="1:48" s="1176" customFormat="1" ht="15" x14ac:dyDescent="0.2">
      <c r="A30" s="1191">
        <v>2028</v>
      </c>
      <c r="B30" s="1245">
        <f>IF('Mkt Pen Veh-Mi'!B30=0,1,1/((1-Fuel2ShrbyTech!B31)/'Inputs 7&amp;8 Sleep'!$N43+Fuel2ShrbyTech!B31/'Inputs 7&amp;8 Sleep'!$T43))</f>
        <v>7.6179189540571537</v>
      </c>
      <c r="C30" s="1246">
        <f>IF('Mkt Pen Veh-Mi'!C30=0,1,1/((1-Fuel2ShrbyTech!C31)/'Inputs 7&amp;8 Sleep'!$O43+Fuel2ShrbyTech!C31/'Inputs 7&amp;8 Sleep'!$U43))</f>
        <v>7.6973841760217185</v>
      </c>
      <c r="D30" s="1246">
        <f>IF('Mkt Pen Veh-Mi'!D30=0,1,1/((1-Fuel2ShrbyTech!D31)/'Inputs 7&amp;8 Sleep'!$P43+Fuel2ShrbyTech!D31/'Inputs 7&amp;8 Sleep'!$V43))</f>
        <v>8.2884736204744751</v>
      </c>
      <c r="E30" s="1246">
        <f>IF('Mkt Pen Veh-Mi'!E30=0,1,1/((1-Fuel2ShrbyTech!E31)/'Inputs 7&amp;8 Sleep'!$Q43+Fuel2ShrbyTech!E31/'Inputs 7&amp;8 Sleep'!$W43))</f>
        <v>1</v>
      </c>
      <c r="F30" s="1246">
        <f>IF('Mkt Pen Veh-Mi'!F30=0,1,1/((1-Fuel2ShrbyTech!F31)/'Inputs 7&amp;8 Sleep'!$R43+Fuel2ShrbyTech!F31/'Inputs 7&amp;8 Sleep'!$X43))</f>
        <v>1</v>
      </c>
      <c r="G30" s="1247">
        <f>IF('Mkt Pen Veh-Mi'!G30=0,1,1/((1-Fuel2ShrbyTech!G31)/'Inputs 7&amp;8 Sleep'!$S43+Fuel2ShrbyTech!G31/'Inputs 7&amp;8 Sleep'!$Y43))</f>
        <v>1</v>
      </c>
      <c r="H30" s="1245">
        <f>IF('Mkt Pen Veh-Mi'!H30=0,1,1/((1-Fuel2ShrbyTech!H31)/'Inputs 7&amp;8 Day'!$N43+Fuel2ShrbyTech!H31/'Inputs 7&amp;8 Day'!$T43))</f>
        <v>7.3498347364013634</v>
      </c>
      <c r="I30" s="1246">
        <f>IF('Mkt Pen Veh-Mi'!I30=0,1,1/((1-Fuel2ShrbyTech!I31)/'Inputs 7&amp;8 Day'!$O43+Fuel2ShrbyTech!I31/'Inputs 7&amp;8 Day'!$U43))</f>
        <v>8.4109962645064513</v>
      </c>
      <c r="J30" s="1246">
        <f>IF('Mkt Pen Veh-Mi'!J30=0,1,1/((1-Fuel2ShrbyTech!J31)/'Inputs 7&amp;8 Day'!$P43+Fuel2ShrbyTech!J31/'Inputs 7&amp;8 Day'!$V43))</f>
        <v>8.4505907397396012</v>
      </c>
      <c r="K30" s="1246">
        <f>IF('Mkt Pen Veh-Mi'!K30=0,1,1/((1-Fuel2ShrbyTech!K31)/'Inputs 7&amp;8 Day'!$Q43+Fuel2ShrbyTech!K31/'Inputs 7&amp;8 Day'!$W43))</f>
        <v>1</v>
      </c>
      <c r="L30" s="1246">
        <f>IF('Mkt Pen Veh-Mi'!L30=0,1,1/((1-Fuel2ShrbyTech!L31)/'Inputs 7&amp;8 Day'!$R43+Fuel2ShrbyTech!L31/'Inputs 7&amp;8 Day'!$X43))</f>
        <v>1</v>
      </c>
      <c r="M30" s="1247">
        <f>IF('Mkt Pen Veh-Mi'!M30=0,1,1/((1-Fuel2ShrbyTech!M31)/'Inputs 7&amp;8 Day'!$S43+Fuel2ShrbyTech!M31/'Inputs 7&amp;8 Day'!$Y43))</f>
        <v>1</v>
      </c>
      <c r="N30" s="1245">
        <f>IF('Mkt Pen Veh-Mi'!N30=0,1,1/((1-Fuel2ShrbyTech!N31)/'Inputs 7&amp;8 SU'!$N43+Fuel2ShrbyTech!N31/'Inputs 7&amp;8 SU'!$T43))</f>
        <v>8.1579983898762283</v>
      </c>
      <c r="O30" s="1246">
        <f>IF('Mkt Pen Veh-Mi'!O30=0,1,1/((1-Fuel2ShrbyTech!O31)/'Inputs 7&amp;8 SU'!$O43+Fuel2ShrbyTech!O31/'Inputs 7&amp;8 SU'!$U43))</f>
        <v>9.3847120142735569</v>
      </c>
      <c r="P30" s="1246">
        <f>IF('Mkt Pen Veh-Mi'!P30=0,1,1/((1-Fuel2ShrbyTech!P31)/'Inputs 7&amp;8 SU'!$P43+Fuel2ShrbyTech!P31/'Inputs 7&amp;8 SU'!$V43))</f>
        <v>9.9367251422608067</v>
      </c>
      <c r="Q30" s="1246">
        <f>IF('Mkt Pen Veh-Mi'!Q30=0,1,1/((1-Fuel2ShrbyTech!Q31)/'Inputs 7&amp;8 SU'!$Q43+Fuel2ShrbyTech!Q31/'Inputs 7&amp;8 SU'!$W43))</f>
        <v>10.666843043707351</v>
      </c>
      <c r="R30" s="1246">
        <f>IF('Mkt Pen Veh-Mi'!R30=0,1,1/((1-Fuel2ShrbyTech!R31)/'Inputs 7&amp;8 SU'!$R43+Fuel2ShrbyTech!R31/'Inputs 7&amp;8 SU'!$X43))</f>
        <v>11.749467542371907</v>
      </c>
      <c r="S30" s="1247">
        <f>IF('Mkt Pen Veh-Mi'!S30=0,1,1/((1-Fuel2ShrbyTech!S31)/'Inputs 7&amp;8 SU'!$S43+Fuel2ShrbyTech!S31/'Inputs 7&amp;8 SU'!$Y43))</f>
        <v>1</v>
      </c>
      <c r="U30" s="1191">
        <f t="shared" si="13"/>
        <v>2028</v>
      </c>
      <c r="V30" s="1245">
        <f t="shared" si="14"/>
        <v>7.6179189540571537</v>
      </c>
      <c r="W30" s="1246">
        <f t="shared" si="15"/>
        <v>7.6973841760217185</v>
      </c>
      <c r="X30" s="1246">
        <f t="shared" si="16"/>
        <v>8.2884736204744751</v>
      </c>
      <c r="Y30" s="1246">
        <f t="shared" si="17"/>
        <v>0</v>
      </c>
      <c r="Z30" s="1246">
        <f t="shared" si="18"/>
        <v>0</v>
      </c>
      <c r="AA30" s="1247">
        <f t="shared" si="19"/>
        <v>0</v>
      </c>
      <c r="AB30" s="1245">
        <f t="shared" si="20"/>
        <v>7.3498347364013634</v>
      </c>
      <c r="AC30" s="1246">
        <f t="shared" si="21"/>
        <v>8.4109962645064513</v>
      </c>
      <c r="AD30" s="1246">
        <f t="shared" si="22"/>
        <v>8.4505907397396012</v>
      </c>
      <c r="AE30" s="1246">
        <f t="shared" si="23"/>
        <v>0</v>
      </c>
      <c r="AF30" s="1246">
        <f t="shared" si="24"/>
        <v>0</v>
      </c>
      <c r="AG30" s="1247">
        <f t="shared" si="25"/>
        <v>0</v>
      </c>
      <c r="AH30" s="1245">
        <f t="shared" si="26"/>
        <v>8.1579983898762283</v>
      </c>
      <c r="AI30" s="1246">
        <f t="shared" si="27"/>
        <v>9.3847120142735569</v>
      </c>
      <c r="AJ30" s="1246">
        <f t="shared" si="28"/>
        <v>9.9367251422608067</v>
      </c>
      <c r="AK30" s="1246">
        <f t="shared" si="29"/>
        <v>10.666843043707351</v>
      </c>
      <c r="AL30" s="1246">
        <f t="shared" si="30"/>
        <v>11.749467542371907</v>
      </c>
      <c r="AM30" s="1247">
        <f t="shared" si="31"/>
        <v>0</v>
      </c>
      <c r="AN30" s="1176">
        <v>2028</v>
      </c>
      <c r="AO30" s="1322">
        <f t="array" ref="AO30">1/SUMPRODUCT(IFERROR(1/V30:AA30,0),'Mkt Pen Veh-Mi'!B30:G30)</f>
        <v>7.7849132625318669</v>
      </c>
      <c r="AP30" s="1323">
        <f t="array" ref="AP30">1/SUMPRODUCT(IFERROR(1/AB30:AG30,0),'Mkt Pen Veh-Mi'!H30:M30)</f>
        <v>8.0884351442820552</v>
      </c>
      <c r="AQ30" s="1327">
        <f t="array" ref="AQ30">1/SUMPRODUCT(IFERROR(1/AH30:AM30,0),'Mkt Pen Veh-Mi'!N30:S30)</f>
        <v>8.8428258912891362</v>
      </c>
      <c r="AR30" s="1320">
        <v>2028</v>
      </c>
      <c r="AS30" s="1322">
        <f t="shared" si="32"/>
        <v>1.0219212503417059</v>
      </c>
      <c r="AT30" s="1323">
        <f t="shared" si="33"/>
        <v>1.1004921109617121</v>
      </c>
      <c r="AU30" s="1323">
        <f t="shared" si="34"/>
        <v>1.0839455303475853</v>
      </c>
      <c r="AV30" s="1327">
        <v>1.128298781955815</v>
      </c>
    </row>
    <row r="31" spans="1:48" s="1176" customFormat="1" ht="15" x14ac:dyDescent="0.2">
      <c r="A31" s="1191">
        <v>2029</v>
      </c>
      <c r="B31" s="1245">
        <f>IF('Mkt Pen Veh-Mi'!B31=0,1,1/((1-Fuel2ShrbyTech!B32)/'Inputs 7&amp;8 Sleep'!$N44+Fuel2ShrbyTech!B32/'Inputs 7&amp;8 Sleep'!$T44))</f>
        <v>7.7555629328580205</v>
      </c>
      <c r="C31" s="1246">
        <f>IF('Mkt Pen Veh-Mi'!C31=0,1,1/((1-Fuel2ShrbyTech!C32)/'Inputs 7&amp;8 Sleep'!$O44+Fuel2ShrbyTech!C32/'Inputs 7&amp;8 Sleep'!$U44))</f>
        <v>7.8101934152198593</v>
      </c>
      <c r="D31" s="1246">
        <f>IF('Mkt Pen Veh-Mi'!D31=0,1,1/((1-Fuel2ShrbyTech!D32)/'Inputs 7&amp;8 Sleep'!$P44+Fuel2ShrbyTech!D32/'Inputs 7&amp;8 Sleep'!$V44))</f>
        <v>8.4220824503147877</v>
      </c>
      <c r="E31" s="1246">
        <f>IF('Mkt Pen Veh-Mi'!E31=0,1,1/((1-Fuel2ShrbyTech!E32)/'Inputs 7&amp;8 Sleep'!$Q44+Fuel2ShrbyTech!E32/'Inputs 7&amp;8 Sleep'!$W44))</f>
        <v>1</v>
      </c>
      <c r="F31" s="1246">
        <f>IF('Mkt Pen Veh-Mi'!F31=0,1,1/((1-Fuel2ShrbyTech!F32)/'Inputs 7&amp;8 Sleep'!$R44+Fuel2ShrbyTech!F32/'Inputs 7&amp;8 Sleep'!$X44))</f>
        <v>1</v>
      </c>
      <c r="G31" s="1247">
        <f>IF('Mkt Pen Veh-Mi'!G31=0,1,1/((1-Fuel2ShrbyTech!G32)/'Inputs 7&amp;8 Sleep'!$S44+Fuel2ShrbyTech!G32/'Inputs 7&amp;8 Sleep'!$Y44))</f>
        <v>1</v>
      </c>
      <c r="H31" s="1245">
        <f>IF('Mkt Pen Veh-Mi'!H31=0,1,1/((1-Fuel2ShrbyTech!H32)/'Inputs 7&amp;8 Day'!$N44+Fuel2ShrbyTech!H32/'Inputs 7&amp;8 Day'!$T44))</f>
        <v>7.4265021351464533</v>
      </c>
      <c r="I31" s="1246">
        <f>IF('Mkt Pen Veh-Mi'!I31=0,1,1/((1-Fuel2ShrbyTech!I32)/'Inputs 7&amp;8 Day'!$O44+Fuel2ShrbyTech!I32/'Inputs 7&amp;8 Day'!$U44))</f>
        <v>8.6131061487827569</v>
      </c>
      <c r="J31" s="1246">
        <f>IF('Mkt Pen Veh-Mi'!J31=0,1,1/((1-Fuel2ShrbyTech!J32)/'Inputs 7&amp;8 Day'!$P44+Fuel2ShrbyTech!J32/'Inputs 7&amp;8 Day'!$V44))</f>
        <v>8.657434535593751</v>
      </c>
      <c r="K31" s="1246">
        <f>IF('Mkt Pen Veh-Mi'!K31=0,1,1/((1-Fuel2ShrbyTech!K32)/'Inputs 7&amp;8 Day'!$Q44+Fuel2ShrbyTech!K32/'Inputs 7&amp;8 Day'!$W44))</f>
        <v>1</v>
      </c>
      <c r="L31" s="1246">
        <f>IF('Mkt Pen Veh-Mi'!L31=0,1,1/((1-Fuel2ShrbyTech!L32)/'Inputs 7&amp;8 Day'!$R44+Fuel2ShrbyTech!L32/'Inputs 7&amp;8 Day'!$X44))</f>
        <v>1</v>
      </c>
      <c r="M31" s="1247">
        <f>IF('Mkt Pen Veh-Mi'!M31=0,1,1/((1-Fuel2ShrbyTech!M32)/'Inputs 7&amp;8 Day'!$S44+Fuel2ShrbyTech!M32/'Inputs 7&amp;8 Day'!$Y44))</f>
        <v>1</v>
      </c>
      <c r="N31" s="1245">
        <f>IF('Mkt Pen Veh-Mi'!N31=0,1,1/((1-Fuel2ShrbyTech!N32)/'Inputs 7&amp;8 SU'!$N44+Fuel2ShrbyTech!N32/'Inputs 7&amp;8 SU'!$T44))</f>
        <v>8.3204018705413638</v>
      </c>
      <c r="O31" s="1246">
        <f>IF('Mkt Pen Veh-Mi'!O31=0,1,1/((1-Fuel2ShrbyTech!O32)/'Inputs 7&amp;8 SU'!$O44+Fuel2ShrbyTech!O32/'Inputs 7&amp;8 SU'!$U44))</f>
        <v>9.7125571365681882</v>
      </c>
      <c r="P31" s="1246">
        <f>IF('Mkt Pen Veh-Mi'!P31=0,1,1/((1-Fuel2ShrbyTech!P32)/'Inputs 7&amp;8 SU'!$P44+Fuel2ShrbyTech!P32/'Inputs 7&amp;8 SU'!$V44))</f>
        <v>10.289233048717541</v>
      </c>
      <c r="Q31" s="1246">
        <f>IF('Mkt Pen Veh-Mi'!Q31=0,1,1/((1-Fuel2ShrbyTech!Q32)/'Inputs 7&amp;8 SU'!$Q44+Fuel2ShrbyTech!Q32/'Inputs 7&amp;8 SU'!$W44))</f>
        <v>11.037958743380047</v>
      </c>
      <c r="R31" s="1246">
        <f>IF('Mkt Pen Veh-Mi'!R31=0,1,1/((1-Fuel2ShrbyTech!R32)/'Inputs 7&amp;8 SU'!$R44+Fuel2ShrbyTech!R32/'Inputs 7&amp;8 SU'!$X44))</f>
        <v>12.462489299703211</v>
      </c>
      <c r="S31" s="1247">
        <f>IF('Mkt Pen Veh-Mi'!S31=0,1,1/((1-Fuel2ShrbyTech!S32)/'Inputs 7&amp;8 SU'!$S44+Fuel2ShrbyTech!S32/'Inputs 7&amp;8 SU'!$Y44))</f>
        <v>1</v>
      </c>
      <c r="U31" s="1191">
        <f t="shared" si="13"/>
        <v>2029</v>
      </c>
      <c r="V31" s="1245">
        <f t="shared" si="14"/>
        <v>7.7555629328580205</v>
      </c>
      <c r="W31" s="1246">
        <f t="shared" si="15"/>
        <v>7.8101934152198593</v>
      </c>
      <c r="X31" s="1246">
        <f t="shared" si="16"/>
        <v>8.4220824503147877</v>
      </c>
      <c r="Y31" s="1246">
        <f t="shared" si="17"/>
        <v>0</v>
      </c>
      <c r="Z31" s="1246">
        <f t="shared" si="18"/>
        <v>0</v>
      </c>
      <c r="AA31" s="1247">
        <f t="shared" si="19"/>
        <v>0</v>
      </c>
      <c r="AB31" s="1245">
        <f t="shared" si="20"/>
        <v>7.4265021351464533</v>
      </c>
      <c r="AC31" s="1246">
        <f t="shared" si="21"/>
        <v>8.6131061487827569</v>
      </c>
      <c r="AD31" s="1246">
        <f t="shared" si="22"/>
        <v>8.657434535593751</v>
      </c>
      <c r="AE31" s="1246">
        <f t="shared" si="23"/>
        <v>0</v>
      </c>
      <c r="AF31" s="1246">
        <f t="shared" si="24"/>
        <v>0</v>
      </c>
      <c r="AG31" s="1247">
        <f t="shared" si="25"/>
        <v>0</v>
      </c>
      <c r="AH31" s="1245">
        <f t="shared" si="26"/>
        <v>8.3204018705413638</v>
      </c>
      <c r="AI31" s="1246">
        <f t="shared" si="27"/>
        <v>9.7125571365681882</v>
      </c>
      <c r="AJ31" s="1246">
        <f t="shared" si="28"/>
        <v>10.289233048717541</v>
      </c>
      <c r="AK31" s="1246">
        <f t="shared" si="29"/>
        <v>11.037958743380047</v>
      </c>
      <c r="AL31" s="1246">
        <f t="shared" si="30"/>
        <v>12.462489299703211</v>
      </c>
      <c r="AM31" s="1247">
        <f t="shared" si="31"/>
        <v>0</v>
      </c>
      <c r="AN31" s="1176">
        <v>2029</v>
      </c>
      <c r="AO31" s="1322">
        <f t="array" ref="AO31">1/SUMPRODUCT(IFERROR(1/V31:AA31,0),'Mkt Pen Veh-Mi'!B31:G31)</f>
        <v>7.9097339683000989</v>
      </c>
      <c r="AP31" s="1323">
        <f t="array" ref="AP31">1/SUMPRODUCT(IFERROR(1/AB31:AG31,0),'Mkt Pen Veh-Mi'!H31:M31)</f>
        <v>8.2829353500228589</v>
      </c>
      <c r="AQ31" s="1327">
        <f t="array" ref="AQ31">1/SUMPRODUCT(IFERROR(1/AH31:AM31,0),'Mkt Pen Veh-Mi'!N31:S31)</f>
        <v>9.1168174773956192</v>
      </c>
      <c r="AR31" s="1320">
        <v>2029</v>
      </c>
      <c r="AS31" s="1322">
        <f t="shared" si="32"/>
        <v>1.0198787678956096</v>
      </c>
      <c r="AT31" s="1323">
        <f t="shared" si="33"/>
        <v>1.1153212103479071</v>
      </c>
      <c r="AU31" s="1323">
        <f t="shared" si="34"/>
        <v>1.0957184063036653</v>
      </c>
      <c r="AV31" s="1327">
        <v>1.1453205018890817</v>
      </c>
    </row>
    <row r="32" spans="1:48" s="1176" customFormat="1" ht="15" x14ac:dyDescent="0.2">
      <c r="A32" s="1197">
        <v>2030</v>
      </c>
      <c r="B32" s="1248">
        <f>IF('Mkt Pen Veh-Mi'!B32=0,1,1/((1-Fuel2ShrbyTech!B33)/'Inputs 7&amp;8 Sleep'!$N45+Fuel2ShrbyTech!B33/'Inputs 7&amp;8 Sleep'!$T45))</f>
        <v>7.8652683559393761</v>
      </c>
      <c r="C32" s="1249">
        <f>IF('Mkt Pen Veh-Mi'!C32=0,1,1/((1-Fuel2ShrbyTech!C33)/'Inputs 7&amp;8 Sleep'!$O45+Fuel2ShrbyTech!C33/'Inputs 7&amp;8 Sleep'!$U45))</f>
        <v>7.9387092750945323</v>
      </c>
      <c r="D32" s="1249">
        <f>IF('Mkt Pen Veh-Mi'!D32=0,1,1/((1-Fuel2ShrbyTech!D33)/'Inputs 7&amp;8 Sleep'!$P45+Fuel2ShrbyTech!D33/'Inputs 7&amp;8 Sleep'!$V45))</f>
        <v>8.5742938629245078</v>
      </c>
      <c r="E32" s="1249">
        <f>IF('Mkt Pen Veh-Mi'!E32=0,1,1/((1-Fuel2ShrbyTech!E33)/'Inputs 7&amp;8 Sleep'!$Q45+Fuel2ShrbyTech!E33/'Inputs 7&amp;8 Sleep'!$W45))</f>
        <v>1</v>
      </c>
      <c r="F32" s="1249">
        <f>IF('Mkt Pen Veh-Mi'!F32=0,1,1/((1-Fuel2ShrbyTech!F33)/'Inputs 7&amp;8 Sleep'!$R45+Fuel2ShrbyTech!F33/'Inputs 7&amp;8 Sleep'!$X45))</f>
        <v>1</v>
      </c>
      <c r="G32" s="1250">
        <f>IF('Mkt Pen Veh-Mi'!G32=0,1,1/((1-Fuel2ShrbyTech!G33)/'Inputs 7&amp;8 Sleep'!$S45+Fuel2ShrbyTech!G33/'Inputs 7&amp;8 Sleep'!$Y45))</f>
        <v>1</v>
      </c>
      <c r="H32" s="1248">
        <f>IF('Mkt Pen Veh-Mi'!H32=0,1,1/((1-Fuel2ShrbyTech!H33)/'Inputs 7&amp;8 Day'!$N45+Fuel2ShrbyTech!H33/'Inputs 7&amp;8 Day'!$T45))</f>
        <v>7.4306901675713188</v>
      </c>
      <c r="I32" s="1249">
        <f>IF('Mkt Pen Veh-Mi'!I32=0,1,1/((1-Fuel2ShrbyTech!I33)/'Inputs 7&amp;8 Day'!$O45+Fuel2ShrbyTech!I33/'Inputs 7&amp;8 Day'!$U45))</f>
        <v>8.7287315275043209</v>
      </c>
      <c r="J32" s="1249">
        <f>IF('Mkt Pen Veh-Mi'!J32=0,1,1/((1-Fuel2ShrbyTech!J33)/'Inputs 7&amp;8 Day'!$P45+Fuel2ShrbyTech!J33/'Inputs 7&amp;8 Day'!$V45))</f>
        <v>8.7772696090206512</v>
      </c>
      <c r="K32" s="1249">
        <f>IF('Mkt Pen Veh-Mi'!K32=0,1,1/((1-Fuel2ShrbyTech!K33)/'Inputs 7&amp;8 Day'!$Q45+Fuel2ShrbyTech!K33/'Inputs 7&amp;8 Day'!$W45))</f>
        <v>1</v>
      </c>
      <c r="L32" s="1249">
        <f>IF('Mkt Pen Veh-Mi'!L32=0,1,1/((1-Fuel2ShrbyTech!L33)/'Inputs 7&amp;8 Day'!$R45+Fuel2ShrbyTech!L33/'Inputs 7&amp;8 Day'!$X45))</f>
        <v>1</v>
      </c>
      <c r="M32" s="1250">
        <f>IF('Mkt Pen Veh-Mi'!M32=0,1,1/((1-Fuel2ShrbyTech!M33)/'Inputs 7&amp;8 Day'!$S45+Fuel2ShrbyTech!M33/'Inputs 7&amp;8 Day'!$Y45))</f>
        <v>1</v>
      </c>
      <c r="N32" s="1248">
        <f>IF('Mkt Pen Veh-Mi'!N32=0,1,1/((1-Fuel2ShrbyTech!N33)/'Inputs 7&amp;8 SU'!$N45+Fuel2ShrbyTech!N33/'Inputs 7&amp;8 SU'!$T45))</f>
        <v>8.4596513418802797</v>
      </c>
      <c r="O32" s="1249">
        <f>IF('Mkt Pen Veh-Mi'!O32=0,1,1/((1-Fuel2ShrbyTech!O33)/'Inputs 7&amp;8 SU'!$O45+Fuel2ShrbyTech!O33/'Inputs 7&amp;8 SU'!$U45))</f>
        <v>10.015389114320127</v>
      </c>
      <c r="P32" s="1249">
        <f>IF('Mkt Pen Veh-Mi'!P32=0,1,1/((1-Fuel2ShrbyTech!P33)/'Inputs 7&amp;8 SU'!$P45+Fuel2ShrbyTech!P33/'Inputs 7&amp;8 SU'!$V45))</f>
        <v>10.615318411461462</v>
      </c>
      <c r="Q32" s="1249">
        <f>IF('Mkt Pen Veh-Mi'!Q32=0,1,1/((1-Fuel2ShrbyTech!Q33)/'Inputs 7&amp;8 SU'!$Q45+Fuel2ShrbyTech!Q33/'Inputs 7&amp;8 SU'!$W45))</f>
        <v>11.380626544197902</v>
      </c>
      <c r="R32" s="1249">
        <f>IF('Mkt Pen Veh-Mi'!R32=0,1,1/((1-Fuel2ShrbyTech!R33)/'Inputs 7&amp;8 SU'!$R45+Fuel2ShrbyTech!R33/'Inputs 7&amp;8 SU'!$X45))</f>
        <v>13.151087297915454</v>
      </c>
      <c r="S32" s="1250">
        <f>IF('Mkt Pen Veh-Mi'!S32=0,1,1/((1-Fuel2ShrbyTech!S33)/'Inputs 7&amp;8 SU'!$S45+Fuel2ShrbyTech!S33/'Inputs 7&amp;8 SU'!$Y45))</f>
        <v>1</v>
      </c>
      <c r="U32" s="1197">
        <f t="shared" si="13"/>
        <v>2030</v>
      </c>
      <c r="V32" s="1248">
        <f t="shared" si="14"/>
        <v>7.8652683559393761</v>
      </c>
      <c r="W32" s="1249">
        <f t="shared" si="15"/>
        <v>7.9387092750945323</v>
      </c>
      <c r="X32" s="1249">
        <f t="shared" si="16"/>
        <v>8.5742938629245078</v>
      </c>
      <c r="Y32" s="1249">
        <f t="shared" si="17"/>
        <v>0</v>
      </c>
      <c r="Z32" s="1249">
        <f t="shared" si="18"/>
        <v>0</v>
      </c>
      <c r="AA32" s="1250">
        <f t="shared" si="19"/>
        <v>0</v>
      </c>
      <c r="AB32" s="1248">
        <f t="shared" si="20"/>
        <v>7.4306901675713188</v>
      </c>
      <c r="AC32" s="1249">
        <f t="shared" si="21"/>
        <v>8.7287315275043209</v>
      </c>
      <c r="AD32" s="1249">
        <f t="shared" si="22"/>
        <v>8.7772696090206512</v>
      </c>
      <c r="AE32" s="1249">
        <f t="shared" si="23"/>
        <v>0</v>
      </c>
      <c r="AF32" s="1249">
        <f t="shared" si="24"/>
        <v>0</v>
      </c>
      <c r="AG32" s="1250">
        <f t="shared" si="25"/>
        <v>0</v>
      </c>
      <c r="AH32" s="1248">
        <f t="shared" si="26"/>
        <v>8.4596513418802797</v>
      </c>
      <c r="AI32" s="1249">
        <f t="shared" si="27"/>
        <v>10.015389114320127</v>
      </c>
      <c r="AJ32" s="1249">
        <f t="shared" si="28"/>
        <v>10.615318411461462</v>
      </c>
      <c r="AK32" s="1249">
        <f t="shared" si="29"/>
        <v>11.380626544197902</v>
      </c>
      <c r="AL32" s="1249">
        <f t="shared" si="30"/>
        <v>13.151087297915454</v>
      </c>
      <c r="AM32" s="1250">
        <f t="shared" si="31"/>
        <v>0</v>
      </c>
      <c r="AN32" s="1176">
        <v>2030</v>
      </c>
      <c r="AO32" s="1322">
        <f t="array" ref="AO32">1/SUMPRODUCT(IFERROR(1/V32:AA32,0),'Mkt Pen Veh-Mi'!B32:G32)</f>
        <v>8.0432836432137833</v>
      </c>
      <c r="AP32" s="1323">
        <f t="array" ref="AP32">1/SUMPRODUCT(IFERROR(1/AB32:AG32,0),'Mkt Pen Veh-Mi'!H32:M32)</f>
        <v>8.4043677713430185</v>
      </c>
      <c r="AQ32" s="1327">
        <f t="array" ref="AQ32">1/SUMPRODUCT(IFERROR(1/AH32:AM32,0),'Mkt Pen Veh-Mi'!N32:S32)</f>
        <v>9.372548991735087</v>
      </c>
      <c r="AR32" s="1320">
        <v>2030</v>
      </c>
      <c r="AS32" s="1322">
        <f t="shared" si="32"/>
        <v>1.0226330850033847</v>
      </c>
      <c r="AT32" s="1323">
        <f t="shared" si="33"/>
        <v>1.1310346121038635</v>
      </c>
      <c r="AU32" s="1323">
        <f t="shared" si="34"/>
        <v>1.1079119709503185</v>
      </c>
      <c r="AV32" s="1327">
        <v>1.1812981817033279</v>
      </c>
    </row>
    <row r="33" spans="1:48" s="1176" customFormat="1" ht="15" x14ac:dyDescent="0.2">
      <c r="A33" s="1191">
        <v>2031</v>
      </c>
      <c r="B33" s="1251">
        <f>IF('Mkt Pen Veh-Mi'!B33=0,1,1/((1-Fuel2ShrbyTech!B34)/'Inputs 7&amp;8 Sleep'!$N46+Fuel2ShrbyTech!B34/'Inputs 7&amp;8 Sleep'!$T46))</f>
        <v>7.9599764527524544</v>
      </c>
      <c r="C33" s="1252">
        <f>IF('Mkt Pen Veh-Mi'!C33=0,1,1/((1-Fuel2ShrbyTech!C34)/'Inputs 7&amp;8 Sleep'!$O46+Fuel2ShrbyTech!C34/'Inputs 7&amp;8 Sleep'!$U46))</f>
        <v>8.0445986979996231</v>
      </c>
      <c r="D33" s="1252">
        <f>IF('Mkt Pen Veh-Mi'!D33=0,1,1/((1-Fuel2ShrbyTech!D34)/'Inputs 7&amp;8 Sleep'!$P46+Fuel2ShrbyTech!D34/'Inputs 7&amp;8 Sleep'!$V46))</f>
        <v>8.6997070115937056</v>
      </c>
      <c r="E33" s="1252">
        <f>IF('Mkt Pen Veh-Mi'!E33=0,1,1/((1-Fuel2ShrbyTech!E34)/'Inputs 7&amp;8 Sleep'!$Q46+Fuel2ShrbyTech!E34/'Inputs 7&amp;8 Sleep'!$W46))</f>
        <v>1</v>
      </c>
      <c r="F33" s="1252">
        <f>IF('Mkt Pen Veh-Mi'!F33=0,1,1/((1-Fuel2ShrbyTech!F34)/'Inputs 7&amp;8 Sleep'!$R46+Fuel2ShrbyTech!F34/'Inputs 7&amp;8 Sleep'!$X46))</f>
        <v>1</v>
      </c>
      <c r="G33" s="1253">
        <f>IF('Mkt Pen Veh-Mi'!G33=0,1,1/((1-Fuel2ShrbyTech!G34)/'Inputs 7&amp;8 Sleep'!$S46+Fuel2ShrbyTech!G34/'Inputs 7&amp;8 Sleep'!$Y46))</f>
        <v>1</v>
      </c>
      <c r="H33" s="1251">
        <f>IF('Mkt Pen Veh-Mi'!H33=0,1,1/((1-Fuel2ShrbyTech!H34)/'Inputs 7&amp;8 Day'!$N46+Fuel2ShrbyTech!H34/'Inputs 7&amp;8 Day'!$T46))</f>
        <v>7.4348781999961817</v>
      </c>
      <c r="I33" s="1252">
        <f>IF('Mkt Pen Veh-Mi'!I33=0,1,1/((1-Fuel2ShrbyTech!I34)/'Inputs 7&amp;8 Day'!$O46+Fuel2ShrbyTech!I34/'Inputs 7&amp;8 Day'!$U46))</f>
        <v>8.7336511527128469</v>
      </c>
      <c r="J33" s="1252">
        <f>IF('Mkt Pen Veh-Mi'!J33=0,1,1/((1-Fuel2ShrbyTech!J34)/'Inputs 7&amp;8 Day'!$P46+Fuel2ShrbyTech!J34/'Inputs 7&amp;8 Day'!$V46))</f>
        <v>8.782216590915386</v>
      </c>
      <c r="K33" s="1252">
        <f>IF('Mkt Pen Veh-Mi'!K33=0,1,1/((1-Fuel2ShrbyTech!K34)/'Inputs 7&amp;8 Day'!$Q46+Fuel2ShrbyTech!K34/'Inputs 7&amp;8 Day'!$W46))</f>
        <v>9.0537193688056607</v>
      </c>
      <c r="L33" s="1252">
        <f>IF('Mkt Pen Veh-Mi'!L33=0,1,1/((1-Fuel2ShrbyTech!L34)/'Inputs 7&amp;8 Day'!$R46+Fuel2ShrbyTech!L34/'Inputs 7&amp;8 Day'!$X46))</f>
        <v>1</v>
      </c>
      <c r="M33" s="1253">
        <f>IF('Mkt Pen Veh-Mi'!M33=0,1,1/((1-Fuel2ShrbyTech!M34)/'Inputs 7&amp;8 Day'!$S46+Fuel2ShrbyTech!M34/'Inputs 7&amp;8 Day'!$Y46))</f>
        <v>1</v>
      </c>
      <c r="N33" s="1251">
        <f>IF('Mkt Pen Veh-Mi'!N33=0,1,1/((1-Fuel2ShrbyTech!N34)/'Inputs 7&amp;8 SU'!$N46+Fuel2ShrbyTech!N34/'Inputs 7&amp;8 SU'!$T46))</f>
        <v>8.4765855799556995</v>
      </c>
      <c r="O33" s="1252">
        <f>IF('Mkt Pen Veh-Mi'!O33=0,1,1/((1-Fuel2ShrbyTech!O34)/'Inputs 7&amp;8 SU'!$O46+Fuel2ShrbyTech!O34/'Inputs 7&amp;8 SU'!$U46))</f>
        <v>10.035437574572883</v>
      </c>
      <c r="P33" s="1252">
        <f>IF('Mkt Pen Veh-Mi'!P33=0,1,1/((1-Fuel2ShrbyTech!P34)/'Inputs 7&amp;8 SU'!$P46+Fuel2ShrbyTech!P34/'Inputs 7&amp;8 SU'!$V46))</f>
        <v>10.636567789474968</v>
      </c>
      <c r="Q33" s="1252">
        <f>IF('Mkt Pen Veh-Mi'!Q33=0,1,1/((1-Fuel2ShrbyTech!Q34)/'Inputs 7&amp;8 SU'!$Q46+Fuel2ShrbyTech!Q34/'Inputs 7&amp;8 SU'!$W46))</f>
        <v>11.517968900373031</v>
      </c>
      <c r="R33" s="1252">
        <f>IF('Mkt Pen Veh-Mi'!R33=0,1,1/((1-Fuel2ShrbyTech!R34)/'Inputs 7&amp;8 SU'!$R46+Fuel2ShrbyTech!R34/'Inputs 7&amp;8 SU'!$X46))</f>
        <v>13.478319997767674</v>
      </c>
      <c r="S33" s="1253">
        <f>IF('Mkt Pen Veh-Mi'!S33=0,1,1/((1-Fuel2ShrbyTech!S34)/'Inputs 7&amp;8 SU'!$S46+Fuel2ShrbyTech!S34/'Inputs 7&amp;8 SU'!$Y46))</f>
        <v>1</v>
      </c>
      <c r="U33" s="1191">
        <f t="shared" si="13"/>
        <v>2031</v>
      </c>
      <c r="V33" s="1251">
        <f t="shared" si="14"/>
        <v>7.9599764527524544</v>
      </c>
      <c r="W33" s="1252">
        <f t="shared" si="15"/>
        <v>8.0445986979996231</v>
      </c>
      <c r="X33" s="1252">
        <f t="shared" si="16"/>
        <v>8.6997070115937056</v>
      </c>
      <c r="Y33" s="1252">
        <f t="shared" si="17"/>
        <v>0</v>
      </c>
      <c r="Z33" s="1252">
        <f t="shared" si="18"/>
        <v>0</v>
      </c>
      <c r="AA33" s="1253">
        <f t="shared" si="19"/>
        <v>0</v>
      </c>
      <c r="AB33" s="1251">
        <f t="shared" si="20"/>
        <v>7.4348781999961817</v>
      </c>
      <c r="AC33" s="1252">
        <f t="shared" si="21"/>
        <v>8.7336511527128469</v>
      </c>
      <c r="AD33" s="1252">
        <f t="shared" si="22"/>
        <v>8.782216590915386</v>
      </c>
      <c r="AE33" s="1252">
        <f t="shared" si="23"/>
        <v>9.0537193688056607</v>
      </c>
      <c r="AF33" s="1252">
        <f t="shared" si="24"/>
        <v>0</v>
      </c>
      <c r="AG33" s="1253">
        <f t="shared" si="25"/>
        <v>0</v>
      </c>
      <c r="AH33" s="1251">
        <f t="shared" si="26"/>
        <v>8.4765855799556995</v>
      </c>
      <c r="AI33" s="1252">
        <f t="shared" si="27"/>
        <v>10.035437574572883</v>
      </c>
      <c r="AJ33" s="1252">
        <f t="shared" si="28"/>
        <v>10.636567789474968</v>
      </c>
      <c r="AK33" s="1252">
        <f t="shared" si="29"/>
        <v>11.517968900373031</v>
      </c>
      <c r="AL33" s="1252">
        <f t="shared" si="30"/>
        <v>13.478319997767674</v>
      </c>
      <c r="AM33" s="1253">
        <f t="shared" si="31"/>
        <v>0</v>
      </c>
      <c r="AN33" s="1176">
        <v>2031</v>
      </c>
      <c r="AO33" s="1322">
        <f t="array" ref="AO33">1/SUMPRODUCT(IFERROR(1/V33:AA33,0),'Mkt Pen Veh-Mi'!B33:G33)</f>
        <v>8.150804892796879</v>
      </c>
      <c r="AP33" s="1323">
        <f t="array" ref="AP33">1/SUMPRODUCT(IFERROR(1/AB33:AG33,0),'Mkt Pen Veh-Mi'!H33:M33)</f>
        <v>8.4115962918566201</v>
      </c>
      <c r="AQ33" s="1327">
        <f t="array" ref="AQ33">1/SUMPRODUCT(IFERROR(1/AH33:AM33,0),'Mkt Pen Veh-Mi'!N33:S33)</f>
        <v>9.4069568924091644</v>
      </c>
      <c r="AR33" s="1320">
        <v>2031</v>
      </c>
      <c r="AS33" s="1322">
        <f t="shared" si="32"/>
        <v>1.0239734930344473</v>
      </c>
      <c r="AT33" s="1323">
        <f t="shared" si="33"/>
        <v>1.1313697501945545</v>
      </c>
      <c r="AU33" s="1323">
        <f t="shared" si="34"/>
        <v>1.1097577914689474</v>
      </c>
      <c r="AV33" s="1327">
        <v>1.2181775878152028</v>
      </c>
    </row>
    <row r="34" spans="1:48" s="1176" customFormat="1" ht="15" x14ac:dyDescent="0.2">
      <c r="A34" s="1191">
        <v>2032</v>
      </c>
      <c r="B34" s="1245">
        <f>IF('Mkt Pen Veh-Mi'!B34=0,1,1/((1-Fuel2ShrbyTech!B35)/'Inputs 7&amp;8 Sleep'!$N47+Fuel2ShrbyTech!B35/'Inputs 7&amp;8 Sleep'!$T47))</f>
        <v>8.0214709255018093</v>
      </c>
      <c r="C34" s="1246">
        <f>IF('Mkt Pen Veh-Mi'!C34=0,1,1/((1-Fuel2ShrbyTech!C35)/'Inputs 7&amp;8 Sleep'!$O47+Fuel2ShrbyTech!C35/'Inputs 7&amp;8 Sleep'!$U47))</f>
        <v>8.1109312229509865</v>
      </c>
      <c r="D34" s="1246">
        <f>IF('Mkt Pen Veh-Mi'!D34=0,1,1/((1-Fuel2ShrbyTech!D35)/'Inputs 7&amp;8 Sleep'!$P47+Fuel2ShrbyTech!D35/'Inputs 7&amp;8 Sleep'!$V47))</f>
        <v>8.7782698234883831</v>
      </c>
      <c r="E34" s="1246">
        <f>IF('Mkt Pen Veh-Mi'!E34=0,1,1/((1-Fuel2ShrbyTech!E35)/'Inputs 7&amp;8 Sleep'!$Q47+Fuel2ShrbyTech!E35/'Inputs 7&amp;8 Sleep'!$W47))</f>
        <v>1</v>
      </c>
      <c r="F34" s="1246">
        <f>IF('Mkt Pen Veh-Mi'!F34=0,1,1/((1-Fuel2ShrbyTech!F35)/'Inputs 7&amp;8 Sleep'!$R47+Fuel2ShrbyTech!F35/'Inputs 7&amp;8 Sleep'!$X47))</f>
        <v>1</v>
      </c>
      <c r="G34" s="1247">
        <f>IF('Mkt Pen Veh-Mi'!G34=0,1,1/((1-Fuel2ShrbyTech!G35)/'Inputs 7&amp;8 Sleep'!$S47+Fuel2ShrbyTech!G35/'Inputs 7&amp;8 Sleep'!$Y47))</f>
        <v>1</v>
      </c>
      <c r="H34" s="1245">
        <f>IF('Mkt Pen Veh-Mi'!H34=0,1,1/((1-Fuel2ShrbyTech!H35)/'Inputs 7&amp;8 Day'!$N47+Fuel2ShrbyTech!H35/'Inputs 7&amp;8 Day'!$T47))</f>
        <v>7.4390662324210455</v>
      </c>
      <c r="I34" s="1246">
        <f>IF('Mkt Pen Veh-Mi'!I34=0,1,1/((1-Fuel2ShrbyTech!I35)/'Inputs 7&amp;8 Day'!$O47+Fuel2ShrbyTech!I35/'Inputs 7&amp;8 Day'!$U47))</f>
        <v>8.738570777921371</v>
      </c>
      <c r="J34" s="1246">
        <f>IF('Mkt Pen Veh-Mi'!J34=0,1,1/((1-Fuel2ShrbyTech!J35)/'Inputs 7&amp;8 Day'!$P47+Fuel2ShrbyTech!J35/'Inputs 7&amp;8 Day'!$V47))</f>
        <v>8.7871635728101189</v>
      </c>
      <c r="K34" s="1246">
        <f>IF('Mkt Pen Veh-Mi'!K34=0,1,1/((1-Fuel2ShrbyTech!K35)/'Inputs 7&amp;8 Day'!$Q47+Fuel2ShrbyTech!K35/'Inputs 7&amp;8 Day'!$W47))</f>
        <v>9.2437016969730283</v>
      </c>
      <c r="L34" s="1246">
        <f>IF('Mkt Pen Veh-Mi'!L34=0,1,1/((1-Fuel2ShrbyTech!L35)/'Inputs 7&amp;8 Day'!$R47+Fuel2ShrbyTech!L35/'Inputs 7&amp;8 Day'!$X47))</f>
        <v>1</v>
      </c>
      <c r="M34" s="1247">
        <f>IF('Mkt Pen Veh-Mi'!M34=0,1,1/((1-Fuel2ShrbyTech!M35)/'Inputs 7&amp;8 Day'!$S47+Fuel2ShrbyTech!M35/'Inputs 7&amp;8 Day'!$Y47))</f>
        <v>1</v>
      </c>
      <c r="N34" s="1245">
        <f>IF('Mkt Pen Veh-Mi'!N34=0,1,1/((1-Fuel2ShrbyTech!N35)/'Inputs 7&amp;8 SU'!$N47+Fuel2ShrbyTech!N35/'Inputs 7&amp;8 SU'!$T47))</f>
        <v>8.4935198180311193</v>
      </c>
      <c r="O34" s="1246">
        <f>IF('Mkt Pen Veh-Mi'!O34=0,1,1/((1-Fuel2ShrbyTech!O35)/'Inputs 7&amp;8 SU'!$O47+Fuel2ShrbyTech!O35/'Inputs 7&amp;8 SU'!$U47))</f>
        <v>10.055486034825639</v>
      </c>
      <c r="P34" s="1246">
        <f>IF('Mkt Pen Veh-Mi'!P34=0,1,1/((1-Fuel2ShrbyTech!P35)/'Inputs 7&amp;8 SU'!$P47+Fuel2ShrbyTech!P35/'Inputs 7&amp;8 SU'!$V47))</f>
        <v>10.657817167488474</v>
      </c>
      <c r="Q34" s="1246">
        <f>IF('Mkt Pen Veh-Mi'!Q34=0,1,1/((1-Fuel2ShrbyTech!Q35)/'Inputs 7&amp;8 SU'!$Q47+Fuel2ShrbyTech!Q35/'Inputs 7&amp;8 SU'!$W47))</f>
        <v>11.655768988830102</v>
      </c>
      <c r="R34" s="1246">
        <f>IF('Mkt Pen Veh-Mi'!R34=0,1,1/((1-Fuel2ShrbyTech!R35)/'Inputs 7&amp;8 SU'!$R47+Fuel2ShrbyTech!R35/'Inputs 7&amp;8 SU'!$X47))</f>
        <v>13.79413027275765</v>
      </c>
      <c r="S34" s="1247">
        <f>IF('Mkt Pen Veh-Mi'!S34=0,1,1/((1-Fuel2ShrbyTech!S35)/'Inputs 7&amp;8 SU'!$S47+Fuel2ShrbyTech!S35/'Inputs 7&amp;8 SU'!$Y47))</f>
        <v>1</v>
      </c>
      <c r="U34" s="1191">
        <f t="shared" si="13"/>
        <v>2032</v>
      </c>
      <c r="V34" s="1245">
        <f t="shared" si="14"/>
        <v>8.0214709255018093</v>
      </c>
      <c r="W34" s="1246">
        <f t="shared" si="15"/>
        <v>8.1109312229509865</v>
      </c>
      <c r="X34" s="1246">
        <f t="shared" si="16"/>
        <v>8.7782698234883831</v>
      </c>
      <c r="Y34" s="1246">
        <f t="shared" si="17"/>
        <v>0</v>
      </c>
      <c r="Z34" s="1246">
        <f t="shared" si="18"/>
        <v>0</v>
      </c>
      <c r="AA34" s="1247">
        <f t="shared" si="19"/>
        <v>0</v>
      </c>
      <c r="AB34" s="1245">
        <f t="shared" si="20"/>
        <v>7.4390662324210455</v>
      </c>
      <c r="AC34" s="1246">
        <f t="shared" si="21"/>
        <v>8.738570777921371</v>
      </c>
      <c r="AD34" s="1246">
        <f t="shared" si="22"/>
        <v>8.7871635728101189</v>
      </c>
      <c r="AE34" s="1246">
        <f t="shared" si="23"/>
        <v>9.2437016969730283</v>
      </c>
      <c r="AF34" s="1246">
        <f t="shared" si="24"/>
        <v>0</v>
      </c>
      <c r="AG34" s="1247">
        <f t="shared" si="25"/>
        <v>0</v>
      </c>
      <c r="AH34" s="1245">
        <f t="shared" si="26"/>
        <v>8.4935198180311193</v>
      </c>
      <c r="AI34" s="1246">
        <f t="shared" si="27"/>
        <v>10.055486034825639</v>
      </c>
      <c r="AJ34" s="1246">
        <f t="shared" si="28"/>
        <v>10.657817167488474</v>
      </c>
      <c r="AK34" s="1246">
        <f t="shared" si="29"/>
        <v>11.655768988830102</v>
      </c>
      <c r="AL34" s="1246">
        <f t="shared" si="30"/>
        <v>13.79413027275765</v>
      </c>
      <c r="AM34" s="1247">
        <f t="shared" si="31"/>
        <v>0</v>
      </c>
      <c r="AN34" s="1176">
        <v>2032</v>
      </c>
      <c r="AO34" s="1322">
        <f t="array" ref="AO34">1/SUMPRODUCT(IFERROR(1/V34:AA34,0),'Mkt Pen Veh-Mi'!B34:G34)</f>
        <v>8.2182485887815933</v>
      </c>
      <c r="AP34" s="1323">
        <f t="array" ref="AP34">1/SUMPRODUCT(IFERROR(1/AB34:AG34,0),'Mkt Pen Veh-Mi'!H34:M34)</f>
        <v>8.4267246188976213</v>
      </c>
      <c r="AQ34" s="1327">
        <f t="array" ref="AQ34">1/SUMPRODUCT(IFERROR(1/AH34:AM34,0),'Mkt Pen Veh-Mi'!N34:S34)</f>
        <v>9.4561325389515769</v>
      </c>
      <c r="AR34" s="1320">
        <v>2032</v>
      </c>
      <c r="AS34" s="1322">
        <f t="shared" si="32"/>
        <v>1.024531369010413</v>
      </c>
      <c r="AT34" s="1323">
        <f t="shared" si="33"/>
        <v>1.13276644616661</v>
      </c>
      <c r="AU34" s="1323">
        <f t="shared" si="34"/>
        <v>1.113334959068077</v>
      </c>
      <c r="AV34" s="1327">
        <v>1.2746723773692126</v>
      </c>
    </row>
    <row r="35" spans="1:48" s="1176" customFormat="1" ht="15" x14ac:dyDescent="0.2">
      <c r="A35" s="1191">
        <v>2033</v>
      </c>
      <c r="B35" s="1245">
        <f>IF('Mkt Pen Veh-Mi'!B35=0,1,1/((1-Fuel2ShrbyTech!B36)/'Inputs 7&amp;8 Sleep'!$N48+Fuel2ShrbyTech!B36/'Inputs 7&amp;8 Sleep'!$T48))</f>
        <v>8.0395269119106274</v>
      </c>
      <c r="C35" s="1246">
        <f>IF('Mkt Pen Veh-Mi'!C35=0,1,1/((1-Fuel2ShrbyTech!C36)/'Inputs 7&amp;8 Sleep'!$O48+Fuel2ShrbyTech!C36/'Inputs 7&amp;8 Sleep'!$U48))</f>
        <v>8.1456306157943317</v>
      </c>
      <c r="D35" s="1246">
        <f>IF('Mkt Pen Veh-Mi'!D35=0,1,1/((1-Fuel2ShrbyTech!D36)/'Inputs 7&amp;8 Sleep'!$P48+Fuel2ShrbyTech!D36/'Inputs 7&amp;8 Sleep'!$V48))</f>
        <v>8.8193670359766774</v>
      </c>
      <c r="E35" s="1246">
        <f>IF('Mkt Pen Veh-Mi'!E35=0,1,1/((1-Fuel2ShrbyTech!E36)/'Inputs 7&amp;8 Sleep'!$Q48+Fuel2ShrbyTech!E36/'Inputs 7&amp;8 Sleep'!$W48))</f>
        <v>1</v>
      </c>
      <c r="F35" s="1246">
        <f>IF('Mkt Pen Veh-Mi'!F35=0,1,1/((1-Fuel2ShrbyTech!F36)/'Inputs 7&amp;8 Sleep'!$R48+Fuel2ShrbyTech!F36/'Inputs 7&amp;8 Sleep'!$X48))</f>
        <v>1</v>
      </c>
      <c r="G35" s="1247">
        <f>IF('Mkt Pen Veh-Mi'!G35=0,1,1/((1-Fuel2ShrbyTech!G36)/'Inputs 7&amp;8 Sleep'!$S48+Fuel2ShrbyTech!G36/'Inputs 7&amp;8 Sleep'!$Y48))</f>
        <v>1</v>
      </c>
      <c r="H35" s="1245">
        <f>IF('Mkt Pen Veh-Mi'!H35=0,1,1/((1-Fuel2ShrbyTech!H36)/'Inputs 7&amp;8 Day'!$N48+Fuel2ShrbyTech!H36/'Inputs 7&amp;8 Day'!$T48))</f>
        <v>7.4432542648459084</v>
      </c>
      <c r="I35" s="1246">
        <f>IF('Mkt Pen Veh-Mi'!I35=0,1,1/((1-Fuel2ShrbyTech!I36)/'Inputs 7&amp;8 Day'!$O48+Fuel2ShrbyTech!I36/'Inputs 7&amp;8 Day'!$U48))</f>
        <v>8.7434904031298952</v>
      </c>
      <c r="J35" s="1246">
        <f>IF('Mkt Pen Veh-Mi'!J35=0,1,1/((1-Fuel2ShrbyTech!J36)/'Inputs 7&amp;8 Day'!$P48+Fuel2ShrbyTech!J36/'Inputs 7&amp;8 Day'!$V48))</f>
        <v>8.7921105547048519</v>
      </c>
      <c r="K35" s="1246">
        <f>IF('Mkt Pen Veh-Mi'!K35=0,1,1/((1-Fuel2ShrbyTech!K36)/'Inputs 7&amp;8 Day'!$Q48+Fuel2ShrbyTech!K36/'Inputs 7&amp;8 Day'!$W48))</f>
        <v>9.4628516236880476</v>
      </c>
      <c r="L35" s="1246">
        <f>IF('Mkt Pen Veh-Mi'!L35=0,1,1/((1-Fuel2ShrbyTech!L36)/'Inputs 7&amp;8 Day'!$R48+Fuel2ShrbyTech!L36/'Inputs 7&amp;8 Day'!$X48))</f>
        <v>1</v>
      </c>
      <c r="M35" s="1247">
        <f>IF('Mkt Pen Veh-Mi'!M35=0,1,1/((1-Fuel2ShrbyTech!M36)/'Inputs 7&amp;8 Day'!$S48+Fuel2ShrbyTech!M36/'Inputs 7&amp;8 Day'!$Y48))</f>
        <v>1</v>
      </c>
      <c r="N35" s="1245">
        <f>IF('Mkt Pen Veh-Mi'!N35=0,1,1/((1-Fuel2ShrbyTech!N36)/'Inputs 7&amp;8 SU'!$N48+Fuel2ShrbyTech!N36/'Inputs 7&amp;8 SU'!$T48))</f>
        <v>8.5104540561065392</v>
      </c>
      <c r="O35" s="1246">
        <f>IF('Mkt Pen Veh-Mi'!O35=0,1,1/((1-Fuel2ShrbyTech!O36)/'Inputs 7&amp;8 SU'!$O48+Fuel2ShrbyTech!O36/'Inputs 7&amp;8 SU'!$U48))</f>
        <v>10.075534495078395</v>
      </c>
      <c r="P35" s="1246">
        <f>IF('Mkt Pen Veh-Mi'!P35=0,1,1/((1-Fuel2ShrbyTech!P36)/'Inputs 7&amp;8 SU'!$P48+Fuel2ShrbyTech!P36/'Inputs 7&amp;8 SU'!$V48))</f>
        <v>10.67906654550198</v>
      </c>
      <c r="Q35" s="1246">
        <f>IF('Mkt Pen Veh-Mi'!Q35=0,1,1/((1-Fuel2ShrbyTech!Q36)/'Inputs 7&amp;8 SU'!$Q48+Fuel2ShrbyTech!Q36/'Inputs 7&amp;8 SU'!$W48))</f>
        <v>11.794026809569115</v>
      </c>
      <c r="R35" s="1246">
        <f>IF('Mkt Pen Veh-Mi'!R35=0,1,1/((1-Fuel2ShrbyTech!R36)/'Inputs 7&amp;8 SU'!$R48+Fuel2ShrbyTech!R36/'Inputs 7&amp;8 SU'!$X48))</f>
        <v>14.135844348734301</v>
      </c>
      <c r="S35" s="1247">
        <f>IF('Mkt Pen Veh-Mi'!S35=0,1,1/((1-Fuel2ShrbyTech!S36)/'Inputs 7&amp;8 SU'!$S48+Fuel2ShrbyTech!S36/'Inputs 7&amp;8 SU'!$Y48))</f>
        <v>1</v>
      </c>
      <c r="U35" s="1191">
        <f t="shared" si="13"/>
        <v>2033</v>
      </c>
      <c r="V35" s="1245">
        <f t="shared" si="14"/>
        <v>8.0395269119106274</v>
      </c>
      <c r="W35" s="1246">
        <f t="shared" si="15"/>
        <v>8.1456306157943317</v>
      </c>
      <c r="X35" s="1246">
        <f t="shared" si="16"/>
        <v>8.8193670359766774</v>
      </c>
      <c r="Y35" s="1246">
        <f t="shared" si="17"/>
        <v>0</v>
      </c>
      <c r="Z35" s="1246">
        <f t="shared" si="18"/>
        <v>0</v>
      </c>
      <c r="AA35" s="1247">
        <f t="shared" si="19"/>
        <v>0</v>
      </c>
      <c r="AB35" s="1245">
        <f t="shared" si="20"/>
        <v>7.4432542648459084</v>
      </c>
      <c r="AC35" s="1246">
        <f t="shared" si="21"/>
        <v>8.7434904031298952</v>
      </c>
      <c r="AD35" s="1246">
        <f t="shared" si="22"/>
        <v>8.7921105547048519</v>
      </c>
      <c r="AE35" s="1246">
        <f t="shared" si="23"/>
        <v>9.4628516236880476</v>
      </c>
      <c r="AF35" s="1246">
        <f t="shared" si="24"/>
        <v>0</v>
      </c>
      <c r="AG35" s="1247">
        <f t="shared" si="25"/>
        <v>0</v>
      </c>
      <c r="AH35" s="1245">
        <f t="shared" si="26"/>
        <v>8.5104540561065392</v>
      </c>
      <c r="AI35" s="1246">
        <f t="shared" si="27"/>
        <v>10.075534495078395</v>
      </c>
      <c r="AJ35" s="1246">
        <f t="shared" si="28"/>
        <v>10.67906654550198</v>
      </c>
      <c r="AK35" s="1246">
        <f t="shared" si="29"/>
        <v>11.794026809569115</v>
      </c>
      <c r="AL35" s="1246">
        <f t="shared" si="30"/>
        <v>14.135844348734301</v>
      </c>
      <c r="AM35" s="1247">
        <f t="shared" si="31"/>
        <v>0</v>
      </c>
      <c r="AN35" s="1176">
        <v>2033</v>
      </c>
      <c r="AO35" s="1322">
        <f t="array" ref="AO35">1/SUMPRODUCT(IFERROR(1/V35:AA35,0),'Mkt Pen Veh-Mi'!B35:G35)</f>
        <v>8.2641306964222281</v>
      </c>
      <c r="AP35" s="1323">
        <f t="array" ref="AP35">1/SUMPRODUCT(IFERROR(1/AB35:AG35,0),'Mkt Pen Veh-Mi'!H35:M35)</f>
        <v>8.4438050358821624</v>
      </c>
      <c r="AQ35" s="1327">
        <f t="array" ref="AQ35">1/SUMPRODUCT(IFERROR(1/AH35:AM35,0),'Mkt Pen Veh-Mi'!N35:S35)</f>
        <v>9.5004293693888844</v>
      </c>
      <c r="AR35" s="1320">
        <v>2033</v>
      </c>
      <c r="AS35" s="1322">
        <f t="shared" si="32"/>
        <v>1.0279374379826813</v>
      </c>
      <c r="AT35" s="1323">
        <f t="shared" si="33"/>
        <v>1.1344238333710837</v>
      </c>
      <c r="AU35" s="1323">
        <f t="shared" si="34"/>
        <v>1.1163246175533965</v>
      </c>
      <c r="AV35" s="1327">
        <v>1.3942553676087848</v>
      </c>
    </row>
    <row r="36" spans="1:48" s="1176" customFormat="1" ht="15" x14ac:dyDescent="0.2">
      <c r="A36" s="1191">
        <v>2034</v>
      </c>
      <c r="B36" s="1245">
        <f>IF('Mkt Pen Veh-Mi'!B36=0,1,1/((1-Fuel2ShrbyTech!B37)/'Inputs 7&amp;8 Sleep'!$N49+Fuel2ShrbyTech!B37/'Inputs 7&amp;8 Sleep'!$T49))</f>
        <v>8.0572116034836725</v>
      </c>
      <c r="C36" s="1246">
        <f>IF('Mkt Pen Veh-Mi'!C36=0,1,1/((1-Fuel2ShrbyTech!C37)/'Inputs 7&amp;8 Sleep'!$O49+Fuel2ShrbyTech!C37/'Inputs 7&amp;8 Sleep'!$U49))</f>
        <v>8.1620825149627976</v>
      </c>
      <c r="D36" s="1246">
        <f>IF('Mkt Pen Veh-Mi'!D36=0,1,1/((1-Fuel2ShrbyTech!D37)/'Inputs 7&amp;8 Sleep'!$P49+Fuel2ShrbyTech!D37/'Inputs 7&amp;8 Sleep'!$V49))</f>
        <v>8.8388523105177885</v>
      </c>
      <c r="E36" s="1246">
        <f>IF('Mkt Pen Veh-Mi'!E36=0,1,1/((1-Fuel2ShrbyTech!E37)/'Inputs 7&amp;8 Sleep'!$Q49+Fuel2ShrbyTech!E37/'Inputs 7&amp;8 Sleep'!$W49))</f>
        <v>1</v>
      </c>
      <c r="F36" s="1246">
        <f>IF('Mkt Pen Veh-Mi'!F36=0,1,1/((1-Fuel2ShrbyTech!F37)/'Inputs 7&amp;8 Sleep'!$R49+Fuel2ShrbyTech!F37/'Inputs 7&amp;8 Sleep'!$X49))</f>
        <v>1</v>
      </c>
      <c r="G36" s="1247">
        <f>IF('Mkt Pen Veh-Mi'!G36=0,1,1/((1-Fuel2ShrbyTech!G37)/'Inputs 7&amp;8 Sleep'!$S49+Fuel2ShrbyTech!G37/'Inputs 7&amp;8 Sleep'!$Y49))</f>
        <v>1</v>
      </c>
      <c r="H36" s="1245">
        <f>IF('Mkt Pen Veh-Mi'!H36=0,1,1/((1-Fuel2ShrbyTech!H37)/'Inputs 7&amp;8 Day'!$N49+Fuel2ShrbyTech!H37/'Inputs 7&amp;8 Day'!$T49))</f>
        <v>7.4474422972707748</v>
      </c>
      <c r="I36" s="1246">
        <f>IF('Mkt Pen Veh-Mi'!I36=0,1,1/((1-Fuel2ShrbyTech!I37)/'Inputs 7&amp;8 Day'!$O49+Fuel2ShrbyTech!I37/'Inputs 7&amp;8 Day'!$U49))</f>
        <v>8.7484100283384194</v>
      </c>
      <c r="J36" s="1246">
        <f>IF('Mkt Pen Veh-Mi'!J36=0,1,1/((1-Fuel2ShrbyTech!J37)/'Inputs 7&amp;8 Day'!$P49+Fuel2ShrbyTech!J37/'Inputs 7&amp;8 Day'!$V49))</f>
        <v>8.7970575365995849</v>
      </c>
      <c r="K36" s="1246">
        <f>IF('Mkt Pen Veh-Mi'!K36=0,1,1/((1-Fuel2ShrbyTech!K37)/'Inputs 7&amp;8 Day'!$Q49+Fuel2ShrbyTech!K37/'Inputs 7&amp;8 Day'!$W49))</f>
        <v>9.730230286192965</v>
      </c>
      <c r="L36" s="1246">
        <f>IF('Mkt Pen Veh-Mi'!L36=0,1,1/((1-Fuel2ShrbyTech!L37)/'Inputs 7&amp;8 Day'!$R49+Fuel2ShrbyTech!L37/'Inputs 7&amp;8 Day'!$X49))</f>
        <v>1</v>
      </c>
      <c r="M36" s="1247">
        <f>IF('Mkt Pen Veh-Mi'!M36=0,1,1/((1-Fuel2ShrbyTech!M37)/'Inputs 7&amp;8 Day'!$S49+Fuel2ShrbyTech!M37/'Inputs 7&amp;8 Day'!$Y49))</f>
        <v>1</v>
      </c>
      <c r="N36" s="1245">
        <f>IF('Mkt Pen Veh-Mi'!N36=0,1,1/((1-Fuel2ShrbyTech!N37)/'Inputs 7&amp;8 SU'!$N49+Fuel2ShrbyTech!N37/'Inputs 7&amp;8 SU'!$T49))</f>
        <v>8.5273882941819608</v>
      </c>
      <c r="O36" s="1246">
        <f>IF('Mkt Pen Veh-Mi'!O36=0,1,1/((1-Fuel2ShrbyTech!O37)/'Inputs 7&amp;8 SU'!$O49+Fuel2ShrbyTech!O37/'Inputs 7&amp;8 SU'!$U49))</f>
        <v>10.095582955331153</v>
      </c>
      <c r="P36" s="1246">
        <f>IF('Mkt Pen Veh-Mi'!P36=0,1,1/((1-Fuel2ShrbyTech!P37)/'Inputs 7&amp;8 SU'!$P49+Fuel2ShrbyTech!P37/'Inputs 7&amp;8 SU'!$V49))</f>
        <v>10.700315923515488</v>
      </c>
      <c r="Q36" s="1246">
        <f>IF('Mkt Pen Veh-Mi'!Q36=0,1,1/((1-Fuel2ShrbyTech!Q37)/'Inputs 7&amp;8 SU'!$Q49+Fuel2ShrbyTech!Q37/'Inputs 7&amp;8 SU'!$W49))</f>
        <v>11.932742362590075</v>
      </c>
      <c r="R36" s="1246">
        <f>IF('Mkt Pen Veh-Mi'!R36=0,1,1/((1-Fuel2ShrbyTech!R37)/'Inputs 7&amp;8 SU'!$R49+Fuel2ShrbyTech!R37/'Inputs 7&amp;8 SU'!$X49))</f>
        <v>14.524222633932677</v>
      </c>
      <c r="S36" s="1247">
        <f>IF('Mkt Pen Veh-Mi'!S36=0,1,1/((1-Fuel2ShrbyTech!S37)/'Inputs 7&amp;8 SU'!$S49+Fuel2ShrbyTech!S37/'Inputs 7&amp;8 SU'!$Y49))</f>
        <v>1</v>
      </c>
      <c r="U36" s="1191">
        <f t="shared" si="13"/>
        <v>2034</v>
      </c>
      <c r="V36" s="1245">
        <f t="shared" si="14"/>
        <v>8.0572116034836725</v>
      </c>
      <c r="W36" s="1246">
        <f t="shared" si="15"/>
        <v>8.1620825149627976</v>
      </c>
      <c r="X36" s="1246">
        <f t="shared" si="16"/>
        <v>8.8388523105177885</v>
      </c>
      <c r="Y36" s="1246">
        <f t="shared" si="17"/>
        <v>0</v>
      </c>
      <c r="Z36" s="1246">
        <f t="shared" si="18"/>
        <v>0</v>
      </c>
      <c r="AA36" s="1247">
        <f t="shared" si="19"/>
        <v>0</v>
      </c>
      <c r="AB36" s="1245">
        <f t="shared" si="20"/>
        <v>7.4474422972707748</v>
      </c>
      <c r="AC36" s="1246">
        <f t="shared" si="21"/>
        <v>8.7484100283384194</v>
      </c>
      <c r="AD36" s="1246">
        <f t="shared" si="22"/>
        <v>8.7970575365995849</v>
      </c>
      <c r="AE36" s="1246">
        <f t="shared" si="23"/>
        <v>9.730230286192965</v>
      </c>
      <c r="AF36" s="1246">
        <f t="shared" si="24"/>
        <v>0</v>
      </c>
      <c r="AG36" s="1247">
        <f t="shared" si="25"/>
        <v>0</v>
      </c>
      <c r="AH36" s="1245">
        <f t="shared" si="26"/>
        <v>8.5273882941819608</v>
      </c>
      <c r="AI36" s="1246">
        <f t="shared" si="27"/>
        <v>10.095582955331153</v>
      </c>
      <c r="AJ36" s="1246">
        <f t="shared" si="28"/>
        <v>10.700315923515488</v>
      </c>
      <c r="AK36" s="1246">
        <f t="shared" si="29"/>
        <v>11.932742362590075</v>
      </c>
      <c r="AL36" s="1246">
        <f t="shared" si="30"/>
        <v>14.524222633932677</v>
      </c>
      <c r="AM36" s="1247">
        <f t="shared" si="31"/>
        <v>0</v>
      </c>
      <c r="AN36" s="1176">
        <v>2034</v>
      </c>
      <c r="AO36" s="1322">
        <f t="array" ref="AO36">1/SUMPRODUCT(IFERROR(1/V36:AA36,0),'Mkt Pen Veh-Mi'!B36:G36)</f>
        <v>8.286061880577174</v>
      </c>
      <c r="AP36" s="1323">
        <f t="array" ref="AP36">1/SUMPRODUCT(IFERROR(1/AB36:AG36,0),'Mkt Pen Veh-Mi'!H36:M36)</f>
        <v>8.4559143026214834</v>
      </c>
      <c r="AQ36" s="1327">
        <f t="array" ref="AQ36">1/SUMPRODUCT(IFERROR(1/AH36:AM36,0),'Mkt Pen Veh-Mi'!N36:S36)</f>
        <v>9.5410419184578128</v>
      </c>
      <c r="AR36" s="1320">
        <v>2034</v>
      </c>
      <c r="AS36" s="1322">
        <f t="shared" si="32"/>
        <v>1.0284031608397319</v>
      </c>
      <c r="AT36" s="1323">
        <f t="shared" si="33"/>
        <v>1.1354118588767419</v>
      </c>
      <c r="AU36" s="1323">
        <f t="shared" si="34"/>
        <v>1.1188703491979419</v>
      </c>
      <c r="AV36" s="1327">
        <v>1.5544037088823743</v>
      </c>
    </row>
    <row r="37" spans="1:48" s="1176" customFormat="1" ht="15" x14ac:dyDescent="0.2">
      <c r="A37" s="1197">
        <v>2035</v>
      </c>
      <c r="B37" s="1248">
        <f>IF('Mkt Pen Veh-Mi'!B37=0,1,1/((1-Fuel2ShrbyTech!B38)/'Inputs 7&amp;8 Sleep'!$N50+Fuel2ShrbyTech!B38/'Inputs 7&amp;8 Sleep'!$T50))</f>
        <v>8.0685847555815613</v>
      </c>
      <c r="C37" s="1249">
        <f>IF('Mkt Pen Veh-Mi'!C37=0,1,1/((1-Fuel2ShrbyTech!C38)/'Inputs 7&amp;8 Sleep'!$O50+Fuel2ShrbyTech!C38/'Inputs 7&amp;8 Sleep'!$U50))</f>
        <v>8.1753579269962202</v>
      </c>
      <c r="D37" s="1249">
        <f>IF('Mkt Pen Veh-Mi'!D37=0,1,1/((1-Fuel2ShrbyTech!D38)/'Inputs 7&amp;8 Sleep'!$P50+Fuel2ShrbyTech!D38/'Inputs 7&amp;8 Sleep'!$V50))</f>
        <v>8.8545754222065227</v>
      </c>
      <c r="E37" s="1249">
        <f>IF('Mkt Pen Veh-Mi'!E37=0,1,1/((1-Fuel2ShrbyTech!E38)/'Inputs 7&amp;8 Sleep'!$Q50+Fuel2ShrbyTech!E38/'Inputs 7&amp;8 Sleep'!$W50))</f>
        <v>1</v>
      </c>
      <c r="F37" s="1249">
        <f>IF('Mkt Pen Veh-Mi'!F37=0,1,1/((1-Fuel2ShrbyTech!F38)/'Inputs 7&amp;8 Sleep'!$R50+Fuel2ShrbyTech!F38/'Inputs 7&amp;8 Sleep'!$X50))</f>
        <v>1</v>
      </c>
      <c r="G37" s="1250">
        <f>IF('Mkt Pen Veh-Mi'!G37=0,1,1/((1-Fuel2ShrbyTech!G38)/'Inputs 7&amp;8 Sleep'!$S50+Fuel2ShrbyTech!G38/'Inputs 7&amp;8 Sleep'!$Y50))</f>
        <v>1</v>
      </c>
      <c r="H37" s="1248">
        <f>IF('Mkt Pen Veh-Mi'!H37=0,1,1/((1-Fuel2ShrbyTech!H38)/'Inputs 7&amp;8 Day'!$N50+Fuel2ShrbyTech!H38/'Inputs 7&amp;8 Day'!$T50))</f>
        <v>7.4516303296956377</v>
      </c>
      <c r="I37" s="1249">
        <f>IF('Mkt Pen Veh-Mi'!I37=0,1,1/((1-Fuel2ShrbyTech!I38)/'Inputs 7&amp;8 Day'!$O50+Fuel2ShrbyTech!I38/'Inputs 7&amp;8 Day'!$U50))</f>
        <v>8.7533296535469436</v>
      </c>
      <c r="J37" s="1249">
        <f>IF('Mkt Pen Veh-Mi'!J37=0,1,1/((1-Fuel2ShrbyTech!J38)/'Inputs 7&amp;8 Day'!$P50+Fuel2ShrbyTech!J38/'Inputs 7&amp;8 Day'!$V50))</f>
        <v>8.8020045184943179</v>
      </c>
      <c r="K37" s="1249">
        <f>IF('Mkt Pen Veh-Mi'!K37=0,1,1/((1-Fuel2ShrbyTech!K38)/'Inputs 7&amp;8 Day'!$Q50+Fuel2ShrbyTech!K38/'Inputs 7&amp;8 Day'!$W50))</f>
        <v>10.085696444168304</v>
      </c>
      <c r="L37" s="1249">
        <f>IF('Mkt Pen Veh-Mi'!L37=0,1,1/((1-Fuel2ShrbyTech!L38)/'Inputs 7&amp;8 Day'!$R50+Fuel2ShrbyTech!L38/'Inputs 7&amp;8 Day'!$X50))</f>
        <v>1</v>
      </c>
      <c r="M37" s="1250">
        <f>IF('Mkt Pen Veh-Mi'!M37=0,1,1/((1-Fuel2ShrbyTech!M38)/'Inputs 7&amp;8 Day'!$S50+Fuel2ShrbyTech!M38/'Inputs 7&amp;8 Day'!$Y50))</f>
        <v>1</v>
      </c>
      <c r="N37" s="1248">
        <f>IF('Mkt Pen Veh-Mi'!N37=0,1,1/((1-Fuel2ShrbyTech!N38)/'Inputs 7&amp;8 SU'!$N50+Fuel2ShrbyTech!N38/'Inputs 7&amp;8 SU'!$T50))</f>
        <v>8.5443225322573806</v>
      </c>
      <c r="O37" s="1249">
        <f>IF('Mkt Pen Veh-Mi'!O37=0,1,1/((1-Fuel2ShrbyTech!O38)/'Inputs 7&amp;8 SU'!$O50+Fuel2ShrbyTech!O38/'Inputs 7&amp;8 SU'!$U50))</f>
        <v>10.115631415583909</v>
      </c>
      <c r="P37" s="1249">
        <f>IF('Mkt Pen Veh-Mi'!P37=0,1,1/((1-Fuel2ShrbyTech!P38)/'Inputs 7&amp;8 SU'!$P50+Fuel2ShrbyTech!P38/'Inputs 7&amp;8 SU'!$V50))</f>
        <v>10.721565301528994</v>
      </c>
      <c r="Q37" s="1249">
        <f>IF('Mkt Pen Veh-Mi'!Q37=0,1,1/((1-Fuel2ShrbyTech!Q38)/'Inputs 7&amp;8 SU'!$Q50+Fuel2ShrbyTech!Q38/'Inputs 7&amp;8 SU'!$W50))</f>
        <v>12.071915647892972</v>
      </c>
      <c r="R37" s="1249">
        <f>IF('Mkt Pen Veh-Mi'!R37=0,1,1/((1-Fuel2ShrbyTech!R38)/'Inputs 7&amp;8 SU'!$R50+Fuel2ShrbyTech!R38/'Inputs 7&amp;8 SU'!$X50))</f>
        <v>15.024997799091448</v>
      </c>
      <c r="S37" s="1250">
        <f>IF('Mkt Pen Veh-Mi'!S37=0,1,1/((1-Fuel2ShrbyTech!S38)/'Inputs 7&amp;8 SU'!$S50+Fuel2ShrbyTech!S38/'Inputs 7&amp;8 SU'!$Y50))</f>
        <v>1</v>
      </c>
      <c r="U37" s="1197">
        <f t="shared" si="13"/>
        <v>2035</v>
      </c>
      <c r="V37" s="1248">
        <f t="shared" si="14"/>
        <v>8.0685847555815613</v>
      </c>
      <c r="W37" s="1249">
        <f t="shared" si="15"/>
        <v>8.1753579269962202</v>
      </c>
      <c r="X37" s="1249">
        <f t="shared" si="16"/>
        <v>8.8545754222065227</v>
      </c>
      <c r="Y37" s="1249">
        <f t="shared" si="17"/>
        <v>0</v>
      </c>
      <c r="Z37" s="1249">
        <f t="shared" si="18"/>
        <v>0</v>
      </c>
      <c r="AA37" s="1250">
        <f t="shared" si="19"/>
        <v>0</v>
      </c>
      <c r="AB37" s="1248">
        <f t="shared" si="20"/>
        <v>7.4516303296956377</v>
      </c>
      <c r="AC37" s="1249">
        <f t="shared" si="21"/>
        <v>8.7533296535469436</v>
      </c>
      <c r="AD37" s="1249">
        <f t="shared" si="22"/>
        <v>8.8020045184943179</v>
      </c>
      <c r="AE37" s="1249">
        <f t="shared" si="23"/>
        <v>10.085696444168304</v>
      </c>
      <c r="AF37" s="1249">
        <f t="shared" si="24"/>
        <v>0</v>
      </c>
      <c r="AG37" s="1250">
        <f t="shared" si="25"/>
        <v>0</v>
      </c>
      <c r="AH37" s="1248">
        <f t="shared" si="26"/>
        <v>8.5443225322573806</v>
      </c>
      <c r="AI37" s="1249">
        <f t="shared" si="27"/>
        <v>10.115631415583909</v>
      </c>
      <c r="AJ37" s="1249">
        <f t="shared" si="28"/>
        <v>10.721565301528994</v>
      </c>
      <c r="AK37" s="1249">
        <f t="shared" si="29"/>
        <v>12.071915647892972</v>
      </c>
      <c r="AL37" s="1249">
        <f t="shared" si="30"/>
        <v>15.024997799091448</v>
      </c>
      <c r="AM37" s="1250">
        <f t="shared" si="31"/>
        <v>0</v>
      </c>
      <c r="AN37" s="1176">
        <v>2035</v>
      </c>
      <c r="AO37" s="1322">
        <f t="array" ref="AO37">1/SUMPRODUCT(IFERROR(1/V37:AA37,0),'Mkt Pen Veh-Mi'!B37:G37)</f>
        <v>8.3031734905234718</v>
      </c>
      <c r="AP37" s="1323">
        <f t="array" ref="AP37">1/SUMPRODUCT(IFERROR(1/AB37:AG37,0),'Mkt Pen Veh-Mi'!H37:M37)</f>
        <v>8.4842541266359781</v>
      </c>
      <c r="AQ37" s="1327">
        <f t="array" ref="AQ37">1/SUMPRODUCT(IFERROR(1/AH37:AM37,0),'Mkt Pen Veh-Mi'!N37:S37)</f>
        <v>9.5800662645966117</v>
      </c>
      <c r="AR37" s="1320">
        <v>2035</v>
      </c>
      <c r="AS37" s="1328">
        <f t="shared" si="32"/>
        <v>1.0290743348490738</v>
      </c>
      <c r="AT37" s="1329">
        <f t="shared" si="33"/>
        <v>1.1385768954245101</v>
      </c>
      <c r="AU37" s="1329">
        <f t="shared" si="34"/>
        <v>1.1212201117676666</v>
      </c>
      <c r="AV37" s="1330">
        <v>1.733471734567664</v>
      </c>
    </row>
    <row r="38" spans="1:48" s="1176" customFormat="1" ht="15" x14ac:dyDescent="0.2">
      <c r="A38" s="1191">
        <v>2036</v>
      </c>
      <c r="B38" s="1251">
        <f>IF('Mkt Pen Veh-Mi'!B38=0,1,1/((1-Fuel2ShrbyTech!B39)/'Inputs 7&amp;8 Sleep'!$N51+Fuel2ShrbyTech!B39/'Inputs 7&amp;8 Sleep'!$T51))</f>
        <v>8.0827348383128879</v>
      </c>
      <c r="C38" s="1252">
        <f>IF('Mkt Pen Veh-Mi'!C38=0,1,1/((1-Fuel2ShrbyTech!C39)/'Inputs 7&amp;8 Sleep'!$O51+Fuel2ShrbyTech!C39/'Inputs 7&amp;8 Sleep'!$U51))</f>
        <v>8.2656894200220226</v>
      </c>
      <c r="D38" s="1252">
        <f>IF('Mkt Pen Veh-Mi'!D38=0,1,1/((1-Fuel2ShrbyTech!D39)/'Inputs 7&amp;8 Sleep'!$P51+Fuel2ShrbyTech!D39/'Inputs 7&amp;8 Sleep'!$V51))</f>
        <v>8.997573231603015</v>
      </c>
      <c r="E38" s="1252">
        <f>IF('Mkt Pen Veh-Mi'!E38=0,1,1/((1-Fuel2ShrbyTech!E39)/'Inputs 7&amp;8 Sleep'!$Q51+Fuel2ShrbyTech!E39/'Inputs 7&amp;8 Sleep'!$W51))</f>
        <v>1</v>
      </c>
      <c r="F38" s="1252">
        <f>IF('Mkt Pen Veh-Mi'!F38=0,1,1/((1-Fuel2ShrbyTech!F39)/'Inputs 7&amp;8 Sleep'!$R51+Fuel2ShrbyTech!F39/'Inputs 7&amp;8 Sleep'!$X51))</f>
        <v>1</v>
      </c>
      <c r="G38" s="1253">
        <f>IF('Mkt Pen Veh-Mi'!G38=0,1,1/((1-Fuel2ShrbyTech!G39)/'Inputs 7&amp;8 Sleep'!$S51+Fuel2ShrbyTech!G39/'Inputs 7&amp;8 Sleep'!$Y51))</f>
        <v>1</v>
      </c>
      <c r="H38" s="1251">
        <f>IF('Mkt Pen Veh-Mi'!H38=0,1,1/((1-Fuel2ShrbyTech!H39)/'Inputs 7&amp;8 Day'!$N51+Fuel2ShrbyTech!H39/'Inputs 7&amp;8 Day'!$T51))</f>
        <v>7.4551478614568492</v>
      </c>
      <c r="I38" s="1252">
        <f>IF('Mkt Pen Veh-Mi'!I38=0,1,1/((1-Fuel2ShrbyTech!I39)/'Inputs 7&amp;8 Day'!$O51+Fuel2ShrbyTech!I39/'Inputs 7&amp;8 Day'!$U51))</f>
        <v>8.757461650668434</v>
      </c>
      <c r="J38" s="1252">
        <f>IF('Mkt Pen Veh-Mi'!J38=0,1,1/((1-Fuel2ShrbyTech!J39)/'Inputs 7&amp;8 Day'!$P51+Fuel2ShrbyTech!J39/'Inputs 7&amp;8 Day'!$V51))</f>
        <v>8.8061594925182902</v>
      </c>
      <c r="K38" s="1252">
        <f>IF('Mkt Pen Veh-Mi'!K38=0,1,1/((1-Fuel2ShrbyTech!K39)/'Inputs 7&amp;8 Day'!$Q51+Fuel2ShrbyTech!K39/'Inputs 7&amp;8 Day'!$W51))</f>
        <v>10.215392328737179</v>
      </c>
      <c r="L38" s="1252">
        <f>IF('Mkt Pen Veh-Mi'!L38=0,1,1/((1-Fuel2ShrbyTech!L39)/'Inputs 7&amp;8 Day'!$R51+Fuel2ShrbyTech!L39/'Inputs 7&amp;8 Day'!$X51))</f>
        <v>1</v>
      </c>
      <c r="M38" s="1253">
        <f>IF('Mkt Pen Veh-Mi'!M38=0,1,1/((1-Fuel2ShrbyTech!M39)/'Inputs 7&amp;8 Day'!$S51+Fuel2ShrbyTech!M39/'Inputs 7&amp;8 Day'!$Y51))</f>
        <v>1</v>
      </c>
      <c r="N38" s="1251">
        <f>IF('Mkt Pen Veh-Mi'!N38=0,1,1/((1-Fuel2ShrbyTech!N39)/'Inputs 7&amp;8 SU'!$N51+Fuel2ShrbyTech!N39/'Inputs 7&amp;8 SU'!$T51))</f>
        <v>8.5444945413697049</v>
      </c>
      <c r="O38" s="1252">
        <f>IF('Mkt Pen Veh-Mi'!O38=0,1,1/((1-Fuel2ShrbyTech!O39)/'Inputs 7&amp;8 SU'!$O51+Fuel2ShrbyTech!O39/'Inputs 7&amp;8 SU'!$U51))</f>
        <v>10.115835057332429</v>
      </c>
      <c r="P38" s="1252">
        <f>IF('Mkt Pen Veh-Mi'!P38=0,1,1/((1-Fuel2ShrbyTech!P39)/'Inputs 7&amp;8 SU'!$P51+Fuel2ShrbyTech!P39/'Inputs 7&amp;8 SU'!$V51))</f>
        <v>10.721781141570528</v>
      </c>
      <c r="Q38" s="1252">
        <f>IF('Mkt Pen Veh-Mi'!Q38=0,1,1/((1-Fuel2ShrbyTech!Q39)/'Inputs 7&amp;8 SU'!$Q51+Fuel2ShrbyTech!Q39/'Inputs 7&amp;8 SU'!$W51))</f>
        <v>12.072158672367625</v>
      </c>
      <c r="R38" s="1252">
        <f>IF('Mkt Pen Veh-Mi'!R38=0,1,1/((1-Fuel2ShrbyTech!R39)/'Inputs 7&amp;8 SU'!$R51+Fuel2ShrbyTech!R39/'Inputs 7&amp;8 SU'!$X51))</f>
        <v>15.230024978867016</v>
      </c>
      <c r="S38" s="1253">
        <f>IF('Mkt Pen Veh-Mi'!S38=0,1,1/((1-Fuel2ShrbyTech!S39)/'Inputs 7&amp;8 SU'!$S51+Fuel2ShrbyTech!S39/'Inputs 7&amp;8 SU'!$Y51))</f>
        <v>1</v>
      </c>
      <c r="U38" s="1191">
        <f t="shared" si="13"/>
        <v>2036</v>
      </c>
      <c r="V38" s="1251">
        <f t="shared" si="14"/>
        <v>8.0827348383128879</v>
      </c>
      <c r="W38" s="1252">
        <f t="shared" si="15"/>
        <v>8.2656894200220226</v>
      </c>
      <c r="X38" s="1252">
        <f t="shared" si="16"/>
        <v>8.997573231603015</v>
      </c>
      <c r="Y38" s="1252">
        <f t="shared" si="17"/>
        <v>0</v>
      </c>
      <c r="Z38" s="1252">
        <f t="shared" si="18"/>
        <v>0</v>
      </c>
      <c r="AA38" s="1253">
        <f t="shared" si="19"/>
        <v>0</v>
      </c>
      <c r="AB38" s="1251">
        <f t="shared" si="20"/>
        <v>7.4551478614568492</v>
      </c>
      <c r="AC38" s="1252">
        <f t="shared" si="21"/>
        <v>8.757461650668434</v>
      </c>
      <c r="AD38" s="1252">
        <f t="shared" si="22"/>
        <v>8.8061594925182902</v>
      </c>
      <c r="AE38" s="1252">
        <f t="shared" si="23"/>
        <v>10.215392328737179</v>
      </c>
      <c r="AF38" s="1252">
        <f t="shared" si="24"/>
        <v>0</v>
      </c>
      <c r="AG38" s="1253">
        <f t="shared" si="25"/>
        <v>0</v>
      </c>
      <c r="AH38" s="1251">
        <f t="shared" si="26"/>
        <v>8.5444945413697049</v>
      </c>
      <c r="AI38" s="1252">
        <f t="shared" si="27"/>
        <v>10.115835057332429</v>
      </c>
      <c r="AJ38" s="1252">
        <f t="shared" si="28"/>
        <v>10.721781141570528</v>
      </c>
      <c r="AK38" s="1252">
        <f t="shared" si="29"/>
        <v>12.072158672367625</v>
      </c>
      <c r="AL38" s="1252">
        <f t="shared" si="30"/>
        <v>15.230024978867016</v>
      </c>
      <c r="AM38" s="1253">
        <f t="shared" si="31"/>
        <v>0</v>
      </c>
      <c r="AN38" s="1176">
        <v>2036</v>
      </c>
      <c r="AO38" s="1322">
        <f t="array" ref="AO38">1/SUMPRODUCT(IFERROR(1/V38:AA38,0),'Mkt Pen Veh-Mi'!B38:G38)</f>
        <v>8.4335968986174148</v>
      </c>
      <c r="AP38" s="1323">
        <f t="array" ref="AP38">1/SUMPRODUCT(IFERROR(1/AB38:AG38,0),'Mkt Pen Veh-Mi'!H38:M38)</f>
        <v>8.5087066886716514</v>
      </c>
      <c r="AQ38" s="1327">
        <f t="array" ref="AQ38">1/SUMPRODUCT(IFERROR(1/AH38:AM38,0),'Mkt Pen Veh-Mi'!N38:S38)</f>
        <v>9.6112562487909354</v>
      </c>
      <c r="AR38" s="1320">
        <v>2036</v>
      </c>
      <c r="AS38" s="1322">
        <f t="shared" si="32"/>
        <v>1.0434088297244899</v>
      </c>
      <c r="AT38" s="1323">
        <f t="shared" si="33"/>
        <v>1.1413196420505227</v>
      </c>
      <c r="AU38" s="1323">
        <f t="shared" si="34"/>
        <v>1.1248478423453034</v>
      </c>
      <c r="AV38" s="1327">
        <v>1.9033105938350969</v>
      </c>
    </row>
    <row r="39" spans="1:48" s="1176" customFormat="1" ht="15" x14ac:dyDescent="0.2">
      <c r="A39" s="1191">
        <v>2037</v>
      </c>
      <c r="B39" s="1245">
        <f>IF('Mkt Pen Veh-Mi'!B39=0,1,1/((1-Fuel2ShrbyTech!B40)/'Inputs 7&amp;8 Sleep'!$N52+Fuel2ShrbyTech!B40/'Inputs 7&amp;8 Sleep'!$T52))</f>
        <v>8.0946677445201622</v>
      </c>
      <c r="C39" s="1246">
        <f>IF('Mkt Pen Veh-Mi'!C39=0,1,1/((1-Fuel2ShrbyTech!C40)/'Inputs 7&amp;8 Sleep'!$O52+Fuel2ShrbyTech!C40/'Inputs 7&amp;8 Sleep'!$U52))</f>
        <v>8.3207683056087536</v>
      </c>
      <c r="D39" s="1246">
        <f>IF('Mkt Pen Veh-Mi'!D39=0,1,1/((1-Fuel2ShrbyTech!D40)/'Inputs 7&amp;8 Sleep'!$P52+Fuel2ShrbyTech!D40/'Inputs 7&amp;8 Sleep'!$V52))</f>
        <v>9.0847649708190676</v>
      </c>
      <c r="E39" s="1246">
        <f>IF('Mkt Pen Veh-Mi'!E39=0,1,1/((1-Fuel2ShrbyTech!E40)/'Inputs 7&amp;8 Sleep'!$Q52+Fuel2ShrbyTech!E40/'Inputs 7&amp;8 Sleep'!$W52))</f>
        <v>1</v>
      </c>
      <c r="F39" s="1246">
        <f>IF('Mkt Pen Veh-Mi'!F39=0,1,1/((1-Fuel2ShrbyTech!F40)/'Inputs 7&amp;8 Sleep'!$R52+Fuel2ShrbyTech!F40/'Inputs 7&amp;8 Sleep'!$X52))</f>
        <v>1</v>
      </c>
      <c r="G39" s="1247">
        <f>IF('Mkt Pen Veh-Mi'!G39=0,1,1/((1-Fuel2ShrbyTech!G40)/'Inputs 7&amp;8 Sleep'!$S52+Fuel2ShrbyTech!G40/'Inputs 7&amp;8 Sleep'!$Y52))</f>
        <v>1</v>
      </c>
      <c r="H39" s="1245">
        <f>IF('Mkt Pen Veh-Mi'!H39=0,1,1/((1-Fuel2ShrbyTech!H40)/'Inputs 7&amp;8 Day'!$N52+Fuel2ShrbyTech!H40/'Inputs 7&amp;8 Day'!$T52))</f>
        <v>7.4551644145974123</v>
      </c>
      <c r="I39" s="1246">
        <f>IF('Mkt Pen Veh-Mi'!I39=0,1,1/((1-Fuel2ShrbyTech!I40)/'Inputs 7&amp;8 Day'!$O52+Fuel2ShrbyTech!I40/'Inputs 7&amp;8 Day'!$U52))</f>
        <v>8.7574810954194149</v>
      </c>
      <c r="J39" s="1246">
        <f>IF('Mkt Pen Veh-Mi'!J39=0,1,1/((1-Fuel2ShrbyTech!J40)/'Inputs 7&amp;8 Day'!$P52+Fuel2ShrbyTech!J40/'Inputs 7&amp;8 Day'!$V52))</f>
        <v>8.8061790453961972</v>
      </c>
      <c r="K39" s="1246">
        <f>IF('Mkt Pen Veh-Mi'!K39=0,1,1/((1-Fuel2ShrbyTech!K40)/'Inputs 7&amp;8 Day'!$Q52+Fuel2ShrbyTech!K40/'Inputs 7&amp;8 Day'!$W52))</f>
        <v>10.337966762048136</v>
      </c>
      <c r="L39" s="1246">
        <f>IF('Mkt Pen Veh-Mi'!L39=0,1,1/((1-Fuel2ShrbyTech!L40)/'Inputs 7&amp;8 Day'!$R52+Fuel2ShrbyTech!L40/'Inputs 7&amp;8 Day'!$X52))</f>
        <v>1</v>
      </c>
      <c r="M39" s="1247">
        <f>IF('Mkt Pen Veh-Mi'!M39=0,1,1/((1-Fuel2ShrbyTech!M40)/'Inputs 7&amp;8 Day'!$S52+Fuel2ShrbyTech!M40/'Inputs 7&amp;8 Day'!$Y52))</f>
        <v>1</v>
      </c>
      <c r="N39" s="1245">
        <f>IF('Mkt Pen Veh-Mi'!N39=0,1,1/((1-Fuel2ShrbyTech!N40)/'Inputs 7&amp;8 SU'!$N52+Fuel2ShrbyTech!N40/'Inputs 7&amp;8 SU'!$T52))</f>
        <v>8.5450857966197695</v>
      </c>
      <c r="O39" s="1246">
        <f>IF('Mkt Pen Veh-Mi'!O39=0,1,1/((1-Fuel2ShrbyTech!O40)/'Inputs 7&amp;8 SU'!$O52+Fuel2ShrbyTech!O40/'Inputs 7&amp;8 SU'!$U52))</f>
        <v>10.116535044974469</v>
      </c>
      <c r="P39" s="1246">
        <f>IF('Mkt Pen Veh-Mi'!P39=0,1,1/((1-Fuel2ShrbyTech!P40)/'Inputs 7&amp;8 SU'!$P52+Fuel2ShrbyTech!P40/'Inputs 7&amp;8 SU'!$V52))</f>
        <v>10.722523058995755</v>
      </c>
      <c r="Q39" s="1246">
        <f>IF('Mkt Pen Veh-Mi'!Q39=0,1,1/((1-Fuel2ShrbyTech!Q40)/'Inputs 7&amp;8 SU'!$Q52+Fuel2ShrbyTech!Q40/'Inputs 7&amp;8 SU'!$W52))</f>
        <v>12.072994032161008</v>
      </c>
      <c r="R39" s="1246">
        <f>IF('Mkt Pen Veh-Mi'!R39=0,1,1/((1-Fuel2ShrbyTech!R40)/'Inputs 7&amp;8 SU'!$R52+Fuel2ShrbyTech!R40/'Inputs 7&amp;8 SU'!$X52))</f>
        <v>15.426737518014745</v>
      </c>
      <c r="S39" s="1247">
        <f>IF('Mkt Pen Veh-Mi'!S39=0,1,1/((1-Fuel2ShrbyTech!S40)/'Inputs 7&amp;8 SU'!$S52+Fuel2ShrbyTech!S40/'Inputs 7&amp;8 SU'!$Y52))</f>
        <v>1</v>
      </c>
      <c r="U39" s="1191">
        <f t="shared" si="13"/>
        <v>2037</v>
      </c>
      <c r="V39" s="1245">
        <f t="shared" si="14"/>
        <v>8.0946677445201622</v>
      </c>
      <c r="W39" s="1246">
        <f t="shared" si="15"/>
        <v>8.3207683056087536</v>
      </c>
      <c r="X39" s="1246">
        <f t="shared" si="16"/>
        <v>9.0847649708190676</v>
      </c>
      <c r="Y39" s="1246">
        <f t="shared" si="17"/>
        <v>0</v>
      </c>
      <c r="Z39" s="1246">
        <f t="shared" si="18"/>
        <v>0</v>
      </c>
      <c r="AA39" s="1247">
        <f t="shared" si="19"/>
        <v>0</v>
      </c>
      <c r="AB39" s="1245">
        <f t="shared" si="20"/>
        <v>7.4551644145974123</v>
      </c>
      <c r="AC39" s="1246">
        <f t="shared" si="21"/>
        <v>8.7574810954194149</v>
      </c>
      <c r="AD39" s="1246">
        <f t="shared" si="22"/>
        <v>8.8061790453961972</v>
      </c>
      <c r="AE39" s="1246">
        <f t="shared" si="23"/>
        <v>10.337966762048136</v>
      </c>
      <c r="AF39" s="1246">
        <f t="shared" si="24"/>
        <v>0</v>
      </c>
      <c r="AG39" s="1247">
        <f t="shared" si="25"/>
        <v>0</v>
      </c>
      <c r="AH39" s="1245">
        <f t="shared" si="26"/>
        <v>8.5450857966197695</v>
      </c>
      <c r="AI39" s="1246">
        <f t="shared" si="27"/>
        <v>10.116535044974469</v>
      </c>
      <c r="AJ39" s="1246">
        <f t="shared" si="28"/>
        <v>10.722523058995755</v>
      </c>
      <c r="AK39" s="1246">
        <f t="shared" si="29"/>
        <v>12.072994032161008</v>
      </c>
      <c r="AL39" s="1246">
        <f t="shared" si="30"/>
        <v>15.426737518014745</v>
      </c>
      <c r="AM39" s="1247">
        <f t="shared" si="31"/>
        <v>0</v>
      </c>
      <c r="AN39" s="1176">
        <v>2037</v>
      </c>
      <c r="AO39" s="1322">
        <f t="array" ref="AO39">1/SUMPRODUCT(IFERROR(1/V39:AA39,0),'Mkt Pen Veh-Mi'!B39:G39)</f>
        <v>8.5089970056303503</v>
      </c>
      <c r="AP39" s="1323">
        <f t="array" ref="AP39">1/SUMPRODUCT(IFERROR(1/AB39:AG39,0),'Mkt Pen Veh-Mi'!H39:M39)</f>
        <v>8.5331311152131022</v>
      </c>
      <c r="AQ39" s="1327">
        <f t="array" ref="AQ39">1/SUMPRODUCT(IFERROR(1/AH39:AM39,0),'Mkt Pen Veh-Mi'!N39:S39)</f>
        <v>9.6178714698618819</v>
      </c>
      <c r="AR39" s="1320">
        <v>2037</v>
      </c>
      <c r="AS39" s="1322">
        <f t="shared" si="32"/>
        <v>1.0511854561777012</v>
      </c>
      <c r="AT39" s="1323">
        <f t="shared" si="33"/>
        <v>1.1445932833493253</v>
      </c>
      <c r="AU39" s="1323">
        <f t="shared" si="34"/>
        <v>1.1255441664104158</v>
      </c>
      <c r="AV39" s="1327">
        <v>2.0330617296005014</v>
      </c>
    </row>
    <row r="40" spans="1:48" s="1176" customFormat="1" ht="15" x14ac:dyDescent="0.2">
      <c r="A40" s="1191">
        <v>2038</v>
      </c>
      <c r="B40" s="1245">
        <f>IF('Mkt Pen Veh-Mi'!B40=0,1,1/((1-Fuel2ShrbyTech!B41)/'Inputs 7&amp;8 Sleep'!$N53+Fuel2ShrbyTech!B41/'Inputs 7&amp;8 Sleep'!$T53))</f>
        <v>8.1005862254693923</v>
      </c>
      <c r="C40" s="1246">
        <f>IF('Mkt Pen Veh-Mi'!C40=0,1,1/((1-Fuel2ShrbyTech!C41)/'Inputs 7&amp;8 Sleep'!$O53+Fuel2ShrbyTech!C41/'Inputs 7&amp;8 Sleep'!$U53))</f>
        <v>8.406104719359087</v>
      </c>
      <c r="D40" s="1246">
        <f>IF('Mkt Pen Veh-Mi'!D40=0,1,1/((1-Fuel2ShrbyTech!D41)/'Inputs 7&amp;8 Sleep'!$P53+Fuel2ShrbyTech!D41/'Inputs 7&amp;8 Sleep'!$V53))</f>
        <v>9.2198554007377318</v>
      </c>
      <c r="E40" s="1246">
        <f>IF('Mkt Pen Veh-Mi'!E40=0,1,1/((1-Fuel2ShrbyTech!E41)/'Inputs 7&amp;8 Sleep'!$Q53+Fuel2ShrbyTech!E41/'Inputs 7&amp;8 Sleep'!$W53))</f>
        <v>1</v>
      </c>
      <c r="F40" s="1246">
        <f>IF('Mkt Pen Veh-Mi'!F40=0,1,1/((1-Fuel2ShrbyTech!F41)/'Inputs 7&amp;8 Sleep'!$R53+Fuel2ShrbyTech!F41/'Inputs 7&amp;8 Sleep'!$X53))</f>
        <v>1</v>
      </c>
      <c r="G40" s="1247">
        <f>IF('Mkt Pen Veh-Mi'!G40=0,1,1/((1-Fuel2ShrbyTech!G41)/'Inputs 7&amp;8 Sleep'!$S53+Fuel2ShrbyTech!G41/'Inputs 7&amp;8 Sleep'!$Y53))</f>
        <v>1</v>
      </c>
      <c r="H40" s="1245">
        <f>IF('Mkt Pen Veh-Mi'!H40=0,1,1/((1-Fuel2ShrbyTech!H41)/'Inputs 7&amp;8 Day'!$N53+Fuel2ShrbyTech!H41/'Inputs 7&amp;8 Day'!$T53))</f>
        <v>7.4551809677379772</v>
      </c>
      <c r="I40" s="1246">
        <f>IF('Mkt Pen Veh-Mi'!I40=0,1,1/((1-Fuel2ShrbyTech!I41)/'Inputs 7&amp;8 Day'!$O53+Fuel2ShrbyTech!I41/'Inputs 7&amp;8 Day'!$U53))</f>
        <v>8.7575005401703958</v>
      </c>
      <c r="J40" s="1246">
        <f>IF('Mkt Pen Veh-Mi'!J40=0,1,1/((1-Fuel2ShrbyTech!J41)/'Inputs 7&amp;8 Day'!$P53+Fuel2ShrbyTech!J41/'Inputs 7&amp;8 Day'!$V53))</f>
        <v>8.8061985982741025</v>
      </c>
      <c r="K40" s="1246">
        <f>IF('Mkt Pen Veh-Mi'!K40=0,1,1/((1-Fuel2ShrbyTech!K41)/'Inputs 7&amp;8 Day'!$Q53+Fuel2ShrbyTech!K41/'Inputs 7&amp;8 Day'!$W53))</f>
        <v>10.459191289305608</v>
      </c>
      <c r="L40" s="1246">
        <f>IF('Mkt Pen Veh-Mi'!L40=0,1,1/((1-Fuel2ShrbyTech!L41)/'Inputs 7&amp;8 Day'!$R53+Fuel2ShrbyTech!L41/'Inputs 7&amp;8 Day'!$X53))</f>
        <v>1</v>
      </c>
      <c r="M40" s="1247">
        <f>IF('Mkt Pen Veh-Mi'!M40=0,1,1/((1-Fuel2ShrbyTech!M41)/'Inputs 7&amp;8 Day'!$S53+Fuel2ShrbyTech!M41/'Inputs 7&amp;8 Day'!$Y53))</f>
        <v>1</v>
      </c>
      <c r="N40" s="1245">
        <f>IF('Mkt Pen Veh-Mi'!N40=0,1,1/((1-Fuel2ShrbyTech!N41)/'Inputs 7&amp;8 SU'!$N53+Fuel2ShrbyTech!N41/'Inputs 7&amp;8 SU'!$T53))</f>
        <v>8.5458752554962878</v>
      </c>
      <c r="O40" s="1246">
        <f>IF('Mkt Pen Veh-Mi'!O40=0,1,1/((1-Fuel2ShrbyTech!O41)/'Inputs 7&amp;8 SU'!$O53+Fuel2ShrbyTech!O41/'Inputs 7&amp;8 SU'!$U53))</f>
        <v>10.11746968607474</v>
      </c>
      <c r="P40" s="1246">
        <f>IF('Mkt Pen Veh-Mi'!P40=0,1,1/((1-Fuel2ShrbyTech!P41)/'Inputs 7&amp;8 SU'!$P53+Fuel2ShrbyTech!P41/'Inputs 7&amp;8 SU'!$V53))</f>
        <v>10.723513685796828</v>
      </c>
      <c r="Q40" s="1246">
        <f>IF('Mkt Pen Veh-Mi'!Q40=0,1,1/((1-Fuel2ShrbyTech!Q41)/'Inputs 7&amp;8 SU'!$Q53+Fuel2ShrbyTech!Q41/'Inputs 7&amp;8 SU'!$W53))</f>
        <v>12.074109425561577</v>
      </c>
      <c r="R40" s="1246">
        <f>IF('Mkt Pen Veh-Mi'!R40=0,1,1/((1-Fuel2ShrbyTech!R41)/'Inputs 7&amp;8 SU'!$R53+Fuel2ShrbyTech!R41/'Inputs 7&amp;8 SU'!$X53))</f>
        <v>15.628215962115055</v>
      </c>
      <c r="S40" s="1247">
        <f>IF('Mkt Pen Veh-Mi'!S40=0,1,1/((1-Fuel2ShrbyTech!S41)/'Inputs 7&amp;8 SU'!$S53+Fuel2ShrbyTech!S41/'Inputs 7&amp;8 SU'!$Y53))</f>
        <v>1</v>
      </c>
      <c r="U40" s="1191">
        <f t="shared" si="13"/>
        <v>2038</v>
      </c>
      <c r="V40" s="1245">
        <f t="shared" si="14"/>
        <v>8.1005862254693923</v>
      </c>
      <c r="W40" s="1246">
        <f t="shared" si="15"/>
        <v>8.406104719359087</v>
      </c>
      <c r="X40" s="1246">
        <f t="shared" si="16"/>
        <v>9.2198554007377318</v>
      </c>
      <c r="Y40" s="1246">
        <f t="shared" si="17"/>
        <v>0</v>
      </c>
      <c r="Z40" s="1246">
        <f t="shared" si="18"/>
        <v>0</v>
      </c>
      <c r="AA40" s="1247">
        <f t="shared" si="19"/>
        <v>0</v>
      </c>
      <c r="AB40" s="1245">
        <f t="shared" si="20"/>
        <v>7.4551809677379772</v>
      </c>
      <c r="AC40" s="1246">
        <f t="shared" si="21"/>
        <v>8.7575005401703958</v>
      </c>
      <c r="AD40" s="1246">
        <f t="shared" si="22"/>
        <v>8.8061985982741025</v>
      </c>
      <c r="AE40" s="1246">
        <f t="shared" si="23"/>
        <v>10.459191289305608</v>
      </c>
      <c r="AF40" s="1246">
        <f t="shared" si="24"/>
        <v>0</v>
      </c>
      <c r="AG40" s="1247">
        <f t="shared" si="25"/>
        <v>0</v>
      </c>
      <c r="AH40" s="1245">
        <f t="shared" si="26"/>
        <v>8.5458752554962878</v>
      </c>
      <c r="AI40" s="1246">
        <f t="shared" si="27"/>
        <v>10.11746968607474</v>
      </c>
      <c r="AJ40" s="1246">
        <f t="shared" si="28"/>
        <v>10.723513685796828</v>
      </c>
      <c r="AK40" s="1246">
        <f t="shared" si="29"/>
        <v>12.074109425561577</v>
      </c>
      <c r="AL40" s="1246">
        <f t="shared" si="30"/>
        <v>15.628215962115055</v>
      </c>
      <c r="AM40" s="1247">
        <f t="shared" si="31"/>
        <v>0</v>
      </c>
      <c r="AN40" s="1176">
        <v>2038</v>
      </c>
      <c r="AO40" s="1322">
        <f t="array" ref="AO40">1/SUMPRODUCT(IFERROR(1/V40:AA40,0),'Mkt Pen Veh-Mi'!B40:G40)</f>
        <v>8.5971118510986404</v>
      </c>
      <c r="AP40" s="1323">
        <f t="array" ref="AP40">1/SUMPRODUCT(IFERROR(1/AB40:AG40,0),'Mkt Pen Veh-Mi'!H40:M40)</f>
        <v>8.5504961387397032</v>
      </c>
      <c r="AQ40" s="1327">
        <f t="array" ref="AQ40">1/SUMPRODUCT(IFERROR(1/AH40:AM40,0),'Mkt Pen Veh-Mi'!N40:S40)</f>
        <v>9.6254203905656546</v>
      </c>
      <c r="AR40" s="1320">
        <v>2038</v>
      </c>
      <c r="AS40" s="1322">
        <f t="shared" si="32"/>
        <v>1.0612950238179184</v>
      </c>
      <c r="AT40" s="1323">
        <f t="shared" si="33"/>
        <v>1.1469199977494393</v>
      </c>
      <c r="AU40" s="1323">
        <f t="shared" si="34"/>
        <v>1.1263235306851755</v>
      </c>
      <c r="AV40" s="1327">
        <v>2.0837866625663999</v>
      </c>
    </row>
    <row r="41" spans="1:48" s="1176" customFormat="1" ht="15" x14ac:dyDescent="0.2">
      <c r="A41" s="1191">
        <v>2039</v>
      </c>
      <c r="B41" s="1245">
        <f>IF('Mkt Pen Veh-Mi'!B41=0,1,1/((1-Fuel2ShrbyTech!B42)/'Inputs 7&amp;8 Sleep'!$N54+Fuel2ShrbyTech!B42/'Inputs 7&amp;8 Sleep'!$T54))</f>
        <v>8.1041670415640823</v>
      </c>
      <c r="C41" s="1246">
        <f>IF('Mkt Pen Veh-Mi'!C41=0,1,1/((1-Fuel2ShrbyTech!C42)/'Inputs 7&amp;8 Sleep'!$O54+Fuel2ShrbyTech!C42/'Inputs 7&amp;8 Sleep'!$U54))</f>
        <v>8.5336338344726723</v>
      </c>
      <c r="D41" s="1246">
        <f>IF('Mkt Pen Veh-Mi'!D41=0,1,1/((1-Fuel2ShrbyTech!D42)/'Inputs 7&amp;8 Sleep'!$P54+Fuel2ShrbyTech!D42/'Inputs 7&amp;8 Sleep'!$V54))</f>
        <v>9.4217383043038936</v>
      </c>
      <c r="E41" s="1246">
        <f>IF('Mkt Pen Veh-Mi'!E41=0,1,1/((1-Fuel2ShrbyTech!E42)/'Inputs 7&amp;8 Sleep'!$Q54+Fuel2ShrbyTech!E42/'Inputs 7&amp;8 Sleep'!$W54))</f>
        <v>1</v>
      </c>
      <c r="F41" s="1246">
        <f>IF('Mkt Pen Veh-Mi'!F41=0,1,1/((1-Fuel2ShrbyTech!F42)/'Inputs 7&amp;8 Sleep'!$R54+Fuel2ShrbyTech!F42/'Inputs 7&amp;8 Sleep'!$X54))</f>
        <v>1</v>
      </c>
      <c r="G41" s="1247">
        <f>IF('Mkt Pen Veh-Mi'!G41=0,1,1/((1-Fuel2ShrbyTech!G42)/'Inputs 7&amp;8 Sleep'!$S54+Fuel2ShrbyTech!G42/'Inputs 7&amp;8 Sleep'!$Y54))</f>
        <v>1</v>
      </c>
      <c r="H41" s="1245">
        <f>IF('Mkt Pen Veh-Mi'!H41=0,1,1/((1-Fuel2ShrbyTech!H42)/'Inputs 7&amp;8 Day'!$N54+Fuel2ShrbyTech!H42/'Inputs 7&amp;8 Day'!$T54))</f>
        <v>7.4551975208785422</v>
      </c>
      <c r="I41" s="1246">
        <f>IF('Mkt Pen Veh-Mi'!I41=0,1,1/((1-Fuel2ShrbyTech!I42)/'Inputs 7&amp;8 Day'!$O54+Fuel2ShrbyTech!I42/'Inputs 7&amp;8 Day'!$U54))</f>
        <v>8.7575199849213785</v>
      </c>
      <c r="J41" s="1246">
        <f>IF('Mkt Pen Veh-Mi'!J41=0,1,1/((1-Fuel2ShrbyTech!J42)/'Inputs 7&amp;8 Day'!$P54+Fuel2ShrbyTech!J42/'Inputs 7&amp;8 Day'!$V54))</f>
        <v>8.8062181511520112</v>
      </c>
      <c r="K41" s="1246">
        <f>IF('Mkt Pen Veh-Mi'!K41=0,1,1/((1-Fuel2ShrbyTech!K42)/'Inputs 7&amp;8 Day'!$Q54+Fuel2ShrbyTech!K42/'Inputs 7&amp;8 Day'!$W54))</f>
        <v>10.606872772398599</v>
      </c>
      <c r="L41" s="1246">
        <f>IF('Mkt Pen Veh-Mi'!L41=0,1,1/((1-Fuel2ShrbyTech!L42)/'Inputs 7&amp;8 Day'!$R54+Fuel2ShrbyTech!L42/'Inputs 7&amp;8 Day'!$X54))</f>
        <v>1</v>
      </c>
      <c r="M41" s="1247">
        <f>IF('Mkt Pen Veh-Mi'!M41=0,1,1/((1-Fuel2ShrbyTech!M42)/'Inputs 7&amp;8 Day'!$S54+Fuel2ShrbyTech!M42/'Inputs 7&amp;8 Day'!$Y54))</f>
        <v>10.421552184850116</v>
      </c>
      <c r="N41" s="1245">
        <f>IF('Mkt Pen Veh-Mi'!N41=0,1,1/((1-Fuel2ShrbyTech!N42)/'Inputs 7&amp;8 SU'!$N54+Fuel2ShrbyTech!N42/'Inputs 7&amp;8 SU'!$T54))</f>
        <v>8.5469273081410861</v>
      </c>
      <c r="O41" s="1246">
        <f>IF('Mkt Pen Veh-Mi'!O41=0,1,1/((1-Fuel2ShrbyTech!O42)/'Inputs 7&amp;8 SU'!$O54+Fuel2ShrbyTech!O42/'Inputs 7&amp;8 SU'!$U54))</f>
        <v>10.118715212182209</v>
      </c>
      <c r="P41" s="1246">
        <f>IF('Mkt Pen Veh-Mi'!P41=0,1,1/((1-Fuel2ShrbyTech!P42)/'Inputs 7&amp;8 SU'!$P54+Fuel2ShrbyTech!P42/'Inputs 7&amp;8 SU'!$V54))</f>
        <v>10.724833819849501</v>
      </c>
      <c r="Q41" s="1246">
        <f>IF('Mkt Pen Veh-Mi'!Q41=0,1,1/((1-Fuel2ShrbyTech!Q42)/'Inputs 7&amp;8 SU'!$Q54+Fuel2ShrbyTech!Q42/'Inputs 7&amp;8 SU'!$W54))</f>
        <v>12.075595826705401</v>
      </c>
      <c r="R41" s="1246">
        <f>IF('Mkt Pen Veh-Mi'!R41=0,1,1/((1-Fuel2ShrbyTech!R42)/'Inputs 7&amp;8 SU'!$R54+Fuel2ShrbyTech!R42/'Inputs 7&amp;8 SU'!$X54))</f>
        <v>15.878493610515406</v>
      </c>
      <c r="S41" s="1247">
        <f>IF('Mkt Pen Veh-Mi'!S41=0,1,1/((1-Fuel2ShrbyTech!S42)/'Inputs 7&amp;8 SU'!$S54+Fuel2ShrbyTech!S42/'Inputs 7&amp;8 SU'!$Y54))</f>
        <v>28.250977120018931</v>
      </c>
      <c r="U41" s="1191">
        <f t="shared" si="13"/>
        <v>2039</v>
      </c>
      <c r="V41" s="1245">
        <f t="shared" si="14"/>
        <v>8.1041670415640823</v>
      </c>
      <c r="W41" s="1246">
        <f t="shared" si="15"/>
        <v>8.5336338344726723</v>
      </c>
      <c r="X41" s="1246">
        <f t="shared" si="16"/>
        <v>9.4217383043038936</v>
      </c>
      <c r="Y41" s="1246">
        <f t="shared" si="17"/>
        <v>0</v>
      </c>
      <c r="Z41" s="1246">
        <f t="shared" si="18"/>
        <v>0</v>
      </c>
      <c r="AA41" s="1247">
        <f t="shared" si="19"/>
        <v>0</v>
      </c>
      <c r="AB41" s="1245">
        <f t="shared" si="20"/>
        <v>7.4551975208785422</v>
      </c>
      <c r="AC41" s="1246">
        <f t="shared" si="21"/>
        <v>8.7575199849213785</v>
      </c>
      <c r="AD41" s="1246">
        <f t="shared" si="22"/>
        <v>8.8062181511520112</v>
      </c>
      <c r="AE41" s="1246">
        <f t="shared" si="23"/>
        <v>10.606872772398599</v>
      </c>
      <c r="AF41" s="1246">
        <f t="shared" si="24"/>
        <v>0</v>
      </c>
      <c r="AG41" s="1247">
        <f t="shared" si="25"/>
        <v>10.421552184850116</v>
      </c>
      <c r="AH41" s="1245">
        <f t="shared" si="26"/>
        <v>8.5469273081410861</v>
      </c>
      <c r="AI41" s="1246">
        <f t="shared" si="27"/>
        <v>10.118715212182209</v>
      </c>
      <c r="AJ41" s="1246">
        <f t="shared" si="28"/>
        <v>10.724833819849501</v>
      </c>
      <c r="AK41" s="1246">
        <f t="shared" si="29"/>
        <v>12.075595826705401</v>
      </c>
      <c r="AL41" s="1246">
        <f t="shared" si="30"/>
        <v>15.878493610515406</v>
      </c>
      <c r="AM41" s="1247">
        <f t="shared" si="31"/>
        <v>28.250977120018931</v>
      </c>
      <c r="AN41" s="1176">
        <v>2039</v>
      </c>
      <c r="AO41" s="1322">
        <f t="array" ref="AO41">1/SUMPRODUCT(IFERROR(1/V41:AA41,0),'Mkt Pen Veh-Mi'!B41:G41)</f>
        <v>8.7193460817924144</v>
      </c>
      <c r="AP41" s="1323">
        <f t="array" ref="AP41">1/SUMPRODUCT(IFERROR(1/AB41:AG41,0),'Mkt Pen Veh-Mi'!H41:M41)</f>
        <v>8.5782365605895503</v>
      </c>
      <c r="AQ41" s="1327">
        <f t="array" ref="AQ41">1/SUMPRODUCT(IFERROR(1/AH41:AM41,0),'Mkt Pen Veh-Mi'!N41:S41)</f>
        <v>9.6349347979791222</v>
      </c>
      <c r="AR41" s="1320">
        <v>2039</v>
      </c>
      <c r="AS41" s="1322">
        <f t="shared" si="32"/>
        <v>1.0759089783161238</v>
      </c>
      <c r="AT41" s="1323">
        <f t="shared" si="33"/>
        <v>1.1506384018083891</v>
      </c>
      <c r="AU41" s="1323">
        <f t="shared" si="34"/>
        <v>1.1272980862726762</v>
      </c>
      <c r="AV41" s="1327">
        <v>2.111395266587011</v>
      </c>
    </row>
    <row r="42" spans="1:48" s="1176" customFormat="1" ht="15" x14ac:dyDescent="0.2">
      <c r="A42" s="1197">
        <v>2040</v>
      </c>
      <c r="B42" s="1248">
        <f>IF('Mkt Pen Veh-Mi'!B42=0,1,1/((1-Fuel2ShrbyTech!B43)/'Inputs 7&amp;8 Sleep'!$N55+Fuel2ShrbyTech!B43/'Inputs 7&amp;8 Sleep'!$T55))</f>
        <v>8.1043325932001693</v>
      </c>
      <c r="C42" s="1249">
        <f>IF('Mkt Pen Veh-Mi'!C42=0,1,1/((1-Fuel2ShrbyTech!C43)/'Inputs 7&amp;8 Sleep'!$O55+Fuel2ShrbyTech!C43/'Inputs 7&amp;8 Sleep'!$U55))</f>
        <v>8.7142948024897429</v>
      </c>
      <c r="D42" s="1249">
        <f>IF('Mkt Pen Veh-Mi'!D42=0,1,1/((1-Fuel2ShrbyTech!D43)/'Inputs 7&amp;8 Sleep'!$P55+Fuel2ShrbyTech!D43/'Inputs 7&amp;8 Sleep'!$V55))</f>
        <v>9.7077307284799375</v>
      </c>
      <c r="E42" s="1249">
        <f>IF('Mkt Pen Veh-Mi'!E42=0,1,1/((1-Fuel2ShrbyTech!E43)/'Inputs 7&amp;8 Sleep'!$Q55+Fuel2ShrbyTech!E43/'Inputs 7&amp;8 Sleep'!$W55))</f>
        <v>1</v>
      </c>
      <c r="F42" s="1249">
        <f>IF('Mkt Pen Veh-Mi'!F42=0,1,1/((1-Fuel2ShrbyTech!F43)/'Inputs 7&amp;8 Sleep'!$R55+Fuel2ShrbyTech!F43/'Inputs 7&amp;8 Sleep'!$X55))</f>
        <v>1</v>
      </c>
      <c r="G42" s="1250">
        <f>IF('Mkt Pen Veh-Mi'!G42=0,1,1/((1-Fuel2ShrbyTech!G43)/'Inputs 7&amp;8 Sleep'!$S55+Fuel2ShrbyTech!G43/'Inputs 7&amp;8 Sleep'!$Y55))</f>
        <v>1</v>
      </c>
      <c r="H42" s="1254">
        <f>IF('Mkt Pen Veh-Mi'!H42=0,1,1/((1-Fuel2ShrbyTech!H43)/'Inputs 7&amp;8 Day'!$N55+Fuel2ShrbyTech!H43/'Inputs 7&amp;8 Day'!$T55))</f>
        <v>7.4552140740191053</v>
      </c>
      <c r="I42" s="1255">
        <f>IF('Mkt Pen Veh-Mi'!I42=0,1,1/((1-Fuel2ShrbyTech!I43)/'Inputs 7&amp;8 Day'!$O55+Fuel2ShrbyTech!I43/'Inputs 7&amp;8 Day'!$U55))</f>
        <v>8.7575394296723594</v>
      </c>
      <c r="J42" s="1255">
        <f>IF('Mkt Pen Veh-Mi'!J42=0,1,1/((1-Fuel2ShrbyTech!J43)/'Inputs 7&amp;8 Day'!$P55+Fuel2ShrbyTech!J43/'Inputs 7&amp;8 Day'!$V55))</f>
        <v>8.8062377040299182</v>
      </c>
      <c r="K42" s="1255">
        <f>IF('Mkt Pen Veh-Mi'!K42=0,1,1/((1-Fuel2ShrbyTech!K43)/'Inputs 7&amp;8 Day'!$Q55+Fuel2ShrbyTech!K43/'Inputs 7&amp;8 Day'!$W55))</f>
        <v>10.766750377574549</v>
      </c>
      <c r="L42" s="1255">
        <f>IF('Mkt Pen Veh-Mi'!L42=0,1,1/((1-Fuel2ShrbyTech!L43)/'Inputs 7&amp;8 Day'!$R55+Fuel2ShrbyTech!L43/'Inputs 7&amp;8 Day'!$X55))</f>
        <v>1</v>
      </c>
      <c r="M42" s="1256">
        <f>IF('Mkt Pen Veh-Mi'!M42=0,1,1/((1-Fuel2ShrbyTech!M43)/'Inputs 7&amp;8 Day'!$S55+Fuel2ShrbyTech!M43/'Inputs 7&amp;8 Day'!$Y55))</f>
        <v>10.524839640070761</v>
      </c>
      <c r="N42" s="1245">
        <f>IF('Mkt Pen Veh-Mi'!N42=0,1,1/((1-Fuel2ShrbyTech!N43)/'Inputs 7&amp;8 SU'!$N55+Fuel2ShrbyTech!N43/'Inputs 7&amp;8 SU'!$T55))</f>
        <v>8.5484593706521306</v>
      </c>
      <c r="O42" s="1255">
        <f>IF('Mkt Pen Veh-Mi'!O42=0,1,1/((1-Fuel2ShrbyTech!O43)/'Inputs 7&amp;8 SU'!$O55+Fuel2ShrbyTech!O43/'Inputs 7&amp;8 SU'!$U55))</f>
        <v>10.120529022418053</v>
      </c>
      <c r="P42" s="1255">
        <f>IF('Mkt Pen Veh-Mi'!P42=0,1,1/((1-Fuel2ShrbyTech!P43)/'Inputs 7&amp;8 SU'!$P55+Fuel2ShrbyTech!P43/'Inputs 7&amp;8 SU'!$V55))</f>
        <v>10.726756278674783</v>
      </c>
      <c r="Q42" s="1255">
        <f>IF('Mkt Pen Veh-Mi'!Q42=0,1,1/((1-Fuel2ShrbyTech!Q43)/'Inputs 7&amp;8 SU'!$Q55+Fuel2ShrbyTech!Q43/'Inputs 7&amp;8 SU'!$W55))</f>
        <v>12.077760413696447</v>
      </c>
      <c r="R42" s="1255">
        <f>IF('Mkt Pen Veh-Mi'!R42=0,1,1/((1-Fuel2ShrbyTech!R43)/'Inputs 7&amp;8 SU'!$R55+Fuel2ShrbyTech!R43/'Inputs 7&amp;8 SU'!$X55))</f>
        <v>16.170477142096761</v>
      </c>
      <c r="S42" s="1256">
        <f>IF('Mkt Pen Veh-Mi'!S42=0,1,1/((1-Fuel2ShrbyTech!S43)/'Inputs 7&amp;8 SU'!$S55+Fuel2ShrbyTech!S43/'Inputs 7&amp;8 SU'!$Y55))</f>
        <v>28.352834951169029</v>
      </c>
      <c r="U42" s="1197">
        <f t="shared" si="13"/>
        <v>2040</v>
      </c>
      <c r="V42" s="1248">
        <f t="shared" si="14"/>
        <v>8.1043325932001693</v>
      </c>
      <c r="W42" s="1249">
        <f t="shared" si="15"/>
        <v>8.7142948024897429</v>
      </c>
      <c r="X42" s="1249">
        <f t="shared" si="16"/>
        <v>9.7077307284799375</v>
      </c>
      <c r="Y42" s="1249">
        <f t="shared" si="17"/>
        <v>0</v>
      </c>
      <c r="Z42" s="1249">
        <f t="shared" si="18"/>
        <v>0</v>
      </c>
      <c r="AA42" s="1250">
        <f t="shared" si="19"/>
        <v>0</v>
      </c>
      <c r="AB42" s="1254">
        <f t="shared" si="20"/>
        <v>7.4552140740191053</v>
      </c>
      <c r="AC42" s="1255">
        <f t="shared" si="21"/>
        <v>8.7575394296723594</v>
      </c>
      <c r="AD42" s="1255">
        <f t="shared" si="22"/>
        <v>8.8062377040299182</v>
      </c>
      <c r="AE42" s="1255">
        <f t="shared" si="23"/>
        <v>10.766750377574549</v>
      </c>
      <c r="AF42" s="1255">
        <f t="shared" si="24"/>
        <v>0</v>
      </c>
      <c r="AG42" s="1256">
        <f t="shared" si="25"/>
        <v>10.524839640070761</v>
      </c>
      <c r="AH42" s="1245">
        <f t="shared" si="26"/>
        <v>8.5484593706521306</v>
      </c>
      <c r="AI42" s="1255">
        <f t="shared" si="27"/>
        <v>10.120529022418053</v>
      </c>
      <c r="AJ42" s="1255">
        <f t="shared" si="28"/>
        <v>10.726756278674783</v>
      </c>
      <c r="AK42" s="1255">
        <f t="shared" si="29"/>
        <v>12.077760413696447</v>
      </c>
      <c r="AL42" s="1255">
        <f t="shared" si="30"/>
        <v>16.170477142096761</v>
      </c>
      <c r="AM42" s="1256">
        <f t="shared" si="31"/>
        <v>28.352834951169029</v>
      </c>
      <c r="AN42" s="1176">
        <v>2040</v>
      </c>
      <c r="AO42" s="1322">
        <f t="array" ref="AO42">1/SUMPRODUCT(IFERROR(1/V42:AA42,0),'Mkt Pen Veh-Mi'!B42:G42)</f>
        <v>8.9073453275058192</v>
      </c>
      <c r="AP42" s="1323">
        <f t="array" ref="AP42">1/SUMPRODUCT(IFERROR(1/AB42:AG42,0),'Mkt Pen Veh-Mi'!H42:M42)</f>
        <v>8.6152101876214164</v>
      </c>
      <c r="AQ42" s="1327">
        <f t="array" ref="AQ42">1/SUMPRODUCT(IFERROR(1/AH42:AM42,0),'Mkt Pen Veh-Mi'!N42:S42)</f>
        <v>9.6473796594292676</v>
      </c>
      <c r="AR42" s="1320">
        <v>2040</v>
      </c>
      <c r="AS42" s="1322">
        <f t="shared" si="32"/>
        <v>1.0990843755572677</v>
      </c>
      <c r="AT42" s="1323">
        <f t="shared" si="33"/>
        <v>1.1555952789665445</v>
      </c>
      <c r="AU42" s="1323">
        <f t="shared" si="34"/>
        <v>1.128551852577069</v>
      </c>
      <c r="AV42" s="1327">
        <v>2.1489389429026087</v>
      </c>
    </row>
    <row r="43" spans="1:48" s="1176" customFormat="1" ht="15" x14ac:dyDescent="0.2">
      <c r="A43" s="1191">
        <v>2041</v>
      </c>
      <c r="B43" s="1251">
        <f>IF('Mkt Pen Veh-Mi'!B43=0,1,1/((1-Fuel2ShrbyTech!B44)/'Inputs 7&amp;8 Sleep'!$N56+Fuel2ShrbyTech!B44/'Inputs 7&amp;8 Sleep'!$T56))</f>
        <v>8.1043630004564644</v>
      </c>
      <c r="C43" s="1252">
        <f>IF('Mkt Pen Veh-Mi'!C43=0,1,1/((1-Fuel2ShrbyTech!C44)/'Inputs 7&amp;8 Sleep'!$O56+Fuel2ShrbyTech!C44/'Inputs 7&amp;8 Sleep'!$U56))</f>
        <v>8.9517491334418082</v>
      </c>
      <c r="D43" s="1252">
        <f>IF('Mkt Pen Veh-Mi'!D43=0,1,1/((1-Fuel2ShrbyTech!D44)/'Inputs 7&amp;8 Sleep'!$P56+Fuel2ShrbyTech!D44/'Inputs 7&amp;8 Sleep'!$V56))</f>
        <v>10.083628967515526</v>
      </c>
      <c r="E43" s="1252">
        <f>IF('Mkt Pen Veh-Mi'!E43=0,1,1/((1-Fuel2ShrbyTech!E44)/'Inputs 7&amp;8 Sleep'!$Q56+Fuel2ShrbyTech!E44/'Inputs 7&amp;8 Sleep'!$W56))</f>
        <v>1</v>
      </c>
      <c r="F43" s="1252">
        <f>IF('Mkt Pen Veh-Mi'!F43=0,1,1/((1-Fuel2ShrbyTech!F44)/'Inputs 7&amp;8 Sleep'!$R56+Fuel2ShrbyTech!F44/'Inputs 7&amp;8 Sleep'!$X56))</f>
        <v>12.406677271586721</v>
      </c>
      <c r="G43" s="1253">
        <f>IF('Mkt Pen Veh-Mi'!G43=0,1,1/((1-Fuel2ShrbyTech!G44)/'Inputs 7&amp;8 Sleep'!$S56+Fuel2ShrbyTech!G44/'Inputs 7&amp;8 Sleep'!$Y56))</f>
        <v>1</v>
      </c>
      <c r="H43" s="1251">
        <f>IF('Mkt Pen Veh-Mi'!H43=0,1,1/((1-Fuel2ShrbyTech!H44)/'Inputs 7&amp;8 Day'!$N56+Fuel2ShrbyTech!H44/'Inputs 7&amp;8 Day'!$T56))</f>
        <v>7.4552306271596702</v>
      </c>
      <c r="I43" s="1252">
        <f>IF('Mkt Pen Veh-Mi'!I43=0,1,1/((1-Fuel2ShrbyTech!I44)/'Inputs 7&amp;8 Day'!$O56+Fuel2ShrbyTech!I44/'Inputs 7&amp;8 Day'!$U56))</f>
        <v>8.7575588744233404</v>
      </c>
      <c r="J43" s="1252">
        <f>IF('Mkt Pen Veh-Mi'!J43=0,1,1/((1-Fuel2ShrbyTech!J44)/'Inputs 7&amp;8 Day'!$P56+Fuel2ShrbyTech!J44/'Inputs 7&amp;8 Day'!$V56))</f>
        <v>8.8062572569078252</v>
      </c>
      <c r="K43" s="1252">
        <f>IF('Mkt Pen Veh-Mi'!K43=0,1,1/((1-Fuel2ShrbyTech!K44)/'Inputs 7&amp;8 Day'!$Q56+Fuel2ShrbyTech!K44/'Inputs 7&amp;8 Day'!$W56))</f>
        <v>10.986735162529801</v>
      </c>
      <c r="L43" s="1252">
        <f>IF('Mkt Pen Veh-Mi'!L43=0,1,1/((1-Fuel2ShrbyTech!L44)/'Inputs 7&amp;8 Day'!$R56+Fuel2ShrbyTech!L44/'Inputs 7&amp;8 Day'!$X56))</f>
        <v>1</v>
      </c>
      <c r="M43" s="1253">
        <f>IF('Mkt Pen Veh-Mi'!M43=0,1,1/((1-Fuel2ShrbyTech!M44)/'Inputs 7&amp;8 Day'!$S56+Fuel2ShrbyTech!M44/'Inputs 7&amp;8 Day'!$Y56))</f>
        <v>10.628127553856038</v>
      </c>
      <c r="N43" s="1251">
        <f>IF('Mkt Pen Veh-Mi'!N43=0,1,1/((1-Fuel2ShrbyTech!N44)/'Inputs 7&amp;8 SU'!$N56+Fuel2ShrbyTech!N44/'Inputs 7&amp;8 SU'!$T56))</f>
        <v>8.5501630690723598</v>
      </c>
      <c r="O43" s="1252">
        <f>IF('Mkt Pen Veh-Mi'!O43=0,1,1/((1-Fuel2ShrbyTech!O44)/'Inputs 7&amp;8 SU'!$O56+Fuel2ShrbyTech!O44/'Inputs 7&amp;8 SU'!$U56))</f>
        <v>10.122546032566872</v>
      </c>
      <c r="P43" s="1252">
        <f>IF('Mkt Pen Veh-Mi'!P43=0,1,1/((1-Fuel2ShrbyTech!P44)/'Inputs 7&amp;8 SU'!$P56+Fuel2ShrbyTech!P44/'Inputs 7&amp;8 SU'!$V56))</f>
        <v>10.728894109239773</v>
      </c>
      <c r="Q43" s="1252">
        <f>IF('Mkt Pen Veh-Mi'!Q43=0,1,1/((1-Fuel2ShrbyTech!Q44)/'Inputs 7&amp;8 SU'!$Q56+Fuel2ShrbyTech!Q44/'Inputs 7&amp;8 SU'!$W56))</f>
        <v>12.080167497879048</v>
      </c>
      <c r="R43" s="1252">
        <f>IF('Mkt Pen Veh-Mi'!R43=0,1,1/((1-Fuel2ShrbyTech!R44)/'Inputs 7&amp;8 SU'!$R56+Fuel2ShrbyTech!R44/'Inputs 7&amp;8 SU'!$X56))</f>
        <v>16.63570326550974</v>
      </c>
      <c r="S43" s="1253">
        <f>IF('Mkt Pen Veh-Mi'!S43=0,1,1/((1-Fuel2ShrbyTech!S44)/'Inputs 7&amp;8 SU'!$S56+Fuel2ShrbyTech!S44/'Inputs 7&amp;8 SU'!$Y56))</f>
        <v>28.455298688698463</v>
      </c>
      <c r="U43" s="1191">
        <f t="shared" si="13"/>
        <v>2041</v>
      </c>
      <c r="V43" s="1251">
        <f t="shared" si="14"/>
        <v>8.1043630004564644</v>
      </c>
      <c r="W43" s="1252">
        <f t="shared" si="15"/>
        <v>8.9517491334418082</v>
      </c>
      <c r="X43" s="1252">
        <f t="shared" si="16"/>
        <v>10.083628967515526</v>
      </c>
      <c r="Y43" s="1252">
        <f t="shared" si="17"/>
        <v>0</v>
      </c>
      <c r="Z43" s="1252">
        <f t="shared" si="18"/>
        <v>12.406677271586721</v>
      </c>
      <c r="AA43" s="1253">
        <f t="shared" si="19"/>
        <v>0</v>
      </c>
      <c r="AB43" s="1251">
        <f t="shared" si="20"/>
        <v>7.4552306271596702</v>
      </c>
      <c r="AC43" s="1252">
        <f t="shared" si="21"/>
        <v>8.7575588744233404</v>
      </c>
      <c r="AD43" s="1252">
        <f t="shared" si="22"/>
        <v>8.8062572569078252</v>
      </c>
      <c r="AE43" s="1252">
        <f t="shared" si="23"/>
        <v>10.986735162529801</v>
      </c>
      <c r="AF43" s="1252">
        <f t="shared" si="24"/>
        <v>0</v>
      </c>
      <c r="AG43" s="1253">
        <f t="shared" si="25"/>
        <v>10.628127553856038</v>
      </c>
      <c r="AH43" s="1251">
        <f t="shared" si="26"/>
        <v>8.5501630690723598</v>
      </c>
      <c r="AI43" s="1252">
        <f t="shared" si="27"/>
        <v>10.122546032566872</v>
      </c>
      <c r="AJ43" s="1252">
        <f t="shared" si="28"/>
        <v>10.728894109239773</v>
      </c>
      <c r="AK43" s="1252">
        <f t="shared" si="29"/>
        <v>12.080167497879048</v>
      </c>
      <c r="AL43" s="1252">
        <f t="shared" si="30"/>
        <v>16.63570326550974</v>
      </c>
      <c r="AM43" s="1253">
        <f t="shared" si="31"/>
        <v>28.455298688698463</v>
      </c>
      <c r="AN43" s="1176">
        <v>2041</v>
      </c>
      <c r="AO43" s="1322">
        <f t="array" ref="AO43">1/SUMPRODUCT(IFERROR(1/V43:AA43,0),'Mkt Pen Veh-Mi'!B43:G43)</f>
        <v>9.159985365187131</v>
      </c>
      <c r="AP43" s="1323">
        <f t="array" ref="AP43">1/SUMPRODUCT(IFERROR(1/AB43:AG43,0),'Mkt Pen Veh-Mi'!H43:M43)</f>
        <v>8.7358047723715444</v>
      </c>
      <c r="AQ43" s="1327">
        <f t="array" ref="AQ43">1/SUMPRODUCT(IFERROR(1/AH43:AM43,0),'Mkt Pen Veh-Mi'!N43:S43)</f>
        <v>9.6908980908120714</v>
      </c>
      <c r="AR43" s="1320">
        <v>2041</v>
      </c>
      <c r="AS43" s="1322">
        <f t="shared" si="32"/>
        <v>1.1302535886745462</v>
      </c>
      <c r="AT43" s="1323">
        <f t="shared" si="33"/>
        <v>1.1717685487215777</v>
      </c>
      <c r="AU43" s="1323">
        <f t="shared" si="34"/>
        <v>1.1334167562097122</v>
      </c>
      <c r="AV43" s="1327">
        <v>2.1717496436120078</v>
      </c>
    </row>
    <row r="44" spans="1:48" s="1176" customFormat="1" ht="15" x14ac:dyDescent="0.2">
      <c r="A44" s="1191">
        <v>2042</v>
      </c>
      <c r="B44" s="1245">
        <f>IF('Mkt Pen Veh-Mi'!B44=0,1,1/((1-Fuel2ShrbyTech!B45)/'Inputs 7&amp;8 Sleep'!$N57+Fuel2ShrbyTech!B45/'Inputs 7&amp;8 Sleep'!$T57))</f>
        <v>8.1043847804208973</v>
      </c>
      <c r="C44" s="1246">
        <f>IF('Mkt Pen Veh-Mi'!C44=0,1,1/((1-Fuel2ShrbyTech!C45)/'Inputs 7&amp;8 Sleep'!$O57+Fuel2ShrbyTech!C45/'Inputs 7&amp;8 Sleep'!$U57))</f>
        <v>9.2348957875241897</v>
      </c>
      <c r="D44" s="1246">
        <f>IF('Mkt Pen Veh-Mi'!D44=0,1,1/((1-Fuel2ShrbyTech!D45)/'Inputs 7&amp;8 Sleep'!$P57+Fuel2ShrbyTech!D45/'Inputs 7&amp;8 Sleep'!$V57))</f>
        <v>10.531859699848946</v>
      </c>
      <c r="E44" s="1246">
        <f>IF('Mkt Pen Veh-Mi'!E44=0,1,1/((1-Fuel2ShrbyTech!E45)/'Inputs 7&amp;8 Sleep'!$Q57+Fuel2ShrbyTech!E45/'Inputs 7&amp;8 Sleep'!$W57))</f>
        <v>1</v>
      </c>
      <c r="F44" s="1246">
        <f>IF('Mkt Pen Veh-Mi'!F44=0,1,1/((1-Fuel2ShrbyTech!F45)/'Inputs 7&amp;8 Sleep'!$R57+Fuel2ShrbyTech!F45/'Inputs 7&amp;8 Sleep'!$X57))</f>
        <v>12.969444455849404</v>
      </c>
      <c r="G44" s="1247">
        <f>IF('Mkt Pen Veh-Mi'!G44=0,1,1/((1-Fuel2ShrbyTech!G45)/'Inputs 7&amp;8 Sleep'!$S57+Fuel2ShrbyTech!G45/'Inputs 7&amp;8 Sleep'!$Y57))</f>
        <v>1</v>
      </c>
      <c r="H44" s="1245">
        <f>IF('Mkt Pen Veh-Mi'!H44=0,1,1/((1-Fuel2ShrbyTech!H45)/'Inputs 7&amp;8 Day'!$N57+Fuel2ShrbyTech!H45/'Inputs 7&amp;8 Day'!$T57))</f>
        <v>7.455247180300236</v>
      </c>
      <c r="I44" s="1246">
        <f>IF('Mkt Pen Veh-Mi'!I44=0,1,1/((1-Fuel2ShrbyTech!I45)/'Inputs 7&amp;8 Day'!$O57+Fuel2ShrbyTech!I45/'Inputs 7&amp;8 Day'!$U57))</f>
        <v>8.7575783191743213</v>
      </c>
      <c r="J44" s="1246">
        <f>IF('Mkt Pen Veh-Mi'!J44=0,1,1/((1-Fuel2ShrbyTech!J45)/'Inputs 7&amp;8 Day'!$P57+Fuel2ShrbyTech!J45/'Inputs 7&amp;8 Day'!$V57))</f>
        <v>8.8062768097857322</v>
      </c>
      <c r="K44" s="1246">
        <f>IF('Mkt Pen Veh-Mi'!K44=0,1,1/((1-Fuel2ShrbyTech!K45)/'Inputs 7&amp;8 Day'!$Q57+Fuel2ShrbyTech!K45/'Inputs 7&amp;8 Day'!$W57))</f>
        <v>11.240116338145574</v>
      </c>
      <c r="L44" s="1246">
        <f>IF('Mkt Pen Veh-Mi'!L44=0,1,1/((1-Fuel2ShrbyTech!L45)/'Inputs 7&amp;8 Day'!$R57+Fuel2ShrbyTech!L45/'Inputs 7&amp;8 Day'!$X57))</f>
        <v>1</v>
      </c>
      <c r="M44" s="1247">
        <f>IF('Mkt Pen Veh-Mi'!M44=0,1,1/((1-Fuel2ShrbyTech!M45)/'Inputs 7&amp;8 Day'!$S57+Fuel2ShrbyTech!M45/'Inputs 7&amp;8 Day'!$Y57))</f>
        <v>10.731415926205942</v>
      </c>
      <c r="N44" s="1245">
        <f>IF('Mkt Pen Veh-Mi'!N44=0,1,1/((1-Fuel2ShrbyTech!N45)/'Inputs 7&amp;8 SU'!$N57+Fuel2ShrbyTech!N45/'Inputs 7&amp;8 SU'!$T57))</f>
        <v>8.552006775413572</v>
      </c>
      <c r="O44" s="1246">
        <f>IF('Mkt Pen Veh-Mi'!O44=0,1,1/((1-Fuel2ShrbyTech!O45)/'Inputs 7&amp;8 SU'!$O57+Fuel2ShrbyTech!O45/'Inputs 7&amp;8 SU'!$U57))</f>
        <v>10.124728798223934</v>
      </c>
      <c r="P44" s="1246">
        <f>IF('Mkt Pen Veh-Mi'!P44=0,1,1/((1-Fuel2ShrbyTech!P45)/'Inputs 7&amp;8 SU'!$P57+Fuel2ShrbyTech!P45/'Inputs 7&amp;8 SU'!$V57))</f>
        <v>10.731207624191898</v>
      </c>
      <c r="Q44" s="1246">
        <f>IF('Mkt Pen Veh-Mi'!Q44=0,1,1/((1-Fuel2ShrbyTech!Q45)/'Inputs 7&amp;8 SU'!$Q57+Fuel2ShrbyTech!Q45/'Inputs 7&amp;8 SU'!$W57))</f>
        <v>12.082772393392599</v>
      </c>
      <c r="R44" s="1246">
        <f>IF('Mkt Pen Veh-Mi'!R44=0,1,1/((1-Fuel2ShrbyTech!R45)/'Inputs 7&amp;8 SU'!$R57+Fuel2ShrbyTech!R45/'Inputs 7&amp;8 SU'!$X57))</f>
        <v>17.387748557530283</v>
      </c>
      <c r="S44" s="1247">
        <f>IF('Mkt Pen Veh-Mi'!S44=0,1,1/((1-Fuel2ShrbyTech!S45)/'Inputs 7&amp;8 SU'!$S57+Fuel2ShrbyTech!S45/'Inputs 7&amp;8 SU'!$Y57))</f>
        <v>28.558268545496833</v>
      </c>
      <c r="U44" s="1191">
        <f t="shared" si="13"/>
        <v>2042</v>
      </c>
      <c r="V44" s="1245">
        <f t="shared" si="14"/>
        <v>8.1043847804208973</v>
      </c>
      <c r="W44" s="1246">
        <f t="shared" si="15"/>
        <v>9.2348957875241897</v>
      </c>
      <c r="X44" s="1246">
        <f t="shared" si="16"/>
        <v>10.531859699848946</v>
      </c>
      <c r="Y44" s="1246">
        <f t="shared" si="17"/>
        <v>0</v>
      </c>
      <c r="Z44" s="1246">
        <f t="shared" si="18"/>
        <v>12.969444455849404</v>
      </c>
      <c r="AA44" s="1247">
        <f t="shared" si="19"/>
        <v>0</v>
      </c>
      <c r="AB44" s="1245">
        <f t="shared" si="20"/>
        <v>7.455247180300236</v>
      </c>
      <c r="AC44" s="1246">
        <f t="shared" si="21"/>
        <v>8.7575783191743213</v>
      </c>
      <c r="AD44" s="1246">
        <f t="shared" si="22"/>
        <v>8.8062768097857322</v>
      </c>
      <c r="AE44" s="1246">
        <f t="shared" si="23"/>
        <v>11.240116338145574</v>
      </c>
      <c r="AF44" s="1246">
        <f t="shared" si="24"/>
        <v>0</v>
      </c>
      <c r="AG44" s="1247">
        <f t="shared" si="25"/>
        <v>10.731415926205942</v>
      </c>
      <c r="AH44" s="1245">
        <f t="shared" si="26"/>
        <v>8.552006775413572</v>
      </c>
      <c r="AI44" s="1246">
        <f t="shared" si="27"/>
        <v>10.124728798223934</v>
      </c>
      <c r="AJ44" s="1246">
        <f t="shared" si="28"/>
        <v>10.731207624191898</v>
      </c>
      <c r="AK44" s="1246">
        <f t="shared" si="29"/>
        <v>12.082772393392599</v>
      </c>
      <c r="AL44" s="1246">
        <f t="shared" si="30"/>
        <v>17.387748557530283</v>
      </c>
      <c r="AM44" s="1247">
        <f t="shared" si="31"/>
        <v>28.558268545496833</v>
      </c>
      <c r="AN44" s="1176">
        <v>2042</v>
      </c>
      <c r="AO44" s="1322">
        <f t="array" ref="AO44">1/SUMPRODUCT(IFERROR(1/V44:AA44,0),'Mkt Pen Veh-Mi'!B44:G44)</f>
        <v>9.4489393278866842</v>
      </c>
      <c r="AP44" s="1323">
        <f t="array" ref="AP44">1/SUMPRODUCT(IFERROR(1/AB44:AG44,0),'Mkt Pen Veh-Mi'!H44:M44)</f>
        <v>8.8931936406234229</v>
      </c>
      <c r="AQ44" s="1327">
        <f t="array" ref="AQ44">1/SUMPRODUCT(IFERROR(1/AH44:AM44,0),'Mkt Pen Veh-Mi'!N44:S44)</f>
        <v>9.7714202377900783</v>
      </c>
      <c r="AR44" s="1320">
        <v>2042</v>
      </c>
      <c r="AS44" s="1322">
        <f t="shared" si="32"/>
        <v>1.1659045792981164</v>
      </c>
      <c r="AT44" s="1323">
        <f t="shared" si="33"/>
        <v>1.1928771005906846</v>
      </c>
      <c r="AU44" s="1323">
        <f t="shared" si="34"/>
        <v>1.1425879906786598</v>
      </c>
      <c r="AV44" s="1327">
        <v>2.1924471877980629</v>
      </c>
    </row>
    <row r="45" spans="1:48" s="1176" customFormat="1" ht="15" x14ac:dyDescent="0.2">
      <c r="A45" s="1191">
        <v>2043</v>
      </c>
      <c r="B45" s="1245">
        <f>IF('Mkt Pen Veh-Mi'!B45=0,1,1/((1-Fuel2ShrbyTech!B46)/'Inputs 7&amp;8 Sleep'!$N58+Fuel2ShrbyTech!B46/'Inputs 7&amp;8 Sleep'!$T58))</f>
        <v>8.1044016873015927</v>
      </c>
      <c r="C45" s="1246">
        <f>IF('Mkt Pen Veh-Mi'!C45=0,1,1/((1-Fuel2ShrbyTech!C46)/'Inputs 7&amp;8 Sleep'!$O58+Fuel2ShrbyTech!C46/'Inputs 7&amp;8 Sleep'!$U58))</f>
        <v>9.535831469857083</v>
      </c>
      <c r="D45" s="1246">
        <f>IF('Mkt Pen Veh-Mi'!D45=0,1,1/((1-Fuel2ShrbyTech!D46)/'Inputs 7&amp;8 Sleep'!$P58+Fuel2ShrbyTech!D46/'Inputs 7&amp;8 Sleep'!$V58))</f>
        <v>11.008251065710132</v>
      </c>
      <c r="E45" s="1246">
        <f>IF('Mkt Pen Veh-Mi'!E45=0,1,1/((1-Fuel2ShrbyTech!E46)/'Inputs 7&amp;8 Sleep'!$Q58+Fuel2ShrbyTech!E46/'Inputs 7&amp;8 Sleep'!$W58))</f>
        <v>1</v>
      </c>
      <c r="F45" s="1246">
        <f>IF('Mkt Pen Veh-Mi'!F45=0,1,1/((1-Fuel2ShrbyTech!F46)/'Inputs 7&amp;8 Sleep'!$R58+Fuel2ShrbyTech!F46/'Inputs 7&amp;8 Sleep'!$X58))</f>
        <v>13.567568163648472</v>
      </c>
      <c r="G45" s="1247">
        <f>IF('Mkt Pen Veh-Mi'!G45=0,1,1/((1-Fuel2ShrbyTech!G46)/'Inputs 7&amp;8 Sleep'!$S58+Fuel2ShrbyTech!G46/'Inputs 7&amp;8 Sleep'!$Y58))</f>
        <v>1</v>
      </c>
      <c r="H45" s="1245">
        <f>IF('Mkt Pen Veh-Mi'!H45=0,1,1/((1-Fuel2ShrbyTech!H46)/'Inputs 7&amp;8 Day'!$N58+Fuel2ShrbyTech!H46/'Inputs 7&amp;8 Day'!$T58))</f>
        <v>7.4552637334407992</v>
      </c>
      <c r="I45" s="1246">
        <f>IF('Mkt Pen Veh-Mi'!I45=0,1,1/((1-Fuel2ShrbyTech!I46)/'Inputs 7&amp;8 Day'!$O58+Fuel2ShrbyTech!I46/'Inputs 7&amp;8 Day'!$U58))</f>
        <v>8.757597763925304</v>
      </c>
      <c r="J45" s="1246">
        <f>IF('Mkt Pen Veh-Mi'!J45=0,1,1/((1-Fuel2ShrbyTech!J46)/'Inputs 7&amp;8 Day'!$P58+Fuel2ShrbyTech!J46/'Inputs 7&amp;8 Day'!$V58))</f>
        <v>8.8062963626636392</v>
      </c>
      <c r="K45" s="1246">
        <f>IF('Mkt Pen Veh-Mi'!K45=0,1,1/((1-Fuel2ShrbyTech!K46)/'Inputs 7&amp;8 Day'!$Q58+Fuel2ShrbyTech!K46/'Inputs 7&amp;8 Day'!$W58))</f>
        <v>11.499987550828783</v>
      </c>
      <c r="L45" s="1246">
        <f>IF('Mkt Pen Veh-Mi'!L45=0,1,1/((1-Fuel2ShrbyTech!L46)/'Inputs 7&amp;8 Day'!$R58+Fuel2ShrbyTech!L46/'Inputs 7&amp;8 Day'!$X58))</f>
        <v>20.01574261553893</v>
      </c>
      <c r="M45" s="1247">
        <f>IF('Mkt Pen Veh-Mi'!M45=0,1,1/((1-Fuel2ShrbyTech!M46)/'Inputs 7&amp;8 Day'!$S58+Fuel2ShrbyTech!M46/'Inputs 7&amp;8 Day'!$Y58))</f>
        <v>10.834704757120475</v>
      </c>
      <c r="N45" s="1245">
        <f>IF('Mkt Pen Veh-Mi'!N45=0,1,1/((1-Fuel2ShrbyTech!N46)/'Inputs 7&amp;8 SU'!$N58+Fuel2ShrbyTech!N46/'Inputs 7&amp;8 SU'!$T58))</f>
        <v>8.5541625159132924</v>
      </c>
      <c r="O45" s="1246">
        <f>IF('Mkt Pen Veh-Mi'!O45=0,1,1/((1-Fuel2ShrbyTech!O46)/'Inputs 7&amp;8 SU'!$O58+Fuel2ShrbyTech!O46/'Inputs 7&amp;8 SU'!$U58))</f>
        <v>10.127280981412301</v>
      </c>
      <c r="P45" s="1246">
        <f>IF('Mkt Pen Veh-Mi'!P45=0,1,1/((1-Fuel2ShrbyTech!P46)/'Inputs 7&amp;8 SU'!$P58+Fuel2ShrbyTech!P46/'Inputs 7&amp;8 SU'!$V58))</f>
        <v>10.733912685061691</v>
      </c>
      <c r="Q45" s="1246">
        <f>IF('Mkt Pen Veh-Mi'!Q45=0,1,1/((1-Fuel2ShrbyTech!Q46)/'Inputs 7&amp;8 SU'!$Q58+Fuel2ShrbyTech!Q46/'Inputs 7&amp;8 SU'!$W58))</f>
        <v>12.085818148907224</v>
      </c>
      <c r="R45" s="1246">
        <f>IF('Mkt Pen Veh-Mi'!R45=0,1,1/((1-Fuel2ShrbyTech!R46)/'Inputs 7&amp;8 SU'!$R58+Fuel2ShrbyTech!R46/'Inputs 7&amp;8 SU'!$X58))</f>
        <v>18.336921763496935</v>
      </c>
      <c r="S45" s="1247">
        <f>IF('Mkt Pen Veh-Mi'!S45=0,1,1/((1-Fuel2ShrbyTech!S46)/'Inputs 7&amp;8 SU'!$S58+Fuel2ShrbyTech!S46/'Inputs 7&amp;8 SU'!$Y58))</f>
        <v>28.662325683640397</v>
      </c>
      <c r="U45" s="1191">
        <f t="shared" si="13"/>
        <v>2043</v>
      </c>
      <c r="V45" s="1245">
        <f t="shared" si="14"/>
        <v>8.1044016873015927</v>
      </c>
      <c r="W45" s="1246">
        <f t="shared" si="15"/>
        <v>9.535831469857083</v>
      </c>
      <c r="X45" s="1246">
        <f t="shared" si="16"/>
        <v>11.008251065710132</v>
      </c>
      <c r="Y45" s="1246">
        <f t="shared" si="17"/>
        <v>0</v>
      </c>
      <c r="Z45" s="1246">
        <f t="shared" si="18"/>
        <v>13.567568163648472</v>
      </c>
      <c r="AA45" s="1247">
        <f t="shared" si="19"/>
        <v>0</v>
      </c>
      <c r="AB45" s="1245">
        <f t="shared" si="20"/>
        <v>7.4552637334407992</v>
      </c>
      <c r="AC45" s="1246">
        <f t="shared" si="21"/>
        <v>8.757597763925304</v>
      </c>
      <c r="AD45" s="1246">
        <f t="shared" si="22"/>
        <v>8.8062963626636392</v>
      </c>
      <c r="AE45" s="1246">
        <f t="shared" si="23"/>
        <v>11.499987550828783</v>
      </c>
      <c r="AF45" s="1246">
        <f t="shared" si="24"/>
        <v>20.01574261553893</v>
      </c>
      <c r="AG45" s="1247">
        <f t="shared" si="25"/>
        <v>10.834704757120475</v>
      </c>
      <c r="AH45" s="1245">
        <f t="shared" si="26"/>
        <v>8.5541625159132924</v>
      </c>
      <c r="AI45" s="1246">
        <f t="shared" si="27"/>
        <v>10.127280981412301</v>
      </c>
      <c r="AJ45" s="1246">
        <f t="shared" si="28"/>
        <v>10.733912685061691</v>
      </c>
      <c r="AK45" s="1246">
        <f t="shared" si="29"/>
        <v>12.085818148907224</v>
      </c>
      <c r="AL45" s="1246">
        <f t="shared" si="30"/>
        <v>18.336921763496935</v>
      </c>
      <c r="AM45" s="1247">
        <f t="shared" si="31"/>
        <v>28.662325683640397</v>
      </c>
      <c r="AN45" s="1176">
        <v>2043</v>
      </c>
      <c r="AO45" s="1322">
        <f t="array" ref="AO45">1/SUMPRODUCT(IFERROR(1/V45:AA45,0),'Mkt Pen Veh-Mi'!B45:G45)</f>
        <v>9.7307902202803973</v>
      </c>
      <c r="AP45" s="1323">
        <f t="array" ref="AP45">1/SUMPRODUCT(IFERROR(1/AB45:AG45,0),'Mkt Pen Veh-Mi'!H45:M45)</f>
        <v>9.0191792034282336</v>
      </c>
      <c r="AQ45" s="1327">
        <f t="array" ref="AQ45">1/SUMPRODUCT(IFERROR(1/AH45:AM45,0),'Mkt Pen Veh-Mi'!N45:S45)</f>
        <v>9.8650607938601667</v>
      </c>
      <c r="AR45" s="1320">
        <v>2043</v>
      </c>
      <c r="AS45" s="1322">
        <f t="shared" si="32"/>
        <v>1.2006796548013059</v>
      </c>
      <c r="AT45" s="1323">
        <f t="shared" si="33"/>
        <v>1.2097733260558505</v>
      </c>
      <c r="AU45" s="1323">
        <f t="shared" si="34"/>
        <v>1.1532468287232343</v>
      </c>
      <c r="AV45" s="1327">
        <v>2.2174143154278179</v>
      </c>
    </row>
    <row r="46" spans="1:48" s="1176" customFormat="1" ht="15" x14ac:dyDescent="0.2">
      <c r="A46" s="1191">
        <v>2044</v>
      </c>
      <c r="B46" s="1245">
        <f>IF('Mkt Pen Veh-Mi'!B46=0,1,1/((1-Fuel2ShrbyTech!B47)/'Inputs 7&amp;8 Sleep'!$N59+Fuel2ShrbyTech!B47/'Inputs 7&amp;8 Sleep'!$T59))</f>
        <v>8.1044204062362173</v>
      </c>
      <c r="C46" s="1246">
        <f>IF('Mkt Pen Veh-Mi'!C46=0,1,1/((1-Fuel2ShrbyTech!C47)/'Inputs 7&amp;8 Sleep'!$O59+Fuel2ShrbyTech!C47/'Inputs 7&amp;8 Sleep'!$U59))</f>
        <v>9.8189781239394645</v>
      </c>
      <c r="D46" s="1246">
        <f>IF('Mkt Pen Veh-Mi'!D46=0,1,1/((1-Fuel2ShrbyTech!D47)/'Inputs 7&amp;8 Sleep'!$P59+Fuel2ShrbyTech!D47/'Inputs 7&amp;8 Sleep'!$V59))</f>
        <v>11.456481798043551</v>
      </c>
      <c r="E46" s="1246">
        <f>IF('Mkt Pen Veh-Mi'!E46=0,1,1/((1-Fuel2ShrbyTech!E47)/'Inputs 7&amp;8 Sleep'!$Q59+Fuel2ShrbyTech!E47/'Inputs 7&amp;8 Sleep'!$W59))</f>
        <v>1</v>
      </c>
      <c r="F46" s="1246">
        <f>IF('Mkt Pen Veh-Mi'!F46=0,1,1/((1-Fuel2ShrbyTech!F47)/'Inputs 7&amp;8 Sleep'!$R59+Fuel2ShrbyTech!F47/'Inputs 7&amp;8 Sleep'!$X59))</f>
        <v>14.130335347911151</v>
      </c>
      <c r="G46" s="1247">
        <f>IF('Mkt Pen Veh-Mi'!G46=0,1,1/((1-Fuel2ShrbyTech!G47)/'Inputs 7&amp;8 Sleep'!$S59+Fuel2ShrbyTech!G47/'Inputs 7&amp;8 Sleep'!$Y59))</f>
        <v>1</v>
      </c>
      <c r="H46" s="1245">
        <f>IF('Mkt Pen Veh-Mi'!H46=0,1,1/((1-Fuel2ShrbyTech!H47)/'Inputs 7&amp;8 Day'!$N59+Fuel2ShrbyTech!H47/'Inputs 7&amp;8 Day'!$T59))</f>
        <v>7.4552802865813641</v>
      </c>
      <c r="I46" s="1246">
        <f>IF('Mkt Pen Veh-Mi'!I46=0,1,1/((1-Fuel2ShrbyTech!I47)/'Inputs 7&amp;8 Day'!$O59+Fuel2ShrbyTech!I47/'Inputs 7&amp;8 Day'!$U59))</f>
        <v>8.7576172086762831</v>
      </c>
      <c r="J46" s="1246">
        <f>IF('Mkt Pen Veh-Mi'!J46=0,1,1/((1-Fuel2ShrbyTech!J47)/'Inputs 7&amp;8 Day'!$P59+Fuel2ShrbyTech!J47/'Inputs 7&amp;8 Day'!$V59))</f>
        <v>8.8063159155415462</v>
      </c>
      <c r="K46" s="1246">
        <f>IF('Mkt Pen Veh-Mi'!K46=0,1,1/((1-Fuel2ShrbyTech!K47)/'Inputs 7&amp;8 Day'!$Q59+Fuel2ShrbyTech!K47/'Inputs 7&amp;8 Day'!$W59))</f>
        <v>11.727946560664167</v>
      </c>
      <c r="L46" s="1246">
        <f>IF('Mkt Pen Veh-Mi'!L46=0,1,1/((1-Fuel2ShrbyTech!L47)/'Inputs 7&amp;8 Day'!$R59+Fuel2ShrbyTech!L47/'Inputs 7&amp;8 Day'!$X59))</f>
        <v>20.095885356726619</v>
      </c>
      <c r="M46" s="1247">
        <f>IF('Mkt Pen Veh-Mi'!M46=0,1,1/((1-Fuel2ShrbyTech!M47)/'Inputs 7&amp;8 Day'!$S59+Fuel2ShrbyTech!M47/'Inputs 7&amp;8 Day'!$Y59))</f>
        <v>10.937994046599632</v>
      </c>
      <c r="N46" s="1245">
        <f>IF('Mkt Pen Veh-Mi'!N46=0,1,1/((1-Fuel2ShrbyTech!N47)/'Inputs 7&amp;8 SU'!$N59+Fuel2ShrbyTech!N47/'Inputs 7&amp;8 SU'!$T59))</f>
        <v>8.5564345191960758</v>
      </c>
      <c r="O46" s="1246">
        <f>IF('Mkt Pen Veh-Mi'!O46=0,1,1/((1-Fuel2ShrbyTech!O47)/'Inputs 7&amp;8 SU'!$O59+Fuel2ShrbyTech!O47/'Inputs 7&amp;8 SU'!$U59))</f>
        <v>10.12997080821798</v>
      </c>
      <c r="P46" s="1246">
        <f>IF('Mkt Pen Veh-Mi'!P46=0,1,1/((1-Fuel2ShrbyTech!P47)/'Inputs 7&amp;8 SU'!$P59+Fuel2ShrbyTech!P47/'Inputs 7&amp;8 SU'!$V59))</f>
        <v>10.736763634504399</v>
      </c>
      <c r="Q46" s="1246">
        <f>IF('Mkt Pen Veh-Mi'!Q46=0,1,1/((1-Fuel2ShrbyTech!Q47)/'Inputs 7&amp;8 SU'!$Q59+Fuel2ShrbyTech!Q47/'Inputs 7&amp;8 SU'!$W59))</f>
        <v>12.089028167241382</v>
      </c>
      <c r="R46" s="1246">
        <f>IF('Mkt Pen Veh-Mi'!R46=0,1,1/((1-Fuel2ShrbyTech!R47)/'Inputs 7&amp;8 SU'!$R59+Fuel2ShrbyTech!R47/'Inputs 7&amp;8 SU'!$X59))</f>
        <v>19.451808541250497</v>
      </c>
      <c r="S46" s="1247">
        <f>IF('Mkt Pen Veh-Mi'!S46=0,1,1/((1-Fuel2ShrbyTech!S47)/'Inputs 7&amp;8 SU'!$S59+Fuel2ShrbyTech!S47/'Inputs 7&amp;8 SU'!$Y59))</f>
        <v>28.766822517152747</v>
      </c>
      <c r="U46" s="1191">
        <f t="shared" si="13"/>
        <v>2044</v>
      </c>
      <c r="V46" s="1245">
        <f t="shared" si="14"/>
        <v>8.1044204062362173</v>
      </c>
      <c r="W46" s="1246">
        <f t="shared" si="15"/>
        <v>9.8189781239394645</v>
      </c>
      <c r="X46" s="1246">
        <f t="shared" si="16"/>
        <v>11.456481798043551</v>
      </c>
      <c r="Y46" s="1246">
        <f t="shared" si="17"/>
        <v>0</v>
      </c>
      <c r="Z46" s="1246">
        <f t="shared" si="18"/>
        <v>14.130335347911151</v>
      </c>
      <c r="AA46" s="1247">
        <f t="shared" si="19"/>
        <v>0</v>
      </c>
      <c r="AB46" s="1245">
        <f t="shared" si="20"/>
        <v>7.4552802865813641</v>
      </c>
      <c r="AC46" s="1246">
        <f t="shared" si="21"/>
        <v>8.7576172086762831</v>
      </c>
      <c r="AD46" s="1246">
        <f t="shared" si="22"/>
        <v>8.8063159155415462</v>
      </c>
      <c r="AE46" s="1246">
        <f t="shared" si="23"/>
        <v>11.727946560664167</v>
      </c>
      <c r="AF46" s="1246">
        <f t="shared" si="24"/>
        <v>20.095885356726619</v>
      </c>
      <c r="AG46" s="1247">
        <f t="shared" si="25"/>
        <v>10.937994046599632</v>
      </c>
      <c r="AH46" s="1245">
        <f t="shared" si="26"/>
        <v>8.5564345191960758</v>
      </c>
      <c r="AI46" s="1246">
        <f t="shared" si="27"/>
        <v>10.12997080821798</v>
      </c>
      <c r="AJ46" s="1246">
        <f t="shared" si="28"/>
        <v>10.736763634504399</v>
      </c>
      <c r="AK46" s="1246">
        <f t="shared" si="29"/>
        <v>12.089028167241382</v>
      </c>
      <c r="AL46" s="1246">
        <f t="shared" si="30"/>
        <v>19.451808541250497</v>
      </c>
      <c r="AM46" s="1247">
        <f t="shared" si="31"/>
        <v>28.766822517152747</v>
      </c>
      <c r="AN46" s="1176">
        <v>2044</v>
      </c>
      <c r="AO46" s="1322">
        <f t="array" ref="AO46">1/SUMPRODUCT(IFERROR(1/V46:AA46,0),'Mkt Pen Veh-Mi'!B46:G46)</f>
        <v>9.9969135768211039</v>
      </c>
      <c r="AP46" s="1323">
        <f t="array" ref="AP46">1/SUMPRODUCT(IFERROR(1/AB46:AG46,0),'Mkt Pen Veh-Mi'!H46:M46)</f>
        <v>9.1493129921715575</v>
      </c>
      <c r="AQ46" s="1327">
        <f t="array" ref="AQ46">1/SUMPRODUCT(IFERROR(1/AH46:AM46,0),'Mkt Pen Veh-Mi'!N46:S46)</f>
        <v>10.005291276699397</v>
      </c>
      <c r="AR46" s="1320">
        <v>2044</v>
      </c>
      <c r="AS46" s="1322">
        <f t="shared" si="32"/>
        <v>1.2335136969361369</v>
      </c>
      <c r="AT46" s="1323">
        <f t="shared" si="33"/>
        <v>1.2272258909754548</v>
      </c>
      <c r="AU46" s="1323">
        <f t="shared" si="34"/>
        <v>1.1693294974972179</v>
      </c>
      <c r="AV46" s="1327">
        <v>2.2420204999328672</v>
      </c>
    </row>
    <row r="47" spans="1:48" s="1176" customFormat="1" ht="15" x14ac:dyDescent="0.2">
      <c r="A47" s="1197">
        <v>2045</v>
      </c>
      <c r="B47" s="1248">
        <f>IF('Mkt Pen Veh-Mi'!B47=0,1,1/((1-Fuel2ShrbyTech!B48)/'Inputs 7&amp;8 Sleep'!$N60+Fuel2ShrbyTech!B48/'Inputs 7&amp;8 Sleep'!$T60))</f>
        <v>8.1044311458601701</v>
      </c>
      <c r="C47" s="1249">
        <f>IF('Mkt Pen Veh-Mi'!C47=0,1,1/((1-Fuel2ShrbyTech!C48)/'Inputs 7&amp;8 Sleep'!$O60+Fuel2ShrbyTech!C48/'Inputs 7&amp;8 Sleep'!$U60))</f>
        <v>10.05643245489153</v>
      </c>
      <c r="D47" s="1249">
        <f>IF('Mkt Pen Veh-Mi'!D47=0,1,1/((1-Fuel2ShrbyTech!D48)/'Inputs 7&amp;8 Sleep'!$P60+Fuel2ShrbyTech!D48/'Inputs 7&amp;8 Sleep'!$V60))</f>
        <v>11.832380037079142</v>
      </c>
      <c r="E47" s="1249">
        <f>IF('Mkt Pen Veh-Mi'!E47=0,1,1/((1-Fuel2ShrbyTech!E48)/'Inputs 7&amp;8 Sleep'!$Q60+Fuel2ShrbyTech!E48/'Inputs 7&amp;8 Sleep'!$W60))</f>
        <v>21.838516631429059</v>
      </c>
      <c r="F47" s="1249">
        <f>IF('Mkt Pen Veh-Mi'!F47=0,1,1/((1-Fuel2ShrbyTech!F48)/'Inputs 7&amp;8 Sleep'!$R60+Fuel2ShrbyTech!F48/'Inputs 7&amp;8 Sleep'!$X60))</f>
        <v>14.60228690832759</v>
      </c>
      <c r="G47" s="1250">
        <f>IF('Mkt Pen Veh-Mi'!G47=0,1,1/((1-Fuel2ShrbyTech!G48)/'Inputs 7&amp;8 Sleep'!$S60+Fuel2ShrbyTech!G48/'Inputs 7&amp;8 Sleep'!$Y60))</f>
        <v>1</v>
      </c>
      <c r="H47" s="1248">
        <f>IF('Mkt Pen Veh-Mi'!H47=0,1,1/((1-Fuel2ShrbyTech!H48)/'Inputs 7&amp;8 Day'!$N60+Fuel2ShrbyTech!H48/'Inputs 7&amp;8 Day'!$T60))</f>
        <v>7.455296839721929</v>
      </c>
      <c r="I47" s="1249">
        <f>IF('Mkt Pen Veh-Mi'!I47=0,1,1/((1-Fuel2ShrbyTech!I48)/'Inputs 7&amp;8 Day'!$O60+Fuel2ShrbyTech!I48/'Inputs 7&amp;8 Day'!$U60))</f>
        <v>8.7576366534272641</v>
      </c>
      <c r="J47" s="1249">
        <f>IF('Mkt Pen Veh-Mi'!J47=0,1,1/((1-Fuel2ShrbyTech!J48)/'Inputs 7&amp;8 Day'!$P60+Fuel2ShrbyTech!J48/'Inputs 7&amp;8 Day'!$V60))</f>
        <v>8.8063354684194532</v>
      </c>
      <c r="K47" s="1249">
        <f>IF('Mkt Pen Veh-Mi'!K47=0,1,1/((1-Fuel2ShrbyTech!K48)/'Inputs 7&amp;8 Day'!$Q60+Fuel2ShrbyTech!K48/'Inputs 7&amp;8 Day'!$W60))</f>
        <v>11.959523782890669</v>
      </c>
      <c r="L47" s="1249">
        <f>IF('Mkt Pen Veh-Mi'!L47=0,1,1/((1-Fuel2ShrbyTech!L48)/'Inputs 7&amp;8 Day'!$R60+Fuel2ShrbyTech!L48/'Inputs 7&amp;8 Day'!$X60))</f>
        <v>20.176028453602722</v>
      </c>
      <c r="M47" s="1250">
        <f>IF('Mkt Pen Veh-Mi'!M47=0,1,1/((1-Fuel2ShrbyTech!M48)/'Inputs 7&amp;8 Day'!$S60+Fuel2ShrbyTech!M48/'Inputs 7&amp;8 Day'!$Y60))</f>
        <v>11.041283794643421</v>
      </c>
      <c r="N47" s="1248">
        <f>IF('Mkt Pen Veh-Mi'!N47=0,1,1/((1-Fuel2ShrbyTech!N48)/'Inputs 7&amp;8 SU'!$N60+Fuel2ShrbyTech!N48/'Inputs 7&amp;8 SU'!$T60))</f>
        <v>8.5588402101966423</v>
      </c>
      <c r="O47" s="1249">
        <f>IF('Mkt Pen Veh-Mi'!O47=0,1,1/((1-Fuel2ShrbyTech!O48)/'Inputs 7&amp;8 SU'!$O60+Fuel2ShrbyTech!O48/'Inputs 7&amp;8 SU'!$U60))</f>
        <v>10.132818908037438</v>
      </c>
      <c r="P47" s="1249">
        <f>IF('Mkt Pen Veh-Mi'!P47=0,1,1/((1-Fuel2ShrbyTech!P48)/'Inputs 7&amp;8 SU'!$P60+Fuel2ShrbyTech!P48/'Inputs 7&amp;8 SU'!$V60))</f>
        <v>10.739782337632763</v>
      </c>
      <c r="Q47" s="1249">
        <f>IF('Mkt Pen Veh-Mi'!Q47=0,1,1/((1-Fuel2ShrbyTech!Q48)/'Inputs 7&amp;8 SU'!$Q60+Fuel2ShrbyTech!Q48/'Inputs 7&amp;8 SU'!$W60))</f>
        <v>12.092427067355944</v>
      </c>
      <c r="R47" s="1249">
        <f>IF('Mkt Pen Veh-Mi'!R47=0,1,1/((1-Fuel2ShrbyTech!R48)/'Inputs 7&amp;8 SU'!$R60+Fuel2ShrbyTech!R48/'Inputs 7&amp;8 SU'!$X60))</f>
        <v>20.688326787632036</v>
      </c>
      <c r="S47" s="1250">
        <f>IF('Mkt Pen Veh-Mi'!S47=0,1,1/((1-Fuel2ShrbyTech!S48)/'Inputs 7&amp;8 SU'!$S60+Fuel2ShrbyTech!S48/'Inputs 7&amp;8 SU'!$Y60))</f>
        <v>28.871821775460866</v>
      </c>
      <c r="U47" s="1197">
        <f t="shared" si="13"/>
        <v>2045</v>
      </c>
      <c r="V47" s="1248">
        <f t="shared" si="14"/>
        <v>8.1044311458601701</v>
      </c>
      <c r="W47" s="1249">
        <f t="shared" si="15"/>
        <v>10.05643245489153</v>
      </c>
      <c r="X47" s="1249">
        <f t="shared" si="16"/>
        <v>11.832380037079142</v>
      </c>
      <c r="Y47" s="1249">
        <f t="shared" si="17"/>
        <v>21.838516631429059</v>
      </c>
      <c r="Z47" s="1249">
        <f t="shared" si="18"/>
        <v>14.60228690832759</v>
      </c>
      <c r="AA47" s="1250">
        <f t="shared" si="19"/>
        <v>0</v>
      </c>
      <c r="AB47" s="1248">
        <f t="shared" si="20"/>
        <v>7.455296839721929</v>
      </c>
      <c r="AC47" s="1249">
        <f t="shared" si="21"/>
        <v>8.7576366534272641</v>
      </c>
      <c r="AD47" s="1249">
        <f t="shared" si="22"/>
        <v>8.8063354684194532</v>
      </c>
      <c r="AE47" s="1249">
        <f t="shared" si="23"/>
        <v>11.959523782890669</v>
      </c>
      <c r="AF47" s="1249">
        <f t="shared" si="24"/>
        <v>20.176028453602722</v>
      </c>
      <c r="AG47" s="1250">
        <f t="shared" si="25"/>
        <v>11.041283794643421</v>
      </c>
      <c r="AH47" s="1248">
        <f t="shared" si="26"/>
        <v>8.5588402101966423</v>
      </c>
      <c r="AI47" s="1249">
        <f t="shared" si="27"/>
        <v>10.132818908037438</v>
      </c>
      <c r="AJ47" s="1249">
        <f t="shared" si="28"/>
        <v>10.739782337632763</v>
      </c>
      <c r="AK47" s="1249">
        <f t="shared" si="29"/>
        <v>12.092427067355944</v>
      </c>
      <c r="AL47" s="1249">
        <f t="shared" si="30"/>
        <v>20.688326787632036</v>
      </c>
      <c r="AM47" s="1250">
        <f t="shared" si="31"/>
        <v>28.871821775460866</v>
      </c>
      <c r="AN47" s="1176">
        <v>2045</v>
      </c>
      <c r="AO47" s="1322">
        <f t="array" ref="AO47">1/SUMPRODUCT(IFERROR(1/V47:AA47,0),'Mkt Pen Veh-Mi'!B47:G47)</f>
        <v>10.218336575326106</v>
      </c>
      <c r="AP47" s="1323">
        <f t="array" ref="AP47">1/SUMPRODUCT(IFERROR(1/AB47:AG47,0),'Mkt Pen Veh-Mi'!H47:M47)</f>
        <v>9.3881644759827729</v>
      </c>
      <c r="AQ47" s="1327">
        <f t="array" ref="AQ47">1/SUMPRODUCT(IFERROR(1/AH47:AM47,0),'Mkt Pen Veh-Mi'!N47:S47)</f>
        <v>10.213538699079924</v>
      </c>
      <c r="AR47" s="1320">
        <v>2045</v>
      </c>
      <c r="AS47" s="1322">
        <f t="shared" si="32"/>
        <v>1.2608332887800202</v>
      </c>
      <c r="AT47" s="1323">
        <f t="shared" si="33"/>
        <v>1.2592609895775708</v>
      </c>
      <c r="AU47" s="1323">
        <f t="shared" si="34"/>
        <v>1.19333209269545</v>
      </c>
      <c r="AV47" s="1327">
        <v>2.2603379864801605</v>
      </c>
    </row>
    <row r="48" spans="1:48" s="1176" customFormat="1" ht="15" x14ac:dyDescent="0.2">
      <c r="A48" s="1191">
        <v>2046</v>
      </c>
      <c r="B48" s="1251">
        <f>IF('Mkt Pen Veh-Mi'!B48=0,1,1/((1-Fuel2ShrbyTech!B49)/'Inputs 7&amp;8 Sleep'!$N61+Fuel2ShrbyTech!B49/'Inputs 7&amp;8 Sleep'!$T61))</f>
        <v>8.1044333679487188</v>
      </c>
      <c r="C48" s="1252">
        <f>IF('Mkt Pen Veh-Mi'!C48=0,1,1/((1-Fuel2ShrbyTech!C49)/'Inputs 7&amp;8 Sleep'!$O61+Fuel2ShrbyTech!C49/'Inputs 7&amp;8 Sleep'!$U61))</f>
        <v>10.237093422908599</v>
      </c>
      <c r="D48" s="1252">
        <f>IF('Mkt Pen Veh-Mi'!D48=0,1,1/((1-Fuel2ShrbyTech!D49)/'Inputs 7&amp;8 Sleep'!$P61+Fuel2ShrbyTech!D49/'Inputs 7&amp;8 Sleep'!$V61))</f>
        <v>12.118372461255182</v>
      </c>
      <c r="E48" s="1252">
        <f>IF('Mkt Pen Veh-Mi'!E48=0,1,1/((1-Fuel2ShrbyTech!E49)/'Inputs 7&amp;8 Sleep'!$Q61+Fuel2ShrbyTech!E49/'Inputs 7&amp;8 Sleep'!$W61))</f>
        <v>22.334023440540282</v>
      </c>
      <c r="F48" s="1252">
        <f>IF('Mkt Pen Veh-Mi'!F48=0,1,1/((1-Fuel2ShrbyTech!F49)/'Inputs 7&amp;8 Sleep'!$R61+Fuel2ShrbyTech!F49/'Inputs 7&amp;8 Sleep'!$X61))</f>
        <v>14.961359010403561</v>
      </c>
      <c r="G48" s="1253">
        <f>IF('Mkt Pen Veh-Mi'!G48=0,1,1/((1-Fuel2ShrbyTech!G49)/'Inputs 7&amp;8 Sleep'!$S61+Fuel2ShrbyTech!G49/'Inputs 7&amp;8 Sleep'!$Y61))</f>
        <v>1</v>
      </c>
      <c r="H48" s="1251">
        <f>IF('Mkt Pen Veh-Mi'!H48=0,1,1/((1-Fuel2ShrbyTech!H49)/'Inputs 7&amp;8 Day'!$N61+Fuel2ShrbyTech!H49/'Inputs 7&amp;8 Day'!$T61))</f>
        <v>7.4553133928624931</v>
      </c>
      <c r="I48" s="1252">
        <f>IF('Mkt Pen Veh-Mi'!I48=0,1,1/((1-Fuel2ShrbyTech!I49)/'Inputs 7&amp;8 Day'!$O61+Fuel2ShrbyTech!I49/'Inputs 7&amp;8 Day'!$U61))</f>
        <v>8.757656098178245</v>
      </c>
      <c r="J48" s="1252">
        <f>IF('Mkt Pen Veh-Mi'!J48=0,1,1/((1-Fuel2ShrbyTech!J49)/'Inputs 7&amp;8 Day'!$P61+Fuel2ShrbyTech!J49/'Inputs 7&amp;8 Day'!$V61))</f>
        <v>8.8063550212973603</v>
      </c>
      <c r="K48" s="1252">
        <f>IF('Mkt Pen Veh-Mi'!K48=0,1,1/((1-Fuel2ShrbyTech!K49)/'Inputs 7&amp;8 Day'!$Q61+Fuel2ShrbyTech!K49/'Inputs 7&amp;8 Day'!$W61))</f>
        <v>12.137180064803058</v>
      </c>
      <c r="L48" s="1252">
        <f>IF('Mkt Pen Veh-Mi'!L48=0,1,1/((1-Fuel2ShrbyTech!L49)/'Inputs 7&amp;8 Day'!$R61+Fuel2ShrbyTech!L49/'Inputs 7&amp;8 Day'!$X61))</f>
        <v>20.256171906167243</v>
      </c>
      <c r="M48" s="1253">
        <f>IF('Mkt Pen Veh-Mi'!M48=0,1,1/((1-Fuel2ShrbyTech!M49)/'Inputs 7&amp;8 Day'!$S61+Fuel2ShrbyTech!M49/'Inputs 7&amp;8 Day'!$Y61))</f>
        <v>11.144574001251836</v>
      </c>
      <c r="N48" s="1251">
        <f>IF('Mkt Pen Veh-Mi'!N48=0,1,1/((1-Fuel2ShrbyTech!N49)/'Inputs 7&amp;8 SU'!$N61+Fuel2ShrbyTech!N49/'Inputs 7&amp;8 SU'!$T61))</f>
        <v>8.5606020112770658</v>
      </c>
      <c r="O48" s="1252">
        <f>IF('Mkt Pen Veh-Mi'!O48=0,1,1/((1-Fuel2ShrbyTech!O49)/'Inputs 7&amp;8 SU'!$O61+Fuel2ShrbyTech!O49/'Inputs 7&amp;8 SU'!$U61))</f>
        <v>10.134904705979856</v>
      </c>
      <c r="P48" s="1252">
        <f>IF('Mkt Pen Veh-Mi'!P48=0,1,1/((1-Fuel2ShrbyTech!P49)/'Inputs 7&amp;8 SU'!$P61+Fuel2ShrbyTech!P49/'Inputs 7&amp;8 SU'!$V61))</f>
        <v>10.741993076431626</v>
      </c>
      <c r="Q48" s="1252">
        <f>IF('Mkt Pen Veh-Mi'!Q48=0,1,1/((1-Fuel2ShrbyTech!Q49)/'Inputs 7&amp;8 SU'!$Q61+Fuel2ShrbyTech!Q49/'Inputs 7&amp;8 SU'!$W61))</f>
        <v>12.094916242355009</v>
      </c>
      <c r="R48" s="1252">
        <f>IF('Mkt Pen Veh-Mi'!R48=0,1,1/((1-Fuel2ShrbyTech!R49)/'Inputs 7&amp;8 SU'!$R61+Fuel2ShrbyTech!R49/'Inputs 7&amp;8 SU'!$X61))</f>
        <v>21.373578747806103</v>
      </c>
      <c r="S48" s="1253">
        <f>IF('Mkt Pen Veh-Mi'!S48=0,1,1/((1-Fuel2ShrbyTech!S49)/'Inputs 7&amp;8 SU'!$S61+Fuel2ShrbyTech!S49/'Inputs 7&amp;8 SU'!$Y61))</f>
        <v>28.974696166673031</v>
      </c>
      <c r="U48" s="1191">
        <f t="shared" si="13"/>
        <v>2046</v>
      </c>
      <c r="V48" s="1251">
        <f t="shared" si="14"/>
        <v>8.1044333679487188</v>
      </c>
      <c r="W48" s="1252">
        <f t="shared" si="15"/>
        <v>10.237093422908599</v>
      </c>
      <c r="X48" s="1252">
        <f t="shared" si="16"/>
        <v>12.118372461255182</v>
      </c>
      <c r="Y48" s="1252">
        <f t="shared" si="17"/>
        <v>22.334023440540282</v>
      </c>
      <c r="Z48" s="1252">
        <f t="shared" si="18"/>
        <v>14.961359010403561</v>
      </c>
      <c r="AA48" s="1253">
        <f t="shared" si="19"/>
        <v>0</v>
      </c>
      <c r="AB48" s="1251">
        <f t="shared" si="20"/>
        <v>7.4553133928624931</v>
      </c>
      <c r="AC48" s="1252">
        <f t="shared" si="21"/>
        <v>8.757656098178245</v>
      </c>
      <c r="AD48" s="1252">
        <f t="shared" si="22"/>
        <v>8.8063550212973603</v>
      </c>
      <c r="AE48" s="1252">
        <f t="shared" si="23"/>
        <v>12.137180064803058</v>
      </c>
      <c r="AF48" s="1252">
        <f t="shared" si="24"/>
        <v>20.256171906167243</v>
      </c>
      <c r="AG48" s="1253">
        <f t="shared" si="25"/>
        <v>11.144574001251836</v>
      </c>
      <c r="AH48" s="1251">
        <f t="shared" si="26"/>
        <v>8.5606020112770658</v>
      </c>
      <c r="AI48" s="1252">
        <f t="shared" si="27"/>
        <v>10.134904705979856</v>
      </c>
      <c r="AJ48" s="1252">
        <f t="shared" si="28"/>
        <v>10.741993076431626</v>
      </c>
      <c r="AK48" s="1252">
        <f t="shared" si="29"/>
        <v>12.094916242355009</v>
      </c>
      <c r="AL48" s="1252">
        <f t="shared" si="30"/>
        <v>21.373578747806103</v>
      </c>
      <c r="AM48" s="1253">
        <f t="shared" si="31"/>
        <v>28.974696166673031</v>
      </c>
      <c r="AN48" s="1176">
        <v>2046</v>
      </c>
      <c r="AO48" s="1322">
        <f t="array" ref="AO48">1/SUMPRODUCT(IFERROR(1/V48:AA48,0),'Mkt Pen Veh-Mi'!B48:G48)</f>
        <v>10.392550232400795</v>
      </c>
      <c r="AP48" s="1323">
        <f t="array" ref="AP48">1/SUMPRODUCT(IFERROR(1/AB48:AG48,0),'Mkt Pen Veh-Mi'!H48:M48)</f>
        <v>9.5247817907370802</v>
      </c>
      <c r="AQ48" s="1327">
        <f t="array" ref="AQ48">1/SUMPRODUCT(IFERROR(1/AH48:AM48,0),'Mkt Pen Veh-Mi'!N48:S48)</f>
        <v>10.33037176489071</v>
      </c>
      <c r="AR48" s="1320">
        <v>2046</v>
      </c>
      <c r="AS48" s="1322">
        <f t="shared" si="32"/>
        <v>1.2823290365370987</v>
      </c>
      <c r="AT48" s="1323">
        <f t="shared" si="33"/>
        <v>1.2775830188246462</v>
      </c>
      <c r="AU48" s="1323">
        <f t="shared" si="34"/>
        <v>1.2067342636980773</v>
      </c>
      <c r="AV48" s="1327">
        <v>2.2751084089886593</v>
      </c>
    </row>
    <row r="49" spans="1:48" s="1176" customFormat="1" ht="15" x14ac:dyDescent="0.2">
      <c r="A49" s="1191">
        <v>2047</v>
      </c>
      <c r="B49" s="1245">
        <f>IF('Mkt Pen Veh-Mi'!B49=0,1,1/((1-Fuel2ShrbyTech!B50)/'Inputs 7&amp;8 Sleep'!$N62+Fuel2ShrbyTech!B50/'Inputs 7&amp;8 Sleep'!$T62))</f>
        <v>8.1044320169487083</v>
      </c>
      <c r="C49" s="1246">
        <f>IF('Mkt Pen Veh-Mi'!C49=0,1,1/((1-Fuel2ShrbyTech!C50)/'Inputs 7&amp;8 Sleep'!$O62+Fuel2ShrbyTech!C50/'Inputs 7&amp;8 Sleep'!$U62))</f>
        <v>10.364622538022186</v>
      </c>
      <c r="D49" s="1246">
        <f>IF('Mkt Pen Veh-Mi'!D49=0,1,1/((1-Fuel2ShrbyTech!D50)/'Inputs 7&amp;8 Sleep'!$P62+Fuel2ShrbyTech!D50/'Inputs 7&amp;8 Sleep'!$V62))</f>
        <v>12.320255364821348</v>
      </c>
      <c r="E49" s="1246">
        <f>IF('Mkt Pen Veh-Mi'!E49=0,1,1/((1-Fuel2ShrbyTech!E50)/'Inputs 7&amp;8 Sleep'!$Q62+Fuel2ShrbyTech!E50/'Inputs 7&amp;8 Sleep'!$W62))</f>
        <v>22.683803172113176</v>
      </c>
      <c r="F49" s="1246">
        <f>IF('Mkt Pen Veh-Mi'!F49=0,1,1/((1-Fuel2ShrbyTech!F50)/'Inputs 7&amp;8 Sleep'!$R62+Fuel2ShrbyTech!F50/'Inputs 7&amp;8 Sleep'!$X62))</f>
        <v>15.214829076142365</v>
      </c>
      <c r="G49" s="1247">
        <f>IF('Mkt Pen Veh-Mi'!G49=0,1,1/((1-Fuel2ShrbyTech!G50)/'Inputs 7&amp;8 Sleep'!$S62+Fuel2ShrbyTech!G50/'Inputs 7&amp;8 Sleep'!$Y62))</f>
        <v>1</v>
      </c>
      <c r="H49" s="1245">
        <f>IF('Mkt Pen Veh-Mi'!H49=0,1,1/((1-Fuel2ShrbyTech!H50)/'Inputs 7&amp;8 Day'!$N62+Fuel2ShrbyTech!H50/'Inputs 7&amp;8 Day'!$T62))</f>
        <v>7.4553299460030589</v>
      </c>
      <c r="I49" s="1246">
        <f>IF('Mkt Pen Veh-Mi'!I49=0,1,1/((1-Fuel2ShrbyTech!I50)/'Inputs 7&amp;8 Day'!$O62+Fuel2ShrbyTech!I50/'Inputs 7&amp;8 Day'!$U62))</f>
        <v>8.7576755429292259</v>
      </c>
      <c r="J49" s="1246">
        <f>IF('Mkt Pen Veh-Mi'!J49=0,1,1/((1-Fuel2ShrbyTech!J50)/'Inputs 7&amp;8 Day'!$P62+Fuel2ShrbyTech!J50/'Inputs 7&amp;8 Day'!$V62))</f>
        <v>8.8063745741752673</v>
      </c>
      <c r="K49" s="1246">
        <f>IF('Mkt Pen Veh-Mi'!K49=0,1,1/((1-Fuel2ShrbyTech!K50)/'Inputs 7&amp;8 Day'!$Q62+Fuel2ShrbyTech!K50/'Inputs 7&amp;8 Day'!$W62))</f>
        <v>12.280420754231407</v>
      </c>
      <c r="L49" s="1246">
        <f>IF('Mkt Pen Veh-Mi'!L49=0,1,1/((1-Fuel2ShrbyTech!L50)/'Inputs 7&amp;8 Day'!$R62+Fuel2ShrbyTech!L50/'Inputs 7&amp;8 Day'!$X62))</f>
        <v>20.336315714420177</v>
      </c>
      <c r="M49" s="1247">
        <f>IF('Mkt Pen Veh-Mi'!M49=0,1,1/((1-Fuel2ShrbyTech!M50)/'Inputs 7&amp;8 Day'!$S62+Fuel2ShrbyTech!M50/'Inputs 7&amp;8 Day'!$Y62))</f>
        <v>11.24786466642488</v>
      </c>
      <c r="N49" s="1245">
        <f>IF('Mkt Pen Veh-Mi'!N49=0,1,1/((1-Fuel2ShrbyTech!N50)/'Inputs 7&amp;8 SU'!$N62+Fuel2ShrbyTech!N50/'Inputs 7&amp;8 SU'!$T62))</f>
        <v>8.5625313997551658</v>
      </c>
      <c r="O49" s="1246">
        <f>IF('Mkt Pen Veh-Mi'!O49=0,1,1/((1-Fuel2ShrbyTech!O50)/'Inputs 7&amp;8 SU'!$O62+Fuel2ShrbyTech!O50/'Inputs 7&amp;8 SU'!$U62))</f>
        <v>10.137188910798701</v>
      </c>
      <c r="P49" s="1246">
        <f>IF('Mkt Pen Veh-Mi'!P49=0,1,1/((1-Fuel2ShrbyTech!P50)/'Inputs 7&amp;8 SU'!$P62+Fuel2ShrbyTech!P50/'Inputs 7&amp;8 SU'!$V62))</f>
        <v>10.744414106827175</v>
      </c>
      <c r="Q49" s="1246">
        <f>IF('Mkt Pen Veh-Mi'!Q49=0,1,1/((1-Fuel2ShrbyTech!Q50)/'Inputs 7&amp;8 SU'!$Q62+Fuel2ShrbyTech!Q50/'Inputs 7&amp;8 SU'!$W62))</f>
        <v>12.097642194573186</v>
      </c>
      <c r="R49" s="1246">
        <f>IF('Mkt Pen Veh-Mi'!R49=0,1,1/((1-Fuel2ShrbyTech!R50)/'Inputs 7&amp;8 SU'!$R62+Fuel2ShrbyTech!R50/'Inputs 7&amp;8 SU'!$X62))</f>
        <v>21.749678926927817</v>
      </c>
      <c r="S49" s="1247">
        <f>IF('Mkt Pen Veh-Mi'!S49=0,1,1/((1-Fuel2ShrbyTech!S50)/'Inputs 7&amp;8 SU'!$S62+Fuel2ShrbyTech!S50/'Inputs 7&amp;8 SU'!$Y62))</f>
        <v>29.078179578785278</v>
      </c>
      <c r="U49" s="1191">
        <f t="shared" si="13"/>
        <v>2047</v>
      </c>
      <c r="V49" s="1245">
        <f t="shared" si="14"/>
        <v>8.1044320169487083</v>
      </c>
      <c r="W49" s="1246">
        <f t="shared" si="15"/>
        <v>10.364622538022186</v>
      </c>
      <c r="X49" s="1246">
        <f t="shared" si="16"/>
        <v>12.320255364821348</v>
      </c>
      <c r="Y49" s="1246">
        <f t="shared" si="17"/>
        <v>22.683803172113176</v>
      </c>
      <c r="Z49" s="1246">
        <f t="shared" si="18"/>
        <v>15.214829076142365</v>
      </c>
      <c r="AA49" s="1247">
        <f t="shared" si="19"/>
        <v>0</v>
      </c>
      <c r="AB49" s="1245">
        <f t="shared" si="20"/>
        <v>7.4553299460030589</v>
      </c>
      <c r="AC49" s="1246">
        <f t="shared" si="21"/>
        <v>8.7576755429292259</v>
      </c>
      <c r="AD49" s="1246">
        <f t="shared" si="22"/>
        <v>8.8063745741752673</v>
      </c>
      <c r="AE49" s="1246">
        <f t="shared" si="23"/>
        <v>12.280420754231407</v>
      </c>
      <c r="AF49" s="1246">
        <f t="shared" si="24"/>
        <v>20.336315714420177</v>
      </c>
      <c r="AG49" s="1247">
        <f t="shared" si="25"/>
        <v>11.24786466642488</v>
      </c>
      <c r="AH49" s="1245">
        <f t="shared" si="26"/>
        <v>8.5625313997551658</v>
      </c>
      <c r="AI49" s="1246">
        <f t="shared" si="27"/>
        <v>10.137188910798701</v>
      </c>
      <c r="AJ49" s="1246">
        <f t="shared" si="28"/>
        <v>10.744414106827175</v>
      </c>
      <c r="AK49" s="1246">
        <f t="shared" si="29"/>
        <v>12.097642194573186</v>
      </c>
      <c r="AL49" s="1246">
        <f t="shared" si="30"/>
        <v>21.749678926927817</v>
      </c>
      <c r="AM49" s="1247">
        <f t="shared" si="31"/>
        <v>29.078179578785278</v>
      </c>
      <c r="AN49" s="1176">
        <v>2047</v>
      </c>
      <c r="AO49" s="1322">
        <f t="array" ref="AO49">1/SUMPRODUCT(IFERROR(1/V49:AA49,0),'Mkt Pen Veh-Mi'!B49:G49)</f>
        <v>10.607127238031893</v>
      </c>
      <c r="AP49" s="1323">
        <f t="array" ref="AP49">1/SUMPRODUCT(IFERROR(1/AB49:AG49,0),'Mkt Pen Veh-Mi'!H49:M49)</f>
        <v>9.6601749435930522</v>
      </c>
      <c r="AQ49" s="1327">
        <f t="array" ref="AQ49">1/SUMPRODUCT(IFERROR(1/AH49:AM49,0),'Mkt Pen Veh-Mi'!N49:S49)</f>
        <v>10.418469139427488</v>
      </c>
      <c r="AR49" s="1320">
        <v>2047</v>
      </c>
      <c r="AS49" s="1322">
        <f t="shared" si="32"/>
        <v>1.3088057516984937</v>
      </c>
      <c r="AT49" s="1323">
        <f t="shared" si="33"/>
        <v>1.2957407671503596</v>
      </c>
      <c r="AU49" s="1323">
        <f t="shared" si="34"/>
        <v>1.21675105795529</v>
      </c>
      <c r="AV49" s="1327">
        <v>2.2883161082475314</v>
      </c>
    </row>
    <row r="50" spans="1:48" s="1176" customFormat="1" ht="15" x14ac:dyDescent="0.2">
      <c r="A50" s="1191">
        <v>2048</v>
      </c>
      <c r="B50" s="1245">
        <f>IF('Mkt Pen Veh-Mi'!B50=0,1,1/((1-Fuel2ShrbyTech!B51)/'Inputs 7&amp;8 Sleep'!$N63+Fuel2ShrbyTech!B51/'Inputs 7&amp;8 Sleep'!$T63))</f>
        <v>8.1044267226986744</v>
      </c>
      <c r="C50" s="1246">
        <f>IF('Mkt Pen Veh-Mi'!C50=0,1,1/((1-Fuel2ShrbyTech!C51)/'Inputs 7&amp;8 Sleep'!$O63+Fuel2ShrbyTech!C51/'Inputs 7&amp;8 Sleep'!$U63))</f>
        <v>10.449958951772519</v>
      </c>
      <c r="D50" s="1246">
        <f>IF('Mkt Pen Veh-Mi'!D50=0,1,1/((1-Fuel2ShrbyTech!D51)/'Inputs 7&amp;8 Sleep'!$P63+Fuel2ShrbyTech!D51/'Inputs 7&amp;8 Sleep'!$V63))</f>
        <v>12.455345794740012</v>
      </c>
      <c r="E50" s="1246">
        <f>IF('Mkt Pen Veh-Mi'!E50=0,1,1/((1-Fuel2ShrbyTech!E51)/'Inputs 7&amp;8 Sleep'!$Q63+Fuel2ShrbyTech!E51/'Inputs 7&amp;8 Sleep'!$W63))</f>
        <v>22.917859119795398</v>
      </c>
      <c r="F50" s="1246">
        <f>IF('Mkt Pen Veh-Mi'!F50=0,1,1/((1-Fuel2ShrbyTech!F51)/'Inputs 7&amp;8 Sleep'!$R63+Fuel2ShrbyTech!F51/'Inputs 7&amp;8 Sleep'!$X63))</f>
        <v>15.384439179560287</v>
      </c>
      <c r="G50" s="1247">
        <f>IF('Mkt Pen Veh-Mi'!G50=0,1,1/((1-Fuel2ShrbyTech!G51)/'Inputs 7&amp;8 Sleep'!$S63+Fuel2ShrbyTech!G51/'Inputs 7&amp;8 Sleep'!$Y63))</f>
        <v>1</v>
      </c>
      <c r="H50" s="1245">
        <f>IF('Mkt Pen Veh-Mi'!H50=0,1,1/((1-Fuel2ShrbyTech!H51)/'Inputs 7&amp;8 Day'!$N63+Fuel2ShrbyTech!H51/'Inputs 7&amp;8 Day'!$T63))</f>
        <v>7.455346499143622</v>
      </c>
      <c r="I50" s="1246">
        <f>IF('Mkt Pen Veh-Mi'!I50=0,1,1/((1-Fuel2ShrbyTech!I51)/'Inputs 7&amp;8 Day'!$O63+Fuel2ShrbyTech!I51/'Inputs 7&amp;8 Day'!$U63))</f>
        <v>8.7576949876802068</v>
      </c>
      <c r="J50" s="1246">
        <f>IF('Mkt Pen Veh-Mi'!J50=0,1,1/((1-Fuel2ShrbyTech!J51)/'Inputs 7&amp;8 Day'!$P63+Fuel2ShrbyTech!J51/'Inputs 7&amp;8 Day'!$V63))</f>
        <v>8.8063941270531743</v>
      </c>
      <c r="K50" s="1246">
        <f>IF('Mkt Pen Veh-Mi'!K50=0,1,1/((1-Fuel2ShrbyTech!K51)/'Inputs 7&amp;8 Day'!$Q63+Fuel2ShrbyTech!K51/'Inputs 7&amp;8 Day'!$W63))</f>
        <v>12.414638629435174</v>
      </c>
      <c r="L50" s="1246">
        <f>IF('Mkt Pen Veh-Mi'!L50=0,1,1/((1-Fuel2ShrbyTech!L51)/'Inputs 7&amp;8 Day'!$R63+Fuel2ShrbyTech!L51/'Inputs 7&amp;8 Day'!$X63))</f>
        <v>20.416459878361525</v>
      </c>
      <c r="M50" s="1247">
        <f>IF('Mkt Pen Veh-Mi'!M50=0,1,1/((1-Fuel2ShrbyTech!M51)/'Inputs 7&amp;8 Day'!$S63+Fuel2ShrbyTech!M51/'Inputs 7&amp;8 Day'!$Y63))</f>
        <v>11.351155790162549</v>
      </c>
      <c r="N50" s="1245">
        <f>IF('Mkt Pen Veh-Mi'!N50=0,1,1/((1-Fuel2ShrbyTech!N51)/'Inputs 7&amp;8 SU'!$N63+Fuel2ShrbyTech!N51/'Inputs 7&amp;8 SU'!$T63))</f>
        <v>8.562689035627594</v>
      </c>
      <c r="O50" s="1246">
        <f>IF('Mkt Pen Veh-Mi'!O50=0,1,1/((1-Fuel2ShrbyTech!O51)/'Inputs 7&amp;8 SU'!$O63+Fuel2ShrbyTech!O51/'Inputs 7&amp;8 SU'!$U63))</f>
        <v>10.137375536055101</v>
      </c>
      <c r="P50" s="1246">
        <f>IF('Mkt Pen Veh-Mi'!P50=0,1,1/((1-Fuel2ShrbyTech!P51)/'Inputs 7&amp;8 SU'!$P63+Fuel2ShrbyTech!P51/'Inputs 7&amp;8 SU'!$V63))</f>
        <v>10.744611911075987</v>
      </c>
      <c r="Q50" s="1246">
        <f>IF('Mkt Pen Veh-Mi'!Q50=0,1,1/((1-Fuel2ShrbyTech!Q51)/'Inputs 7&amp;8 SU'!$Q63+Fuel2ShrbyTech!Q51/'Inputs 7&amp;8 SU'!$W63))</f>
        <v>12.097864911698839</v>
      </c>
      <c r="R50" s="1246">
        <f>IF('Mkt Pen Veh-Mi'!R50=0,1,1/((1-Fuel2ShrbyTech!R51)/'Inputs 7&amp;8 SU'!$R63+Fuel2ShrbyTech!R51/'Inputs 7&amp;8 SU'!$X63))</f>
        <v>22.01398863138516</v>
      </c>
      <c r="S50" s="1247">
        <f>IF('Mkt Pen Veh-Mi'!S50=0,1,1/((1-Fuel2ShrbyTech!S51)/'Inputs 7&amp;8 SU'!$S63+Fuel2ShrbyTech!S51/'Inputs 7&amp;8 SU'!$Y63))</f>
        <v>29.175669786952263</v>
      </c>
      <c r="U50" s="1191">
        <f t="shared" si="13"/>
        <v>2048</v>
      </c>
      <c r="V50" s="1245">
        <f t="shared" si="14"/>
        <v>8.1044267226986744</v>
      </c>
      <c r="W50" s="1246">
        <f t="shared" si="15"/>
        <v>10.449958951772519</v>
      </c>
      <c r="X50" s="1246">
        <f t="shared" si="16"/>
        <v>12.455345794740012</v>
      </c>
      <c r="Y50" s="1246">
        <f t="shared" si="17"/>
        <v>22.917859119795398</v>
      </c>
      <c r="Z50" s="1246">
        <f t="shared" si="18"/>
        <v>15.384439179560287</v>
      </c>
      <c r="AA50" s="1247">
        <f t="shared" si="19"/>
        <v>0</v>
      </c>
      <c r="AB50" s="1245">
        <f t="shared" si="20"/>
        <v>7.455346499143622</v>
      </c>
      <c r="AC50" s="1246">
        <f t="shared" si="21"/>
        <v>8.7576949876802068</v>
      </c>
      <c r="AD50" s="1246">
        <f t="shared" si="22"/>
        <v>8.8063941270531743</v>
      </c>
      <c r="AE50" s="1246">
        <f t="shared" si="23"/>
        <v>12.414638629435174</v>
      </c>
      <c r="AF50" s="1246">
        <f t="shared" si="24"/>
        <v>20.416459878361525</v>
      </c>
      <c r="AG50" s="1247">
        <f t="shared" si="25"/>
        <v>11.351155790162549</v>
      </c>
      <c r="AH50" s="1245">
        <f t="shared" si="26"/>
        <v>8.562689035627594</v>
      </c>
      <c r="AI50" s="1246">
        <f t="shared" si="27"/>
        <v>10.137375536055101</v>
      </c>
      <c r="AJ50" s="1246">
        <f t="shared" si="28"/>
        <v>10.744611911075987</v>
      </c>
      <c r="AK50" s="1246">
        <f t="shared" si="29"/>
        <v>12.097864911698839</v>
      </c>
      <c r="AL50" s="1246">
        <f t="shared" si="30"/>
        <v>22.01398863138516</v>
      </c>
      <c r="AM50" s="1247">
        <f t="shared" si="31"/>
        <v>29.175669786952263</v>
      </c>
      <c r="AN50" s="1176">
        <v>2048</v>
      </c>
      <c r="AO50" s="1322">
        <f t="array" ref="AO50">1/SUMPRODUCT(IFERROR(1/V50:AA50,0),'Mkt Pen Veh-Mi'!B50:G50)</f>
        <v>10.79830405190053</v>
      </c>
      <c r="AP50" s="1323">
        <f t="array" ref="AP50">1/SUMPRODUCT(IFERROR(1/AB50:AG50,0),'Mkt Pen Veh-Mi'!H50:M50)</f>
        <v>9.7705671619978194</v>
      </c>
      <c r="AQ50" s="1327">
        <f t="array" ref="AQ50">1/SUMPRODUCT(IFERROR(1/AH50:AM50,0),'Mkt Pen Veh-Mi'!N50:S50)</f>
        <v>10.476819461305054</v>
      </c>
      <c r="AR50" s="1320">
        <v>2048</v>
      </c>
      <c r="AS50" s="1322">
        <f t="shared" si="32"/>
        <v>1.3323957907666575</v>
      </c>
      <c r="AT50" s="1323">
        <f t="shared" si="33"/>
        <v>1.3105450113043224</v>
      </c>
      <c r="AU50" s="1323">
        <f t="shared" si="34"/>
        <v>1.2235431437149189</v>
      </c>
      <c r="AV50" s="1327">
        <v>2.2967875867465612</v>
      </c>
    </row>
    <row r="51" spans="1:48" s="1176" customFormat="1" ht="15" x14ac:dyDescent="0.2">
      <c r="A51" s="1191">
        <v>2049</v>
      </c>
      <c r="B51" s="1245">
        <f>IF('Mkt Pen Veh-Mi'!B51=0,1,1/((1-Fuel2ShrbyTech!B52)/'Inputs 7&amp;8 Sleep'!$N64+Fuel2ShrbyTech!B52/'Inputs 7&amp;8 Sleep'!$T64))</f>
        <v>8.1044227545263041</v>
      </c>
      <c r="C51" s="1246">
        <f>IF('Mkt Pen Veh-Mi'!C51=0,1,1/((1-Fuel2ShrbyTech!C52)/'Inputs 7&amp;8 Sleep'!$O64+Fuel2ShrbyTech!C52/'Inputs 7&amp;8 Sleep'!$U64))</f>
        <v>10.505037837359248</v>
      </c>
      <c r="D51" s="1246">
        <f>IF('Mkt Pen Veh-Mi'!D51=0,1,1/((1-Fuel2ShrbyTech!D52)/'Inputs 7&amp;8 Sleep'!$P64+Fuel2ShrbyTech!D52/'Inputs 7&amp;8 Sleep'!$V64))</f>
        <v>12.542537533956063</v>
      </c>
      <c r="E51" s="1246">
        <f>IF('Mkt Pen Veh-Mi'!E51=0,1,1/((1-Fuel2ShrbyTech!E52)/'Inputs 7&amp;8 Sleep'!$Q64+Fuel2ShrbyTech!E52/'Inputs 7&amp;8 Sleep'!$W64))</f>
        <v>23.068926409791899</v>
      </c>
      <c r="F51" s="1246">
        <f>IF('Mkt Pen Veh-Mi'!F51=0,1,1/((1-Fuel2ShrbyTech!F52)/'Inputs 7&amp;8 Sleep'!$R64+Fuel2ShrbyTech!F52/'Inputs 7&amp;8 Sleep'!$X64))</f>
        <v>15.493911034187787</v>
      </c>
      <c r="G51" s="1247">
        <f>IF('Mkt Pen Veh-Mi'!G51=0,1,1/((1-Fuel2ShrbyTech!G52)/'Inputs 7&amp;8 Sleep'!$S64+Fuel2ShrbyTech!G52/'Inputs 7&amp;8 Sleep'!$Y64))</f>
        <v>1</v>
      </c>
      <c r="H51" s="1245">
        <f>IF('Mkt Pen Veh-Mi'!H51=0,1,1/((1-Fuel2ShrbyTech!H52)/'Inputs 7&amp;8 Day'!$N64+Fuel2ShrbyTech!H52/'Inputs 7&amp;8 Day'!$T64))</f>
        <v>7.4553630522841869</v>
      </c>
      <c r="I51" s="1246">
        <f>IF('Mkt Pen Veh-Mi'!I51=0,1,1/((1-Fuel2ShrbyTech!I52)/'Inputs 7&amp;8 Day'!$O64+Fuel2ShrbyTech!I52/'Inputs 7&amp;8 Day'!$U64))</f>
        <v>8.7577144324311877</v>
      </c>
      <c r="J51" s="1246">
        <f>IF('Mkt Pen Veh-Mi'!J51=0,1,1/((1-Fuel2ShrbyTech!J52)/'Inputs 7&amp;8 Day'!$P64+Fuel2ShrbyTech!J52/'Inputs 7&amp;8 Day'!$V64))</f>
        <v>8.8064136799310795</v>
      </c>
      <c r="K51" s="1246">
        <f>IF('Mkt Pen Veh-Mi'!K51=0,1,1/((1-Fuel2ShrbyTech!K52)/'Inputs 7&amp;8 Day'!$Q64+Fuel2ShrbyTech!K52/'Inputs 7&amp;8 Day'!$W64))</f>
        <v>12.505611351288948</v>
      </c>
      <c r="L51" s="1246">
        <f>IF('Mkt Pen Veh-Mi'!L51=0,1,1/((1-Fuel2ShrbyTech!L52)/'Inputs 7&amp;8 Day'!$R64+Fuel2ShrbyTech!L52/'Inputs 7&amp;8 Day'!$X64))</f>
        <v>20.496604397991288</v>
      </c>
      <c r="M51" s="1247">
        <f>IF('Mkt Pen Veh-Mi'!M51=0,1,1/((1-Fuel2ShrbyTech!M52)/'Inputs 7&amp;8 Day'!$S64+Fuel2ShrbyTech!M52/'Inputs 7&amp;8 Day'!$Y64))</f>
        <v>11.454447372464848</v>
      </c>
      <c r="N51" s="1245">
        <f>IF('Mkt Pen Veh-Mi'!N51=0,1,1/((1-Fuel2ShrbyTech!N52)/'Inputs 7&amp;8 SU'!$N64+Fuel2ShrbyTech!N52/'Inputs 7&amp;8 SU'!$T64))</f>
        <v>8.5628466715000222</v>
      </c>
      <c r="O51" s="1246">
        <f>IF('Mkt Pen Veh-Mi'!O51=0,1,1/((1-Fuel2ShrbyTech!O52)/'Inputs 7&amp;8 SU'!$O64+Fuel2ShrbyTech!O52/'Inputs 7&amp;8 SU'!$U64))</f>
        <v>10.137562161311502</v>
      </c>
      <c r="P51" s="1246">
        <f>IF('Mkt Pen Veh-Mi'!P51=0,1,1/((1-Fuel2ShrbyTech!P52)/'Inputs 7&amp;8 SU'!$P64+Fuel2ShrbyTech!P52/'Inputs 7&amp;8 SU'!$V64))</f>
        <v>10.7448097153248</v>
      </c>
      <c r="Q51" s="1246">
        <f>IF('Mkt Pen Veh-Mi'!Q51=0,1,1/((1-Fuel2ShrbyTech!Q52)/'Inputs 7&amp;8 SU'!$Q64+Fuel2ShrbyTech!Q52/'Inputs 7&amp;8 SU'!$W64))</f>
        <v>12.098087628824493</v>
      </c>
      <c r="R51" s="1246">
        <f>IF('Mkt Pen Veh-Mi'!R51=0,1,1/((1-Fuel2ShrbyTech!R52)/'Inputs 7&amp;8 SU'!$R64+Fuel2ShrbyTech!R52/'Inputs 7&amp;8 SU'!$X64))</f>
        <v>22.187226540171096</v>
      </c>
      <c r="S51" s="1247">
        <f>IF('Mkt Pen Veh-Mi'!S51=0,1,1/((1-Fuel2ShrbyTech!S52)/'Inputs 7&amp;8 SU'!$S64+Fuel2ShrbyTech!S52/'Inputs 7&amp;8 SU'!$Y64))</f>
        <v>29.273163564924715</v>
      </c>
      <c r="U51" s="1191">
        <f t="shared" si="13"/>
        <v>2049</v>
      </c>
      <c r="V51" s="1245">
        <f t="shared" si="14"/>
        <v>8.1044227545263041</v>
      </c>
      <c r="W51" s="1246">
        <f t="shared" si="15"/>
        <v>10.505037837359248</v>
      </c>
      <c r="X51" s="1246">
        <f t="shared" si="16"/>
        <v>12.542537533956063</v>
      </c>
      <c r="Y51" s="1246">
        <f t="shared" si="17"/>
        <v>23.068926409791899</v>
      </c>
      <c r="Z51" s="1246">
        <f t="shared" si="18"/>
        <v>15.493911034187787</v>
      </c>
      <c r="AA51" s="1247">
        <f t="shared" si="19"/>
        <v>0</v>
      </c>
      <c r="AB51" s="1245">
        <f t="shared" si="20"/>
        <v>7.4553630522841869</v>
      </c>
      <c r="AC51" s="1246">
        <f t="shared" si="21"/>
        <v>8.7577144324311877</v>
      </c>
      <c r="AD51" s="1246">
        <f t="shared" si="22"/>
        <v>8.8064136799310795</v>
      </c>
      <c r="AE51" s="1246">
        <f t="shared" si="23"/>
        <v>12.505611351288948</v>
      </c>
      <c r="AF51" s="1246">
        <f t="shared" si="24"/>
        <v>20.496604397991288</v>
      </c>
      <c r="AG51" s="1247">
        <f t="shared" si="25"/>
        <v>11.454447372464848</v>
      </c>
      <c r="AH51" s="1245">
        <f t="shared" si="26"/>
        <v>8.5628466715000222</v>
      </c>
      <c r="AI51" s="1246">
        <f t="shared" si="27"/>
        <v>10.137562161311502</v>
      </c>
      <c r="AJ51" s="1246">
        <f t="shared" si="28"/>
        <v>10.7448097153248</v>
      </c>
      <c r="AK51" s="1246">
        <f t="shared" si="29"/>
        <v>12.098087628824493</v>
      </c>
      <c r="AL51" s="1246">
        <f t="shared" si="30"/>
        <v>22.187226540171096</v>
      </c>
      <c r="AM51" s="1247">
        <f t="shared" si="31"/>
        <v>29.273163564924715</v>
      </c>
      <c r="AN51" s="1176">
        <v>2049</v>
      </c>
      <c r="AO51" s="1322">
        <f t="array" ref="AO51">1/SUMPRODUCT(IFERROR(1/V51:AA51,0),'Mkt Pen Veh-Mi'!B51:G51)</f>
        <v>11.046986661878323</v>
      </c>
      <c r="AP51" s="1323">
        <f t="array" ref="AP51">1/SUMPRODUCT(IFERROR(1/AB51:AG51,0),'Mkt Pen Veh-Mi'!H51:M51)</f>
        <v>9.8526287576505744</v>
      </c>
      <c r="AQ51" s="1327">
        <f t="array" ref="AQ51">1/SUMPRODUCT(IFERROR(1/AH51:AM51,0),'Mkt Pen Veh-Mi'!N51:S51)</f>
        <v>10.524854638872357</v>
      </c>
      <c r="AR51" s="1320">
        <v>2049</v>
      </c>
      <c r="AS51" s="1322">
        <f t="shared" si="32"/>
        <v>1.3630812454481849</v>
      </c>
      <c r="AT51" s="1323">
        <f t="shared" si="33"/>
        <v>1.3215491571040137</v>
      </c>
      <c r="AU51" s="1323">
        <f t="shared" si="34"/>
        <v>1.2291303397855464</v>
      </c>
      <c r="AV51" s="1327">
        <v>2.3322687300900027</v>
      </c>
    </row>
    <row r="52" spans="1:48" s="1176" customFormat="1" ht="16" thickBot="1" x14ac:dyDescent="0.25">
      <c r="A52" s="1204">
        <v>2050</v>
      </c>
      <c r="B52" s="1257">
        <f>IF('Mkt Pen Veh-Mi'!B52=0,1,1/((1-Fuel2ShrbyTech!B53)/'Inputs 7&amp;8 Sleep'!$N65+Fuel2ShrbyTech!B53/'Inputs 7&amp;8 Sleep'!$T65))</f>
        <v>8.1044081378346959</v>
      </c>
      <c r="C52" s="1258">
        <f>IF('Mkt Pen Veh-Mi'!C52=0,1,1/((1-Fuel2ShrbyTech!C53)/'Inputs 7&amp;8 Sleep'!$O65+Fuel2ShrbyTech!C53/'Inputs 7&amp;8 Sleep'!$U65))</f>
        <v>10.595369330385051</v>
      </c>
      <c r="D52" s="1258">
        <f>IF('Mkt Pen Veh-Mi'!D52=0,1,1/((1-Fuel2ShrbyTech!D53)/'Inputs 7&amp;8 Sleep'!$P65+Fuel2ShrbyTech!D53/'Inputs 7&amp;8 Sleep'!$V65))</f>
        <v>12.685535343352553</v>
      </c>
      <c r="E52" s="1258">
        <f>IF('Mkt Pen Veh-Mi'!E52=0,1,1/((1-Fuel2ShrbyTech!E53)/'Inputs 7&amp;8 Sleep'!$Q65+Fuel2ShrbyTech!E53/'Inputs 7&amp;8 Sleep'!$W65))</f>
        <v>23.316682581823692</v>
      </c>
      <c r="F52" s="1258">
        <f>IF('Mkt Pen Veh-Mi'!F52=0,1,1/((1-Fuel2ShrbyTech!F53)/'Inputs 7&amp;8 Sleep'!$R65+Fuel2ShrbyTech!F53/'Inputs 7&amp;8 Sleep'!$X65))</f>
        <v>15.67344909069466</v>
      </c>
      <c r="G52" s="1259">
        <f>IF('Mkt Pen Veh-Mi'!G52=0,1,1/((1-Fuel2ShrbyTech!G53)/'Inputs 7&amp;8 Sleep'!$S65+Fuel2ShrbyTech!G53/'Inputs 7&amp;8 Sleep'!$Y65))</f>
        <v>1</v>
      </c>
      <c r="H52" s="1257">
        <f>IF('Mkt Pen Veh-Mi'!H52=0,1,1/((1-Fuel2ShrbyTech!H53)/'Inputs 7&amp;8 Day'!$N65+Fuel2ShrbyTech!H53/'Inputs 7&amp;8 Day'!$T65))</f>
        <v>7.455379605424751</v>
      </c>
      <c r="I52" s="1258">
        <f>IF('Mkt Pen Veh-Mi'!I52=0,1,1/((1-Fuel2ShrbyTech!I53)/'Inputs 7&amp;8 Day'!$O65+Fuel2ShrbyTech!I53/'Inputs 7&amp;8 Day'!$U65))</f>
        <v>8.7577338771821687</v>
      </c>
      <c r="J52" s="1258">
        <f>IF('Mkt Pen Veh-Mi'!J52=0,1,1/((1-Fuel2ShrbyTech!J53)/'Inputs 7&amp;8 Day'!$P65+Fuel2ShrbyTech!J53/'Inputs 7&amp;8 Day'!$V65))</f>
        <v>8.8064332328089865</v>
      </c>
      <c r="K52" s="1258">
        <f>IF('Mkt Pen Veh-Mi'!K52=0,1,1/((1-Fuel2ShrbyTech!K53)/'Inputs 7&amp;8 Day'!$Q65+Fuel2ShrbyTech!K53/'Inputs 7&amp;8 Day'!$W65))</f>
        <v>12.600161584483534</v>
      </c>
      <c r="L52" s="1258">
        <f>IF('Mkt Pen Veh-Mi'!L52=0,1,1/((1-Fuel2ShrbyTech!L53)/'Inputs 7&amp;8 Day'!$R65+Fuel2ShrbyTech!L53/'Inputs 7&amp;8 Day'!$X65))</f>
        <v>20.576749273309449</v>
      </c>
      <c r="M52" s="1259">
        <f>IF('Mkt Pen Veh-Mi'!M52=0,1,1/((1-Fuel2ShrbyTech!M53)/'Inputs 7&amp;8 Day'!$S65+Fuel2ShrbyTech!M53/'Inputs 7&amp;8 Day'!$Y65))</f>
        <v>11.557739413331781</v>
      </c>
      <c r="N52" s="1257">
        <f>IF('Mkt Pen Veh-Mi'!N52=0,1,1/((1-Fuel2ShrbyTech!N53)/'Inputs 7&amp;8 SU'!$N65+Fuel2ShrbyTech!N53/'Inputs 7&amp;8 SU'!$T65))</f>
        <v>8.5630043073724504</v>
      </c>
      <c r="O52" s="1258">
        <f>IF('Mkt Pen Veh-Mi'!O52=0,1,1/((1-Fuel2ShrbyTech!O53)/'Inputs 7&amp;8 SU'!$O65+Fuel2ShrbyTech!O53/'Inputs 7&amp;8 SU'!$U65))</f>
        <v>10.137748786567903</v>
      </c>
      <c r="P52" s="1258">
        <f>IF('Mkt Pen Veh-Mi'!P52=0,1,1/((1-Fuel2ShrbyTech!P53)/'Inputs 7&amp;8 SU'!$P65+Fuel2ShrbyTech!P53/'Inputs 7&amp;8 SU'!$V65))</f>
        <v>10.745007519573612</v>
      </c>
      <c r="Q52" s="1258">
        <f>IF('Mkt Pen Veh-Mi'!Q52=0,1,1/((1-Fuel2ShrbyTech!Q53)/'Inputs 7&amp;8 SU'!$Q65+Fuel2ShrbyTech!Q53/'Inputs 7&amp;8 SU'!$W65))</f>
        <v>12.098310345950145</v>
      </c>
      <c r="R52" s="1258">
        <f>IF('Mkt Pen Veh-Mi'!R52=0,1,1/((1-Fuel2ShrbyTech!R53)/'Inputs 7&amp;8 SU'!$R65+Fuel2ShrbyTech!R53/'Inputs 7&amp;8 SU'!$X65))</f>
        <v>22.46051045226891</v>
      </c>
      <c r="S52" s="1259">
        <f>IF('Mkt Pen Veh-Mi'!S52=0,1,1/((1-Fuel2ShrbyTech!S53)/'Inputs 7&amp;8 SU'!$S65+Fuel2ShrbyTech!S53/'Inputs 7&amp;8 SU'!$Y65))</f>
        <v>29.370660912702636</v>
      </c>
      <c r="U52" s="1204">
        <f t="shared" si="13"/>
        <v>2050</v>
      </c>
      <c r="V52" s="1257">
        <f t="shared" si="14"/>
        <v>8.1044081378346959</v>
      </c>
      <c r="W52" s="1258">
        <f t="shared" si="15"/>
        <v>10.595369330385051</v>
      </c>
      <c r="X52" s="1258">
        <f t="shared" si="16"/>
        <v>12.685535343352553</v>
      </c>
      <c r="Y52" s="1258">
        <f t="shared" si="17"/>
        <v>23.316682581823692</v>
      </c>
      <c r="Z52" s="1258">
        <f t="shared" si="18"/>
        <v>15.67344909069466</v>
      </c>
      <c r="AA52" s="1259">
        <f t="shared" si="19"/>
        <v>0</v>
      </c>
      <c r="AB52" s="1257">
        <f t="shared" si="20"/>
        <v>7.455379605424751</v>
      </c>
      <c r="AC52" s="1258">
        <f t="shared" si="21"/>
        <v>8.7577338771821687</v>
      </c>
      <c r="AD52" s="1258">
        <f t="shared" si="22"/>
        <v>8.8064332328089865</v>
      </c>
      <c r="AE52" s="1258">
        <f t="shared" si="23"/>
        <v>12.600161584483534</v>
      </c>
      <c r="AF52" s="1258">
        <f t="shared" si="24"/>
        <v>20.576749273309449</v>
      </c>
      <c r="AG52" s="1259">
        <f t="shared" si="25"/>
        <v>11.557739413331781</v>
      </c>
      <c r="AH52" s="1257">
        <f t="shared" si="26"/>
        <v>8.5630043073724504</v>
      </c>
      <c r="AI52" s="1258">
        <f t="shared" si="27"/>
        <v>10.137748786567903</v>
      </c>
      <c r="AJ52" s="1258">
        <f t="shared" si="28"/>
        <v>10.745007519573612</v>
      </c>
      <c r="AK52" s="1258">
        <f t="shared" si="29"/>
        <v>12.098310345950145</v>
      </c>
      <c r="AL52" s="1258">
        <f t="shared" si="30"/>
        <v>22.46051045226891</v>
      </c>
      <c r="AM52" s="1259">
        <f t="shared" si="31"/>
        <v>29.370660912702636</v>
      </c>
      <c r="AN52" s="1176">
        <v>2050</v>
      </c>
      <c r="AO52" s="1324">
        <f t="array" ref="AO52">1/SUMPRODUCT(IFERROR(1/V52:AA52,0),'Mkt Pen Veh-Mi'!B52:G52)</f>
        <v>11.373798449580224</v>
      </c>
      <c r="AP52" s="1325">
        <f t="array" ref="AP52">1/SUMPRODUCT(IFERROR(1/AB52:AG52,0),'Mkt Pen Veh-Mi'!H52:M52)</f>
        <v>9.9338096148924269</v>
      </c>
      <c r="AQ52" s="1334">
        <f t="array" ref="AQ52">1/SUMPRODUCT(IFERROR(1/AH52:AM52,0),'Mkt Pen Veh-Mi'!N52:S52)</f>
        <v>10.610829050893038</v>
      </c>
      <c r="AR52" s="1320">
        <v>2050</v>
      </c>
      <c r="AS52" s="1331">
        <f t="shared" si="32"/>
        <v>1.4034088925609109</v>
      </c>
      <c r="AT52" s="1332">
        <f t="shared" si="33"/>
        <v>1.3324351194222623</v>
      </c>
      <c r="AU52" s="1332">
        <f t="shared" si="34"/>
        <v>1.2391479286957128</v>
      </c>
      <c r="AV52" s="1333">
        <v>2.3546741005366987</v>
      </c>
    </row>
  </sheetData>
  <mergeCells count="14">
    <mergeCell ref="B4:G4"/>
    <mergeCell ref="H4:M4"/>
    <mergeCell ref="N4:S4"/>
    <mergeCell ref="B5:G5"/>
    <mergeCell ref="H5:M5"/>
    <mergeCell ref="N5:S5"/>
    <mergeCell ref="AS7:AV7"/>
    <mergeCell ref="AO7:AQ7"/>
    <mergeCell ref="V4:AA4"/>
    <mergeCell ref="AB4:AG4"/>
    <mergeCell ref="AH4:AM4"/>
    <mergeCell ref="V5:AA5"/>
    <mergeCell ref="AB5:AG5"/>
    <mergeCell ref="AH5:AM5"/>
  </mergeCells>
  <conditionalFormatting sqref="B6:S52">
    <cfRule type="expression" dxfId="16" priority="4">
      <formula>B$7="not used"</formula>
    </cfRule>
  </conditionalFormatting>
  <conditionalFormatting sqref="V9:AM52">
    <cfRule type="expression" dxfId="15" priority="1">
      <formula>V$7="not used"</formula>
    </cfRule>
  </conditionalFormatting>
  <conditionalFormatting sqref="V6:AM8">
    <cfRule type="expression" dxfId="14" priority="2">
      <formula>V$7="not used"</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VehPrice"/>
  <dimension ref="A1:S52"/>
  <sheetViews>
    <sheetView zoomScale="85" zoomScaleNormal="85" workbookViewId="0">
      <selection activeCell="C23" sqref="C23"/>
    </sheetView>
  </sheetViews>
  <sheetFormatPr baseColWidth="10" defaultColWidth="8.83203125" defaultRowHeight="13" x14ac:dyDescent="0.15"/>
  <cols>
    <col min="2" max="19" width="10.5" customWidth="1"/>
  </cols>
  <sheetData>
    <row r="1" spans="1:19" s="1176" customFormat="1" ht="16" x14ac:dyDescent="0.2">
      <c r="A1" s="1208" t="s">
        <v>328</v>
      </c>
    </row>
    <row r="2" spans="1:19" s="1176" customFormat="1" ht="15" x14ac:dyDescent="0.2"/>
    <row r="3" spans="1:19" s="1176" customFormat="1" ht="16" thickBot="1" x14ac:dyDescent="0.25"/>
    <row r="4" spans="1:19" s="1176" customFormat="1" ht="15" x14ac:dyDescent="0.2">
      <c r="A4" s="1177"/>
      <c r="B4" s="1612" t="s">
        <v>249</v>
      </c>
      <c r="C4" s="1613"/>
      <c r="D4" s="1613"/>
      <c r="E4" s="1613"/>
      <c r="F4" s="1613"/>
      <c r="G4" s="1614"/>
      <c r="H4" s="1612" t="s">
        <v>250</v>
      </c>
      <c r="I4" s="1613"/>
      <c r="J4" s="1613"/>
      <c r="K4" s="1613"/>
      <c r="L4" s="1613"/>
      <c r="M4" s="1614"/>
      <c r="N4" s="1612" t="s">
        <v>154</v>
      </c>
      <c r="O4" s="1613"/>
      <c r="P4" s="1613"/>
      <c r="Q4" s="1613"/>
      <c r="R4" s="1613"/>
      <c r="S4" s="1614"/>
    </row>
    <row r="5" spans="1:19" s="1176" customFormat="1" ht="15" x14ac:dyDescent="0.2">
      <c r="A5" s="1178"/>
      <c r="B5" s="1615" t="s">
        <v>129</v>
      </c>
      <c r="C5" s="1616"/>
      <c r="D5" s="1616"/>
      <c r="E5" s="1616"/>
      <c r="F5" s="1616"/>
      <c r="G5" s="1617"/>
      <c r="H5" s="1615" t="s">
        <v>129</v>
      </c>
      <c r="I5" s="1616"/>
      <c r="J5" s="1616"/>
      <c r="K5" s="1616"/>
      <c r="L5" s="1616"/>
      <c r="M5" s="1617"/>
      <c r="N5" s="1615" t="s">
        <v>129</v>
      </c>
      <c r="O5" s="1616"/>
      <c r="P5" s="1616"/>
      <c r="Q5" s="1616"/>
      <c r="R5" s="1616"/>
      <c r="S5" s="1617"/>
    </row>
    <row r="6" spans="1:19" s="1176" customFormat="1" ht="15" x14ac:dyDescent="0.2">
      <c r="A6" s="1178"/>
      <c r="B6" s="1179" t="s">
        <v>69</v>
      </c>
      <c r="C6" s="1180" t="s">
        <v>65</v>
      </c>
      <c r="D6" s="1180" t="s">
        <v>66</v>
      </c>
      <c r="E6" s="1180" t="s">
        <v>67</v>
      </c>
      <c r="F6" s="1180" t="s">
        <v>205</v>
      </c>
      <c r="G6" s="1181" t="s">
        <v>206</v>
      </c>
      <c r="H6" s="1179" t="s">
        <v>69</v>
      </c>
      <c r="I6" s="1180" t="s">
        <v>65</v>
      </c>
      <c r="J6" s="1180" t="s">
        <v>66</v>
      </c>
      <c r="K6" s="1180" t="s">
        <v>67</v>
      </c>
      <c r="L6" s="1180" t="s">
        <v>205</v>
      </c>
      <c r="M6" s="1181" t="s">
        <v>206</v>
      </c>
      <c r="N6" s="1179" t="s">
        <v>69</v>
      </c>
      <c r="O6" s="1180" t="s">
        <v>65</v>
      </c>
      <c r="P6" s="1180" t="s">
        <v>66</v>
      </c>
      <c r="Q6" s="1180" t="s">
        <v>67</v>
      </c>
      <c r="R6" s="1180" t="s">
        <v>205</v>
      </c>
      <c r="S6" s="1181" t="s">
        <v>206</v>
      </c>
    </row>
    <row r="7" spans="1:19" s="1176" customFormat="1" ht="32" x14ac:dyDescent="0.2">
      <c r="A7" s="1182"/>
      <c r="B7" s="1183" t="str">
        <f t="shared" ref="B7:G7" si="0">INDEX(TECH_OPT_DESC_Cls1,MATCH(B6,TECH_OPT_ROWS_Cls1,0))</f>
        <v>Conventional Diesel ICE</v>
      </c>
      <c r="C7" s="1184" t="str">
        <f t="shared" si="0"/>
        <v>Adv Conv</v>
      </c>
      <c r="D7" s="1184" t="str">
        <f t="shared" si="0"/>
        <v>HEV</v>
      </c>
      <c r="E7" s="1184" t="str">
        <f t="shared" si="0"/>
        <v>BEV</v>
      </c>
      <c r="F7" s="1184" t="str">
        <f t="shared" si="0"/>
        <v>FCEV</v>
      </c>
      <c r="G7" s="1185">
        <f t="shared" si="0"/>
        <v>0</v>
      </c>
      <c r="H7" s="1183" t="str">
        <f t="shared" ref="H7:M7" si="1">INDEX(TECH_OPT_DESC_Cls2,MATCH(H6,TECH_OPT_ROWS_Cls2,0))</f>
        <v>Conventional Diesel ICE</v>
      </c>
      <c r="I7" s="1184" t="str">
        <f t="shared" si="1"/>
        <v>Adv Conv</v>
      </c>
      <c r="J7" s="1184" t="str">
        <f t="shared" si="1"/>
        <v>ISG</v>
      </c>
      <c r="K7" s="1184" t="str">
        <f t="shared" si="1"/>
        <v>PHEV</v>
      </c>
      <c r="L7" s="1184" t="str">
        <f t="shared" si="1"/>
        <v>BEV</v>
      </c>
      <c r="M7" s="1185" t="str">
        <f t="shared" si="1"/>
        <v>FCHEV</v>
      </c>
      <c r="N7" s="1183" t="str">
        <f t="shared" ref="N7:S7" si="2">INDEX(TECH_OPT_DESC_Cls3,MATCH(N6,TECH_OPT_ROWS_Cls3,0))</f>
        <v>Conventional Diesel ICE</v>
      </c>
      <c r="O7" s="1184" t="str">
        <f t="shared" si="2"/>
        <v>Adv Conv</v>
      </c>
      <c r="P7" s="1184" t="str">
        <f t="shared" si="2"/>
        <v>ISG</v>
      </c>
      <c r="Q7" s="1184" t="str">
        <f t="shared" si="2"/>
        <v>HEV</v>
      </c>
      <c r="R7" s="1184" t="str">
        <f t="shared" si="2"/>
        <v>PHEV</v>
      </c>
      <c r="S7" s="1185" t="str">
        <f t="shared" si="2"/>
        <v>BEV</v>
      </c>
    </row>
    <row r="8" spans="1:19" s="1176" customFormat="1" ht="17" thickBot="1" x14ac:dyDescent="0.25">
      <c r="A8" s="1186" t="s">
        <v>3</v>
      </c>
      <c r="B8" s="1187" t="str">
        <f t="shared" ref="B8:G8" si="3">INDEX(TECH_OPT_FUEL1_Cls1,MATCH(B6,TECH_OPT_ROWS_Cls1,0))</f>
        <v>Diesel</v>
      </c>
      <c r="C8" s="1188" t="str">
        <f t="shared" si="3"/>
        <v>Diesel</v>
      </c>
      <c r="D8" s="1188" t="str">
        <f t="shared" si="3"/>
        <v>Diesel</v>
      </c>
      <c r="E8" s="1188" t="str">
        <f t="shared" si="3"/>
        <v>Electricity</v>
      </c>
      <c r="F8" s="1188" t="str">
        <f t="shared" si="3"/>
        <v>Hydrogen</v>
      </c>
      <c r="G8" s="1189" t="str">
        <f t="shared" si="3"/>
        <v>Diesel</v>
      </c>
      <c r="H8" s="1190" t="str">
        <f t="shared" ref="H8:M8" si="4">INDEX(TECH_OPT_FUEL1_Cls2,MATCH(H6,TECH_OPT_ROWS_Cls2,0))</f>
        <v>Diesel</v>
      </c>
      <c r="I8" s="1188" t="str">
        <f t="shared" si="4"/>
        <v>Diesel</v>
      </c>
      <c r="J8" s="1188" t="str">
        <f t="shared" si="4"/>
        <v>Diesel</v>
      </c>
      <c r="K8" s="1188" t="str">
        <f t="shared" si="4"/>
        <v>Diesel</v>
      </c>
      <c r="L8" s="1188" t="str">
        <f t="shared" si="4"/>
        <v>Electricity</v>
      </c>
      <c r="M8" s="1189" t="str">
        <f t="shared" si="4"/>
        <v>Hydrogen</v>
      </c>
      <c r="N8" s="1187" t="str">
        <f t="shared" ref="N8:S8" si="5">INDEX(TECH_OPT_FUEL1_Cls3,MATCH(N6,TECH_OPT_ROWS_Cls3,0))</f>
        <v>Diesel</v>
      </c>
      <c r="O8" s="1188" t="str">
        <f t="shared" si="5"/>
        <v>Diesel</v>
      </c>
      <c r="P8" s="1188" t="str">
        <f t="shared" si="5"/>
        <v>Diesel</v>
      </c>
      <c r="Q8" s="1188" t="str">
        <f t="shared" si="5"/>
        <v>Diesel</v>
      </c>
      <c r="R8" s="1188" t="str">
        <f t="shared" si="5"/>
        <v>Diesel</v>
      </c>
      <c r="S8" s="1189" t="str">
        <f t="shared" si="5"/>
        <v>Electricity</v>
      </c>
    </row>
    <row r="9" spans="1:19" s="1176" customFormat="1" ht="16" thickTop="1" x14ac:dyDescent="0.2">
      <c r="A9" s="1191">
        <v>2007</v>
      </c>
      <c r="B9" s="1262">
        <f t="shared" ref="B9:B52" si="6">INDEX(COST_Cls1,MATCH($A9,Years,0),MATCH(B$6,TECHOPTS_Cls1,0))</f>
        <v>156000</v>
      </c>
      <c r="C9" s="1263">
        <f t="shared" ref="C9:G18" si="7">$B9+INDEX(COST_Cls1,MATCH($A9,Years,0),MATCH(C$6,TECHOPTS_Cls1,0))</f>
        <v>1156000</v>
      </c>
      <c r="D9" s="1263">
        <f t="shared" si="7"/>
        <v>1156000</v>
      </c>
      <c r="E9" s="1263">
        <f t="shared" si="7"/>
        <v>1156000</v>
      </c>
      <c r="F9" s="1263">
        <f t="shared" si="7"/>
        <v>1156000</v>
      </c>
      <c r="G9" s="1263">
        <f t="shared" si="7"/>
        <v>1156000</v>
      </c>
      <c r="H9" s="1262">
        <f t="shared" ref="H9:H52" si="8">INDEX(COST_Cls2,MATCH($A9,Years,0),MATCH(H$6,TECHOPTS_Cls1,0))</f>
        <v>136900</v>
      </c>
      <c r="I9" s="1263">
        <f t="shared" ref="I9:M18" si="9">$B9+INDEX(COST_Cls2,MATCH($A9,Years,0),MATCH(I$6,TECHOPTS_Cls1,0))</f>
        <v>1156000</v>
      </c>
      <c r="J9" s="1263">
        <f t="shared" si="9"/>
        <v>1156000</v>
      </c>
      <c r="K9" s="1263">
        <f t="shared" si="9"/>
        <v>1156000</v>
      </c>
      <c r="L9" s="1263">
        <f t="shared" si="9"/>
        <v>1156000</v>
      </c>
      <c r="M9" s="1264">
        <f t="shared" si="9"/>
        <v>1156000</v>
      </c>
      <c r="N9" s="1262">
        <f t="shared" ref="N9:N52" si="10">INDEX(COST_Cls3,MATCH($A9,Years,0),MATCH(N$6,TECHOPTS_Cls1,0))</f>
        <v>96771.806566877567</v>
      </c>
      <c r="O9" s="1263">
        <f t="shared" ref="O9:S18" si="11">$B9+INDEX(COST_Cls3,MATCH($A9,Years,0),MATCH(O$6,TECHOPTS_Cls1,0))</f>
        <v>1156000</v>
      </c>
      <c r="P9" s="1263">
        <f t="shared" si="11"/>
        <v>1156000</v>
      </c>
      <c r="Q9" s="1263">
        <f t="shared" si="11"/>
        <v>1156000</v>
      </c>
      <c r="R9" s="1263">
        <f t="shared" si="11"/>
        <v>1156000</v>
      </c>
      <c r="S9" s="1264">
        <f t="shared" si="11"/>
        <v>1156000</v>
      </c>
    </row>
    <row r="10" spans="1:19" s="1176" customFormat="1" ht="15" x14ac:dyDescent="0.2">
      <c r="A10" s="1191">
        <v>2008</v>
      </c>
      <c r="B10" s="1262">
        <f t="shared" si="6"/>
        <v>156000</v>
      </c>
      <c r="C10" s="1265">
        <f t="shared" si="7"/>
        <v>1156000</v>
      </c>
      <c r="D10" s="1265">
        <f t="shared" si="7"/>
        <v>1156000</v>
      </c>
      <c r="E10" s="1265">
        <f t="shared" si="7"/>
        <v>1156000</v>
      </c>
      <c r="F10" s="1265">
        <f t="shared" si="7"/>
        <v>1156000</v>
      </c>
      <c r="G10" s="1266">
        <f t="shared" si="7"/>
        <v>1156000</v>
      </c>
      <c r="H10" s="1262">
        <f t="shared" si="8"/>
        <v>136900</v>
      </c>
      <c r="I10" s="1265">
        <f t="shared" si="9"/>
        <v>1156000</v>
      </c>
      <c r="J10" s="1265">
        <f t="shared" si="9"/>
        <v>1156000</v>
      </c>
      <c r="K10" s="1265">
        <f t="shared" si="9"/>
        <v>1156000</v>
      </c>
      <c r="L10" s="1265">
        <f t="shared" si="9"/>
        <v>1156000</v>
      </c>
      <c r="M10" s="1266">
        <f t="shared" si="9"/>
        <v>1156000</v>
      </c>
      <c r="N10" s="1262">
        <f t="shared" si="10"/>
        <v>96771.806566877567</v>
      </c>
      <c r="O10" s="1265">
        <f t="shared" si="11"/>
        <v>1156000</v>
      </c>
      <c r="P10" s="1265">
        <f t="shared" si="11"/>
        <v>1156000</v>
      </c>
      <c r="Q10" s="1265">
        <f t="shared" si="11"/>
        <v>1156000</v>
      </c>
      <c r="R10" s="1265">
        <f t="shared" si="11"/>
        <v>1156000</v>
      </c>
      <c r="S10" s="1266">
        <f t="shared" si="11"/>
        <v>1156000</v>
      </c>
    </row>
    <row r="11" spans="1:19" s="1176" customFormat="1" ht="15" x14ac:dyDescent="0.2">
      <c r="A11" s="1191">
        <v>2009</v>
      </c>
      <c r="B11" s="1262">
        <f t="shared" si="6"/>
        <v>156000</v>
      </c>
      <c r="C11" s="1265">
        <f t="shared" si="7"/>
        <v>1156000</v>
      </c>
      <c r="D11" s="1265">
        <f t="shared" si="7"/>
        <v>1156000</v>
      </c>
      <c r="E11" s="1265">
        <f t="shared" si="7"/>
        <v>1156000</v>
      </c>
      <c r="F11" s="1265">
        <f t="shared" si="7"/>
        <v>1156000</v>
      </c>
      <c r="G11" s="1266">
        <f t="shared" si="7"/>
        <v>1156000</v>
      </c>
      <c r="H11" s="1262">
        <f t="shared" si="8"/>
        <v>136900</v>
      </c>
      <c r="I11" s="1265">
        <f t="shared" si="9"/>
        <v>1156000</v>
      </c>
      <c r="J11" s="1265">
        <f t="shared" si="9"/>
        <v>1156000</v>
      </c>
      <c r="K11" s="1265">
        <f t="shared" si="9"/>
        <v>1156000</v>
      </c>
      <c r="L11" s="1265">
        <f t="shared" si="9"/>
        <v>1156000</v>
      </c>
      <c r="M11" s="1266">
        <f t="shared" si="9"/>
        <v>1156000</v>
      </c>
      <c r="N11" s="1262">
        <f t="shared" si="10"/>
        <v>96771.806566877567</v>
      </c>
      <c r="O11" s="1265">
        <f t="shared" si="11"/>
        <v>1156000</v>
      </c>
      <c r="P11" s="1265">
        <f t="shared" si="11"/>
        <v>1156000</v>
      </c>
      <c r="Q11" s="1265">
        <f t="shared" si="11"/>
        <v>1156000</v>
      </c>
      <c r="R11" s="1265">
        <f t="shared" si="11"/>
        <v>1156000</v>
      </c>
      <c r="S11" s="1266">
        <f t="shared" si="11"/>
        <v>1156000</v>
      </c>
    </row>
    <row r="12" spans="1:19" s="1176" customFormat="1" ht="15" x14ac:dyDescent="0.2">
      <c r="A12" s="1197">
        <v>2010</v>
      </c>
      <c r="B12" s="1267">
        <f t="shared" si="6"/>
        <v>156000</v>
      </c>
      <c r="C12" s="1268">
        <f t="shared" si="7"/>
        <v>1156000</v>
      </c>
      <c r="D12" s="1268">
        <f t="shared" si="7"/>
        <v>1156000</v>
      </c>
      <c r="E12" s="1268">
        <f t="shared" si="7"/>
        <v>1156000</v>
      </c>
      <c r="F12" s="1268">
        <f t="shared" si="7"/>
        <v>1156000</v>
      </c>
      <c r="G12" s="1269">
        <f t="shared" si="7"/>
        <v>1156000</v>
      </c>
      <c r="H12" s="1267">
        <f t="shared" si="8"/>
        <v>136900</v>
      </c>
      <c r="I12" s="1268">
        <f t="shared" si="9"/>
        <v>1156000</v>
      </c>
      <c r="J12" s="1268">
        <f t="shared" si="9"/>
        <v>1156000</v>
      </c>
      <c r="K12" s="1268">
        <f t="shared" si="9"/>
        <v>1156000</v>
      </c>
      <c r="L12" s="1268">
        <f t="shared" si="9"/>
        <v>1156000</v>
      </c>
      <c r="M12" s="1269">
        <f t="shared" si="9"/>
        <v>1156000</v>
      </c>
      <c r="N12" s="1267">
        <f t="shared" si="10"/>
        <v>96771.806566877567</v>
      </c>
      <c r="O12" s="1268">
        <f t="shared" si="11"/>
        <v>1156000</v>
      </c>
      <c r="P12" s="1268">
        <f t="shared" si="11"/>
        <v>1156000</v>
      </c>
      <c r="Q12" s="1268">
        <f t="shared" si="11"/>
        <v>1156000</v>
      </c>
      <c r="R12" s="1268">
        <f t="shared" si="11"/>
        <v>1156000</v>
      </c>
      <c r="S12" s="1269">
        <f t="shared" si="11"/>
        <v>1156000</v>
      </c>
    </row>
    <row r="13" spans="1:19" s="1176" customFormat="1" ht="15" x14ac:dyDescent="0.2">
      <c r="A13" s="1191">
        <v>2011</v>
      </c>
      <c r="B13" s="1270">
        <f t="shared" si="6"/>
        <v>156000</v>
      </c>
      <c r="C13" s="1271">
        <f t="shared" si="7"/>
        <v>1156000</v>
      </c>
      <c r="D13" s="1271">
        <f t="shared" si="7"/>
        <v>1156000</v>
      </c>
      <c r="E13" s="1271">
        <f t="shared" si="7"/>
        <v>1156000</v>
      </c>
      <c r="F13" s="1271">
        <f t="shared" si="7"/>
        <v>1156000</v>
      </c>
      <c r="G13" s="1272">
        <f t="shared" si="7"/>
        <v>1156000</v>
      </c>
      <c r="H13" s="1270">
        <f t="shared" si="8"/>
        <v>136900</v>
      </c>
      <c r="I13" s="1271">
        <f t="shared" si="9"/>
        <v>1156000</v>
      </c>
      <c r="J13" s="1271">
        <f t="shared" si="9"/>
        <v>1156000</v>
      </c>
      <c r="K13" s="1271">
        <f t="shared" si="9"/>
        <v>1156000</v>
      </c>
      <c r="L13" s="1271">
        <f t="shared" si="9"/>
        <v>1156000</v>
      </c>
      <c r="M13" s="1272">
        <f t="shared" si="9"/>
        <v>1156000</v>
      </c>
      <c r="N13" s="1270">
        <f t="shared" si="10"/>
        <v>96771.806566877567</v>
      </c>
      <c r="O13" s="1271">
        <f t="shared" si="11"/>
        <v>1156000</v>
      </c>
      <c r="P13" s="1271">
        <f t="shared" si="11"/>
        <v>1156000</v>
      </c>
      <c r="Q13" s="1271">
        <f t="shared" si="11"/>
        <v>1156000</v>
      </c>
      <c r="R13" s="1271">
        <f t="shared" si="11"/>
        <v>1156000</v>
      </c>
      <c r="S13" s="1272">
        <f t="shared" si="11"/>
        <v>1156000</v>
      </c>
    </row>
    <row r="14" spans="1:19" s="1176" customFormat="1" ht="15" x14ac:dyDescent="0.2">
      <c r="A14" s="1191">
        <v>2012</v>
      </c>
      <c r="B14" s="1262">
        <f t="shared" si="6"/>
        <v>156000</v>
      </c>
      <c r="C14" s="1265">
        <f t="shared" si="7"/>
        <v>1156000</v>
      </c>
      <c r="D14" s="1265">
        <f t="shared" si="7"/>
        <v>1156000</v>
      </c>
      <c r="E14" s="1265">
        <f t="shared" si="7"/>
        <v>1156000</v>
      </c>
      <c r="F14" s="1265">
        <f t="shared" si="7"/>
        <v>1156000</v>
      </c>
      <c r="G14" s="1266">
        <f t="shared" si="7"/>
        <v>1156000</v>
      </c>
      <c r="H14" s="1262">
        <f t="shared" si="8"/>
        <v>136900</v>
      </c>
      <c r="I14" s="1265">
        <f t="shared" si="9"/>
        <v>1156000</v>
      </c>
      <c r="J14" s="1265">
        <f t="shared" si="9"/>
        <v>1156000</v>
      </c>
      <c r="K14" s="1265">
        <f t="shared" si="9"/>
        <v>1156000</v>
      </c>
      <c r="L14" s="1265">
        <f t="shared" si="9"/>
        <v>1156000</v>
      </c>
      <c r="M14" s="1266">
        <f t="shared" si="9"/>
        <v>1156000</v>
      </c>
      <c r="N14" s="1262">
        <f t="shared" si="10"/>
        <v>96771.806566877567</v>
      </c>
      <c r="O14" s="1265">
        <f t="shared" si="11"/>
        <v>1156000</v>
      </c>
      <c r="P14" s="1265">
        <f t="shared" si="11"/>
        <v>1156000</v>
      </c>
      <c r="Q14" s="1265">
        <f t="shared" si="11"/>
        <v>1156000</v>
      </c>
      <c r="R14" s="1265">
        <f t="shared" si="11"/>
        <v>1156000</v>
      </c>
      <c r="S14" s="1266">
        <f t="shared" si="11"/>
        <v>1156000</v>
      </c>
    </row>
    <row r="15" spans="1:19" s="1176" customFormat="1" ht="15" x14ac:dyDescent="0.2">
      <c r="A15" s="1191">
        <v>2013</v>
      </c>
      <c r="B15" s="1262">
        <f t="shared" si="6"/>
        <v>156000</v>
      </c>
      <c r="C15" s="1265">
        <f t="shared" si="7"/>
        <v>1156000</v>
      </c>
      <c r="D15" s="1265">
        <f t="shared" si="7"/>
        <v>1156000</v>
      </c>
      <c r="E15" s="1265">
        <f t="shared" si="7"/>
        <v>1156000</v>
      </c>
      <c r="F15" s="1265">
        <f t="shared" si="7"/>
        <v>1156000</v>
      </c>
      <c r="G15" s="1266">
        <f t="shared" si="7"/>
        <v>1156000</v>
      </c>
      <c r="H15" s="1262">
        <f t="shared" si="8"/>
        <v>136900</v>
      </c>
      <c r="I15" s="1265">
        <f t="shared" si="9"/>
        <v>1156000</v>
      </c>
      <c r="J15" s="1265">
        <f t="shared" si="9"/>
        <v>1156000</v>
      </c>
      <c r="K15" s="1265">
        <f t="shared" si="9"/>
        <v>1156000</v>
      </c>
      <c r="L15" s="1265">
        <f t="shared" si="9"/>
        <v>1156000</v>
      </c>
      <c r="M15" s="1266">
        <f t="shared" si="9"/>
        <v>1156000</v>
      </c>
      <c r="N15" s="1262">
        <f t="shared" si="10"/>
        <v>96771.806566877567</v>
      </c>
      <c r="O15" s="1265">
        <f t="shared" si="11"/>
        <v>1156000</v>
      </c>
      <c r="P15" s="1265">
        <f t="shared" si="11"/>
        <v>1156000</v>
      </c>
      <c r="Q15" s="1265">
        <f t="shared" si="11"/>
        <v>1156000</v>
      </c>
      <c r="R15" s="1265">
        <f t="shared" si="11"/>
        <v>1156000</v>
      </c>
      <c r="S15" s="1266">
        <f t="shared" si="11"/>
        <v>1156000</v>
      </c>
    </row>
    <row r="16" spans="1:19" s="1176" customFormat="1" ht="15" x14ac:dyDescent="0.2">
      <c r="A16" s="1191">
        <v>2014</v>
      </c>
      <c r="B16" s="1262">
        <f t="shared" si="6"/>
        <v>156000</v>
      </c>
      <c r="C16" s="1265">
        <f t="shared" si="7"/>
        <v>1156000</v>
      </c>
      <c r="D16" s="1265">
        <f t="shared" si="7"/>
        <v>1156000</v>
      </c>
      <c r="E16" s="1265">
        <f t="shared" si="7"/>
        <v>1156000</v>
      </c>
      <c r="F16" s="1265">
        <f t="shared" si="7"/>
        <v>1156000</v>
      </c>
      <c r="G16" s="1266">
        <f t="shared" si="7"/>
        <v>1156000</v>
      </c>
      <c r="H16" s="1262">
        <f t="shared" si="8"/>
        <v>136900</v>
      </c>
      <c r="I16" s="1265">
        <f t="shared" si="9"/>
        <v>1156000</v>
      </c>
      <c r="J16" s="1265">
        <f t="shared" si="9"/>
        <v>1156000</v>
      </c>
      <c r="K16" s="1265">
        <f t="shared" si="9"/>
        <v>1156000</v>
      </c>
      <c r="L16" s="1265">
        <f t="shared" si="9"/>
        <v>1156000</v>
      </c>
      <c r="M16" s="1266">
        <f t="shared" si="9"/>
        <v>1156000</v>
      </c>
      <c r="N16" s="1262">
        <f t="shared" si="10"/>
        <v>96771.806566877567</v>
      </c>
      <c r="O16" s="1265">
        <f t="shared" si="11"/>
        <v>1156000</v>
      </c>
      <c r="P16" s="1265">
        <f t="shared" si="11"/>
        <v>1156000</v>
      </c>
      <c r="Q16" s="1265">
        <f t="shared" si="11"/>
        <v>1156000</v>
      </c>
      <c r="R16" s="1265">
        <f t="shared" si="11"/>
        <v>1156000</v>
      </c>
      <c r="S16" s="1266">
        <f t="shared" si="11"/>
        <v>1156000</v>
      </c>
    </row>
    <row r="17" spans="1:19" s="1176" customFormat="1" ht="15" x14ac:dyDescent="0.2">
      <c r="A17" s="1197">
        <v>2015</v>
      </c>
      <c r="B17" s="1267">
        <f t="shared" si="6"/>
        <v>156000</v>
      </c>
      <c r="C17" s="1268">
        <f t="shared" si="7"/>
        <v>1156000</v>
      </c>
      <c r="D17" s="1268">
        <f t="shared" si="7"/>
        <v>1156000</v>
      </c>
      <c r="E17" s="1268">
        <f t="shared" si="7"/>
        <v>1156000</v>
      </c>
      <c r="F17" s="1268">
        <f t="shared" si="7"/>
        <v>1156000</v>
      </c>
      <c r="G17" s="1269">
        <f t="shared" si="7"/>
        <v>1156000</v>
      </c>
      <c r="H17" s="1267">
        <f t="shared" si="8"/>
        <v>136900</v>
      </c>
      <c r="I17" s="1268">
        <f t="shared" si="9"/>
        <v>1156000</v>
      </c>
      <c r="J17" s="1268">
        <f t="shared" si="9"/>
        <v>1156000</v>
      </c>
      <c r="K17" s="1268">
        <f t="shared" si="9"/>
        <v>1156000</v>
      </c>
      <c r="L17" s="1268">
        <f t="shared" si="9"/>
        <v>1156000</v>
      </c>
      <c r="M17" s="1269">
        <f t="shared" si="9"/>
        <v>1156000</v>
      </c>
      <c r="N17" s="1267">
        <f t="shared" si="10"/>
        <v>96771.806566877567</v>
      </c>
      <c r="O17" s="1268">
        <f t="shared" si="11"/>
        <v>1156000</v>
      </c>
      <c r="P17" s="1268">
        <f t="shared" si="11"/>
        <v>1156000</v>
      </c>
      <c r="Q17" s="1268">
        <f t="shared" si="11"/>
        <v>1156000</v>
      </c>
      <c r="R17" s="1268">
        <f t="shared" si="11"/>
        <v>1156000</v>
      </c>
      <c r="S17" s="1269">
        <f t="shared" si="11"/>
        <v>1156000</v>
      </c>
    </row>
    <row r="18" spans="1:19" s="1176" customFormat="1" ht="15" x14ac:dyDescent="0.2">
      <c r="A18" s="1191">
        <v>2016</v>
      </c>
      <c r="B18" s="1270">
        <f t="shared" si="6"/>
        <v>156000</v>
      </c>
      <c r="C18" s="1271">
        <f t="shared" si="7"/>
        <v>1156000</v>
      </c>
      <c r="D18" s="1271">
        <f t="shared" si="7"/>
        <v>1156000</v>
      </c>
      <c r="E18" s="1271">
        <f t="shared" si="7"/>
        <v>1156000</v>
      </c>
      <c r="F18" s="1271">
        <f t="shared" si="7"/>
        <v>1156000</v>
      </c>
      <c r="G18" s="1272">
        <f t="shared" si="7"/>
        <v>1156000</v>
      </c>
      <c r="H18" s="1270">
        <f t="shared" si="8"/>
        <v>136900</v>
      </c>
      <c r="I18" s="1271">
        <f t="shared" si="9"/>
        <v>1156000</v>
      </c>
      <c r="J18" s="1271">
        <f t="shared" si="9"/>
        <v>1156000</v>
      </c>
      <c r="K18" s="1271">
        <f t="shared" si="9"/>
        <v>1156000</v>
      </c>
      <c r="L18" s="1271">
        <f t="shared" si="9"/>
        <v>1156000</v>
      </c>
      <c r="M18" s="1272">
        <f t="shared" si="9"/>
        <v>1156000</v>
      </c>
      <c r="N18" s="1270">
        <f t="shared" si="10"/>
        <v>96771.806566877567</v>
      </c>
      <c r="O18" s="1271">
        <f t="shared" si="11"/>
        <v>1156000</v>
      </c>
      <c r="P18" s="1271">
        <f t="shared" si="11"/>
        <v>1156000</v>
      </c>
      <c r="Q18" s="1271">
        <f t="shared" si="11"/>
        <v>1156000</v>
      </c>
      <c r="R18" s="1271">
        <f t="shared" si="11"/>
        <v>1156000</v>
      </c>
      <c r="S18" s="1272">
        <f t="shared" si="11"/>
        <v>1156000</v>
      </c>
    </row>
    <row r="19" spans="1:19" s="1176" customFormat="1" ht="15" x14ac:dyDescent="0.2">
      <c r="A19" s="1191">
        <v>2017</v>
      </c>
      <c r="B19" s="1262">
        <f t="shared" si="6"/>
        <v>156000</v>
      </c>
      <c r="C19" s="1265">
        <f t="shared" ref="C19:G28" si="12">$B19+INDEX(COST_Cls1,MATCH($A19,Years,0),MATCH(C$6,TECHOPTS_Cls1,0))</f>
        <v>1156000</v>
      </c>
      <c r="D19" s="1265">
        <f t="shared" si="12"/>
        <v>1156000</v>
      </c>
      <c r="E19" s="1265">
        <f t="shared" si="12"/>
        <v>1156000</v>
      </c>
      <c r="F19" s="1265">
        <f t="shared" si="12"/>
        <v>1156000</v>
      </c>
      <c r="G19" s="1266">
        <f t="shared" si="12"/>
        <v>1156000</v>
      </c>
      <c r="H19" s="1262">
        <f t="shared" si="8"/>
        <v>136900</v>
      </c>
      <c r="I19" s="1265">
        <f t="shared" ref="I19:M28" si="13">$B19+INDEX(COST_Cls2,MATCH($A19,Years,0),MATCH(I$6,TECHOPTS_Cls1,0))</f>
        <v>1156000</v>
      </c>
      <c r="J19" s="1265">
        <f t="shared" si="13"/>
        <v>1156000</v>
      </c>
      <c r="K19" s="1265">
        <f t="shared" si="13"/>
        <v>1156000</v>
      </c>
      <c r="L19" s="1265">
        <f t="shared" si="13"/>
        <v>1156000</v>
      </c>
      <c r="M19" s="1266">
        <f t="shared" si="13"/>
        <v>1156000</v>
      </c>
      <c r="N19" s="1262">
        <f t="shared" si="10"/>
        <v>96771.806566877567</v>
      </c>
      <c r="O19" s="1265">
        <f t="shared" ref="O19:S28" si="14">$B19+INDEX(COST_Cls3,MATCH($A19,Years,0),MATCH(O$6,TECHOPTS_Cls1,0))</f>
        <v>1156000</v>
      </c>
      <c r="P19" s="1265">
        <f t="shared" si="14"/>
        <v>1156000</v>
      </c>
      <c r="Q19" s="1265">
        <f t="shared" si="14"/>
        <v>1156000</v>
      </c>
      <c r="R19" s="1265">
        <f t="shared" si="14"/>
        <v>1156000</v>
      </c>
      <c r="S19" s="1266">
        <f t="shared" si="14"/>
        <v>1156000</v>
      </c>
    </row>
    <row r="20" spans="1:19" s="1176" customFormat="1" ht="15" x14ac:dyDescent="0.2">
      <c r="A20" s="1191">
        <v>2018</v>
      </c>
      <c r="B20" s="1262">
        <f t="shared" si="6"/>
        <v>157900</v>
      </c>
      <c r="C20" s="1265">
        <f t="shared" si="12"/>
        <v>1157900</v>
      </c>
      <c r="D20" s="1265">
        <f t="shared" si="12"/>
        <v>1157900</v>
      </c>
      <c r="E20" s="1265">
        <f t="shared" si="12"/>
        <v>1157900</v>
      </c>
      <c r="F20" s="1265">
        <f t="shared" si="12"/>
        <v>1157900</v>
      </c>
      <c r="G20" s="1266">
        <f t="shared" si="12"/>
        <v>1157900</v>
      </c>
      <c r="H20" s="1262">
        <f t="shared" si="8"/>
        <v>136900</v>
      </c>
      <c r="I20" s="1265">
        <f t="shared" si="13"/>
        <v>1157900</v>
      </c>
      <c r="J20" s="1265">
        <f t="shared" si="13"/>
        <v>1157900</v>
      </c>
      <c r="K20" s="1265">
        <f t="shared" si="13"/>
        <v>1157900</v>
      </c>
      <c r="L20" s="1265">
        <f t="shared" si="13"/>
        <v>1157900</v>
      </c>
      <c r="M20" s="1266">
        <f t="shared" si="13"/>
        <v>1157900</v>
      </c>
      <c r="N20" s="1262">
        <f t="shared" si="10"/>
        <v>96771.806566877567</v>
      </c>
      <c r="O20" s="1265">
        <f t="shared" si="14"/>
        <v>1157900</v>
      </c>
      <c r="P20" s="1265">
        <f t="shared" si="14"/>
        <v>1157900</v>
      </c>
      <c r="Q20" s="1265">
        <f t="shared" si="14"/>
        <v>1157900</v>
      </c>
      <c r="R20" s="1265">
        <f t="shared" si="14"/>
        <v>1157900</v>
      </c>
      <c r="S20" s="1266">
        <f t="shared" si="14"/>
        <v>1157900</v>
      </c>
    </row>
    <row r="21" spans="1:19" s="1176" customFormat="1" ht="15" x14ac:dyDescent="0.2">
      <c r="A21" s="1191">
        <v>2019</v>
      </c>
      <c r="B21" s="1262">
        <f t="shared" si="6"/>
        <v>159700</v>
      </c>
      <c r="C21" s="1265">
        <f t="shared" si="12"/>
        <v>1159700</v>
      </c>
      <c r="D21" s="1265">
        <f t="shared" si="12"/>
        <v>1159700</v>
      </c>
      <c r="E21" s="1265">
        <f t="shared" si="12"/>
        <v>1159700</v>
      </c>
      <c r="F21" s="1265">
        <f t="shared" si="12"/>
        <v>1159700</v>
      </c>
      <c r="G21" s="1266">
        <f t="shared" si="12"/>
        <v>1159700</v>
      </c>
      <c r="H21" s="1262">
        <f t="shared" si="8"/>
        <v>136900</v>
      </c>
      <c r="I21" s="1265">
        <f t="shared" si="13"/>
        <v>1159700</v>
      </c>
      <c r="J21" s="1265">
        <f t="shared" si="13"/>
        <v>1159700</v>
      </c>
      <c r="K21" s="1265">
        <f t="shared" si="13"/>
        <v>1159700</v>
      </c>
      <c r="L21" s="1265">
        <f t="shared" si="13"/>
        <v>1159700</v>
      </c>
      <c r="M21" s="1266">
        <f t="shared" si="13"/>
        <v>1159700</v>
      </c>
      <c r="N21" s="1262">
        <f t="shared" si="10"/>
        <v>96771.806566877567</v>
      </c>
      <c r="O21" s="1265">
        <f t="shared" si="14"/>
        <v>1159700</v>
      </c>
      <c r="P21" s="1265">
        <f t="shared" si="14"/>
        <v>1159700</v>
      </c>
      <c r="Q21" s="1265">
        <f t="shared" si="14"/>
        <v>1159700</v>
      </c>
      <c r="R21" s="1265">
        <f t="shared" si="14"/>
        <v>1159700</v>
      </c>
      <c r="S21" s="1266">
        <f t="shared" si="14"/>
        <v>1159700</v>
      </c>
    </row>
    <row r="22" spans="1:19" s="1176" customFormat="1" ht="15" x14ac:dyDescent="0.2">
      <c r="A22" s="1197">
        <v>2020</v>
      </c>
      <c r="B22" s="1267">
        <f t="shared" si="6"/>
        <v>161500</v>
      </c>
      <c r="C22" s="1268">
        <f t="shared" si="12"/>
        <v>1161500</v>
      </c>
      <c r="D22" s="1268">
        <f t="shared" si="12"/>
        <v>1161500</v>
      </c>
      <c r="E22" s="1268">
        <f t="shared" si="12"/>
        <v>1161500</v>
      </c>
      <c r="F22" s="1268">
        <f t="shared" si="12"/>
        <v>1161500</v>
      </c>
      <c r="G22" s="1269">
        <f t="shared" si="12"/>
        <v>1161500</v>
      </c>
      <c r="H22" s="1267">
        <f t="shared" si="8"/>
        <v>136900</v>
      </c>
      <c r="I22" s="1268">
        <f t="shared" si="13"/>
        <v>1161500</v>
      </c>
      <c r="J22" s="1268">
        <f t="shared" si="13"/>
        <v>1161500</v>
      </c>
      <c r="K22" s="1268">
        <f t="shared" si="13"/>
        <v>1161500</v>
      </c>
      <c r="L22" s="1268">
        <f t="shared" si="13"/>
        <v>1161500</v>
      </c>
      <c r="M22" s="1269">
        <f t="shared" si="13"/>
        <v>1161500</v>
      </c>
      <c r="N22" s="1267">
        <f t="shared" si="10"/>
        <v>96771.806566877567</v>
      </c>
      <c r="O22" s="1268">
        <f t="shared" si="14"/>
        <v>1161500</v>
      </c>
      <c r="P22" s="1268">
        <f t="shared" si="14"/>
        <v>1161500</v>
      </c>
      <c r="Q22" s="1268">
        <f t="shared" si="14"/>
        <v>1161500</v>
      </c>
      <c r="R22" s="1268">
        <f t="shared" si="14"/>
        <v>1161500</v>
      </c>
      <c r="S22" s="1269">
        <f t="shared" si="14"/>
        <v>1161500</v>
      </c>
    </row>
    <row r="23" spans="1:19" s="1176" customFormat="1" ht="15" x14ac:dyDescent="0.2">
      <c r="A23" s="1191">
        <v>2021</v>
      </c>
      <c r="B23" s="1270">
        <f t="shared" si="6"/>
        <v>163300</v>
      </c>
      <c r="C23" s="1271">
        <f t="shared" si="12"/>
        <v>163301</v>
      </c>
      <c r="D23" s="1271">
        <f t="shared" si="12"/>
        <v>172991</v>
      </c>
      <c r="E23" s="1271">
        <f t="shared" si="12"/>
        <v>966602</v>
      </c>
      <c r="F23" s="1271">
        <f t="shared" si="12"/>
        <v>163301</v>
      </c>
      <c r="G23" s="1272">
        <f t="shared" si="12"/>
        <v>1163300</v>
      </c>
      <c r="H23" s="1270">
        <f t="shared" si="8"/>
        <v>137205.78935754453</v>
      </c>
      <c r="I23" s="1271">
        <f t="shared" si="13"/>
        <v>164420.59081501013</v>
      </c>
      <c r="J23" s="1271">
        <f t="shared" si="13"/>
        <v>165946.16030366096</v>
      </c>
      <c r="K23" s="1271">
        <f t="shared" si="13"/>
        <v>361147.31007079966</v>
      </c>
      <c r="L23" s="1271">
        <f t="shared" si="13"/>
        <v>519273.77067591518</v>
      </c>
      <c r="M23" s="1272">
        <f t="shared" si="13"/>
        <v>330638.8014362324</v>
      </c>
      <c r="N23" s="1270">
        <f t="shared" si="10"/>
        <v>97040.03007304229</v>
      </c>
      <c r="O23" s="1271">
        <f t="shared" si="14"/>
        <v>164140.4652708841</v>
      </c>
      <c r="P23" s="1271">
        <f t="shared" si="14"/>
        <v>164966.4794172293</v>
      </c>
      <c r="Q23" s="1271">
        <f t="shared" si="14"/>
        <v>176409.7298777274</v>
      </c>
      <c r="R23" s="1271">
        <f t="shared" si="14"/>
        <v>307464.79851970973</v>
      </c>
      <c r="S23" s="1272">
        <f t="shared" si="14"/>
        <v>418251.09746535949</v>
      </c>
    </row>
    <row r="24" spans="1:19" s="1176" customFormat="1" ht="15" x14ac:dyDescent="0.2">
      <c r="A24" s="1191">
        <v>2022</v>
      </c>
      <c r="B24" s="1262">
        <f t="shared" si="6"/>
        <v>163300</v>
      </c>
      <c r="C24" s="1265">
        <f t="shared" si="12"/>
        <v>163557.33623308313</v>
      </c>
      <c r="D24" s="1265">
        <f t="shared" si="12"/>
        <v>172815.50289974979</v>
      </c>
      <c r="E24" s="1265">
        <f t="shared" si="12"/>
        <v>909484.50289974979</v>
      </c>
      <c r="F24" s="1265">
        <f t="shared" si="12"/>
        <v>163301</v>
      </c>
      <c r="G24" s="1266">
        <f t="shared" si="12"/>
        <v>1163300</v>
      </c>
      <c r="H24" s="1262">
        <f t="shared" si="8"/>
        <v>137511.57871508907</v>
      </c>
      <c r="I24" s="1265">
        <f t="shared" si="13"/>
        <v>165541.18163002023</v>
      </c>
      <c r="J24" s="1265">
        <f t="shared" si="13"/>
        <v>166821.05559253911</v>
      </c>
      <c r="K24" s="1265">
        <f t="shared" si="13"/>
        <v>329382.55308491952</v>
      </c>
      <c r="L24" s="1265">
        <f t="shared" si="13"/>
        <v>461400.66666831466</v>
      </c>
      <c r="M24" s="1266">
        <f t="shared" si="13"/>
        <v>307602.40769967571</v>
      </c>
      <c r="N24" s="1262">
        <f t="shared" si="10"/>
        <v>97308.253579207012</v>
      </c>
      <c r="O24" s="1265">
        <f t="shared" si="14"/>
        <v>164980.93054176818</v>
      </c>
      <c r="P24" s="1265">
        <f t="shared" si="14"/>
        <v>165660.55136917633</v>
      </c>
      <c r="Q24" s="1265">
        <f t="shared" si="14"/>
        <v>175771.32907937549</v>
      </c>
      <c r="R24" s="1265">
        <f t="shared" si="14"/>
        <v>285656.24341838574</v>
      </c>
      <c r="S24" s="1266">
        <f t="shared" si="14"/>
        <v>378438.05970907584</v>
      </c>
    </row>
    <row r="25" spans="1:19" s="1176" customFormat="1" ht="15" x14ac:dyDescent="0.2">
      <c r="A25" s="1191">
        <v>2023</v>
      </c>
      <c r="B25" s="1262">
        <f t="shared" si="6"/>
        <v>162800</v>
      </c>
      <c r="C25" s="1265">
        <f t="shared" si="12"/>
        <v>163290.70348051802</v>
      </c>
      <c r="D25" s="1265">
        <f t="shared" si="12"/>
        <v>172116.03681385133</v>
      </c>
      <c r="E25" s="1265">
        <f t="shared" si="12"/>
        <v>851843.03681385121</v>
      </c>
      <c r="F25" s="1265">
        <f t="shared" si="12"/>
        <v>162801</v>
      </c>
      <c r="G25" s="1266">
        <f t="shared" si="12"/>
        <v>1162800</v>
      </c>
      <c r="H25" s="1262">
        <f t="shared" si="8"/>
        <v>137817.3680726336</v>
      </c>
      <c r="I25" s="1265">
        <f t="shared" si="13"/>
        <v>166161.77244503034</v>
      </c>
      <c r="J25" s="1265">
        <f t="shared" si="13"/>
        <v>167195.95088141726</v>
      </c>
      <c r="K25" s="1265">
        <f t="shared" si="13"/>
        <v>297117.79609903932</v>
      </c>
      <c r="L25" s="1265">
        <f t="shared" si="13"/>
        <v>403027.56266071415</v>
      </c>
      <c r="M25" s="1266">
        <f t="shared" si="13"/>
        <v>284066.01396311901</v>
      </c>
      <c r="N25" s="1262">
        <f t="shared" si="10"/>
        <v>97576.477085371735</v>
      </c>
      <c r="O25" s="1265">
        <f t="shared" si="14"/>
        <v>165321.39581265225</v>
      </c>
      <c r="P25" s="1265">
        <f t="shared" si="14"/>
        <v>165854.62332112336</v>
      </c>
      <c r="Q25" s="1265">
        <f t="shared" si="14"/>
        <v>174632.92828102357</v>
      </c>
      <c r="R25" s="1265">
        <f t="shared" si="14"/>
        <v>263347.68831706169</v>
      </c>
      <c r="S25" s="1266">
        <f t="shared" si="14"/>
        <v>338125.02195279219</v>
      </c>
    </row>
    <row r="26" spans="1:19" s="1176" customFormat="1" ht="15" x14ac:dyDescent="0.2">
      <c r="A26" s="1191">
        <v>2024</v>
      </c>
      <c r="B26" s="1262">
        <f t="shared" si="6"/>
        <v>167400</v>
      </c>
      <c r="C26" s="1265">
        <f t="shared" si="12"/>
        <v>168209.90017938358</v>
      </c>
      <c r="D26" s="1265">
        <f t="shared" si="12"/>
        <v>176602.40017938355</v>
      </c>
      <c r="E26" s="1265">
        <f t="shared" si="12"/>
        <v>799387.40017938346</v>
      </c>
      <c r="F26" s="1265">
        <f t="shared" si="12"/>
        <v>167401</v>
      </c>
      <c r="G26" s="1266">
        <f t="shared" si="12"/>
        <v>1167400</v>
      </c>
      <c r="H26" s="1262">
        <f t="shared" si="8"/>
        <v>138123.15743017814</v>
      </c>
      <c r="I26" s="1265">
        <f t="shared" si="13"/>
        <v>171882.36326004047</v>
      </c>
      <c r="J26" s="1265">
        <f t="shared" si="13"/>
        <v>172670.84617029544</v>
      </c>
      <c r="K26" s="1265">
        <f t="shared" si="13"/>
        <v>269953.03911315912</v>
      </c>
      <c r="L26" s="1265">
        <f t="shared" si="13"/>
        <v>349754.45865311369</v>
      </c>
      <c r="M26" s="1266">
        <f t="shared" si="13"/>
        <v>265629.62022656226</v>
      </c>
      <c r="N26" s="1262">
        <f t="shared" si="10"/>
        <v>97844.700591536457</v>
      </c>
      <c r="O26" s="1265">
        <f t="shared" si="14"/>
        <v>170761.86108353635</v>
      </c>
      <c r="P26" s="1265">
        <f t="shared" si="14"/>
        <v>171148.69527307036</v>
      </c>
      <c r="Q26" s="1265">
        <f t="shared" si="14"/>
        <v>178594.52748267166</v>
      </c>
      <c r="R26" s="1265">
        <f t="shared" si="14"/>
        <v>246139.13321573765</v>
      </c>
      <c r="S26" s="1266">
        <f t="shared" si="14"/>
        <v>302911.98419650859</v>
      </c>
    </row>
    <row r="27" spans="1:19" s="1176" customFormat="1" ht="15" x14ac:dyDescent="0.2">
      <c r="A27" s="1197">
        <v>2025</v>
      </c>
      <c r="B27" s="1267">
        <f t="shared" si="6"/>
        <v>167100</v>
      </c>
      <c r="C27" s="1268">
        <f t="shared" si="12"/>
        <v>168229.09687824914</v>
      </c>
      <c r="D27" s="1268">
        <f t="shared" si="12"/>
        <v>176188.76354491577</v>
      </c>
      <c r="E27" s="1268">
        <f t="shared" si="12"/>
        <v>742031.76354491571</v>
      </c>
      <c r="F27" s="1268">
        <f t="shared" si="12"/>
        <v>167101</v>
      </c>
      <c r="G27" s="1269">
        <f t="shared" si="12"/>
        <v>1167100</v>
      </c>
      <c r="H27" s="1267">
        <f t="shared" si="8"/>
        <v>138428.94678772261</v>
      </c>
      <c r="I27" s="1268">
        <f t="shared" si="13"/>
        <v>172702.9540750506</v>
      </c>
      <c r="J27" s="1268">
        <f t="shared" si="13"/>
        <v>173245.74145917367</v>
      </c>
      <c r="K27" s="1268">
        <f t="shared" si="13"/>
        <v>237888.28212727894</v>
      </c>
      <c r="L27" s="1268">
        <f t="shared" si="13"/>
        <v>291581.35464551323</v>
      </c>
      <c r="M27" s="1269">
        <f t="shared" si="13"/>
        <v>242293.22649000553</v>
      </c>
      <c r="N27" s="1267">
        <f t="shared" si="10"/>
        <v>98112.924097701165</v>
      </c>
      <c r="O27" s="1268">
        <f t="shared" si="14"/>
        <v>171302.32635442045</v>
      </c>
      <c r="P27" s="1268">
        <f t="shared" si="14"/>
        <v>171542.76722501739</v>
      </c>
      <c r="Q27" s="1268">
        <f t="shared" si="14"/>
        <v>177656.12668431978</v>
      </c>
      <c r="R27" s="1268">
        <f t="shared" si="14"/>
        <v>224030.5781144136</v>
      </c>
      <c r="S27" s="1269">
        <f t="shared" si="14"/>
        <v>262798.946440225</v>
      </c>
    </row>
    <row r="28" spans="1:19" s="1176" customFormat="1" ht="15" x14ac:dyDescent="0.2">
      <c r="A28" s="1191">
        <v>2026</v>
      </c>
      <c r="B28" s="1270">
        <f t="shared" si="6"/>
        <v>166900</v>
      </c>
      <c r="C28" s="1271">
        <f t="shared" si="12"/>
        <v>168262.46412568403</v>
      </c>
      <c r="D28" s="1271">
        <f t="shared" si="12"/>
        <v>175789.29745901731</v>
      </c>
      <c r="E28" s="1271">
        <f t="shared" si="12"/>
        <v>684690.29745901714</v>
      </c>
      <c r="F28" s="1271">
        <f t="shared" si="12"/>
        <v>166901</v>
      </c>
      <c r="G28" s="1272">
        <f t="shared" si="12"/>
        <v>1166900</v>
      </c>
      <c r="H28" s="1270">
        <f t="shared" si="8"/>
        <v>139088.32283276951</v>
      </c>
      <c r="I28" s="1271">
        <f t="shared" si="13"/>
        <v>172729.51837607712</v>
      </c>
      <c r="J28" s="1271">
        <f t="shared" si="13"/>
        <v>173211.03259469784</v>
      </c>
      <c r="K28" s="1271">
        <f t="shared" si="13"/>
        <v>230339.25086035026</v>
      </c>
      <c r="L28" s="1271">
        <f t="shared" si="13"/>
        <v>277955.27571971854</v>
      </c>
      <c r="M28" s="1272">
        <f t="shared" si="13"/>
        <v>231834.80570293451</v>
      </c>
      <c r="N28" s="1270">
        <f t="shared" si="10"/>
        <v>98535.258281973045</v>
      </c>
      <c r="O28" s="1271">
        <f t="shared" si="14"/>
        <v>171273.81523360495</v>
      </c>
      <c r="P28" s="1271">
        <f t="shared" si="14"/>
        <v>171479.00864290138</v>
      </c>
      <c r="Q28" s="1271">
        <f t="shared" si="14"/>
        <v>177305.35133531765</v>
      </c>
      <c r="R28" s="1271">
        <f t="shared" si="14"/>
        <v>218911.7237543599</v>
      </c>
      <c r="S28" s="1272">
        <f t="shared" si="14"/>
        <v>252983.46885796799</v>
      </c>
    </row>
    <row r="29" spans="1:19" s="1176" customFormat="1" ht="15" x14ac:dyDescent="0.2">
      <c r="A29" s="1191">
        <v>2027</v>
      </c>
      <c r="B29" s="1262">
        <f t="shared" si="6"/>
        <v>169800</v>
      </c>
      <c r="C29" s="1265">
        <f t="shared" ref="C29:G38" si="15">$B29+INDEX(COST_Cls1,MATCH($A29,Years,0),MATCH(C$6,TECHOPTS_Cls1,0))</f>
        <v>171419.80035876716</v>
      </c>
      <c r="D29" s="1265">
        <f t="shared" si="15"/>
        <v>178513.80035876716</v>
      </c>
      <c r="E29" s="1265">
        <f t="shared" si="15"/>
        <v>630472.80035876716</v>
      </c>
      <c r="F29" s="1265">
        <f t="shared" si="15"/>
        <v>169801</v>
      </c>
      <c r="G29" s="1266">
        <f t="shared" si="15"/>
        <v>1169800</v>
      </c>
      <c r="H29" s="1262">
        <f t="shared" si="8"/>
        <v>139747.69887781641</v>
      </c>
      <c r="I29" s="1265">
        <f t="shared" ref="I29:M38" si="16">$B29+INDEX(COST_Cls2,MATCH($A29,Years,0),MATCH(I$6,TECHOPTS_Cls1,0))</f>
        <v>175856.08267710364</v>
      </c>
      <c r="J29" s="1265">
        <f t="shared" si="16"/>
        <v>176276.32373022204</v>
      </c>
      <c r="K29" s="1265">
        <f t="shared" si="16"/>
        <v>225890.21959342156</v>
      </c>
      <c r="L29" s="1265">
        <f t="shared" si="16"/>
        <v>267429.19679392385</v>
      </c>
      <c r="M29" s="1266">
        <f t="shared" si="16"/>
        <v>224476.38491586351</v>
      </c>
      <c r="N29" s="1262">
        <f t="shared" si="10"/>
        <v>98957.592466244925</v>
      </c>
      <c r="O29" s="1265">
        <f t="shared" ref="O29:S38" si="17">$B29+INDEX(COST_Cls3,MATCH($A29,Years,0),MATCH(O$6,TECHOPTS_Cls1,0))</f>
        <v>174345.30411278945</v>
      </c>
      <c r="P29" s="1265">
        <f t="shared" si="17"/>
        <v>174515.25006078533</v>
      </c>
      <c r="Q29" s="1265">
        <f t="shared" si="17"/>
        <v>180054.57598631555</v>
      </c>
      <c r="R29" s="1265">
        <f t="shared" si="17"/>
        <v>216892.86939430621</v>
      </c>
      <c r="S29" s="1266">
        <f t="shared" si="17"/>
        <v>246267.99127571099</v>
      </c>
    </row>
    <row r="30" spans="1:19" s="1176" customFormat="1" ht="15" x14ac:dyDescent="0.2">
      <c r="A30" s="1191">
        <v>2028</v>
      </c>
      <c r="B30" s="1262">
        <f t="shared" si="6"/>
        <v>169500</v>
      </c>
      <c r="C30" s="1265">
        <f t="shared" si="15"/>
        <v>171415.8597325756</v>
      </c>
      <c r="D30" s="1265">
        <f t="shared" si="15"/>
        <v>178407.2347325756</v>
      </c>
      <c r="E30" s="1265">
        <f t="shared" si="15"/>
        <v>603530.1097325756</v>
      </c>
      <c r="F30" s="1265">
        <f t="shared" si="15"/>
        <v>169501</v>
      </c>
      <c r="G30" s="1266">
        <f t="shared" si="15"/>
        <v>1169500</v>
      </c>
      <c r="H30" s="1262">
        <f t="shared" si="8"/>
        <v>140407.07492286331</v>
      </c>
      <c r="I30" s="1265">
        <f t="shared" si="16"/>
        <v>175782.64697813021</v>
      </c>
      <c r="J30" s="1265">
        <f t="shared" si="16"/>
        <v>176141.61486574623</v>
      </c>
      <c r="K30" s="1265">
        <f t="shared" si="16"/>
        <v>218241.18832649285</v>
      </c>
      <c r="L30" s="1265">
        <f t="shared" si="16"/>
        <v>253703.11786812911</v>
      </c>
      <c r="M30" s="1266">
        <f t="shared" si="16"/>
        <v>213917.96412879252</v>
      </c>
      <c r="N30" s="1262">
        <f t="shared" si="10"/>
        <v>99379.926650516805</v>
      </c>
      <c r="O30" s="1265">
        <f t="shared" si="17"/>
        <v>174216.79299197393</v>
      </c>
      <c r="P30" s="1265">
        <f t="shared" si="17"/>
        <v>174351.49147866928</v>
      </c>
      <c r="Q30" s="1265">
        <f t="shared" si="17"/>
        <v>179603.80063731346</v>
      </c>
      <c r="R30" s="1265">
        <f t="shared" si="17"/>
        <v>211674.01503425254</v>
      </c>
      <c r="S30" s="1266">
        <f t="shared" si="17"/>
        <v>236352.51369345395</v>
      </c>
    </row>
    <row r="31" spans="1:19" s="1176" customFormat="1" ht="15" x14ac:dyDescent="0.2">
      <c r="A31" s="1191">
        <v>2029</v>
      </c>
      <c r="B31" s="1262">
        <f t="shared" si="6"/>
        <v>169300</v>
      </c>
      <c r="C31" s="1265">
        <f t="shared" si="15"/>
        <v>171440.24603140104</v>
      </c>
      <c r="D31" s="1265">
        <f t="shared" si="15"/>
        <v>178328.99603140104</v>
      </c>
      <c r="E31" s="1265">
        <f t="shared" si="15"/>
        <v>576615.7460314011</v>
      </c>
      <c r="F31" s="1265">
        <f t="shared" si="15"/>
        <v>169301</v>
      </c>
      <c r="G31" s="1266">
        <f t="shared" si="15"/>
        <v>1169300</v>
      </c>
      <c r="H31" s="1262">
        <f t="shared" si="8"/>
        <v>141066.45096791023</v>
      </c>
      <c r="I31" s="1265">
        <f t="shared" si="16"/>
        <v>175809.21127915673</v>
      </c>
      <c r="J31" s="1265">
        <f t="shared" si="16"/>
        <v>176106.9060012704</v>
      </c>
      <c r="K31" s="1265">
        <f t="shared" si="16"/>
        <v>210692.15705956417</v>
      </c>
      <c r="L31" s="1265">
        <f t="shared" si="16"/>
        <v>240077.03894233442</v>
      </c>
      <c r="M31" s="1266">
        <f t="shared" si="16"/>
        <v>203459.5433417215</v>
      </c>
      <c r="N31" s="1262">
        <f t="shared" si="10"/>
        <v>99802.260834788685</v>
      </c>
      <c r="O31" s="1265">
        <f t="shared" si="17"/>
        <v>174188.2818711584</v>
      </c>
      <c r="P31" s="1265">
        <f t="shared" si="17"/>
        <v>174287.73289655327</v>
      </c>
      <c r="Q31" s="1265">
        <f t="shared" si="17"/>
        <v>179253.02528831133</v>
      </c>
      <c r="R31" s="1265">
        <f t="shared" si="17"/>
        <v>206555.16067419888</v>
      </c>
      <c r="S31" s="1266">
        <f t="shared" si="17"/>
        <v>226537.03611119691</v>
      </c>
    </row>
    <row r="32" spans="1:19" s="1176" customFormat="1" ht="15" x14ac:dyDescent="0.2">
      <c r="A32" s="1197">
        <v>2030</v>
      </c>
      <c r="B32" s="1267">
        <f t="shared" si="6"/>
        <v>169300</v>
      </c>
      <c r="C32" s="1268">
        <f t="shared" si="15"/>
        <v>171695.87401313928</v>
      </c>
      <c r="D32" s="1268">
        <f t="shared" si="15"/>
        <v>178481.99901313928</v>
      </c>
      <c r="E32" s="1268">
        <f t="shared" si="15"/>
        <v>549932.62401313928</v>
      </c>
      <c r="F32" s="1268">
        <f t="shared" si="15"/>
        <v>169301</v>
      </c>
      <c r="G32" s="1269">
        <f t="shared" si="15"/>
        <v>1169300</v>
      </c>
      <c r="H32" s="1267">
        <f t="shared" si="8"/>
        <v>141725.82701295713</v>
      </c>
      <c r="I32" s="1268">
        <f t="shared" si="16"/>
        <v>176035.77558018328</v>
      </c>
      <c r="J32" s="1268">
        <f t="shared" si="16"/>
        <v>176272.19713679462</v>
      </c>
      <c r="K32" s="1268">
        <f t="shared" si="16"/>
        <v>203343.12579263543</v>
      </c>
      <c r="L32" s="1268">
        <f t="shared" si="16"/>
        <v>226650.96001653979</v>
      </c>
      <c r="M32" s="1269">
        <f t="shared" si="16"/>
        <v>193201.12255465053</v>
      </c>
      <c r="N32" s="1267">
        <f t="shared" si="10"/>
        <v>100224.59501906054</v>
      </c>
      <c r="O32" s="1268">
        <f t="shared" si="17"/>
        <v>174359.77075034293</v>
      </c>
      <c r="P32" s="1268">
        <f t="shared" si="17"/>
        <v>174423.97431443725</v>
      </c>
      <c r="Q32" s="1268">
        <f t="shared" si="17"/>
        <v>179102.24993930926</v>
      </c>
      <c r="R32" s="1268">
        <f t="shared" si="17"/>
        <v>201636.30631414527</v>
      </c>
      <c r="S32" s="1269">
        <f t="shared" si="17"/>
        <v>216921.55852893987</v>
      </c>
    </row>
    <row r="33" spans="1:19" s="1176" customFormat="1" ht="15" x14ac:dyDescent="0.2">
      <c r="A33" s="1191">
        <v>2031</v>
      </c>
      <c r="B33" s="1270">
        <f t="shared" si="6"/>
        <v>169300</v>
      </c>
      <c r="C33" s="1271">
        <f t="shared" si="15"/>
        <v>171906.49626233912</v>
      </c>
      <c r="D33" s="1271">
        <f t="shared" si="15"/>
        <v>178589.99626233912</v>
      </c>
      <c r="E33" s="1271">
        <f t="shared" si="15"/>
        <v>523204.49626233912</v>
      </c>
      <c r="F33" s="1271">
        <f t="shared" si="15"/>
        <v>169301</v>
      </c>
      <c r="G33" s="1272">
        <f t="shared" si="15"/>
        <v>1169300</v>
      </c>
      <c r="H33" s="1270">
        <f t="shared" si="8"/>
        <v>141725.82701295713</v>
      </c>
      <c r="I33" s="1271">
        <f t="shared" si="16"/>
        <v>176035.77558018328</v>
      </c>
      <c r="J33" s="1271">
        <f t="shared" si="16"/>
        <v>176272.19713679462</v>
      </c>
      <c r="K33" s="1271">
        <f t="shared" si="16"/>
        <v>200813.33684042041</v>
      </c>
      <c r="L33" s="1271">
        <f t="shared" si="16"/>
        <v>221304.5117068984</v>
      </c>
      <c r="M33" s="1272">
        <f t="shared" si="16"/>
        <v>190956.2253359915</v>
      </c>
      <c r="N33" s="1270">
        <f t="shared" si="10"/>
        <v>100224.59501906054</v>
      </c>
      <c r="O33" s="1271">
        <f t="shared" si="17"/>
        <v>174359.77075034293</v>
      </c>
      <c r="P33" s="1271">
        <f t="shared" si="17"/>
        <v>174423.97431443725</v>
      </c>
      <c r="Q33" s="1271">
        <f t="shared" si="17"/>
        <v>179376.40173298662</v>
      </c>
      <c r="R33" s="1271">
        <f t="shared" si="17"/>
        <v>199765.13995946973</v>
      </c>
      <c r="S33" s="1272">
        <f t="shared" si="17"/>
        <v>212997.80865736277</v>
      </c>
    </row>
    <row r="34" spans="1:19" s="1176" customFormat="1" ht="15" x14ac:dyDescent="0.2">
      <c r="A34" s="1191">
        <v>2032</v>
      </c>
      <c r="B34" s="1262">
        <f t="shared" si="6"/>
        <v>169300</v>
      </c>
      <c r="C34" s="1265">
        <f t="shared" si="15"/>
        <v>172038.43678309239</v>
      </c>
      <c r="D34" s="1265">
        <f t="shared" si="15"/>
        <v>178619.31178309239</v>
      </c>
      <c r="E34" s="1265">
        <f t="shared" si="15"/>
        <v>496397.68678309239</v>
      </c>
      <c r="F34" s="1265">
        <f t="shared" si="15"/>
        <v>169301</v>
      </c>
      <c r="G34" s="1266">
        <f t="shared" si="15"/>
        <v>1169300</v>
      </c>
      <c r="H34" s="1262">
        <f t="shared" si="8"/>
        <v>141725.82701295713</v>
      </c>
      <c r="I34" s="1265">
        <f t="shared" si="16"/>
        <v>176035.77558018328</v>
      </c>
      <c r="J34" s="1265">
        <f t="shared" si="16"/>
        <v>176272.19713679462</v>
      </c>
      <c r="K34" s="1265">
        <f t="shared" si="16"/>
        <v>198283.54788820539</v>
      </c>
      <c r="L34" s="1265">
        <f t="shared" si="16"/>
        <v>215958.06339725701</v>
      </c>
      <c r="M34" s="1266">
        <f t="shared" si="16"/>
        <v>188711.32811733248</v>
      </c>
      <c r="N34" s="1262">
        <f t="shared" si="10"/>
        <v>100224.59501906054</v>
      </c>
      <c r="O34" s="1265">
        <f t="shared" si="17"/>
        <v>174359.77075034293</v>
      </c>
      <c r="P34" s="1265">
        <f t="shared" si="17"/>
        <v>174423.97431443725</v>
      </c>
      <c r="Q34" s="1265">
        <f t="shared" si="17"/>
        <v>179650.55352666398</v>
      </c>
      <c r="R34" s="1265">
        <f t="shared" si="17"/>
        <v>197893.97360479418</v>
      </c>
      <c r="S34" s="1266">
        <f t="shared" si="17"/>
        <v>209074.05878578566</v>
      </c>
    </row>
    <row r="35" spans="1:19" s="1176" customFormat="1" ht="15" x14ac:dyDescent="0.2">
      <c r="A35" s="1191">
        <v>2033</v>
      </c>
      <c r="B35" s="1262">
        <f t="shared" si="6"/>
        <v>169300</v>
      </c>
      <c r="C35" s="1265">
        <f t="shared" si="15"/>
        <v>172107.45655830717</v>
      </c>
      <c r="D35" s="1265">
        <f t="shared" si="15"/>
        <v>178585.70655830717</v>
      </c>
      <c r="E35" s="1265">
        <f t="shared" si="15"/>
        <v>469527.95655830717</v>
      </c>
      <c r="F35" s="1265">
        <f t="shared" si="15"/>
        <v>169301</v>
      </c>
      <c r="G35" s="1266">
        <f t="shared" si="15"/>
        <v>1169300</v>
      </c>
      <c r="H35" s="1262">
        <f t="shared" si="8"/>
        <v>141725.82701295713</v>
      </c>
      <c r="I35" s="1265">
        <f t="shared" si="16"/>
        <v>176035.77558018328</v>
      </c>
      <c r="J35" s="1265">
        <f t="shared" si="16"/>
        <v>176272.19713679462</v>
      </c>
      <c r="K35" s="1265">
        <f t="shared" si="16"/>
        <v>195753.75893599036</v>
      </c>
      <c r="L35" s="1265">
        <f t="shared" si="16"/>
        <v>210611.61508761562</v>
      </c>
      <c r="M35" s="1266">
        <f t="shared" si="16"/>
        <v>186466.43089867345</v>
      </c>
      <c r="N35" s="1262">
        <f t="shared" si="10"/>
        <v>100224.59501906054</v>
      </c>
      <c r="O35" s="1265">
        <f t="shared" si="17"/>
        <v>174359.77075034293</v>
      </c>
      <c r="P35" s="1265">
        <f t="shared" si="17"/>
        <v>174423.97431443725</v>
      </c>
      <c r="Q35" s="1265">
        <f t="shared" si="17"/>
        <v>179924.70532034134</v>
      </c>
      <c r="R35" s="1265">
        <f t="shared" si="17"/>
        <v>196022.80725011864</v>
      </c>
      <c r="S35" s="1266">
        <f t="shared" si="17"/>
        <v>205150.30891420855</v>
      </c>
    </row>
    <row r="36" spans="1:19" s="1176" customFormat="1" ht="15" x14ac:dyDescent="0.2">
      <c r="A36" s="1191">
        <v>2034</v>
      </c>
      <c r="B36" s="1262">
        <f t="shared" si="6"/>
        <v>169300</v>
      </c>
      <c r="C36" s="1265">
        <f t="shared" si="15"/>
        <v>172140.18065776303</v>
      </c>
      <c r="D36" s="1265">
        <f t="shared" si="15"/>
        <v>178515.80565776303</v>
      </c>
      <c r="E36" s="1265">
        <f t="shared" si="15"/>
        <v>442621.93065776303</v>
      </c>
      <c r="F36" s="1265">
        <f t="shared" si="15"/>
        <v>169301</v>
      </c>
      <c r="G36" s="1266">
        <f t="shared" si="15"/>
        <v>1169300</v>
      </c>
      <c r="H36" s="1262">
        <f t="shared" si="8"/>
        <v>141725.82701295713</v>
      </c>
      <c r="I36" s="1265">
        <f t="shared" si="16"/>
        <v>176035.77558018328</v>
      </c>
      <c r="J36" s="1265">
        <f t="shared" si="16"/>
        <v>176272.19713679462</v>
      </c>
      <c r="K36" s="1265">
        <f t="shared" si="16"/>
        <v>193223.96998377534</v>
      </c>
      <c r="L36" s="1265">
        <f t="shared" si="16"/>
        <v>205265.16677797423</v>
      </c>
      <c r="M36" s="1266">
        <f t="shared" si="16"/>
        <v>184221.53368001443</v>
      </c>
      <c r="N36" s="1262">
        <f t="shared" si="10"/>
        <v>100224.59501906054</v>
      </c>
      <c r="O36" s="1265">
        <f t="shared" si="17"/>
        <v>174359.77075034293</v>
      </c>
      <c r="P36" s="1265">
        <f t="shared" si="17"/>
        <v>174423.97431443725</v>
      </c>
      <c r="Q36" s="1265">
        <f t="shared" si="17"/>
        <v>180198.8571140187</v>
      </c>
      <c r="R36" s="1265">
        <f t="shared" si="17"/>
        <v>194151.6408954431</v>
      </c>
      <c r="S36" s="1266">
        <f t="shared" si="17"/>
        <v>201226.55904263144</v>
      </c>
    </row>
    <row r="37" spans="1:19" s="1176" customFormat="1" ht="15" x14ac:dyDescent="0.2">
      <c r="A37" s="1197">
        <v>2035</v>
      </c>
      <c r="B37" s="1267">
        <f t="shared" si="6"/>
        <v>169300</v>
      </c>
      <c r="C37" s="1268">
        <f t="shared" si="15"/>
        <v>172166.58647871119</v>
      </c>
      <c r="D37" s="1268">
        <f t="shared" si="15"/>
        <v>178439.58647871119</v>
      </c>
      <c r="E37" s="1268">
        <f t="shared" si="15"/>
        <v>415709.58647871116</v>
      </c>
      <c r="F37" s="1268">
        <f t="shared" si="15"/>
        <v>169301</v>
      </c>
      <c r="G37" s="1269">
        <f t="shared" si="15"/>
        <v>1169300</v>
      </c>
      <c r="H37" s="1267">
        <f t="shared" si="8"/>
        <v>141725.82701295713</v>
      </c>
      <c r="I37" s="1268">
        <f t="shared" si="16"/>
        <v>176035.77558018328</v>
      </c>
      <c r="J37" s="1268">
        <f t="shared" si="16"/>
        <v>176272.19713679462</v>
      </c>
      <c r="K37" s="1268">
        <f t="shared" si="16"/>
        <v>190694.18103156026</v>
      </c>
      <c r="L37" s="1268">
        <f t="shared" si="16"/>
        <v>199918.71846833284</v>
      </c>
      <c r="M37" s="1269">
        <f t="shared" si="16"/>
        <v>181976.63646135543</v>
      </c>
      <c r="N37" s="1267">
        <f t="shared" si="10"/>
        <v>100224.59501906054</v>
      </c>
      <c r="O37" s="1268">
        <f t="shared" si="17"/>
        <v>174359.77075034293</v>
      </c>
      <c r="P37" s="1268">
        <f t="shared" si="17"/>
        <v>174423.97431443725</v>
      </c>
      <c r="Q37" s="1268">
        <f t="shared" si="17"/>
        <v>180473.00890769606</v>
      </c>
      <c r="R37" s="1268">
        <f t="shared" si="17"/>
        <v>192280.47454076752</v>
      </c>
      <c r="S37" s="1269">
        <f t="shared" si="17"/>
        <v>197302.8091710544</v>
      </c>
    </row>
    <row r="38" spans="1:19" s="1176" customFormat="1" ht="15" x14ac:dyDescent="0.2">
      <c r="A38" s="1191">
        <v>2036</v>
      </c>
      <c r="B38" s="1270">
        <f t="shared" si="6"/>
        <v>169300</v>
      </c>
      <c r="C38" s="1271">
        <f t="shared" si="15"/>
        <v>172749.55379122862</v>
      </c>
      <c r="D38" s="1271">
        <f t="shared" si="15"/>
        <v>178866.55379122862</v>
      </c>
      <c r="E38" s="1271">
        <f t="shared" si="15"/>
        <v>402840.68712456198</v>
      </c>
      <c r="F38" s="1271">
        <f t="shared" si="15"/>
        <v>169301</v>
      </c>
      <c r="G38" s="1272">
        <f t="shared" si="15"/>
        <v>1169300</v>
      </c>
      <c r="H38" s="1270">
        <f t="shared" si="8"/>
        <v>141725.82701295713</v>
      </c>
      <c r="I38" s="1271">
        <f t="shared" si="16"/>
        <v>176035.77558018328</v>
      </c>
      <c r="J38" s="1271">
        <f t="shared" si="16"/>
        <v>176272.19713679462</v>
      </c>
      <c r="K38" s="1271">
        <f t="shared" si="16"/>
        <v>190547.82687529884</v>
      </c>
      <c r="L38" s="1271">
        <f t="shared" si="16"/>
        <v>199339.7510299719</v>
      </c>
      <c r="M38" s="1272">
        <f t="shared" si="16"/>
        <v>181443.8925543465</v>
      </c>
      <c r="N38" s="1270">
        <f t="shared" si="10"/>
        <v>100224.59501906054</v>
      </c>
      <c r="O38" s="1271">
        <f t="shared" si="17"/>
        <v>174359.77075034293</v>
      </c>
      <c r="P38" s="1271">
        <f t="shared" si="17"/>
        <v>174423.97431443725</v>
      </c>
      <c r="Q38" s="1271">
        <f t="shared" si="17"/>
        <v>180772.42318488029</v>
      </c>
      <c r="R38" s="1271">
        <f t="shared" si="17"/>
        <v>192295.14195353107</v>
      </c>
      <c r="S38" s="1272">
        <f t="shared" si="17"/>
        <v>196942.70335396036</v>
      </c>
    </row>
    <row r="39" spans="1:19" s="1176" customFormat="1" ht="15" x14ac:dyDescent="0.2">
      <c r="A39" s="1191">
        <v>2037</v>
      </c>
      <c r="B39" s="1262">
        <f t="shared" si="6"/>
        <v>169300</v>
      </c>
      <c r="C39" s="1265">
        <f t="shared" ref="C39:G52" si="18">$B39+INDEX(COST_Cls1,MATCH($A39,Years,0),MATCH(C$6,TECHOPTS_Cls1,0))</f>
        <v>173105.013319588</v>
      </c>
      <c r="D39" s="1265">
        <f t="shared" si="18"/>
        <v>179066.013319588</v>
      </c>
      <c r="E39" s="1265">
        <f t="shared" si="18"/>
        <v>389744.27998625475</v>
      </c>
      <c r="F39" s="1265">
        <f t="shared" si="18"/>
        <v>169301</v>
      </c>
      <c r="G39" s="1266">
        <f t="shared" si="18"/>
        <v>1169300</v>
      </c>
      <c r="H39" s="1262">
        <f t="shared" si="8"/>
        <v>141725.82701295713</v>
      </c>
      <c r="I39" s="1265">
        <f t="shared" ref="I39:M52" si="19">$B39+INDEX(COST_Cls2,MATCH($A39,Years,0),MATCH(I$6,TECHOPTS_Cls1,0))</f>
        <v>176035.77558018328</v>
      </c>
      <c r="J39" s="1265">
        <f t="shared" si="19"/>
        <v>176272.19713679462</v>
      </c>
      <c r="K39" s="1265">
        <f t="shared" si="19"/>
        <v>190401.47271903741</v>
      </c>
      <c r="L39" s="1265">
        <f t="shared" si="19"/>
        <v>198760.78359161096</v>
      </c>
      <c r="M39" s="1266">
        <f t="shared" si="19"/>
        <v>180911.14864733757</v>
      </c>
      <c r="N39" s="1262">
        <f t="shared" si="10"/>
        <v>100224.59501906054</v>
      </c>
      <c r="O39" s="1265">
        <f t="shared" ref="O39:S52" si="20">$B39+INDEX(COST_Cls3,MATCH($A39,Years,0),MATCH(O$6,TECHOPTS_Cls1,0))</f>
        <v>174359.77075034293</v>
      </c>
      <c r="P39" s="1265">
        <f t="shared" si="20"/>
        <v>174423.97431443725</v>
      </c>
      <c r="Q39" s="1265">
        <f t="shared" si="20"/>
        <v>180772.42318488029</v>
      </c>
      <c r="R39" s="1265">
        <f t="shared" si="20"/>
        <v>192309.80936629462</v>
      </c>
      <c r="S39" s="1266">
        <f t="shared" si="20"/>
        <v>196582.59753686629</v>
      </c>
    </row>
    <row r="40" spans="1:19" s="1176" customFormat="1" ht="15" x14ac:dyDescent="0.2">
      <c r="A40" s="1191">
        <v>2038</v>
      </c>
      <c r="B40" s="1262">
        <f t="shared" si="6"/>
        <v>169300</v>
      </c>
      <c r="C40" s="1265">
        <f t="shared" si="18"/>
        <v>173655.74416790574</v>
      </c>
      <c r="D40" s="1265">
        <f t="shared" si="18"/>
        <v>179460.74416790574</v>
      </c>
      <c r="E40" s="1265">
        <f t="shared" si="18"/>
        <v>376843.14416790579</v>
      </c>
      <c r="F40" s="1265">
        <f t="shared" si="18"/>
        <v>169301</v>
      </c>
      <c r="G40" s="1266">
        <f t="shared" si="18"/>
        <v>1169300</v>
      </c>
      <c r="H40" s="1262">
        <f t="shared" si="8"/>
        <v>141725.82701295713</v>
      </c>
      <c r="I40" s="1265">
        <f t="shared" si="19"/>
        <v>176035.77558018328</v>
      </c>
      <c r="J40" s="1265">
        <f t="shared" si="19"/>
        <v>176272.19713679462</v>
      </c>
      <c r="K40" s="1265">
        <f t="shared" si="19"/>
        <v>190255.11856277598</v>
      </c>
      <c r="L40" s="1265">
        <f t="shared" si="19"/>
        <v>198181.81615325002</v>
      </c>
      <c r="M40" s="1266">
        <f t="shared" si="19"/>
        <v>180378.40474032864</v>
      </c>
      <c r="N40" s="1262">
        <f t="shared" si="10"/>
        <v>100224.59501906054</v>
      </c>
      <c r="O40" s="1265">
        <f t="shared" si="20"/>
        <v>174359.77075034293</v>
      </c>
      <c r="P40" s="1265">
        <f t="shared" si="20"/>
        <v>174423.97431443725</v>
      </c>
      <c r="Q40" s="1265">
        <f t="shared" si="20"/>
        <v>180772.42318488029</v>
      </c>
      <c r="R40" s="1265">
        <f t="shared" si="20"/>
        <v>192324.47677905817</v>
      </c>
      <c r="S40" s="1266">
        <f t="shared" si="20"/>
        <v>196222.49171977222</v>
      </c>
    </row>
    <row r="41" spans="1:19" s="1176" customFormat="1" ht="15" x14ac:dyDescent="0.2">
      <c r="A41" s="1191">
        <v>2039</v>
      </c>
      <c r="B41" s="1262">
        <f t="shared" si="6"/>
        <v>169300</v>
      </c>
      <c r="C41" s="1265">
        <f t="shared" si="18"/>
        <v>174478.77169701183</v>
      </c>
      <c r="D41" s="1265">
        <f t="shared" si="18"/>
        <v>180127.77169701183</v>
      </c>
      <c r="E41" s="1265">
        <f t="shared" si="18"/>
        <v>364214.30503034528</v>
      </c>
      <c r="F41" s="1265">
        <f t="shared" si="18"/>
        <v>169301</v>
      </c>
      <c r="G41" s="1266">
        <f t="shared" si="18"/>
        <v>1169300</v>
      </c>
      <c r="H41" s="1262">
        <f t="shared" si="8"/>
        <v>141725.82701295713</v>
      </c>
      <c r="I41" s="1265">
        <f t="shared" si="19"/>
        <v>176035.77558018328</v>
      </c>
      <c r="J41" s="1265">
        <f t="shared" si="19"/>
        <v>176272.19713679462</v>
      </c>
      <c r="K41" s="1265">
        <f t="shared" si="19"/>
        <v>190108.76440651456</v>
      </c>
      <c r="L41" s="1265">
        <f t="shared" si="19"/>
        <v>197602.84871488909</v>
      </c>
      <c r="M41" s="1266">
        <f t="shared" si="19"/>
        <v>179845.66083331971</v>
      </c>
      <c r="N41" s="1262">
        <f t="shared" si="10"/>
        <v>100224.59501906054</v>
      </c>
      <c r="O41" s="1265">
        <f t="shared" si="20"/>
        <v>174359.77075034293</v>
      </c>
      <c r="P41" s="1265">
        <f t="shared" si="20"/>
        <v>174423.97431443725</v>
      </c>
      <c r="Q41" s="1265">
        <f t="shared" si="20"/>
        <v>180772.42318488029</v>
      </c>
      <c r="R41" s="1265">
        <f t="shared" si="20"/>
        <v>192339.14419182172</v>
      </c>
      <c r="S41" s="1266">
        <f t="shared" si="20"/>
        <v>195862.38590267819</v>
      </c>
    </row>
    <row r="42" spans="1:19" s="1176" customFormat="1" ht="15" x14ac:dyDescent="0.2">
      <c r="A42" s="1197">
        <v>2040</v>
      </c>
      <c r="B42" s="1267">
        <f t="shared" si="6"/>
        <v>169300</v>
      </c>
      <c r="C42" s="1268">
        <f t="shared" si="18"/>
        <v>175644.69329836991</v>
      </c>
      <c r="D42" s="1268">
        <f t="shared" si="18"/>
        <v>181137.69329836991</v>
      </c>
      <c r="E42" s="1268">
        <f t="shared" si="18"/>
        <v>351928.35996503668</v>
      </c>
      <c r="F42" s="1268">
        <f t="shared" si="18"/>
        <v>169301</v>
      </c>
      <c r="G42" s="1269">
        <f t="shared" si="18"/>
        <v>1169300</v>
      </c>
      <c r="H42" s="1276">
        <f t="shared" si="8"/>
        <v>141725.82701295713</v>
      </c>
      <c r="I42" s="1277">
        <f t="shared" si="19"/>
        <v>176035.77558018328</v>
      </c>
      <c r="J42" s="1277">
        <f t="shared" si="19"/>
        <v>176272.19713679462</v>
      </c>
      <c r="K42" s="1277">
        <f t="shared" si="19"/>
        <v>189962.41025025313</v>
      </c>
      <c r="L42" s="1277">
        <f t="shared" si="19"/>
        <v>197023.88127652815</v>
      </c>
      <c r="M42" s="1278">
        <f t="shared" si="19"/>
        <v>179312.91692631078</v>
      </c>
      <c r="N42" s="1276">
        <f t="shared" si="10"/>
        <v>100224.59501906054</v>
      </c>
      <c r="O42" s="1277">
        <f t="shared" si="20"/>
        <v>174359.77075034293</v>
      </c>
      <c r="P42" s="1277">
        <f t="shared" si="20"/>
        <v>174423.97431443725</v>
      </c>
      <c r="Q42" s="1277">
        <f t="shared" si="20"/>
        <v>180772.42318488029</v>
      </c>
      <c r="R42" s="1277">
        <f t="shared" si="20"/>
        <v>192353.81160458527</v>
      </c>
      <c r="S42" s="1278">
        <f t="shared" si="20"/>
        <v>195502.28008558415</v>
      </c>
    </row>
    <row r="43" spans="1:19" s="1176" customFormat="1" ht="15" x14ac:dyDescent="0.2">
      <c r="A43" s="1191">
        <v>2041</v>
      </c>
      <c r="B43" s="1270">
        <f t="shared" si="6"/>
        <v>169300</v>
      </c>
      <c r="C43" s="1271">
        <f t="shared" si="18"/>
        <v>177177.13905481508</v>
      </c>
      <c r="D43" s="1271">
        <f t="shared" si="18"/>
        <v>182514.13905481508</v>
      </c>
      <c r="E43" s="1271">
        <f t="shared" si="18"/>
        <v>340008.93905481527</v>
      </c>
      <c r="F43" s="1271">
        <f t="shared" si="18"/>
        <v>169301</v>
      </c>
      <c r="G43" s="1272">
        <f t="shared" si="18"/>
        <v>1169300</v>
      </c>
      <c r="H43" s="1270">
        <f t="shared" si="8"/>
        <v>141725.82701295713</v>
      </c>
      <c r="I43" s="1271">
        <f t="shared" si="19"/>
        <v>176035.77558018328</v>
      </c>
      <c r="J43" s="1271">
        <f t="shared" si="19"/>
        <v>176272.19713679462</v>
      </c>
      <c r="K43" s="1271">
        <f t="shared" si="19"/>
        <v>189816.0560939917</v>
      </c>
      <c r="L43" s="1271">
        <f t="shared" si="19"/>
        <v>196444.91383816721</v>
      </c>
      <c r="M43" s="1272">
        <f t="shared" si="19"/>
        <v>178780.17301930184</v>
      </c>
      <c r="N43" s="1270">
        <f t="shared" si="10"/>
        <v>100224.59501906054</v>
      </c>
      <c r="O43" s="1271">
        <f t="shared" si="20"/>
        <v>174359.77075034293</v>
      </c>
      <c r="P43" s="1271">
        <f t="shared" si="20"/>
        <v>174423.97431443725</v>
      </c>
      <c r="Q43" s="1271">
        <f t="shared" si="20"/>
        <v>180772.42318488029</v>
      </c>
      <c r="R43" s="1271">
        <f t="shared" si="20"/>
        <v>192368.47901734881</v>
      </c>
      <c r="S43" s="1272">
        <f t="shared" si="20"/>
        <v>195142.17426849008</v>
      </c>
    </row>
    <row r="44" spans="1:19" s="1176" customFormat="1" ht="15" x14ac:dyDescent="0.2">
      <c r="A44" s="1191">
        <v>2042</v>
      </c>
      <c r="B44" s="1262">
        <f t="shared" si="6"/>
        <v>169300</v>
      </c>
      <c r="C44" s="1265">
        <f t="shared" si="18"/>
        <v>179004.46680563127</v>
      </c>
      <c r="D44" s="1265">
        <f t="shared" si="18"/>
        <v>184185.46680563127</v>
      </c>
      <c r="E44" s="1265">
        <f t="shared" si="18"/>
        <v>328384.40013896482</v>
      </c>
      <c r="F44" s="1265">
        <f t="shared" si="18"/>
        <v>169301</v>
      </c>
      <c r="G44" s="1266">
        <f t="shared" si="18"/>
        <v>1169300</v>
      </c>
      <c r="H44" s="1262">
        <f t="shared" si="8"/>
        <v>141725.82701295713</v>
      </c>
      <c r="I44" s="1265">
        <f t="shared" si="19"/>
        <v>176035.77558018328</v>
      </c>
      <c r="J44" s="1265">
        <f t="shared" si="19"/>
        <v>176272.19713679462</v>
      </c>
      <c r="K44" s="1265">
        <f t="shared" si="19"/>
        <v>189669.70193773028</v>
      </c>
      <c r="L44" s="1265">
        <f t="shared" si="19"/>
        <v>195865.94639980627</v>
      </c>
      <c r="M44" s="1266">
        <f t="shared" si="19"/>
        <v>178247.42911229291</v>
      </c>
      <c r="N44" s="1262">
        <f t="shared" si="10"/>
        <v>100224.59501906054</v>
      </c>
      <c r="O44" s="1265">
        <f t="shared" si="20"/>
        <v>174359.77075034293</v>
      </c>
      <c r="P44" s="1265">
        <f t="shared" si="20"/>
        <v>174423.97431443725</v>
      </c>
      <c r="Q44" s="1265">
        <f t="shared" si="20"/>
        <v>180772.42318488029</v>
      </c>
      <c r="R44" s="1265">
        <f t="shared" si="20"/>
        <v>192383.14643011236</v>
      </c>
      <c r="S44" s="1266">
        <f t="shared" si="20"/>
        <v>194782.06845139602</v>
      </c>
    </row>
    <row r="45" spans="1:19" s="1176" customFormat="1" ht="15" x14ac:dyDescent="0.2">
      <c r="A45" s="1191">
        <v>2043</v>
      </c>
      <c r="B45" s="1262">
        <f t="shared" si="6"/>
        <v>169300</v>
      </c>
      <c r="C45" s="1265">
        <f t="shared" si="18"/>
        <v>180946.59861474566</v>
      </c>
      <c r="D45" s="1265">
        <f t="shared" si="18"/>
        <v>185971.59861474566</v>
      </c>
      <c r="E45" s="1265">
        <f t="shared" si="18"/>
        <v>316874.66528141254</v>
      </c>
      <c r="F45" s="1265">
        <f t="shared" si="18"/>
        <v>169301</v>
      </c>
      <c r="G45" s="1266">
        <f t="shared" si="18"/>
        <v>1169300</v>
      </c>
      <c r="H45" s="1262">
        <f t="shared" si="8"/>
        <v>141725.82701295713</v>
      </c>
      <c r="I45" s="1265">
        <f t="shared" si="19"/>
        <v>176035.77558018328</v>
      </c>
      <c r="J45" s="1265">
        <f t="shared" si="19"/>
        <v>176272.19713679462</v>
      </c>
      <c r="K45" s="1265">
        <f t="shared" si="19"/>
        <v>189523.34778146885</v>
      </c>
      <c r="L45" s="1265">
        <f t="shared" si="19"/>
        <v>195286.97896144533</v>
      </c>
      <c r="M45" s="1266">
        <f t="shared" si="19"/>
        <v>177714.68520528398</v>
      </c>
      <c r="N45" s="1262">
        <f t="shared" si="10"/>
        <v>100224.59501906054</v>
      </c>
      <c r="O45" s="1265">
        <f t="shared" si="20"/>
        <v>174359.77075034293</v>
      </c>
      <c r="P45" s="1265">
        <f t="shared" si="20"/>
        <v>174423.97431443725</v>
      </c>
      <c r="Q45" s="1265">
        <f t="shared" si="20"/>
        <v>180772.42318488029</v>
      </c>
      <c r="R45" s="1265">
        <f t="shared" si="20"/>
        <v>192397.81384287591</v>
      </c>
      <c r="S45" s="1266">
        <f t="shared" si="20"/>
        <v>194421.96263430198</v>
      </c>
    </row>
    <row r="46" spans="1:19" s="1176" customFormat="1" ht="15" x14ac:dyDescent="0.2">
      <c r="A46" s="1191">
        <v>2044</v>
      </c>
      <c r="B46" s="1262">
        <f t="shared" si="6"/>
        <v>169300</v>
      </c>
      <c r="C46" s="1265">
        <f t="shared" si="18"/>
        <v>182773.92636556184</v>
      </c>
      <c r="D46" s="1265">
        <f t="shared" si="18"/>
        <v>187642.92636556184</v>
      </c>
      <c r="E46" s="1265">
        <f t="shared" si="18"/>
        <v>305250.12636556209</v>
      </c>
      <c r="F46" s="1265">
        <f t="shared" si="18"/>
        <v>169301</v>
      </c>
      <c r="G46" s="1266">
        <f t="shared" si="18"/>
        <v>1169300</v>
      </c>
      <c r="H46" s="1262">
        <f t="shared" si="8"/>
        <v>141725.82701295713</v>
      </c>
      <c r="I46" s="1265">
        <f t="shared" si="19"/>
        <v>176035.77558018328</v>
      </c>
      <c r="J46" s="1265">
        <f t="shared" si="19"/>
        <v>176272.19713679462</v>
      </c>
      <c r="K46" s="1265">
        <f t="shared" si="19"/>
        <v>189376.99362520743</v>
      </c>
      <c r="L46" s="1265">
        <f t="shared" si="19"/>
        <v>194708.01152308439</v>
      </c>
      <c r="M46" s="1266">
        <f t="shared" si="19"/>
        <v>177181.94129827505</v>
      </c>
      <c r="N46" s="1262">
        <f t="shared" si="10"/>
        <v>100224.59501906054</v>
      </c>
      <c r="O46" s="1265">
        <f t="shared" si="20"/>
        <v>174359.77075034293</v>
      </c>
      <c r="P46" s="1265">
        <f t="shared" si="20"/>
        <v>174423.97431443725</v>
      </c>
      <c r="Q46" s="1265">
        <f t="shared" si="20"/>
        <v>180772.42318488029</v>
      </c>
      <c r="R46" s="1265">
        <f t="shared" si="20"/>
        <v>192412.48125563946</v>
      </c>
      <c r="S46" s="1266">
        <f t="shared" si="20"/>
        <v>194061.85681720794</v>
      </c>
    </row>
    <row r="47" spans="1:19" s="1176" customFormat="1" ht="15" x14ac:dyDescent="0.2">
      <c r="A47" s="1197">
        <v>2045</v>
      </c>
      <c r="B47" s="1267">
        <f t="shared" si="6"/>
        <v>169300</v>
      </c>
      <c r="C47" s="1268">
        <f t="shared" si="18"/>
        <v>184306.37212200701</v>
      </c>
      <c r="D47" s="1268">
        <f t="shared" si="18"/>
        <v>189019.37212200701</v>
      </c>
      <c r="E47" s="1268">
        <f t="shared" si="18"/>
        <v>293330.70545534056</v>
      </c>
      <c r="F47" s="1268">
        <f t="shared" si="18"/>
        <v>169301</v>
      </c>
      <c r="G47" s="1269">
        <f t="shared" si="18"/>
        <v>1169300</v>
      </c>
      <c r="H47" s="1267">
        <f t="shared" si="8"/>
        <v>141725.82701295713</v>
      </c>
      <c r="I47" s="1268">
        <f t="shared" si="19"/>
        <v>176035.77558018328</v>
      </c>
      <c r="J47" s="1268">
        <f t="shared" si="19"/>
        <v>176272.19713679462</v>
      </c>
      <c r="K47" s="1268">
        <f t="shared" si="19"/>
        <v>189230.639468946</v>
      </c>
      <c r="L47" s="1268">
        <f t="shared" si="19"/>
        <v>194129.04408472346</v>
      </c>
      <c r="M47" s="1269">
        <f t="shared" si="19"/>
        <v>176649.19739126612</v>
      </c>
      <c r="N47" s="1267">
        <f t="shared" si="10"/>
        <v>100224.59501906054</v>
      </c>
      <c r="O47" s="1268">
        <f t="shared" si="20"/>
        <v>174359.77075034293</v>
      </c>
      <c r="P47" s="1268">
        <f t="shared" si="20"/>
        <v>174423.97431443725</v>
      </c>
      <c r="Q47" s="1268">
        <f t="shared" si="20"/>
        <v>180772.42318488029</v>
      </c>
      <c r="R47" s="1268">
        <f t="shared" si="20"/>
        <v>192427.14866840301</v>
      </c>
      <c r="S47" s="1269">
        <f t="shared" si="20"/>
        <v>193701.75100011387</v>
      </c>
    </row>
    <row r="48" spans="1:19" s="1176" customFormat="1" ht="15" x14ac:dyDescent="0.2">
      <c r="A48" s="1191">
        <v>2046</v>
      </c>
      <c r="B48" s="1270">
        <f t="shared" si="6"/>
        <v>169300</v>
      </c>
      <c r="C48" s="1271">
        <f t="shared" si="18"/>
        <v>185472.29372336506</v>
      </c>
      <c r="D48" s="1271">
        <f t="shared" si="18"/>
        <v>190029.29372336506</v>
      </c>
      <c r="E48" s="1271">
        <f t="shared" si="18"/>
        <v>281044.76039003197</v>
      </c>
      <c r="F48" s="1271">
        <f t="shared" si="18"/>
        <v>169301</v>
      </c>
      <c r="G48" s="1272">
        <f t="shared" si="18"/>
        <v>1169300</v>
      </c>
      <c r="H48" s="1270">
        <f t="shared" si="8"/>
        <v>141725.82701295713</v>
      </c>
      <c r="I48" s="1271">
        <f t="shared" si="19"/>
        <v>176035.77558018328</v>
      </c>
      <c r="J48" s="1271">
        <f t="shared" si="19"/>
        <v>176272.19713679462</v>
      </c>
      <c r="K48" s="1271">
        <f t="shared" si="19"/>
        <v>189084.28531268457</v>
      </c>
      <c r="L48" s="1271">
        <f t="shared" si="19"/>
        <v>193550.07664636252</v>
      </c>
      <c r="M48" s="1272">
        <f t="shared" si="19"/>
        <v>176116.45348425719</v>
      </c>
      <c r="N48" s="1270">
        <f t="shared" si="10"/>
        <v>100224.59501906054</v>
      </c>
      <c r="O48" s="1271">
        <f t="shared" si="20"/>
        <v>174359.77075034293</v>
      </c>
      <c r="P48" s="1271">
        <f t="shared" si="20"/>
        <v>174423.97431443725</v>
      </c>
      <c r="Q48" s="1271">
        <f t="shared" si="20"/>
        <v>180772.42318488029</v>
      </c>
      <c r="R48" s="1271">
        <f t="shared" si="20"/>
        <v>192441.81608116656</v>
      </c>
      <c r="S48" s="1272">
        <f t="shared" si="20"/>
        <v>193341.64518301981</v>
      </c>
    </row>
    <row r="49" spans="1:19" s="1176" customFormat="1" ht="15" x14ac:dyDescent="0.2">
      <c r="A49" s="1191">
        <v>2047</v>
      </c>
      <c r="B49" s="1262">
        <f t="shared" si="6"/>
        <v>169300</v>
      </c>
      <c r="C49" s="1265">
        <f t="shared" si="18"/>
        <v>186295.32125247119</v>
      </c>
      <c r="D49" s="1265">
        <f t="shared" si="18"/>
        <v>190696.32125247119</v>
      </c>
      <c r="E49" s="1265">
        <f t="shared" si="18"/>
        <v>268415.92125247139</v>
      </c>
      <c r="F49" s="1265">
        <f t="shared" si="18"/>
        <v>169301</v>
      </c>
      <c r="G49" s="1266">
        <f t="shared" si="18"/>
        <v>1169300</v>
      </c>
      <c r="H49" s="1262">
        <f t="shared" si="8"/>
        <v>141725.82701295713</v>
      </c>
      <c r="I49" s="1265">
        <f t="shared" si="19"/>
        <v>176035.77558018328</v>
      </c>
      <c r="J49" s="1265">
        <f t="shared" si="19"/>
        <v>176272.19713679462</v>
      </c>
      <c r="K49" s="1265">
        <f t="shared" si="19"/>
        <v>188937.93115642315</v>
      </c>
      <c r="L49" s="1265">
        <f t="shared" si="19"/>
        <v>192971.10920800158</v>
      </c>
      <c r="M49" s="1266">
        <f t="shared" si="19"/>
        <v>175583.70957724826</v>
      </c>
      <c r="N49" s="1262">
        <f t="shared" si="10"/>
        <v>100224.59501906054</v>
      </c>
      <c r="O49" s="1265">
        <f t="shared" si="20"/>
        <v>174359.77075034293</v>
      </c>
      <c r="P49" s="1265">
        <f t="shared" si="20"/>
        <v>174423.97431443725</v>
      </c>
      <c r="Q49" s="1265">
        <f t="shared" si="20"/>
        <v>180772.42318488029</v>
      </c>
      <c r="R49" s="1265">
        <f t="shared" si="20"/>
        <v>192456.48349393011</v>
      </c>
      <c r="S49" s="1266">
        <f t="shared" si="20"/>
        <v>192981.53936592577</v>
      </c>
    </row>
    <row r="50" spans="1:19" s="1176" customFormat="1" ht="15" x14ac:dyDescent="0.2">
      <c r="A50" s="1191">
        <v>2048</v>
      </c>
      <c r="B50" s="1262">
        <f t="shared" si="6"/>
        <v>169300</v>
      </c>
      <c r="C50" s="1265">
        <f t="shared" si="18"/>
        <v>186846.05210078892</v>
      </c>
      <c r="D50" s="1265">
        <f t="shared" si="18"/>
        <v>191091.05210078892</v>
      </c>
      <c r="E50" s="1265">
        <f t="shared" si="18"/>
        <v>255514.78543412249</v>
      </c>
      <c r="F50" s="1265">
        <f t="shared" si="18"/>
        <v>169301</v>
      </c>
      <c r="G50" s="1266">
        <f t="shared" si="18"/>
        <v>1169300</v>
      </c>
      <c r="H50" s="1262">
        <f t="shared" si="8"/>
        <v>141725.82701295713</v>
      </c>
      <c r="I50" s="1265">
        <f t="shared" si="19"/>
        <v>176035.77558018328</v>
      </c>
      <c r="J50" s="1265">
        <f t="shared" si="19"/>
        <v>176272.19713679462</v>
      </c>
      <c r="K50" s="1265">
        <f t="shared" si="19"/>
        <v>188791.57700016172</v>
      </c>
      <c r="L50" s="1265">
        <f t="shared" si="19"/>
        <v>192392.14176964064</v>
      </c>
      <c r="M50" s="1266">
        <f t="shared" si="19"/>
        <v>175050.96567023933</v>
      </c>
      <c r="N50" s="1262">
        <f t="shared" si="10"/>
        <v>100224.59501906054</v>
      </c>
      <c r="O50" s="1265">
        <f t="shared" si="20"/>
        <v>174359.77075034293</v>
      </c>
      <c r="P50" s="1265">
        <f t="shared" si="20"/>
        <v>174423.97431443725</v>
      </c>
      <c r="Q50" s="1265">
        <f t="shared" si="20"/>
        <v>180772.42318488029</v>
      </c>
      <c r="R50" s="1265">
        <f t="shared" si="20"/>
        <v>192471.15090669366</v>
      </c>
      <c r="S50" s="1266">
        <f t="shared" si="20"/>
        <v>192621.43354883173</v>
      </c>
    </row>
    <row r="51" spans="1:19" s="1176" customFormat="1" ht="15" x14ac:dyDescent="0.2">
      <c r="A51" s="1191">
        <v>2049</v>
      </c>
      <c r="B51" s="1262">
        <f t="shared" si="6"/>
        <v>169300</v>
      </c>
      <c r="C51" s="1265">
        <f t="shared" si="18"/>
        <v>187201.5116291483</v>
      </c>
      <c r="D51" s="1265">
        <f t="shared" si="18"/>
        <v>191290.5116291483</v>
      </c>
      <c r="E51" s="1265">
        <f t="shared" si="18"/>
        <v>242418.3782958152</v>
      </c>
      <c r="F51" s="1265">
        <f t="shared" si="18"/>
        <v>169301</v>
      </c>
      <c r="G51" s="1266">
        <f t="shared" si="18"/>
        <v>1169300</v>
      </c>
      <c r="H51" s="1262">
        <f t="shared" si="8"/>
        <v>141725.82701295713</v>
      </c>
      <c r="I51" s="1265">
        <f t="shared" si="19"/>
        <v>176035.77558018328</v>
      </c>
      <c r="J51" s="1265">
        <f t="shared" si="19"/>
        <v>176272.19713679462</v>
      </c>
      <c r="K51" s="1265">
        <f t="shared" si="19"/>
        <v>188645.22284390029</v>
      </c>
      <c r="L51" s="1265">
        <f t="shared" si="19"/>
        <v>191813.1743312797</v>
      </c>
      <c r="M51" s="1266">
        <f t="shared" si="19"/>
        <v>174518.22176323039</v>
      </c>
      <c r="N51" s="1262">
        <f t="shared" si="10"/>
        <v>100224.59501906054</v>
      </c>
      <c r="O51" s="1265">
        <f t="shared" si="20"/>
        <v>174359.77075034293</v>
      </c>
      <c r="P51" s="1265">
        <f t="shared" si="20"/>
        <v>174423.97431443725</v>
      </c>
      <c r="Q51" s="1265">
        <f t="shared" si="20"/>
        <v>180772.42318488029</v>
      </c>
      <c r="R51" s="1265">
        <f t="shared" si="20"/>
        <v>192485.8183194572</v>
      </c>
      <c r="S51" s="1266">
        <f t="shared" si="20"/>
        <v>192261.32773173766</v>
      </c>
    </row>
    <row r="52" spans="1:19" s="1176" customFormat="1" ht="16" thickBot="1" x14ac:dyDescent="0.25">
      <c r="A52" s="1204">
        <v>2050</v>
      </c>
      <c r="B52" s="1273">
        <f t="shared" si="6"/>
        <v>169300</v>
      </c>
      <c r="C52" s="1274">
        <f t="shared" si="18"/>
        <v>187784.47894166573</v>
      </c>
      <c r="D52" s="1274">
        <f t="shared" si="18"/>
        <v>191717.47894166573</v>
      </c>
      <c r="E52" s="1274">
        <f t="shared" si="18"/>
        <v>229549.47894166573</v>
      </c>
      <c r="F52" s="1274">
        <f t="shared" si="18"/>
        <v>169301</v>
      </c>
      <c r="G52" s="1275">
        <f t="shared" si="18"/>
        <v>1169300</v>
      </c>
      <c r="H52" s="1273">
        <f t="shared" si="8"/>
        <v>141725.82701295713</v>
      </c>
      <c r="I52" s="1274">
        <f t="shared" si="19"/>
        <v>176035.77558018328</v>
      </c>
      <c r="J52" s="1274">
        <f t="shared" si="19"/>
        <v>176272.19713679462</v>
      </c>
      <c r="K52" s="1274">
        <f t="shared" si="19"/>
        <v>188498.86868763875</v>
      </c>
      <c r="L52" s="1274">
        <f t="shared" si="19"/>
        <v>191234.20689291874</v>
      </c>
      <c r="M52" s="1275">
        <f t="shared" si="19"/>
        <v>173985.47785622161</v>
      </c>
      <c r="N52" s="1273">
        <f t="shared" si="10"/>
        <v>100224.59501906054</v>
      </c>
      <c r="O52" s="1274">
        <f t="shared" si="20"/>
        <v>174359.77075034293</v>
      </c>
      <c r="P52" s="1274">
        <f t="shared" si="20"/>
        <v>174423.97431443725</v>
      </c>
      <c r="Q52" s="1274">
        <f t="shared" si="20"/>
        <v>180772.42318488029</v>
      </c>
      <c r="R52" s="1274">
        <f t="shared" si="20"/>
        <v>192500.48573222072</v>
      </c>
      <c r="S52" s="1275">
        <f t="shared" si="20"/>
        <v>191901.22191464357</v>
      </c>
    </row>
  </sheetData>
  <mergeCells count="6">
    <mergeCell ref="B4:G4"/>
    <mergeCell ref="H4:M4"/>
    <mergeCell ref="N4:S4"/>
    <mergeCell ref="B5:G5"/>
    <mergeCell ref="H5:M5"/>
    <mergeCell ref="N5:S5"/>
  </mergeCells>
  <conditionalFormatting sqref="B6:S52">
    <cfRule type="expression" dxfId="13" priority="1">
      <formula>B$7="not used"</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
  <dimension ref="A1:AF113"/>
  <sheetViews>
    <sheetView topLeftCell="A9" zoomScale="85" zoomScaleNormal="85" workbookViewId="0">
      <selection activeCell="U69" sqref="U69"/>
    </sheetView>
  </sheetViews>
  <sheetFormatPr baseColWidth="10" defaultColWidth="9.1640625" defaultRowHeight="14" x14ac:dyDescent="0.2"/>
  <cols>
    <col min="1" max="7" width="9.1640625" style="496"/>
    <col min="8" max="8" width="11.5" style="496" customWidth="1"/>
    <col min="9" max="10" width="9.1640625" style="496"/>
    <col min="11" max="11" width="10.5" style="496" bestFit="1" customWidth="1"/>
    <col min="12" max="13" width="9.1640625" style="496"/>
    <col min="14" max="14" width="11.6640625" style="496" bestFit="1" customWidth="1"/>
    <col min="15" max="15" width="9.1640625" style="496"/>
    <col min="16" max="16" width="9.1640625" style="1131"/>
    <col min="17" max="17" width="11.6640625" style="496" customWidth="1"/>
    <col min="18" max="18" width="12" style="496" customWidth="1"/>
    <col min="19" max="19" width="18" style="496" customWidth="1"/>
    <col min="20" max="20" width="9.1640625" style="496"/>
    <col min="21" max="21" width="13" style="496" customWidth="1"/>
    <col min="22" max="22" width="14.1640625" style="496" customWidth="1"/>
    <col min="23" max="24" width="9.1640625" style="496"/>
    <col min="25" max="25" width="11.1640625" style="496" customWidth="1"/>
    <col min="26" max="16384" width="9.1640625" style="496"/>
  </cols>
  <sheetData>
    <row r="1" spans="1:31" ht="16" thickBot="1" x14ac:dyDescent="0.25">
      <c r="A1" s="1303" t="s">
        <v>291</v>
      </c>
    </row>
    <row r="2" spans="1:31" x14ac:dyDescent="0.2">
      <c r="M2" s="1624" t="s">
        <v>365</v>
      </c>
      <c r="N2" s="1625"/>
    </row>
    <row r="3" spans="1:31" x14ac:dyDescent="0.2">
      <c r="M3" s="1626"/>
      <c r="N3" s="1627"/>
      <c r="P3" s="1131" t="s">
        <v>358</v>
      </c>
    </row>
    <row r="4" spans="1:31" ht="15" thickBot="1" x14ac:dyDescent="0.25">
      <c r="J4" s="1380" t="b">
        <v>1</v>
      </c>
      <c r="K4" s="1380" t="b">
        <v>1</v>
      </c>
      <c r="M4" s="1127" t="s">
        <v>294</v>
      </c>
      <c r="N4" s="1128">
        <v>4</v>
      </c>
    </row>
    <row r="5" spans="1:31" ht="15" thickBot="1" x14ac:dyDescent="0.25">
      <c r="B5" s="1168"/>
      <c r="C5" s="1163" t="str">
        <f t="array" ref="C5:K5">Fuels</f>
        <v>LPG</v>
      </c>
      <c r="D5" s="1163" t="str">
        <v>E85</v>
      </c>
      <c r="E5" s="1163" t="str">
        <v>Gasoline</v>
      </c>
      <c r="F5" s="1163" t="str">
        <v>Jet Fuel</v>
      </c>
      <c r="G5" s="1163" t="str">
        <v>Diesel</v>
      </c>
      <c r="H5" s="1163" t="str">
        <v>Residual Fuel Oil</v>
      </c>
      <c r="I5" s="1163" t="str">
        <v>CNG</v>
      </c>
      <c r="J5" s="1519" t="str">
        <v>Electricity</v>
      </c>
      <c r="K5" s="1520" t="str">
        <v>Hydrogen</v>
      </c>
      <c r="M5" s="1127" t="s">
        <v>295</v>
      </c>
      <c r="N5" s="1128">
        <v>0.5</v>
      </c>
      <c r="P5" s="1132" t="s">
        <v>289</v>
      </c>
      <c r="Q5" s="571" t="s">
        <v>290</v>
      </c>
      <c r="W5" s="1115"/>
    </row>
    <row r="6" spans="1:31" ht="15" thickBot="1" x14ac:dyDescent="0.25">
      <c r="B6" s="1160">
        <v>2007</v>
      </c>
      <c r="C6" s="1164">
        <v>1</v>
      </c>
      <c r="D6" s="1165">
        <v>1</v>
      </c>
      <c r="E6" s="1165">
        <v>1</v>
      </c>
      <c r="F6" s="1165">
        <v>1</v>
      </c>
      <c r="G6" s="1165">
        <v>1</v>
      </c>
      <c r="H6" s="1165">
        <v>1</v>
      </c>
      <c r="I6" s="1165">
        <v>1</v>
      </c>
      <c r="J6" s="1304">
        <f>IF(J$4,VLOOKUP(Q23/Y23,$M$9:$N$109,2),1)</f>
        <v>0</v>
      </c>
      <c r="K6" s="1305">
        <f>IF(K$4,VLOOKUP(U23/Y23,$M$9:$N$109,2),1)</f>
        <v>0.87426767040557263</v>
      </c>
      <c r="M6" s="1129" t="s">
        <v>296</v>
      </c>
      <c r="N6" s="1130">
        <v>1</v>
      </c>
      <c r="P6" s="1131" t="s">
        <v>331</v>
      </c>
      <c r="Q6" s="496">
        <v>2</v>
      </c>
    </row>
    <row r="7" spans="1:31" x14ac:dyDescent="0.2">
      <c r="B7" s="1160">
        <v>2008</v>
      </c>
      <c r="C7" s="1166">
        <v>1</v>
      </c>
      <c r="D7" s="1158">
        <v>1</v>
      </c>
      <c r="E7" s="1158">
        <v>1</v>
      </c>
      <c r="F7" s="1158">
        <v>1</v>
      </c>
      <c r="G7" s="1158">
        <v>1</v>
      </c>
      <c r="H7" s="1158">
        <v>1</v>
      </c>
      <c r="I7" s="1158">
        <v>1</v>
      </c>
      <c r="J7" s="1306">
        <f t="shared" ref="J7:J49" si="0">IF(J$4,VLOOKUP(Q24/Y24,$M$9:$N$109,2),1)</f>
        <v>0</v>
      </c>
      <c r="K7" s="1307">
        <f t="shared" ref="K7:K49" si="1">IF(K$4,VLOOKUP(U24/Y24,$M$9:$N$109,2),1)</f>
        <v>0.90597680388751134</v>
      </c>
      <c r="P7" s="1133" t="s">
        <v>3</v>
      </c>
      <c r="Q7" s="1116" t="s">
        <v>6</v>
      </c>
      <c r="R7" s="1116" t="s">
        <v>285</v>
      </c>
      <c r="S7" s="1116" t="s">
        <v>286</v>
      </c>
      <c r="T7" s="1116" t="s">
        <v>287</v>
      </c>
      <c r="U7" s="1116" t="s">
        <v>207</v>
      </c>
      <c r="V7" s="1116" t="s">
        <v>288</v>
      </c>
      <c r="W7" s="1116" t="s">
        <v>1</v>
      </c>
      <c r="X7" s="1116" t="s">
        <v>50</v>
      </c>
      <c r="Y7" s="538" t="s">
        <v>0</v>
      </c>
      <c r="Z7" s="1351" t="s">
        <v>412</v>
      </c>
      <c r="AD7" s="496" t="s">
        <v>6</v>
      </c>
      <c r="AE7" s="496" t="s">
        <v>207</v>
      </c>
    </row>
    <row r="8" spans="1:31" x14ac:dyDescent="0.2">
      <c r="B8" s="1160">
        <v>2009</v>
      </c>
      <c r="C8" s="1166">
        <v>1</v>
      </c>
      <c r="D8" s="1158">
        <v>1</v>
      </c>
      <c r="E8" s="1158">
        <v>1</v>
      </c>
      <c r="F8" s="1158">
        <v>1</v>
      </c>
      <c r="G8" s="1158">
        <v>1</v>
      </c>
      <c r="H8" s="1158">
        <v>1</v>
      </c>
      <c r="I8" s="1158">
        <v>1</v>
      </c>
      <c r="J8" s="1306">
        <f t="shared" si="0"/>
        <v>0</v>
      </c>
      <c r="K8" s="1307">
        <f t="shared" si="1"/>
        <v>0.89088299804314675</v>
      </c>
      <c r="M8" s="496" t="s">
        <v>292</v>
      </c>
      <c r="N8" s="496" t="s">
        <v>293</v>
      </c>
      <c r="P8" s="1134">
        <v>1992</v>
      </c>
      <c r="Q8" s="1117"/>
      <c r="R8" s="1117">
        <v>3297</v>
      </c>
      <c r="S8" s="1117">
        <v>43</v>
      </c>
      <c r="T8" s="1117"/>
      <c r="U8" s="1117"/>
      <c r="V8" s="1117"/>
      <c r="W8" s="1117">
        <v>349</v>
      </c>
      <c r="X8" s="1117">
        <v>2</v>
      </c>
      <c r="Y8" s="1126"/>
      <c r="AC8" s="496">
        <v>1992</v>
      </c>
      <c r="AD8" s="1301" t="e">
        <f>Table1[[#This Row],[Electricity]]/Table1[[#This Row],[Gasoline]]</f>
        <v>#DIV/0!</v>
      </c>
      <c r="AE8" s="1301" t="e">
        <f>Table1[[#This Row],[Hydrogen]]/Table1[[#This Row],[Gasoline]]</f>
        <v>#DIV/0!</v>
      </c>
    </row>
    <row r="9" spans="1:31" x14ac:dyDescent="0.2">
      <c r="B9" s="1161">
        <v>2010</v>
      </c>
      <c r="C9" s="1166">
        <v>1</v>
      </c>
      <c r="D9" s="1158">
        <v>1</v>
      </c>
      <c r="E9" s="1158">
        <v>1</v>
      </c>
      <c r="F9" s="1158">
        <v>1</v>
      </c>
      <c r="G9" s="1158">
        <v>1</v>
      </c>
      <c r="H9" s="1158">
        <v>1</v>
      </c>
      <c r="I9" s="1158">
        <v>1</v>
      </c>
      <c r="J9" s="1306">
        <f t="shared" si="0"/>
        <v>0</v>
      </c>
      <c r="K9" s="1307">
        <f t="shared" si="1"/>
        <v>0.90597680388751134</v>
      </c>
      <c r="M9" s="1302">
        <v>0</v>
      </c>
      <c r="N9" s="1287">
        <f t="shared" ref="N9:N40" si="2">WEIBULL(M9,$N$4,$N$5,$N$6)</f>
        <v>0</v>
      </c>
      <c r="P9" s="1134">
        <v>1993</v>
      </c>
      <c r="Q9" s="1117"/>
      <c r="R9" s="1117">
        <v>3297</v>
      </c>
      <c r="S9" s="1117">
        <v>50</v>
      </c>
      <c r="T9" s="1117"/>
      <c r="U9" s="1117"/>
      <c r="V9" s="1117"/>
      <c r="W9" s="1117">
        <v>497</v>
      </c>
      <c r="X9" s="1117">
        <v>7</v>
      </c>
      <c r="Y9" s="1126"/>
      <c r="AC9" s="496">
        <v>1993</v>
      </c>
      <c r="AD9" s="1301" t="e">
        <f>Table1[[#This Row],[Electricity]]/Table1[[#This Row],[Gasoline]]</f>
        <v>#DIV/0!</v>
      </c>
      <c r="AE9" s="1301" t="e">
        <f>Table1[[#This Row],[Hydrogen]]/Table1[[#This Row],[Gasoline]]</f>
        <v>#DIV/0!</v>
      </c>
    </row>
    <row r="10" spans="1:31" x14ac:dyDescent="0.2">
      <c r="B10" s="1161">
        <v>2011</v>
      </c>
      <c r="C10" s="1166">
        <v>1</v>
      </c>
      <c r="D10" s="1158">
        <v>1</v>
      </c>
      <c r="E10" s="1158">
        <v>1</v>
      </c>
      <c r="F10" s="1158">
        <v>1</v>
      </c>
      <c r="G10" s="1158">
        <v>1</v>
      </c>
      <c r="H10" s="1158">
        <v>1</v>
      </c>
      <c r="I10" s="1158">
        <v>1</v>
      </c>
      <c r="J10" s="1306">
        <f t="shared" si="0"/>
        <v>1.5999998720000074E-7</v>
      </c>
      <c r="K10" s="1307">
        <f t="shared" si="1"/>
        <v>0.91957850276566688</v>
      </c>
      <c r="M10" s="1302">
        <v>0.01</v>
      </c>
      <c r="N10" s="1287">
        <f t="shared" si="2"/>
        <v>1.5999998720000074E-7</v>
      </c>
      <c r="P10" s="1134">
        <v>1994</v>
      </c>
      <c r="Q10" s="1117"/>
      <c r="R10" s="1117">
        <v>3299</v>
      </c>
      <c r="S10" s="1117">
        <v>82</v>
      </c>
      <c r="T10" s="1117"/>
      <c r="U10" s="1117"/>
      <c r="V10" s="1117"/>
      <c r="W10" s="1117">
        <v>1042</v>
      </c>
      <c r="X10" s="1117">
        <v>32</v>
      </c>
      <c r="Y10" s="1126"/>
      <c r="AC10" s="496">
        <v>1994</v>
      </c>
      <c r="AD10" s="1301" t="e">
        <f>Table1[[#This Row],[Electricity]]/Table1[[#This Row],[Gasoline]]</f>
        <v>#DIV/0!</v>
      </c>
      <c r="AE10" s="1301" t="e">
        <f>Table1[[#This Row],[Hydrogen]]/Table1[[#This Row],[Gasoline]]</f>
        <v>#DIV/0!</v>
      </c>
    </row>
    <row r="11" spans="1:31" x14ac:dyDescent="0.2">
      <c r="B11" s="1161">
        <v>2012</v>
      </c>
      <c r="C11" s="1166">
        <v>1</v>
      </c>
      <c r="D11" s="1158">
        <v>1</v>
      </c>
      <c r="E11" s="1158">
        <v>1</v>
      </c>
      <c r="F11" s="1158">
        <v>1</v>
      </c>
      <c r="G11" s="1158">
        <v>1</v>
      </c>
      <c r="H11" s="1158">
        <v>1</v>
      </c>
      <c r="I11" s="1158">
        <v>1</v>
      </c>
      <c r="J11" s="1306">
        <f t="shared" si="0"/>
        <v>4.0959161150653103E-5</v>
      </c>
      <c r="K11" s="1307">
        <f t="shared" si="1"/>
        <v>0.93173475910294257</v>
      </c>
      <c r="M11" s="1302">
        <f>M10+0.01</f>
        <v>0.02</v>
      </c>
      <c r="N11" s="1287">
        <f t="shared" si="2"/>
        <v>2.559996723202798E-6</v>
      </c>
      <c r="P11" s="1134">
        <v>1995</v>
      </c>
      <c r="Q11" s="1117">
        <f>188</f>
        <v>188</v>
      </c>
      <c r="R11" s="1117">
        <v>3299</v>
      </c>
      <c r="S11" s="1117">
        <v>88</v>
      </c>
      <c r="T11" s="1117"/>
      <c r="U11" s="1117"/>
      <c r="V11" s="1117"/>
      <c r="W11" s="1117">
        <v>1065</v>
      </c>
      <c r="X11" s="1117">
        <v>37</v>
      </c>
      <c r="Y11" s="1126"/>
      <c r="AC11" s="496">
        <v>1995</v>
      </c>
      <c r="AD11" s="1301" t="e">
        <f>Table1[[#This Row],[Electricity]]/Table1[[#This Row],[Gasoline]]</f>
        <v>#DIV/0!</v>
      </c>
      <c r="AE11" s="1301" t="e">
        <f>Table1[[#This Row],[Hydrogen]]/Table1[[#This Row],[Gasoline]]</f>
        <v>#DIV/0!</v>
      </c>
    </row>
    <row r="12" spans="1:31" x14ac:dyDescent="0.2">
      <c r="B12" s="1161">
        <v>2013</v>
      </c>
      <c r="C12" s="1166">
        <v>1</v>
      </c>
      <c r="D12" s="1158">
        <v>1</v>
      </c>
      <c r="E12" s="1158">
        <v>1</v>
      </c>
      <c r="F12" s="1158">
        <v>1</v>
      </c>
      <c r="G12" s="1158">
        <v>1</v>
      </c>
      <c r="H12" s="1158">
        <v>1</v>
      </c>
      <c r="I12" s="1158">
        <v>1</v>
      </c>
      <c r="J12" s="1306">
        <f t="shared" si="0"/>
        <v>2.0733850240113979E-4</v>
      </c>
      <c r="K12" s="1307">
        <f t="shared" si="1"/>
        <v>0.93173475910294257</v>
      </c>
      <c r="M12" s="1302">
        <f t="shared" ref="M12:M75" si="3">M11+0.01</f>
        <v>0.03</v>
      </c>
      <c r="N12" s="1287">
        <f t="shared" si="2"/>
        <v>1.2959916019562793E-5</v>
      </c>
      <c r="P12" s="1134">
        <v>1996</v>
      </c>
      <c r="Q12" s="1117">
        <f>194</f>
        <v>194</v>
      </c>
      <c r="R12" s="1117">
        <v>4252</v>
      </c>
      <c r="S12" s="1117">
        <v>95</v>
      </c>
      <c r="T12" s="1117">
        <v>72</v>
      </c>
      <c r="U12" s="1117"/>
      <c r="V12" s="1117"/>
      <c r="W12" s="1117">
        <v>1419</v>
      </c>
      <c r="X12" s="1117">
        <v>68</v>
      </c>
      <c r="Y12" s="1126">
        <v>190246</v>
      </c>
      <c r="AC12" s="496">
        <v>1996</v>
      </c>
      <c r="AD12" s="1301">
        <f>Table1[[#This Row],[Electricity]]/Table1[[#This Row],[Gasoline]]</f>
        <v>1.0197323465407945E-3</v>
      </c>
      <c r="AE12" s="1301">
        <f>Table1[[#This Row],[Hydrogen]]/Table1[[#This Row],[Gasoline]]</f>
        <v>0</v>
      </c>
    </row>
    <row r="13" spans="1:31" x14ac:dyDescent="0.2">
      <c r="B13" s="1161">
        <v>2014</v>
      </c>
      <c r="C13" s="1166">
        <v>1</v>
      </c>
      <c r="D13" s="1158">
        <v>1</v>
      </c>
      <c r="E13" s="1158">
        <v>1</v>
      </c>
      <c r="F13" s="1158">
        <v>1</v>
      </c>
      <c r="G13" s="1158">
        <v>1</v>
      </c>
      <c r="H13" s="1158">
        <v>1</v>
      </c>
      <c r="I13" s="1158">
        <v>1</v>
      </c>
      <c r="J13" s="1306">
        <f t="shared" si="0"/>
        <v>6.5514529854001074E-4</v>
      </c>
      <c r="K13" s="1307">
        <f t="shared" si="1"/>
        <v>0.93173475910294257</v>
      </c>
      <c r="M13" s="1302">
        <f t="shared" si="3"/>
        <v>0.04</v>
      </c>
      <c r="N13" s="1287">
        <f t="shared" si="2"/>
        <v>4.0959161150653103E-5</v>
      </c>
      <c r="P13" s="1134">
        <v>1997</v>
      </c>
      <c r="Q13" s="1117">
        <f>310</f>
        <v>310</v>
      </c>
      <c r="R13" s="1117">
        <v>4255</v>
      </c>
      <c r="S13" s="1117">
        <v>106</v>
      </c>
      <c r="T13" s="1117">
        <v>71</v>
      </c>
      <c r="U13" s="1117"/>
      <c r="V13" s="1117"/>
      <c r="W13" s="1117">
        <v>1426</v>
      </c>
      <c r="X13" s="1117">
        <v>71</v>
      </c>
      <c r="Y13" s="1126">
        <v>187892</v>
      </c>
      <c r="AC13" s="496">
        <v>1997</v>
      </c>
      <c r="AD13" s="1301">
        <f>Table1[[#This Row],[Electricity]]/Table1[[#This Row],[Gasoline]]</f>
        <v>1.6498839759010496E-3</v>
      </c>
      <c r="AE13" s="1301">
        <f>Table1[[#This Row],[Hydrogen]]/Table1[[#This Row],[Gasoline]]</f>
        <v>0</v>
      </c>
    </row>
    <row r="14" spans="1:31" x14ac:dyDescent="0.2">
      <c r="B14" s="1161">
        <v>2015</v>
      </c>
      <c r="C14" s="1166">
        <v>1</v>
      </c>
      <c r="D14" s="1158">
        <v>1</v>
      </c>
      <c r="E14" s="1158">
        <v>1</v>
      </c>
      <c r="F14" s="1158">
        <v>1</v>
      </c>
      <c r="G14" s="1158">
        <v>1</v>
      </c>
      <c r="H14" s="1158">
        <v>1</v>
      </c>
      <c r="I14" s="1158">
        <v>1</v>
      </c>
      <c r="J14" s="1306">
        <f t="shared" si="0"/>
        <v>1.0492091947258413E-3</v>
      </c>
      <c r="K14" s="1307">
        <f t="shared" si="1"/>
        <v>0.93173475910294257</v>
      </c>
      <c r="M14" s="1302">
        <f t="shared" si="3"/>
        <v>0.05</v>
      </c>
      <c r="N14" s="1287">
        <f t="shared" si="2"/>
        <v>9.999500016666259E-5</v>
      </c>
      <c r="P14" s="1134">
        <v>1998</v>
      </c>
      <c r="Q14" s="1117">
        <f>486</f>
        <v>486</v>
      </c>
      <c r="R14" s="1117">
        <v>5318</v>
      </c>
      <c r="S14" s="1117">
        <v>91</v>
      </c>
      <c r="T14" s="1117">
        <v>66</v>
      </c>
      <c r="U14" s="1117"/>
      <c r="V14" s="1117"/>
      <c r="W14" s="1117">
        <v>1268</v>
      </c>
      <c r="X14" s="1117">
        <v>40</v>
      </c>
      <c r="Y14" s="1126">
        <v>182596</v>
      </c>
      <c r="AC14" s="496">
        <v>1998</v>
      </c>
      <c r="AD14" s="1301">
        <f>Table1[[#This Row],[Electricity]]/Table1[[#This Row],[Gasoline]]</f>
        <v>2.6616136169467018E-3</v>
      </c>
      <c r="AE14" s="1301">
        <f>Table1[[#This Row],[Hydrogen]]/Table1[[#This Row],[Gasoline]]</f>
        <v>0</v>
      </c>
    </row>
    <row r="15" spans="1:31" x14ac:dyDescent="0.2">
      <c r="B15" s="1161">
        <v>2016</v>
      </c>
      <c r="C15" s="1166">
        <v>1</v>
      </c>
      <c r="D15" s="1158">
        <v>1</v>
      </c>
      <c r="E15" s="1158">
        <v>1</v>
      </c>
      <c r="F15" s="1158">
        <v>1</v>
      </c>
      <c r="G15" s="1158">
        <v>1</v>
      </c>
      <c r="H15" s="1158">
        <v>1</v>
      </c>
      <c r="I15" s="1158">
        <v>1</v>
      </c>
      <c r="J15" s="1306">
        <f t="shared" si="0"/>
        <v>4.5593345334435922E-3</v>
      </c>
      <c r="K15" s="1307">
        <f t="shared" si="1"/>
        <v>0.93173475910294257</v>
      </c>
      <c r="M15" s="1302">
        <f t="shared" si="3"/>
        <v>6.0000000000000005E-2</v>
      </c>
      <c r="N15" s="1287">
        <f t="shared" si="2"/>
        <v>2.0733850240113979E-4</v>
      </c>
      <c r="P15" s="1134">
        <v>1999</v>
      </c>
      <c r="Q15" s="1117">
        <f>490</f>
        <v>490</v>
      </c>
      <c r="R15" s="1117">
        <v>4153</v>
      </c>
      <c r="S15" s="1117">
        <v>51</v>
      </c>
      <c r="T15" s="1117">
        <v>46</v>
      </c>
      <c r="U15" s="1117"/>
      <c r="V15" s="1117"/>
      <c r="W15" s="1117">
        <v>1267</v>
      </c>
      <c r="X15" s="1117">
        <v>49</v>
      </c>
      <c r="Y15" s="1126">
        <v>180567</v>
      </c>
      <c r="AC15" s="496">
        <v>1999</v>
      </c>
      <c r="AD15" s="1301">
        <f>Table1[[#This Row],[Electricity]]/Table1[[#This Row],[Gasoline]]</f>
        <v>2.7136741486539621E-3</v>
      </c>
      <c r="AE15" s="1301">
        <f>Table1[[#This Row],[Hydrogen]]/Table1[[#This Row],[Gasoline]]</f>
        <v>0</v>
      </c>
    </row>
    <row r="16" spans="1:31" x14ac:dyDescent="0.2">
      <c r="B16" s="1161">
        <v>2017</v>
      </c>
      <c r="C16" s="1166">
        <v>1</v>
      </c>
      <c r="D16" s="1158">
        <v>1</v>
      </c>
      <c r="E16" s="1158">
        <v>1</v>
      </c>
      <c r="F16" s="1158">
        <v>1</v>
      </c>
      <c r="G16" s="1158">
        <v>1</v>
      </c>
      <c r="H16" s="1158">
        <v>1</v>
      </c>
      <c r="I16" s="1158">
        <v>1</v>
      </c>
      <c r="J16" s="1306">
        <f t="shared" si="0"/>
        <v>1.0430976069530742E-2</v>
      </c>
      <c r="K16" s="1307">
        <f t="shared" si="1"/>
        <v>0.93173475910294257</v>
      </c>
      <c r="M16" s="1302">
        <f t="shared" si="3"/>
        <v>7.0000000000000007E-2</v>
      </c>
      <c r="N16" s="1287">
        <f t="shared" si="2"/>
        <v>3.8408621999527803E-4</v>
      </c>
      <c r="P16" s="1134">
        <v>2000</v>
      </c>
      <c r="Q16" s="1117">
        <f>558</f>
        <v>558</v>
      </c>
      <c r="R16" s="1117">
        <v>3268</v>
      </c>
      <c r="S16" s="1117">
        <v>3</v>
      </c>
      <c r="T16" s="1117">
        <v>44</v>
      </c>
      <c r="U16" s="1117"/>
      <c r="V16" s="1117">
        <v>2</v>
      </c>
      <c r="W16" s="1117">
        <v>1217</v>
      </c>
      <c r="X16" s="1117">
        <v>113</v>
      </c>
      <c r="Y16" s="1126">
        <v>175941</v>
      </c>
      <c r="AC16" s="496">
        <v>2000</v>
      </c>
      <c r="AD16" s="1301">
        <f>Table1[[#This Row],[Electricity]]/Table1[[#This Row],[Gasoline]]</f>
        <v>3.1715177246918001E-3</v>
      </c>
      <c r="AE16" s="1301">
        <f>Table1[[#This Row],[Hydrogen]]/Table1[[#This Row],[Gasoline]]</f>
        <v>0</v>
      </c>
    </row>
    <row r="17" spans="2:31" x14ac:dyDescent="0.2">
      <c r="B17" s="1161">
        <v>2018</v>
      </c>
      <c r="C17" s="1166">
        <v>1</v>
      </c>
      <c r="D17" s="1158">
        <v>1</v>
      </c>
      <c r="E17" s="1158">
        <v>1</v>
      </c>
      <c r="F17" s="1158">
        <v>1</v>
      </c>
      <c r="G17" s="1158">
        <v>1</v>
      </c>
      <c r="H17" s="1158">
        <v>1</v>
      </c>
      <c r="I17" s="1158">
        <v>1</v>
      </c>
      <c r="J17" s="1306">
        <f t="shared" si="0"/>
        <v>2.063547350575257E-2</v>
      </c>
      <c r="K17" s="1307">
        <f t="shared" si="1"/>
        <v>0.93173475910294257</v>
      </c>
      <c r="M17" s="1302">
        <f t="shared" si="3"/>
        <v>0.08</v>
      </c>
      <c r="N17" s="1287">
        <f t="shared" si="2"/>
        <v>6.5514529854001074E-4</v>
      </c>
      <c r="P17" s="1134">
        <v>2001</v>
      </c>
      <c r="Q17" s="1117">
        <f>693</f>
        <v>693</v>
      </c>
      <c r="R17" s="1117">
        <v>3403</v>
      </c>
      <c r="S17" s="1117"/>
      <c r="T17" s="1117">
        <v>44</v>
      </c>
      <c r="U17" s="1117"/>
      <c r="V17" s="1117">
        <v>16</v>
      </c>
      <c r="W17" s="1117">
        <v>1232</v>
      </c>
      <c r="X17" s="1117">
        <v>154</v>
      </c>
      <c r="Y17" s="1126">
        <v>172169</v>
      </c>
      <c r="AC17" s="496">
        <v>2001</v>
      </c>
      <c r="AD17" s="1301">
        <f>Table1[[#This Row],[Electricity]]/Table1[[#This Row],[Gasoline]]</f>
        <v>4.0251148580754958E-3</v>
      </c>
      <c r="AE17" s="1301">
        <f>Table1[[#This Row],[Hydrogen]]/Table1[[#This Row],[Gasoline]]</f>
        <v>0</v>
      </c>
    </row>
    <row r="18" spans="2:31" x14ac:dyDescent="0.2">
      <c r="B18" s="1161">
        <v>2019</v>
      </c>
      <c r="C18" s="1166">
        <v>1</v>
      </c>
      <c r="D18" s="1158">
        <v>1</v>
      </c>
      <c r="E18" s="1158">
        <v>1</v>
      </c>
      <c r="F18" s="1158">
        <v>1</v>
      </c>
      <c r="G18" s="1158">
        <v>1</v>
      </c>
      <c r="H18" s="1158">
        <v>1</v>
      </c>
      <c r="I18" s="1158">
        <v>1</v>
      </c>
      <c r="J18" s="1306">
        <f t="shared" si="0"/>
        <v>2.5275098398206075E-2</v>
      </c>
      <c r="K18" s="1307">
        <f t="shared" si="1"/>
        <v>0.93173475910294257</v>
      </c>
      <c r="M18" s="1302">
        <f t="shared" si="3"/>
        <v>0.09</v>
      </c>
      <c r="N18" s="1287">
        <f t="shared" si="2"/>
        <v>1.0492091947258413E-3</v>
      </c>
      <c r="P18" s="1134">
        <v>2002</v>
      </c>
      <c r="Q18" s="1117">
        <f>873</f>
        <v>873</v>
      </c>
      <c r="R18" s="1117">
        <v>3431</v>
      </c>
      <c r="S18" s="1117"/>
      <c r="T18" s="1117">
        <v>36</v>
      </c>
      <c r="U18" s="1117">
        <v>100000</v>
      </c>
      <c r="V18" s="1117">
        <v>79</v>
      </c>
      <c r="W18" s="1117">
        <v>1166</v>
      </c>
      <c r="X18" s="1117">
        <v>149</v>
      </c>
      <c r="Y18" s="1126">
        <v>170018</v>
      </c>
      <c r="AC18" s="496">
        <v>2002</v>
      </c>
      <c r="AD18" s="1301">
        <f>Table1[[#This Row],[Electricity]]/Table1[[#This Row],[Gasoline]]</f>
        <v>5.1347504381888979E-3</v>
      </c>
      <c r="AE18" s="1301">
        <f>Table1[[#This Row],[Hydrogen]]/Table1[[#This Row],[Gasoline]]</f>
        <v>0.58817301697467328</v>
      </c>
    </row>
    <row r="19" spans="2:31" x14ac:dyDescent="0.2">
      <c r="B19" s="1161">
        <v>2020</v>
      </c>
      <c r="C19" s="1166">
        <v>1</v>
      </c>
      <c r="D19" s="1158">
        <v>1</v>
      </c>
      <c r="E19" s="1158">
        <v>1</v>
      </c>
      <c r="F19" s="1158">
        <v>1</v>
      </c>
      <c r="G19" s="1158">
        <v>1</v>
      </c>
      <c r="H19" s="1158">
        <v>1</v>
      </c>
      <c r="I19" s="1158">
        <v>1</v>
      </c>
      <c r="J19" s="1306">
        <f t="shared" si="0"/>
        <v>4.3786973799347463E-2</v>
      </c>
      <c r="K19" s="1307">
        <f t="shared" si="1"/>
        <v>0.93173475910294257</v>
      </c>
      <c r="M19" s="1302">
        <f t="shared" si="3"/>
        <v>9.9999999999999992E-2</v>
      </c>
      <c r="N19" s="1287">
        <f t="shared" si="2"/>
        <v>1.5987206823936864E-3</v>
      </c>
      <c r="P19" s="1134">
        <v>2003</v>
      </c>
      <c r="Q19" s="1117">
        <f>830</f>
        <v>830</v>
      </c>
      <c r="R19" s="1117">
        <v>3966</v>
      </c>
      <c r="S19" s="1117"/>
      <c r="T19" s="1117">
        <v>62</v>
      </c>
      <c r="U19" s="1117">
        <v>100000</v>
      </c>
      <c r="V19" s="1117">
        <v>142</v>
      </c>
      <c r="W19" s="1117">
        <v>1035</v>
      </c>
      <c r="X19" s="1117">
        <v>188</v>
      </c>
      <c r="Y19" s="1126">
        <v>167571</v>
      </c>
      <c r="AC19" s="496">
        <v>2003</v>
      </c>
      <c r="AD19" s="1301">
        <f>Table1[[#This Row],[Electricity]]/Table1[[#This Row],[Gasoline]]</f>
        <v>4.9531243472915954E-3</v>
      </c>
      <c r="AE19" s="1301">
        <f>Table1[[#This Row],[Hydrogen]]/Table1[[#This Row],[Gasoline]]</f>
        <v>0.59676196955320426</v>
      </c>
    </row>
    <row r="20" spans="2:31" x14ac:dyDescent="0.2">
      <c r="B20" s="1161">
        <v>2021</v>
      </c>
      <c r="C20" s="1166">
        <v>1</v>
      </c>
      <c r="D20" s="1158">
        <v>1</v>
      </c>
      <c r="E20" s="1158">
        <v>1</v>
      </c>
      <c r="F20" s="1158">
        <v>1</v>
      </c>
      <c r="G20" s="1158">
        <v>1</v>
      </c>
      <c r="H20" s="1158">
        <v>1</v>
      </c>
      <c r="I20" s="1158">
        <v>1</v>
      </c>
      <c r="J20" s="1306">
        <f t="shared" si="0"/>
        <v>6.0586937186524262E-2</v>
      </c>
      <c r="K20" s="1307">
        <f t="shared" si="1"/>
        <v>0.93173475910294257</v>
      </c>
      <c r="M20" s="1302">
        <f t="shared" si="3"/>
        <v>0.10999999999999999</v>
      </c>
      <c r="N20" s="1287">
        <f t="shared" si="2"/>
        <v>2.3398183475694901E-3</v>
      </c>
      <c r="P20" s="1134">
        <v>2004</v>
      </c>
      <c r="Q20" s="1117">
        <f>671</f>
        <v>671</v>
      </c>
      <c r="R20" s="1117">
        <v>3689</v>
      </c>
      <c r="S20" s="1118"/>
      <c r="T20" s="1117">
        <v>58</v>
      </c>
      <c r="U20" s="1117">
        <v>100000</v>
      </c>
      <c r="V20" s="1117">
        <v>176</v>
      </c>
      <c r="W20" s="1117">
        <v>917</v>
      </c>
      <c r="X20" s="1117">
        <v>200</v>
      </c>
      <c r="Y20" s="1126">
        <v>167346</v>
      </c>
      <c r="AC20" s="496">
        <v>2004</v>
      </c>
      <c r="AD20" s="1301">
        <f>Table1[[#This Row],[Electricity]]/Table1[[#This Row],[Gasoline]]</f>
        <v>4.0096566395372464E-3</v>
      </c>
      <c r="AE20" s="1301">
        <f>Table1[[#This Row],[Hydrogen]]/Table1[[#This Row],[Gasoline]]</f>
        <v>0.59756432779988766</v>
      </c>
    </row>
    <row r="21" spans="2:31" x14ac:dyDescent="0.2">
      <c r="B21" s="1161">
        <v>2022</v>
      </c>
      <c r="C21" s="1166">
        <v>1</v>
      </c>
      <c r="D21" s="1158">
        <v>1</v>
      </c>
      <c r="E21" s="1158">
        <v>1</v>
      </c>
      <c r="F21" s="1158">
        <v>1</v>
      </c>
      <c r="G21" s="1158">
        <v>1</v>
      </c>
      <c r="H21" s="1158">
        <v>1</v>
      </c>
      <c r="I21" s="1158">
        <v>1</v>
      </c>
      <c r="J21" s="1306">
        <f t="shared" si="0"/>
        <v>9.3663799913688631E-2</v>
      </c>
      <c r="K21" s="1307">
        <f t="shared" si="1"/>
        <v>0.93173475910294257</v>
      </c>
      <c r="M21" s="1302">
        <f t="shared" si="3"/>
        <v>0.11999999999999998</v>
      </c>
      <c r="N21" s="1287">
        <f t="shared" si="2"/>
        <v>3.3122623159705469E-3</v>
      </c>
      <c r="P21" s="1134">
        <v>2005</v>
      </c>
      <c r="Q21" s="1117">
        <f>588</f>
        <v>588</v>
      </c>
      <c r="R21" s="1117">
        <v>2995</v>
      </c>
      <c r="S21" s="1118"/>
      <c r="T21" s="1117">
        <v>40</v>
      </c>
      <c r="U21" s="1117">
        <v>100000</v>
      </c>
      <c r="V21" s="1117">
        <v>304</v>
      </c>
      <c r="W21" s="1117">
        <v>787</v>
      </c>
      <c r="X21" s="1117">
        <v>436</v>
      </c>
      <c r="Y21" s="1126">
        <v>168987</v>
      </c>
      <c r="AC21" s="496">
        <v>2005</v>
      </c>
      <c r="AD21" s="1301">
        <f>Table1[[#This Row],[Electricity]]/Table1[[#This Row],[Gasoline]]</f>
        <v>3.4795575991052566E-3</v>
      </c>
      <c r="AE21" s="1301">
        <f>Table1[[#This Row],[Hydrogen]]/Table1[[#This Row],[Gasoline]]</f>
        <v>0.59176149644647225</v>
      </c>
    </row>
    <row r="22" spans="2:31" x14ac:dyDescent="0.2">
      <c r="B22" s="1161">
        <v>2023</v>
      </c>
      <c r="C22" s="1166">
        <v>1</v>
      </c>
      <c r="D22" s="1158">
        <v>1</v>
      </c>
      <c r="E22" s="1158">
        <v>1</v>
      </c>
      <c r="F22" s="1158">
        <v>1</v>
      </c>
      <c r="G22" s="1158">
        <v>1</v>
      </c>
      <c r="H22" s="1158">
        <v>1</v>
      </c>
      <c r="I22" s="1158">
        <v>1</v>
      </c>
      <c r="J22" s="1306">
        <f t="shared" si="0"/>
        <v>0.12155326065006883</v>
      </c>
      <c r="K22" s="1307">
        <f t="shared" si="1"/>
        <v>0.93173475910294257</v>
      </c>
      <c r="M22" s="1302">
        <f t="shared" si="3"/>
        <v>0.12999999999999998</v>
      </c>
      <c r="N22" s="1287">
        <f t="shared" si="2"/>
        <v>4.5593345334435922E-3</v>
      </c>
      <c r="P22" s="1134">
        <v>2006</v>
      </c>
      <c r="Q22" s="1117">
        <f>465</f>
        <v>465</v>
      </c>
      <c r="R22" s="1117">
        <v>2619</v>
      </c>
      <c r="S22" s="1117"/>
      <c r="T22" s="1117">
        <v>37</v>
      </c>
      <c r="U22" s="1117">
        <v>100000</v>
      </c>
      <c r="V22" s="1117">
        <v>459</v>
      </c>
      <c r="W22" s="1117">
        <v>732</v>
      </c>
      <c r="X22" s="1117">
        <v>762</v>
      </c>
      <c r="Y22" s="1126">
        <v>167476</v>
      </c>
      <c r="AC22" s="496">
        <v>2006</v>
      </c>
      <c r="AD22" s="1301">
        <f>Table1[[#This Row],[Electricity]]/Table1[[#This Row],[Gasoline]]</f>
        <v>2.7765172323198548E-3</v>
      </c>
      <c r="AE22" s="1301">
        <f>Table1[[#This Row],[Hydrogen]]/Table1[[#This Row],[Gasoline]]</f>
        <v>0.59710048006878602</v>
      </c>
    </row>
    <row r="23" spans="2:31" x14ac:dyDescent="0.2">
      <c r="B23" s="1161">
        <v>2024</v>
      </c>
      <c r="C23" s="1166">
        <v>1</v>
      </c>
      <c r="D23" s="1158">
        <v>1</v>
      </c>
      <c r="E23" s="1158">
        <v>1</v>
      </c>
      <c r="F23" s="1158">
        <v>1</v>
      </c>
      <c r="G23" s="1158">
        <v>1</v>
      </c>
      <c r="H23" s="1158">
        <v>1</v>
      </c>
      <c r="I23" s="1158">
        <v>1</v>
      </c>
      <c r="J23" s="1306">
        <f t="shared" si="0"/>
        <v>0.15445353795437128</v>
      </c>
      <c r="K23" s="1307">
        <f t="shared" si="1"/>
        <v>0.93173475910294257</v>
      </c>
      <c r="M23" s="1302">
        <f t="shared" si="3"/>
        <v>0.13999999999999999</v>
      </c>
      <c r="N23" s="1287">
        <f t="shared" si="2"/>
        <v>6.1277085437277685E-3</v>
      </c>
      <c r="P23" s="1134">
        <v>2007</v>
      </c>
      <c r="Q23" s="1119">
        <f>442</f>
        <v>442</v>
      </c>
      <c r="R23" s="1119">
        <v>2371</v>
      </c>
      <c r="S23" s="1117"/>
      <c r="T23" s="1117">
        <v>35</v>
      </c>
      <c r="U23" s="1117">
        <v>100000</v>
      </c>
      <c r="V23" s="1119">
        <v>742</v>
      </c>
      <c r="W23" s="1119">
        <v>721</v>
      </c>
      <c r="X23" s="1119">
        <v>1208</v>
      </c>
      <c r="Y23" s="1126">
        <v>164292</v>
      </c>
      <c r="AC23" s="496">
        <v>2007</v>
      </c>
      <c r="AD23" s="1301">
        <f>Table1[[#This Row],[Electricity]]/Table1[[#This Row],[Gasoline]]</f>
        <v>2.6903318481727658E-3</v>
      </c>
      <c r="AE23" s="1301">
        <f>Table1[[#This Row],[Hydrogen]]/Table1[[#This Row],[Gasoline]]</f>
        <v>0.60867236383999224</v>
      </c>
    </row>
    <row r="24" spans="2:31" x14ac:dyDescent="0.2">
      <c r="B24" s="1161">
        <v>2025</v>
      </c>
      <c r="C24" s="1166">
        <v>1</v>
      </c>
      <c r="D24" s="1158">
        <v>1</v>
      </c>
      <c r="E24" s="1158">
        <v>1</v>
      </c>
      <c r="F24" s="1158">
        <v>1</v>
      </c>
      <c r="G24" s="1158">
        <v>1</v>
      </c>
      <c r="H24" s="1158">
        <v>1</v>
      </c>
      <c r="I24" s="1158">
        <v>1</v>
      </c>
      <c r="J24" s="1306">
        <f t="shared" si="0"/>
        <v>0.21345079778654535</v>
      </c>
      <c r="K24" s="1307">
        <f t="shared" si="1"/>
        <v>0.93173475910294257</v>
      </c>
      <c r="M24" s="1302">
        <f t="shared" si="3"/>
        <v>0.15</v>
      </c>
      <c r="N24" s="1287">
        <f t="shared" si="2"/>
        <v>8.0672833944288314E-3</v>
      </c>
      <c r="P24" s="1134">
        <v>2008</v>
      </c>
      <c r="Q24" s="1119">
        <f>430</f>
        <v>430</v>
      </c>
      <c r="R24" s="1119">
        <v>2175</v>
      </c>
      <c r="S24" s="1117"/>
      <c r="T24" s="1123">
        <v>38</v>
      </c>
      <c r="U24" s="1117">
        <v>100000</v>
      </c>
      <c r="V24" s="1119">
        <v>645</v>
      </c>
      <c r="W24" s="1119">
        <v>778</v>
      </c>
      <c r="X24" s="1119">
        <v>1644</v>
      </c>
      <c r="Y24" s="1126">
        <v>161078</v>
      </c>
      <c r="AC24" s="496">
        <v>2008</v>
      </c>
      <c r="AD24" s="1301">
        <f>Table1[[#This Row],[Electricity]]/Table1[[#This Row],[Gasoline]]</f>
        <v>2.6695141484249867E-3</v>
      </c>
      <c r="AE24" s="1301">
        <f>Table1[[#This Row],[Hydrogen]]/Table1[[#This Row],[Gasoline]]</f>
        <v>0.62081724381976433</v>
      </c>
    </row>
    <row r="25" spans="2:31" x14ac:dyDescent="0.2">
      <c r="B25" s="1161">
        <v>2026</v>
      </c>
      <c r="C25" s="1166">
        <v>1</v>
      </c>
      <c r="D25" s="1158">
        <v>1</v>
      </c>
      <c r="E25" s="1158">
        <v>1</v>
      </c>
      <c r="F25" s="1158">
        <v>1</v>
      </c>
      <c r="G25" s="1158">
        <v>1</v>
      </c>
      <c r="H25" s="1158">
        <v>1</v>
      </c>
      <c r="I25" s="1158">
        <v>1</v>
      </c>
      <c r="J25" s="1306">
        <f t="shared" si="0"/>
        <v>0.25908232520512747</v>
      </c>
      <c r="K25" s="1307">
        <f t="shared" si="1"/>
        <v>0.93173475910294257</v>
      </c>
      <c r="M25" s="1302">
        <f t="shared" si="3"/>
        <v>0.16</v>
      </c>
      <c r="N25" s="1287">
        <f t="shared" si="2"/>
        <v>1.0430976069530742E-2</v>
      </c>
      <c r="P25" s="1134">
        <v>2009</v>
      </c>
      <c r="Q25" s="1119">
        <f>465</f>
        <v>465</v>
      </c>
      <c r="R25" s="1119">
        <v>2468</v>
      </c>
      <c r="S25" s="1117"/>
      <c r="T25" s="1123">
        <v>36</v>
      </c>
      <c r="U25" s="1117">
        <v>100000</v>
      </c>
      <c r="V25" s="1119">
        <v>679</v>
      </c>
      <c r="W25" s="1119">
        <v>772</v>
      </c>
      <c r="X25" s="1119">
        <v>1928</v>
      </c>
      <c r="Y25" s="1126">
        <v>162350</v>
      </c>
      <c r="AC25" s="496">
        <v>2009</v>
      </c>
      <c r="AD25" s="1301">
        <f>Table1[[#This Row],[Electricity]]/Table1[[#This Row],[Gasoline]]</f>
        <v>2.864182322143517E-3</v>
      </c>
      <c r="AE25" s="1301">
        <f>Table1[[#This Row],[Hydrogen]]/Table1[[#This Row],[Gasoline]]</f>
        <v>0.61595318755774564</v>
      </c>
    </row>
    <row r="26" spans="2:31" x14ac:dyDescent="0.2">
      <c r="B26" s="1161">
        <v>2027</v>
      </c>
      <c r="C26" s="1166">
        <v>1</v>
      </c>
      <c r="D26" s="1158">
        <v>1</v>
      </c>
      <c r="E26" s="1158">
        <v>1</v>
      </c>
      <c r="F26" s="1158">
        <v>1</v>
      </c>
      <c r="G26" s="1158">
        <v>1</v>
      </c>
      <c r="H26" s="1158">
        <v>1</v>
      </c>
      <c r="I26" s="1158">
        <v>1</v>
      </c>
      <c r="J26" s="1306">
        <f t="shared" si="0"/>
        <v>0.33608423666452697</v>
      </c>
      <c r="K26" s="1307">
        <f t="shared" si="1"/>
        <v>0.93173475910294257</v>
      </c>
      <c r="M26" s="1302">
        <f t="shared" si="3"/>
        <v>0.17</v>
      </c>
      <c r="N26" s="1287">
        <f t="shared" si="2"/>
        <v>1.3274466716304363E-2</v>
      </c>
      <c r="P26" s="1134">
        <v>2010</v>
      </c>
      <c r="Q26" s="1119">
        <f>541</f>
        <v>541</v>
      </c>
      <c r="R26" s="1119">
        <v>2647</v>
      </c>
      <c r="S26" s="1117"/>
      <c r="T26" s="1123">
        <v>39</v>
      </c>
      <c r="U26" s="1117">
        <v>100000</v>
      </c>
      <c r="V26" s="1119">
        <v>644</v>
      </c>
      <c r="W26" s="1119">
        <v>841</v>
      </c>
      <c r="X26" s="1119">
        <v>2142</v>
      </c>
      <c r="Y26" s="1126">
        <v>159006</v>
      </c>
      <c r="AC26" s="496">
        <v>2010</v>
      </c>
      <c r="AD26" s="1301">
        <f>Table1[[#This Row],[Electricity]]/Table1[[#This Row],[Gasoline]]</f>
        <v>3.4023873312956743E-3</v>
      </c>
      <c r="AE26" s="1301">
        <f>Table1[[#This Row],[Hydrogen]]/Table1[[#This Row],[Gasoline]]</f>
        <v>0.62890708526722261</v>
      </c>
    </row>
    <row r="27" spans="2:31" x14ac:dyDescent="0.2">
      <c r="B27" s="1161">
        <v>2028</v>
      </c>
      <c r="C27" s="1166">
        <v>1</v>
      </c>
      <c r="D27" s="1158">
        <v>1</v>
      </c>
      <c r="E27" s="1158">
        <v>1</v>
      </c>
      <c r="F27" s="1158">
        <v>1</v>
      </c>
      <c r="G27" s="1158">
        <v>1</v>
      </c>
      <c r="H27" s="1158">
        <v>1</v>
      </c>
      <c r="I27" s="1158">
        <v>1</v>
      </c>
      <c r="J27" s="1306">
        <f t="shared" si="0"/>
        <v>0.39217687976031146</v>
      </c>
      <c r="K27" s="1307">
        <f t="shared" si="1"/>
        <v>0.93173475910294257</v>
      </c>
      <c r="M27" s="1302">
        <f t="shared" si="3"/>
        <v>0.18000000000000002</v>
      </c>
      <c r="N27" s="1287">
        <f t="shared" si="2"/>
        <v>1.665589092984994E-2</v>
      </c>
      <c r="P27" s="1134">
        <v>2011</v>
      </c>
      <c r="Q27" s="1120">
        <f>3394/plugs_per_station</f>
        <v>1697</v>
      </c>
      <c r="R27" s="1120">
        <v>2597</v>
      </c>
      <c r="S27" s="1121"/>
      <c r="T27" s="1123">
        <v>45</v>
      </c>
      <c r="U27" s="1117">
        <v>100000</v>
      </c>
      <c r="V27" s="1120">
        <v>627</v>
      </c>
      <c r="W27" s="1120">
        <v>910</v>
      </c>
      <c r="X27" s="1120">
        <v>2442</v>
      </c>
      <c r="Y27" s="1126">
        <v>157393</v>
      </c>
      <c r="AC27" s="496">
        <v>2011</v>
      </c>
      <c r="AD27" s="1301">
        <f>Table1[[#This Row],[Electricity]]/Table1[[#This Row],[Gasoline]]</f>
        <v>1.0781928040001779E-2</v>
      </c>
      <c r="AE27" s="1301">
        <f>Table1[[#This Row],[Hydrogen]]/Table1[[#This Row],[Gasoline]]</f>
        <v>0.6353522710666929</v>
      </c>
    </row>
    <row r="28" spans="2:31" x14ac:dyDescent="0.2">
      <c r="B28" s="1161">
        <v>2029</v>
      </c>
      <c r="C28" s="1166">
        <v>1</v>
      </c>
      <c r="D28" s="1158">
        <v>1</v>
      </c>
      <c r="E28" s="1158">
        <v>1</v>
      </c>
      <c r="F28" s="1158">
        <v>1</v>
      </c>
      <c r="G28" s="1158">
        <v>1</v>
      </c>
      <c r="H28" s="1158">
        <v>1</v>
      </c>
      <c r="I28" s="1158">
        <v>1</v>
      </c>
      <c r="J28" s="1306">
        <f t="shared" si="0"/>
        <v>0.45102114846019115</v>
      </c>
      <c r="K28" s="1307">
        <f t="shared" si="1"/>
        <v>0.93173475910294257</v>
      </c>
      <c r="M28" s="1302">
        <f t="shared" si="3"/>
        <v>0.19000000000000003</v>
      </c>
      <c r="N28" s="1287">
        <f t="shared" si="2"/>
        <v>2.063547350575257E-2</v>
      </c>
      <c r="P28" s="1134">
        <v>2012</v>
      </c>
      <c r="Q28" s="1120">
        <f>13392/plugs_per_station</f>
        <v>6696</v>
      </c>
      <c r="R28" s="1120">
        <v>2654</v>
      </c>
      <c r="S28" s="1121"/>
      <c r="T28" s="1123">
        <v>59</v>
      </c>
      <c r="U28" s="1117">
        <v>100000</v>
      </c>
      <c r="V28" s="1120">
        <v>675</v>
      </c>
      <c r="W28" s="1120">
        <v>1107</v>
      </c>
      <c r="X28" s="1120">
        <v>2553</v>
      </c>
      <c r="Y28" s="1126">
        <v>156065</v>
      </c>
      <c r="AC28" s="496">
        <v>2012</v>
      </c>
      <c r="AD28" s="1301">
        <f>Table1[[#This Row],[Electricity]]/Table1[[#This Row],[Gasoline]]</f>
        <v>4.2905199756511712E-2</v>
      </c>
      <c r="AE28" s="1301">
        <f>Table1[[#This Row],[Hydrogen]]/Table1[[#This Row],[Gasoline]]</f>
        <v>0.64075865825136957</v>
      </c>
    </row>
    <row r="29" spans="2:31" x14ac:dyDescent="0.2">
      <c r="B29" s="1161">
        <v>2030</v>
      </c>
      <c r="C29" s="1166">
        <v>1</v>
      </c>
      <c r="D29" s="1158">
        <v>1</v>
      </c>
      <c r="E29" s="1158">
        <v>1</v>
      </c>
      <c r="F29" s="1158">
        <v>1</v>
      </c>
      <c r="G29" s="1158">
        <v>1</v>
      </c>
      <c r="H29" s="1158">
        <v>1</v>
      </c>
      <c r="I29" s="1158">
        <v>1</v>
      </c>
      <c r="J29" s="1306">
        <f t="shared" si="0"/>
        <v>0.54193718792371426</v>
      </c>
      <c r="K29" s="1307">
        <f t="shared" si="1"/>
        <v>0.93173475910294257</v>
      </c>
      <c r="M29" s="1302">
        <f t="shared" si="3"/>
        <v>0.20000000000000004</v>
      </c>
      <c r="N29" s="1287">
        <f t="shared" si="2"/>
        <v>2.5275098398206075E-2</v>
      </c>
      <c r="P29" s="1134">
        <v>2013</v>
      </c>
      <c r="Q29" s="1120">
        <f>19410/plugs_per_station</f>
        <v>9705</v>
      </c>
      <c r="R29" s="1120">
        <v>2956</v>
      </c>
      <c r="S29" s="1121"/>
      <c r="T29" s="1123">
        <v>81</v>
      </c>
      <c r="U29" s="1117">
        <v>100000</v>
      </c>
      <c r="V29" s="1120">
        <v>757</v>
      </c>
      <c r="W29" s="1120">
        <v>1263</v>
      </c>
      <c r="X29" s="1120">
        <v>2639</v>
      </c>
      <c r="Y29" s="1126">
        <f>Y28</f>
        <v>156065</v>
      </c>
      <c r="Z29" s="496">
        <f>-1976.3*Table1[[#This Row],[Year]]+4130497.79</f>
        <v>152205.89000000013</v>
      </c>
      <c r="AC29" s="496">
        <v>2013</v>
      </c>
      <c r="AD29" s="1301">
        <f>Table1[[#This Row],[Electricity]]/Table1[[#This Row],[Gasoline]]</f>
        <v>6.2185627783295422E-2</v>
      </c>
      <c r="AE29" s="1301">
        <f>Table1[[#This Row],[Hydrogen]]/Table1[[#This Row],[Gasoline]]</f>
        <v>0.64075865825136957</v>
      </c>
    </row>
    <row r="30" spans="2:31" x14ac:dyDescent="0.2">
      <c r="B30" s="1161">
        <v>2031</v>
      </c>
      <c r="C30" s="1166">
        <v>1</v>
      </c>
      <c r="D30" s="1158">
        <v>1</v>
      </c>
      <c r="E30" s="1158">
        <v>1</v>
      </c>
      <c r="F30" s="1158">
        <v>1</v>
      </c>
      <c r="G30" s="1158">
        <v>1</v>
      </c>
      <c r="H30" s="1158">
        <v>1</v>
      </c>
      <c r="I30" s="1158">
        <v>1</v>
      </c>
      <c r="J30" s="1306">
        <f t="shared" si="0"/>
        <v>0.60242359916581223</v>
      </c>
      <c r="K30" s="1307">
        <f t="shared" si="1"/>
        <v>0.93173475910294257</v>
      </c>
      <c r="M30" s="1302">
        <f t="shared" si="3"/>
        <v>0.21000000000000005</v>
      </c>
      <c r="N30" s="1287">
        <f t="shared" si="2"/>
        <v>3.0637810156220375E-2</v>
      </c>
      <c r="P30" s="1134">
        <v>2014</v>
      </c>
      <c r="Q30" s="1120">
        <f>25602/plugs_per_station</f>
        <v>12801</v>
      </c>
      <c r="R30" s="1120">
        <v>2931</v>
      </c>
      <c r="S30" s="1121"/>
      <c r="T30" s="1123">
        <v>103</v>
      </c>
      <c r="U30" s="1117">
        <v>100000</v>
      </c>
      <c r="V30" s="1120">
        <v>783</v>
      </c>
      <c r="W30" s="1120">
        <v>1495</v>
      </c>
      <c r="X30" s="1120">
        <v>2840</v>
      </c>
      <c r="Y30" s="1126">
        <f t="shared" ref="Y30:Y66" si="4">Y29</f>
        <v>156065</v>
      </c>
      <c r="Z30" s="496">
        <f>-1976.3*Table1[[#This Row],[Year]]+4130497.79</f>
        <v>150229.59000000032</v>
      </c>
      <c r="AC30" s="496">
        <v>2014</v>
      </c>
      <c r="AD30" s="1301">
        <f>Table1[[#This Row],[Electricity]]/Table1[[#This Row],[Gasoline]]</f>
        <v>8.2023515842757827E-2</v>
      </c>
      <c r="AE30" s="1301">
        <f>Table1[[#This Row],[Hydrogen]]/Table1[[#This Row],[Gasoline]]</f>
        <v>0.64075865825136957</v>
      </c>
    </row>
    <row r="31" spans="2:31" x14ac:dyDescent="0.2">
      <c r="B31" s="1161">
        <v>2032</v>
      </c>
      <c r="C31" s="1166">
        <v>1</v>
      </c>
      <c r="D31" s="1158">
        <v>1</v>
      </c>
      <c r="E31" s="1158">
        <v>1</v>
      </c>
      <c r="F31" s="1158">
        <v>1</v>
      </c>
      <c r="G31" s="1158">
        <v>1</v>
      </c>
      <c r="H31" s="1158">
        <v>1</v>
      </c>
      <c r="I31" s="1158">
        <v>1</v>
      </c>
      <c r="J31" s="1306">
        <f t="shared" si="0"/>
        <v>0.68958915732970893</v>
      </c>
      <c r="K31" s="1307">
        <f t="shared" si="1"/>
        <v>0.93173475910294257</v>
      </c>
      <c r="M31" s="1302">
        <f t="shared" si="3"/>
        <v>0.22000000000000006</v>
      </c>
      <c r="N31" s="1287">
        <f t="shared" si="2"/>
        <v>3.6787242882874376E-2</v>
      </c>
      <c r="P31" s="1134">
        <v>2015</v>
      </c>
      <c r="Q31" s="1124">
        <f>30945/plugs_per_station</f>
        <v>15472.5</v>
      </c>
      <c r="R31" s="1124">
        <v>3594</v>
      </c>
      <c r="S31" s="1121"/>
      <c r="T31" s="1124">
        <v>111</v>
      </c>
      <c r="U31" s="1117">
        <v>100000</v>
      </c>
      <c r="V31" s="1124">
        <v>721</v>
      </c>
      <c r="W31" s="1124">
        <v>1563</v>
      </c>
      <c r="X31" s="1124">
        <v>2990</v>
      </c>
      <c r="Y31" s="1126">
        <f t="shared" si="4"/>
        <v>156065</v>
      </c>
      <c r="Z31" s="496">
        <f>-1976.3*Table1[[#This Row],[Year]]+4130497.79</f>
        <v>148253.29000000004</v>
      </c>
      <c r="AC31" s="496">
        <v>2015</v>
      </c>
      <c r="AD31" s="1301">
        <f>Table1[[#This Row],[Electricity]]/Table1[[#This Row],[Gasoline]]</f>
        <v>9.9141383397943164E-2</v>
      </c>
      <c r="AE31" s="1301">
        <f>Table1[[#This Row],[Hydrogen]]/Table1[[#This Row],[Gasoline]]</f>
        <v>0.64075865825136957</v>
      </c>
    </row>
    <row r="32" spans="2:31" x14ac:dyDescent="0.2">
      <c r="B32" s="1161">
        <v>2033</v>
      </c>
      <c r="C32" s="1166">
        <v>1</v>
      </c>
      <c r="D32" s="1158">
        <v>1</v>
      </c>
      <c r="E32" s="1158">
        <v>1</v>
      </c>
      <c r="F32" s="1158">
        <v>1</v>
      </c>
      <c r="G32" s="1158">
        <v>1</v>
      </c>
      <c r="H32" s="1158">
        <v>1</v>
      </c>
      <c r="I32" s="1158">
        <v>1</v>
      </c>
      <c r="J32" s="1306">
        <f t="shared" si="0"/>
        <v>0.74346468922347331</v>
      </c>
      <c r="K32" s="1307">
        <f t="shared" si="1"/>
        <v>0.93173475910294257</v>
      </c>
      <c r="M32" s="1302">
        <f t="shared" si="3"/>
        <v>0.23000000000000007</v>
      </c>
      <c r="N32" s="1287">
        <f t="shared" si="2"/>
        <v>4.3786973799347463E-2</v>
      </c>
      <c r="P32" s="1134">
        <v>2016</v>
      </c>
      <c r="Q32" s="1124">
        <f>42029/plugs_per_station</f>
        <v>21014.5</v>
      </c>
      <c r="R32" s="1124">
        <v>3665</v>
      </c>
      <c r="S32" s="1121"/>
      <c r="T32" s="1124">
        <v>140</v>
      </c>
      <c r="U32" s="1117">
        <v>100000</v>
      </c>
      <c r="V32" s="1124">
        <v>697</v>
      </c>
      <c r="W32" s="1124">
        <v>1725</v>
      </c>
      <c r="X32" s="1124">
        <v>3090</v>
      </c>
      <c r="Y32" s="1126">
        <f t="shared" si="4"/>
        <v>156065</v>
      </c>
      <c r="Z32" s="496">
        <f>-1976.3*Table1[[#This Row],[Year]]+4130497.79</f>
        <v>146276.99000000022</v>
      </c>
      <c r="AC32" s="496">
        <v>2016</v>
      </c>
      <c r="AD32" s="1301">
        <f>Table1[[#This Row],[Electricity]]/Table1[[#This Row],[Gasoline]]</f>
        <v>0.13465222823823406</v>
      </c>
      <c r="AE32" s="1301">
        <f>Table1[[#This Row],[Hydrogen]]/Table1[[#This Row],[Gasoline]]</f>
        <v>0.64075865825136957</v>
      </c>
    </row>
    <row r="33" spans="2:32" x14ac:dyDescent="0.2">
      <c r="B33" s="1161">
        <v>2034</v>
      </c>
      <c r="C33" s="1166">
        <v>1</v>
      </c>
      <c r="D33" s="1158">
        <v>1</v>
      </c>
      <c r="E33" s="1158">
        <v>1</v>
      </c>
      <c r="F33" s="1158">
        <v>1</v>
      </c>
      <c r="G33" s="1158">
        <v>1</v>
      </c>
      <c r="H33" s="1158">
        <v>1</v>
      </c>
      <c r="I33" s="1158">
        <v>1</v>
      </c>
      <c r="J33" s="1306">
        <f t="shared" si="0"/>
        <v>0.79268571663322196</v>
      </c>
      <c r="K33" s="1307">
        <f t="shared" si="1"/>
        <v>0.93173475910294257</v>
      </c>
      <c r="M33" s="1302">
        <f t="shared" si="3"/>
        <v>0.24000000000000007</v>
      </c>
      <c r="N33" s="1287">
        <f t="shared" si="2"/>
        <v>5.1699799821003561E-2</v>
      </c>
      <c r="P33" s="1134">
        <v>2017</v>
      </c>
      <c r="Q33" s="1122">
        <f>50627/plugs_per_station</f>
        <v>25313.5</v>
      </c>
      <c r="R33" s="538"/>
      <c r="S33" s="538"/>
      <c r="T33" s="538"/>
      <c r="U33" s="1117">
        <v>100000</v>
      </c>
      <c r="V33" s="538"/>
      <c r="W33" s="538"/>
      <c r="X33" s="538"/>
      <c r="Y33" s="1126">
        <f t="shared" si="4"/>
        <v>156065</v>
      </c>
      <c r="Z33" s="496">
        <f>-1976.3*Table1[[#This Row],[Year]]+4130497.79</f>
        <v>144300.68999999994</v>
      </c>
      <c r="AC33" s="496">
        <v>2017</v>
      </c>
      <c r="AD33" s="1301">
        <f>Table1[[#This Row],[Electricity]]/Table1[[#This Row],[Gasoline]]</f>
        <v>0.16219844295646044</v>
      </c>
      <c r="AE33" s="1301">
        <f>Table1[[#This Row],[Hydrogen]]/Table1[[#This Row],[Gasoline]]</f>
        <v>0.64075865825136957</v>
      </c>
    </row>
    <row r="34" spans="2:32" x14ac:dyDescent="0.2">
      <c r="B34" s="1161">
        <v>2035</v>
      </c>
      <c r="C34" s="1166">
        <v>1</v>
      </c>
      <c r="D34" s="1158">
        <v>1</v>
      </c>
      <c r="E34" s="1158">
        <v>1</v>
      </c>
      <c r="F34" s="1158">
        <v>1</v>
      </c>
      <c r="G34" s="1158">
        <v>1</v>
      </c>
      <c r="H34" s="1158">
        <v>1</v>
      </c>
      <c r="I34" s="1158">
        <v>1</v>
      </c>
      <c r="J34" s="1306">
        <f t="shared" si="0"/>
        <v>0.85612030212542312</v>
      </c>
      <c r="K34" s="1307">
        <f t="shared" si="1"/>
        <v>0.93173475910294257</v>
      </c>
      <c r="M34" s="1302">
        <f t="shared" si="3"/>
        <v>0.25000000000000006</v>
      </c>
      <c r="N34" s="1287">
        <f t="shared" si="2"/>
        <v>6.0586937186524262E-2</v>
      </c>
      <c r="P34" s="1134">
        <v>2018</v>
      </c>
      <c r="Q34" s="1122">
        <f>61067/plugs_per_station</f>
        <v>30533.5</v>
      </c>
      <c r="R34" s="538"/>
      <c r="S34" s="538"/>
      <c r="T34" s="538"/>
      <c r="U34" s="1117">
        <v>100000</v>
      </c>
      <c r="V34" s="538"/>
      <c r="W34" s="538"/>
      <c r="X34" s="538"/>
      <c r="Y34" s="1126">
        <f t="shared" si="4"/>
        <v>156065</v>
      </c>
      <c r="Z34" s="496">
        <f>-1976.3*Table1[[#This Row],[Year]]+4130497.79</f>
        <v>142324.39000000013</v>
      </c>
      <c r="AC34" s="496">
        <v>2018</v>
      </c>
      <c r="AD34" s="1301">
        <f>Table1[[#This Row],[Electricity]]/Table1[[#This Row],[Gasoline]]</f>
        <v>0.19564604491718193</v>
      </c>
      <c r="AE34" s="1301">
        <f>Table1[[#This Row],[Hydrogen]]/Table1[[#This Row],[Gasoline]]</f>
        <v>0.64075865825136957</v>
      </c>
    </row>
    <row r="35" spans="2:32" x14ac:dyDescent="0.2">
      <c r="B35" s="1161">
        <v>2036</v>
      </c>
      <c r="C35" s="1166">
        <v>1</v>
      </c>
      <c r="D35" s="1158">
        <v>1</v>
      </c>
      <c r="E35" s="1158">
        <v>1</v>
      </c>
      <c r="F35" s="1158">
        <v>1</v>
      </c>
      <c r="G35" s="1158">
        <v>1</v>
      </c>
      <c r="H35" s="1158">
        <v>1</v>
      </c>
      <c r="I35" s="1158">
        <v>1</v>
      </c>
      <c r="J35" s="1306">
        <f t="shared" si="0"/>
        <v>0.89088299804314675</v>
      </c>
      <c r="K35" s="1307">
        <f t="shared" si="1"/>
        <v>0.93173475910294257</v>
      </c>
      <c r="M35" s="1302">
        <f t="shared" si="3"/>
        <v>0.26000000000000006</v>
      </c>
      <c r="N35" s="1287">
        <f t="shared" si="2"/>
        <v>7.0507146135246307E-2</v>
      </c>
      <c r="P35" s="1134">
        <v>2019</v>
      </c>
      <c r="Q35" s="1122">
        <f>$R$109+P35*$R$110</f>
        <v>32521.333333333954</v>
      </c>
      <c r="R35" s="538"/>
      <c r="S35" s="538"/>
      <c r="T35" s="538"/>
      <c r="U35" s="1117">
        <v>100000</v>
      </c>
      <c r="V35" s="538"/>
      <c r="W35" s="538"/>
      <c r="X35" s="538"/>
      <c r="Y35" s="1126">
        <f t="shared" si="4"/>
        <v>156065</v>
      </c>
      <c r="Z35" s="496">
        <f>-1976.3*Table1[[#This Row],[Year]]+4130497.79</f>
        <v>140348.09000000032</v>
      </c>
      <c r="AC35" s="496">
        <v>2019</v>
      </c>
      <c r="AD35" s="1301">
        <f>Table1[[#This Row],[Electricity]]/Table1[[#This Row],[Gasoline]]</f>
        <v>0.20838325911212607</v>
      </c>
      <c r="AE35" s="1301">
        <f>Table1[[#This Row],[Hydrogen]]/Table1[[#This Row],[Gasoline]]</f>
        <v>0.64075865825136957</v>
      </c>
    </row>
    <row r="36" spans="2:32" x14ac:dyDescent="0.2">
      <c r="B36" s="1161">
        <v>2037</v>
      </c>
      <c r="C36" s="1166">
        <v>1</v>
      </c>
      <c r="D36" s="1158">
        <v>1</v>
      </c>
      <c r="E36" s="1158">
        <v>1</v>
      </c>
      <c r="F36" s="1158">
        <v>1</v>
      </c>
      <c r="G36" s="1158">
        <v>1</v>
      </c>
      <c r="H36" s="1158">
        <v>1</v>
      </c>
      <c r="I36" s="1158">
        <v>1</v>
      </c>
      <c r="J36" s="1306">
        <f t="shared" si="0"/>
        <v>0.93173475910294257</v>
      </c>
      <c r="K36" s="1307">
        <f t="shared" si="1"/>
        <v>0.93173475910294257</v>
      </c>
      <c r="M36" s="1302">
        <f t="shared" si="3"/>
        <v>0.27000000000000007</v>
      </c>
      <c r="N36" s="1287">
        <f t="shared" si="2"/>
        <v>8.1515784905052846E-2</v>
      </c>
      <c r="P36" s="1134">
        <v>2020</v>
      </c>
      <c r="Q36" s="1122">
        <f t="shared" ref="Q36:Q66" si="5">$R$109+P36*$R$110</f>
        <v>36275.06666666735</v>
      </c>
      <c r="R36" s="772"/>
      <c r="S36" s="772"/>
      <c r="T36" s="772"/>
      <c r="U36" s="1117">
        <v>100000</v>
      </c>
      <c r="V36" s="772"/>
      <c r="W36" s="772"/>
      <c r="X36" s="772"/>
      <c r="Y36" s="1126">
        <f t="shared" si="4"/>
        <v>156065</v>
      </c>
      <c r="Z36" s="498">
        <f>-1976.3*Table1[[#This Row],[Year]]+4130497.79</f>
        <v>138371.79000000004</v>
      </c>
      <c r="AA36" s="498"/>
      <c r="AB36" s="498"/>
      <c r="AC36" s="498">
        <v>2020</v>
      </c>
      <c r="AD36" s="1301">
        <f>Table1[[#This Row],[Electricity]]/Table1[[#This Row],[Gasoline]]</f>
        <v>0.23243563045312754</v>
      </c>
      <c r="AE36" s="1301">
        <f>Table1[[#This Row],[Hydrogen]]/Table1[[#This Row],[Gasoline]]</f>
        <v>0.64075865825136957</v>
      </c>
      <c r="AF36" s="498"/>
    </row>
    <row r="37" spans="2:32" x14ac:dyDescent="0.2">
      <c r="B37" s="1161">
        <v>2038</v>
      </c>
      <c r="C37" s="1166">
        <v>1</v>
      </c>
      <c r="D37" s="1158">
        <v>1</v>
      </c>
      <c r="E37" s="1158">
        <v>1</v>
      </c>
      <c r="F37" s="1158">
        <v>1</v>
      </c>
      <c r="G37" s="1158">
        <v>1</v>
      </c>
      <c r="H37" s="1158">
        <v>1</v>
      </c>
      <c r="I37" s="1158">
        <v>1</v>
      </c>
      <c r="J37" s="1306">
        <f t="shared" si="0"/>
        <v>0.95197135907101305</v>
      </c>
      <c r="K37" s="1307">
        <f t="shared" si="1"/>
        <v>0.93173475910294257</v>
      </c>
      <c r="M37" s="1302">
        <f t="shared" si="3"/>
        <v>0.28000000000000008</v>
      </c>
      <c r="N37" s="1287">
        <f t="shared" si="2"/>
        <v>9.3663799913688631E-2</v>
      </c>
      <c r="P37" s="1134">
        <v>2021</v>
      </c>
      <c r="Q37" s="1122">
        <f t="shared" si="5"/>
        <v>40028.800000000745</v>
      </c>
      <c r="R37" s="538"/>
      <c r="S37" s="538"/>
      <c r="T37" s="538"/>
      <c r="U37" s="1117">
        <v>100000</v>
      </c>
      <c r="V37" s="538"/>
      <c r="W37" s="538"/>
      <c r="X37" s="538"/>
      <c r="Y37" s="1126">
        <f t="shared" si="4"/>
        <v>156065</v>
      </c>
      <c r="Z37" s="496">
        <f>-1976.3*Table1[[#This Row],[Year]]+4130497.79</f>
        <v>136395.49000000022</v>
      </c>
      <c r="AC37" s="496">
        <v>2021</v>
      </c>
      <c r="AD37" s="1301">
        <f>Table1[[#This Row],[Electricity]]/Table1[[#This Row],[Gasoline]]</f>
        <v>0.25648800179412901</v>
      </c>
      <c r="AE37" s="1301">
        <f>Table1[[#This Row],[Hydrogen]]/Table1[[#This Row],[Gasoline]]</f>
        <v>0.64075865825136957</v>
      </c>
    </row>
    <row r="38" spans="2:32" x14ac:dyDescent="0.2">
      <c r="B38" s="1161">
        <v>2039</v>
      </c>
      <c r="C38" s="1166">
        <v>1</v>
      </c>
      <c r="D38" s="1158">
        <v>1</v>
      </c>
      <c r="E38" s="1158">
        <v>1</v>
      </c>
      <c r="F38" s="1158">
        <v>1</v>
      </c>
      <c r="G38" s="1158">
        <v>1</v>
      </c>
      <c r="H38" s="1158">
        <v>1</v>
      </c>
      <c r="I38" s="1158">
        <v>1</v>
      </c>
      <c r="J38" s="1306">
        <f t="shared" si="0"/>
        <v>0.96732091996204717</v>
      </c>
      <c r="K38" s="1307">
        <f t="shared" si="1"/>
        <v>0.93173475910294257</v>
      </c>
      <c r="M38" s="1302">
        <f t="shared" si="3"/>
        <v>0.29000000000000009</v>
      </c>
      <c r="N38" s="1287">
        <f t="shared" si="2"/>
        <v>0.10699666186542625</v>
      </c>
      <c r="P38" s="1134">
        <v>2022</v>
      </c>
      <c r="Q38" s="1122">
        <f t="shared" si="5"/>
        <v>43782.53333333414</v>
      </c>
      <c r="R38" s="538"/>
      <c r="S38" s="538"/>
      <c r="T38" s="538"/>
      <c r="U38" s="1117">
        <v>100000</v>
      </c>
      <c r="V38" s="538"/>
      <c r="W38" s="538"/>
      <c r="X38" s="538"/>
      <c r="Y38" s="1126">
        <f t="shared" si="4"/>
        <v>156065</v>
      </c>
      <c r="Z38" s="496">
        <f>-1976.3*Table1[[#This Row],[Year]]+4130497.79</f>
        <v>134419.18999999994</v>
      </c>
      <c r="AC38" s="496">
        <v>2022</v>
      </c>
      <c r="AD38" s="1301">
        <f>Table1[[#This Row],[Electricity]]/Table1[[#This Row],[Gasoline]]</f>
        <v>0.28054037313513047</v>
      </c>
      <c r="AE38" s="1301">
        <f>Table1[[#This Row],[Hydrogen]]/Table1[[#This Row],[Gasoline]]</f>
        <v>0.64075865825136957</v>
      </c>
    </row>
    <row r="39" spans="2:32" x14ac:dyDescent="0.2">
      <c r="B39" s="1161">
        <v>2040</v>
      </c>
      <c r="C39" s="1166">
        <v>1</v>
      </c>
      <c r="D39" s="1158">
        <v>1</v>
      </c>
      <c r="E39" s="1158">
        <v>1</v>
      </c>
      <c r="F39" s="1158">
        <v>1</v>
      </c>
      <c r="G39" s="1158">
        <v>1</v>
      </c>
      <c r="H39" s="1158">
        <v>1</v>
      </c>
      <c r="I39" s="1158">
        <v>1</v>
      </c>
      <c r="J39" s="1306">
        <f t="shared" si="0"/>
        <v>0.9828519181996197</v>
      </c>
      <c r="K39" s="1307">
        <f t="shared" si="1"/>
        <v>0.93173475910294257</v>
      </c>
      <c r="M39" s="1302">
        <f t="shared" si="3"/>
        <v>0.3000000000000001</v>
      </c>
      <c r="N39" s="1287">
        <f t="shared" si="2"/>
        <v>0.12155326065006883</v>
      </c>
      <c r="P39" s="1134">
        <v>2023</v>
      </c>
      <c r="Q39" s="1122">
        <f t="shared" si="5"/>
        <v>47536.266666667536</v>
      </c>
      <c r="R39" s="538"/>
      <c r="S39" s="538"/>
      <c r="T39" s="538"/>
      <c r="U39" s="1117">
        <v>100000</v>
      </c>
      <c r="V39" s="538"/>
      <c r="W39" s="538"/>
      <c r="X39" s="538"/>
      <c r="Y39" s="1126">
        <f t="shared" si="4"/>
        <v>156065</v>
      </c>
      <c r="Z39" s="496">
        <f>-1976.3*Table1[[#This Row],[Year]]+4130497.79</f>
        <v>132442.89000000013</v>
      </c>
      <c r="AC39" s="496">
        <v>2023</v>
      </c>
      <c r="AD39" s="1301">
        <f>Table1[[#This Row],[Electricity]]/Table1[[#This Row],[Gasoline]]</f>
        <v>0.30459274447613199</v>
      </c>
      <c r="AE39" s="1301">
        <f>Table1[[#This Row],[Hydrogen]]/Table1[[#This Row],[Gasoline]]</f>
        <v>0.64075865825136957</v>
      </c>
    </row>
    <row r="40" spans="2:32" x14ac:dyDescent="0.2">
      <c r="B40" s="1161">
        <v>2041</v>
      </c>
      <c r="C40" s="1166">
        <v>1</v>
      </c>
      <c r="D40" s="1158">
        <v>1</v>
      </c>
      <c r="E40" s="1158">
        <v>1</v>
      </c>
      <c r="F40" s="1158">
        <v>1</v>
      </c>
      <c r="G40" s="1158">
        <v>1</v>
      </c>
      <c r="H40" s="1158">
        <v>1</v>
      </c>
      <c r="I40" s="1158">
        <v>1</v>
      </c>
      <c r="J40" s="1306">
        <f t="shared" si="0"/>
        <v>0.98936620944626497</v>
      </c>
      <c r="K40" s="1307">
        <f t="shared" si="1"/>
        <v>0.93173475910294257</v>
      </c>
      <c r="M40" s="1302">
        <f t="shared" si="3"/>
        <v>0.31000000000000011</v>
      </c>
      <c r="N40" s="1287">
        <f t="shared" si="2"/>
        <v>0.13736477520959006</v>
      </c>
      <c r="P40" s="1134">
        <v>2024</v>
      </c>
      <c r="Q40" s="1122">
        <f t="shared" si="5"/>
        <v>51290.000000000931</v>
      </c>
      <c r="R40" s="538"/>
      <c r="S40" s="538"/>
      <c r="T40" s="538"/>
      <c r="U40" s="1117">
        <v>100000</v>
      </c>
      <c r="V40" s="538"/>
      <c r="W40" s="538"/>
      <c r="X40" s="538"/>
      <c r="Y40" s="1126">
        <f t="shared" si="4"/>
        <v>156065</v>
      </c>
      <c r="Z40" s="496">
        <f>-1976.3*Table1[[#This Row],[Year]]+4130497.79</f>
        <v>130466.59000000032</v>
      </c>
      <c r="AC40" s="496">
        <v>2024</v>
      </c>
      <c r="AD40" s="1301">
        <f>Table1[[#This Row],[Electricity]]/Table1[[#This Row],[Gasoline]]</f>
        <v>0.32864511581713346</v>
      </c>
      <c r="AE40" s="1301">
        <f>Table1[[#This Row],[Hydrogen]]/Table1[[#This Row],[Gasoline]]</f>
        <v>0.64075865825136957</v>
      </c>
    </row>
    <row r="41" spans="2:32" x14ac:dyDescent="0.2">
      <c r="B41" s="1161">
        <v>2042</v>
      </c>
      <c r="C41" s="1166">
        <v>1</v>
      </c>
      <c r="D41" s="1158">
        <v>1</v>
      </c>
      <c r="E41" s="1158">
        <v>1</v>
      </c>
      <c r="F41" s="1158">
        <v>1</v>
      </c>
      <c r="G41" s="1158">
        <v>1</v>
      </c>
      <c r="H41" s="1158">
        <v>1</v>
      </c>
      <c r="I41" s="1158">
        <v>1</v>
      </c>
      <c r="J41" s="1306">
        <f t="shared" si="0"/>
        <v>0.9951942788280157</v>
      </c>
      <c r="K41" s="1307">
        <f t="shared" si="1"/>
        <v>0.93173475910294257</v>
      </c>
      <c r="M41" s="1302">
        <f t="shared" si="3"/>
        <v>0.32000000000000012</v>
      </c>
      <c r="N41" s="1287">
        <f t="shared" ref="N41:N59" si="6">WEIBULL(M41,$N$4,$N$5,$N$6)</f>
        <v>0.15445353795437128</v>
      </c>
      <c r="P41" s="1134">
        <v>2025</v>
      </c>
      <c r="Q41" s="1122">
        <f t="shared" si="5"/>
        <v>55043.733333334327</v>
      </c>
      <c r="R41" s="538"/>
      <c r="S41" s="538"/>
      <c r="T41" s="538"/>
      <c r="U41" s="1117">
        <v>100000</v>
      </c>
      <c r="V41" s="538"/>
      <c r="W41" s="538"/>
      <c r="X41" s="538"/>
      <c r="Y41" s="1126">
        <f t="shared" si="4"/>
        <v>156065</v>
      </c>
      <c r="Z41" s="496">
        <f>-1976.3*Table1[[#This Row],[Year]]+4130497.79</f>
        <v>128490.29000000004</v>
      </c>
      <c r="AC41" s="496">
        <v>2025</v>
      </c>
      <c r="AD41" s="1301">
        <f>Table1[[#This Row],[Electricity]]/Table1[[#This Row],[Gasoline]]</f>
        <v>0.35269748715813493</v>
      </c>
      <c r="AE41" s="1301">
        <f>Table1[[#This Row],[Hydrogen]]/Table1[[#This Row],[Gasoline]]</f>
        <v>0.64075865825136957</v>
      </c>
    </row>
    <row r="42" spans="2:32" x14ac:dyDescent="0.2">
      <c r="B42" s="1161">
        <v>2043</v>
      </c>
      <c r="C42" s="1166">
        <v>1</v>
      </c>
      <c r="D42" s="1158">
        <v>1</v>
      </c>
      <c r="E42" s="1158">
        <v>1</v>
      </c>
      <c r="F42" s="1158">
        <v>1</v>
      </c>
      <c r="G42" s="1158">
        <v>1</v>
      </c>
      <c r="H42" s="1158">
        <v>1</v>
      </c>
      <c r="I42" s="1158">
        <v>1</v>
      </c>
      <c r="J42" s="1306">
        <f t="shared" si="0"/>
        <v>0.99732126057789017</v>
      </c>
      <c r="K42" s="1307">
        <f t="shared" si="1"/>
        <v>0.93173475910294257</v>
      </c>
      <c r="M42" s="1302">
        <f t="shared" si="3"/>
        <v>0.33000000000000013</v>
      </c>
      <c r="N42" s="1287">
        <f t="shared" si="6"/>
        <v>0.17283191670766812</v>
      </c>
      <c r="P42" s="1134">
        <v>2026</v>
      </c>
      <c r="Q42" s="1122">
        <f t="shared" si="5"/>
        <v>58797.466666666791</v>
      </c>
      <c r="R42" s="538"/>
      <c r="S42" s="538"/>
      <c r="T42" s="538"/>
      <c r="U42" s="1117">
        <v>100000</v>
      </c>
      <c r="V42" s="538"/>
      <c r="W42" s="538"/>
      <c r="X42" s="538"/>
      <c r="Y42" s="1126">
        <f t="shared" si="4"/>
        <v>156065</v>
      </c>
      <c r="Z42" s="496">
        <f>-1976.3*Table1[[#This Row],[Year]]+4130497.79</f>
        <v>126513.99000000022</v>
      </c>
      <c r="AC42" s="496">
        <v>2026</v>
      </c>
      <c r="AD42" s="1301">
        <f>Table1[[#This Row],[Electricity]]/Table1[[#This Row],[Gasoline]]</f>
        <v>0.37674985849913045</v>
      </c>
      <c r="AE42" s="1301">
        <f>Table1[[#This Row],[Hydrogen]]/Table1[[#This Row],[Gasoline]]</f>
        <v>0.64075865825136957</v>
      </c>
    </row>
    <row r="43" spans="2:32" x14ac:dyDescent="0.2">
      <c r="B43" s="1161">
        <v>2044</v>
      </c>
      <c r="C43" s="1166">
        <v>1</v>
      </c>
      <c r="D43" s="1158">
        <v>1</v>
      </c>
      <c r="E43" s="1158">
        <v>1</v>
      </c>
      <c r="F43" s="1158">
        <v>1</v>
      </c>
      <c r="G43" s="1158">
        <v>1</v>
      </c>
      <c r="H43" s="1158">
        <v>1</v>
      </c>
      <c r="I43" s="1158">
        <v>1</v>
      </c>
      <c r="J43" s="1306">
        <f t="shared" si="0"/>
        <v>0.99857502356180761</v>
      </c>
      <c r="K43" s="1307">
        <f t="shared" si="1"/>
        <v>0.93173475910294257</v>
      </c>
      <c r="M43" s="1302">
        <f t="shared" si="3"/>
        <v>0.34000000000000014</v>
      </c>
      <c r="N43" s="1287">
        <f t="shared" si="6"/>
        <v>0.19250124041164726</v>
      </c>
      <c r="P43" s="1134">
        <v>2027</v>
      </c>
      <c r="Q43" s="1122">
        <f t="shared" si="5"/>
        <v>62551.200000000186</v>
      </c>
      <c r="R43" s="538"/>
      <c r="S43" s="538"/>
      <c r="T43" s="538"/>
      <c r="U43" s="1117">
        <v>100000</v>
      </c>
      <c r="V43" s="538"/>
      <c r="W43" s="538"/>
      <c r="X43" s="538"/>
      <c r="Y43" s="1126">
        <f t="shared" si="4"/>
        <v>156065</v>
      </c>
      <c r="Z43" s="496">
        <f>-1976.3*Table1[[#This Row],[Year]]+4130497.79</f>
        <v>124537.68999999994</v>
      </c>
      <c r="AC43" s="496">
        <v>2027</v>
      </c>
      <c r="AD43" s="1301">
        <f>Table1[[#This Row],[Electricity]]/Table1[[#This Row],[Gasoline]]</f>
        <v>0.40080222984013192</v>
      </c>
      <c r="AE43" s="1301">
        <f>Table1[[#This Row],[Hydrogen]]/Table1[[#This Row],[Gasoline]]</f>
        <v>0.64075865825136957</v>
      </c>
    </row>
    <row r="44" spans="2:32" x14ac:dyDescent="0.2">
      <c r="B44" s="1161">
        <v>2045</v>
      </c>
      <c r="C44" s="1166">
        <v>1</v>
      </c>
      <c r="D44" s="1158">
        <v>1</v>
      </c>
      <c r="E44" s="1158">
        <v>1</v>
      </c>
      <c r="F44" s="1158">
        <v>1</v>
      </c>
      <c r="G44" s="1158">
        <v>1</v>
      </c>
      <c r="H44" s="1158">
        <v>1</v>
      </c>
      <c r="I44" s="1158">
        <v>1</v>
      </c>
      <c r="J44" s="1306">
        <f t="shared" si="0"/>
        <v>0.99949620008360773</v>
      </c>
      <c r="K44" s="1307">
        <f t="shared" si="1"/>
        <v>0.93173475910294257</v>
      </c>
      <c r="M44" s="1302">
        <f t="shared" si="3"/>
        <v>0.35000000000000014</v>
      </c>
      <c r="N44" s="1287">
        <f t="shared" si="6"/>
        <v>0.21345079778654535</v>
      </c>
      <c r="P44" s="1134">
        <v>2028</v>
      </c>
      <c r="Q44" s="1122">
        <f t="shared" si="5"/>
        <v>66304.933333333582</v>
      </c>
      <c r="R44" s="538"/>
      <c r="S44" s="538"/>
      <c r="T44" s="538"/>
      <c r="U44" s="1117">
        <v>100000</v>
      </c>
      <c r="V44" s="538"/>
      <c r="W44" s="538"/>
      <c r="X44" s="538"/>
      <c r="Y44" s="1126">
        <f t="shared" si="4"/>
        <v>156065</v>
      </c>
      <c r="Z44" s="496">
        <f>-1976.3*Table1[[#This Row],[Year]]+4130497.79</f>
        <v>122561.39000000013</v>
      </c>
      <c r="AC44" s="496">
        <v>2028</v>
      </c>
      <c r="AD44" s="1301">
        <f>Table1[[#This Row],[Electricity]]/Table1[[#This Row],[Gasoline]]</f>
        <v>0.42485460118113338</v>
      </c>
      <c r="AE44" s="1301">
        <f>Table1[[#This Row],[Hydrogen]]/Table1[[#This Row],[Gasoline]]</f>
        <v>0.64075865825136957</v>
      </c>
    </row>
    <row r="45" spans="2:32" x14ac:dyDescent="0.2">
      <c r="B45" s="1161">
        <v>2046</v>
      </c>
      <c r="C45" s="1166">
        <v>1</v>
      </c>
      <c r="D45" s="1158">
        <v>1</v>
      </c>
      <c r="E45" s="1158">
        <v>1</v>
      </c>
      <c r="F45" s="1158">
        <v>1</v>
      </c>
      <c r="G45" s="1158">
        <v>1</v>
      </c>
      <c r="H45" s="1158">
        <v>1</v>
      </c>
      <c r="I45" s="1158">
        <v>1</v>
      </c>
      <c r="J45" s="1306">
        <f t="shared" si="0"/>
        <v>0.99976409939337041</v>
      </c>
      <c r="K45" s="1307">
        <f t="shared" si="1"/>
        <v>0.93173475910294257</v>
      </c>
      <c r="M45" s="1302">
        <f t="shared" si="3"/>
        <v>0.36000000000000015</v>
      </c>
      <c r="N45" s="1287">
        <f t="shared" si="6"/>
        <v>0.23565694062183914</v>
      </c>
      <c r="P45" s="1134">
        <v>2029</v>
      </c>
      <c r="Q45" s="1122">
        <f t="shared" si="5"/>
        <v>70058.666666666977</v>
      </c>
      <c r="R45" s="538"/>
      <c r="S45" s="538"/>
      <c r="T45" s="538"/>
      <c r="U45" s="1117">
        <v>100000</v>
      </c>
      <c r="V45" s="538"/>
      <c r="W45" s="538"/>
      <c r="X45" s="538"/>
      <c r="Y45" s="1126">
        <f t="shared" si="4"/>
        <v>156065</v>
      </c>
      <c r="Z45" s="496">
        <f>-1976.3*Table1[[#This Row],[Year]]+4130497.79</f>
        <v>120585.09000000032</v>
      </c>
      <c r="AC45" s="496">
        <v>2029</v>
      </c>
      <c r="AD45" s="1301">
        <f>Table1[[#This Row],[Electricity]]/Table1[[#This Row],[Gasoline]]</f>
        <v>0.44890697252213485</v>
      </c>
      <c r="AE45" s="1301">
        <f>Table1[[#This Row],[Hydrogen]]/Table1[[#This Row],[Gasoline]]</f>
        <v>0.64075865825136957</v>
      </c>
    </row>
    <row r="46" spans="2:32" x14ac:dyDescent="0.2">
      <c r="B46" s="1161">
        <v>2047</v>
      </c>
      <c r="C46" s="1166">
        <v>1</v>
      </c>
      <c r="D46" s="1158">
        <v>1</v>
      </c>
      <c r="E46" s="1158">
        <v>1</v>
      </c>
      <c r="F46" s="1158">
        <v>1</v>
      </c>
      <c r="G46" s="1158">
        <v>1</v>
      </c>
      <c r="H46" s="1158">
        <v>1</v>
      </c>
      <c r="I46" s="1158">
        <v>1</v>
      </c>
      <c r="J46" s="1306">
        <f t="shared" si="0"/>
        <v>0.99993194033152688</v>
      </c>
      <c r="K46" s="1307">
        <f t="shared" si="1"/>
        <v>0.93173475910294257</v>
      </c>
      <c r="M46" s="1302">
        <f t="shared" si="3"/>
        <v>0.37000000000000016</v>
      </c>
      <c r="N46" s="1287">
        <f t="shared" si="6"/>
        <v>0.25908232520512747</v>
      </c>
      <c r="P46" s="1134">
        <v>2030</v>
      </c>
      <c r="Q46" s="1122">
        <f t="shared" si="5"/>
        <v>73812.400000000373</v>
      </c>
      <c r="R46" s="538"/>
      <c r="S46" s="538"/>
      <c r="T46" s="538"/>
      <c r="U46" s="1117">
        <v>100000</v>
      </c>
      <c r="V46" s="538"/>
      <c r="W46" s="538"/>
      <c r="X46" s="538"/>
      <c r="Y46" s="1126">
        <f t="shared" si="4"/>
        <v>156065</v>
      </c>
      <c r="Z46" s="496">
        <f>-1976.3*Table1[[#This Row],[Year]]+4130497.79</f>
        <v>118608.79000000004</v>
      </c>
      <c r="AC46" s="496">
        <v>2030</v>
      </c>
      <c r="AD46" s="1301">
        <f>Table1[[#This Row],[Electricity]]/Table1[[#This Row],[Gasoline]]</f>
        <v>0.47295934386313632</v>
      </c>
      <c r="AE46" s="1301">
        <f>Table1[[#This Row],[Hydrogen]]/Table1[[#This Row],[Gasoline]]</f>
        <v>0.64075865825136957</v>
      </c>
    </row>
    <row r="47" spans="2:32" x14ac:dyDescent="0.2">
      <c r="B47" s="1161">
        <v>2048</v>
      </c>
      <c r="C47" s="1166">
        <v>1</v>
      </c>
      <c r="D47" s="1158">
        <v>1</v>
      </c>
      <c r="E47" s="1158">
        <v>1</v>
      </c>
      <c r="F47" s="1158">
        <v>1</v>
      </c>
      <c r="G47" s="1158">
        <v>1</v>
      </c>
      <c r="H47" s="1158">
        <v>1</v>
      </c>
      <c r="I47" s="1158">
        <v>1</v>
      </c>
      <c r="J47" s="1306">
        <f t="shared" si="0"/>
        <v>0.99997239738380339</v>
      </c>
      <c r="K47" s="1307">
        <f t="shared" si="1"/>
        <v>0.93173475910294257</v>
      </c>
      <c r="M47" s="1302">
        <f t="shared" si="3"/>
        <v>0.38000000000000017</v>
      </c>
      <c r="N47" s="1287">
        <f t="shared" si="6"/>
        <v>0.28367532636244841</v>
      </c>
      <c r="P47" s="1134">
        <v>2031</v>
      </c>
      <c r="Q47" s="1122">
        <f t="shared" si="5"/>
        <v>77566.133333333768</v>
      </c>
      <c r="R47" s="538"/>
      <c r="S47" s="538"/>
      <c r="T47" s="538"/>
      <c r="U47" s="1117">
        <v>100000</v>
      </c>
      <c r="V47" s="538"/>
      <c r="W47" s="538"/>
      <c r="X47" s="538"/>
      <c r="Y47" s="1126">
        <f t="shared" si="4"/>
        <v>156065</v>
      </c>
      <c r="Z47" s="496">
        <f>-1976.3*Table1[[#This Row],[Year]]+4130497.79</f>
        <v>116632.49000000022</v>
      </c>
      <c r="AC47" s="496">
        <v>2031</v>
      </c>
      <c r="AD47" s="1301">
        <f>Table1[[#This Row],[Electricity]]/Table1[[#This Row],[Gasoline]]</f>
        <v>0.49701171520413784</v>
      </c>
      <c r="AE47" s="1301">
        <f>Table1[[#This Row],[Hydrogen]]/Table1[[#This Row],[Gasoline]]</f>
        <v>0.64075865825136957</v>
      </c>
    </row>
    <row r="48" spans="2:32" x14ac:dyDescent="0.2">
      <c r="B48" s="1161">
        <v>2049</v>
      </c>
      <c r="C48" s="1166">
        <v>1</v>
      </c>
      <c r="D48" s="1158">
        <v>1</v>
      </c>
      <c r="E48" s="1158">
        <v>1</v>
      </c>
      <c r="F48" s="1158">
        <v>1</v>
      </c>
      <c r="G48" s="1158">
        <v>1</v>
      </c>
      <c r="H48" s="1158">
        <v>1</v>
      </c>
      <c r="I48" s="1158">
        <v>1</v>
      </c>
      <c r="J48" s="1306">
        <f t="shared" si="0"/>
        <v>0.99998948057868242</v>
      </c>
      <c r="K48" s="1307">
        <f t="shared" si="1"/>
        <v>0.93173475910294257</v>
      </c>
      <c r="M48" s="1302">
        <f t="shared" si="3"/>
        <v>0.39000000000000018</v>
      </c>
      <c r="N48" s="1287">
        <f t="shared" si="6"/>
        <v>0.30936965849496828</v>
      </c>
      <c r="P48" s="1134">
        <v>2032</v>
      </c>
      <c r="Q48" s="1122">
        <f t="shared" si="5"/>
        <v>81319.866666667163</v>
      </c>
      <c r="R48" s="538"/>
      <c r="S48" s="538"/>
      <c r="T48" s="538"/>
      <c r="U48" s="1117">
        <v>100000</v>
      </c>
      <c r="V48" s="538"/>
      <c r="W48" s="538"/>
      <c r="X48" s="538"/>
      <c r="Y48" s="1126">
        <f t="shared" si="4"/>
        <v>156065</v>
      </c>
      <c r="Z48" s="496">
        <f>-1976.3*Table1[[#This Row],[Year]]+4130497.79</f>
        <v>114656.18999999994</v>
      </c>
      <c r="AC48" s="496">
        <v>2032</v>
      </c>
      <c r="AD48" s="1301">
        <f>Table1[[#This Row],[Electricity]]/Table1[[#This Row],[Gasoline]]</f>
        <v>0.52106408654513925</v>
      </c>
      <c r="AE48" s="1301">
        <f>Table1[[#This Row],[Hydrogen]]/Table1[[#This Row],[Gasoline]]</f>
        <v>0.64075865825136957</v>
      </c>
    </row>
    <row r="49" spans="2:31" ht="15" thickBot="1" x14ac:dyDescent="0.25">
      <c r="B49" s="1162">
        <v>2050</v>
      </c>
      <c r="C49" s="1167">
        <v>1</v>
      </c>
      <c r="D49" s="1159">
        <v>1</v>
      </c>
      <c r="E49" s="1159">
        <v>1</v>
      </c>
      <c r="F49" s="1159">
        <v>1</v>
      </c>
      <c r="G49" s="1159">
        <v>1</v>
      </c>
      <c r="H49" s="1159">
        <v>1</v>
      </c>
      <c r="I49" s="1159">
        <v>1</v>
      </c>
      <c r="J49" s="1308">
        <f t="shared" si="0"/>
        <v>0.99999781107499508</v>
      </c>
      <c r="K49" s="1309">
        <f t="shared" si="1"/>
        <v>0.93173475910294257</v>
      </c>
      <c r="M49" s="1302">
        <f t="shared" si="3"/>
        <v>0.40000000000000019</v>
      </c>
      <c r="N49" s="1287">
        <f t="shared" si="6"/>
        <v>0.33608423666452697</v>
      </c>
      <c r="P49" s="1134">
        <v>2033</v>
      </c>
      <c r="Q49" s="1122">
        <f t="shared" si="5"/>
        <v>85073.600000000559</v>
      </c>
      <c r="R49" s="538"/>
      <c r="S49" s="538"/>
      <c r="T49" s="538"/>
      <c r="U49" s="1117">
        <v>100000</v>
      </c>
      <c r="V49" s="538"/>
      <c r="W49" s="538"/>
      <c r="X49" s="538"/>
      <c r="Y49" s="1126">
        <f t="shared" si="4"/>
        <v>156065</v>
      </c>
      <c r="Z49" s="496">
        <f>-1976.3*Table1[[#This Row],[Year]]+4130497.79</f>
        <v>112679.89000000013</v>
      </c>
      <c r="AC49" s="496">
        <v>2033</v>
      </c>
      <c r="AD49" s="1301">
        <f>Table1[[#This Row],[Electricity]]/Table1[[#This Row],[Gasoline]]</f>
        <v>0.54511645788614072</v>
      </c>
      <c r="AE49" s="1301">
        <f>Table1[[#This Row],[Hydrogen]]/Table1[[#This Row],[Gasoline]]</f>
        <v>0.64075865825136957</v>
      </c>
    </row>
    <row r="50" spans="2:31" x14ac:dyDescent="0.2">
      <c r="M50" s="1302">
        <f t="shared" si="3"/>
        <v>0.4100000000000002</v>
      </c>
      <c r="N50" s="1287">
        <f t="shared" si="6"/>
        <v>0.36372330804167707</v>
      </c>
      <c r="P50" s="1134">
        <v>2034</v>
      </c>
      <c r="Q50" s="1122">
        <f t="shared" si="5"/>
        <v>88827.333333333954</v>
      </c>
      <c r="R50" s="538"/>
      <c r="S50" s="538"/>
      <c r="T50" s="538"/>
      <c r="U50" s="1117">
        <v>100000</v>
      </c>
      <c r="V50" s="538"/>
      <c r="W50" s="538"/>
      <c r="X50" s="538"/>
      <c r="Y50" s="1126">
        <f t="shared" si="4"/>
        <v>156065</v>
      </c>
      <c r="Z50" s="496">
        <f>-1976.3*Table1[[#This Row],[Year]]+4130497.79</f>
        <v>110703.59000000032</v>
      </c>
      <c r="AC50" s="496">
        <v>2034</v>
      </c>
      <c r="AD50" s="1301">
        <f>Table1[[#This Row],[Electricity]]/Table1[[#This Row],[Gasoline]]</f>
        <v>0.56916882922714229</v>
      </c>
      <c r="AE50" s="1301">
        <f>Table1[[#This Row],[Hydrogen]]/Table1[[#This Row],[Gasoline]]</f>
        <v>0.64075865825136957</v>
      </c>
    </row>
    <row r="51" spans="2:31" x14ac:dyDescent="0.2">
      <c r="M51" s="1302">
        <f t="shared" si="3"/>
        <v>0.42000000000000021</v>
      </c>
      <c r="N51" s="1287">
        <f t="shared" si="6"/>
        <v>0.39217687976031146</v>
      </c>
      <c r="P51" s="1134">
        <v>2035</v>
      </c>
      <c r="Q51" s="1122">
        <f t="shared" si="5"/>
        <v>92581.06666666735</v>
      </c>
      <c r="R51" s="538"/>
      <c r="S51" s="538"/>
      <c r="T51" s="538"/>
      <c r="U51" s="1117">
        <v>100000</v>
      </c>
      <c r="V51" s="538"/>
      <c r="W51" s="538"/>
      <c r="X51" s="538"/>
      <c r="Y51" s="1126">
        <f t="shared" si="4"/>
        <v>156065</v>
      </c>
      <c r="Z51" s="496">
        <f>-1976.3*Table1[[#This Row],[Year]]+4130497.79</f>
        <v>108727.29000000004</v>
      </c>
      <c r="AC51" s="496">
        <v>2035</v>
      </c>
      <c r="AD51" s="1301">
        <f>Table1[[#This Row],[Electricity]]/Table1[[#This Row],[Gasoline]]</f>
        <v>0.59322120056814376</v>
      </c>
      <c r="AE51" s="1301">
        <f>Table1[[#This Row],[Hydrogen]]/Table1[[#This Row],[Gasoline]]</f>
        <v>0.64075865825136957</v>
      </c>
    </row>
    <row r="52" spans="2:31" x14ac:dyDescent="0.2">
      <c r="M52" s="1302">
        <f t="shared" si="3"/>
        <v>0.43000000000000022</v>
      </c>
      <c r="N52" s="1287">
        <f t="shared" si="6"/>
        <v>0.42132146335212817</v>
      </c>
      <c r="P52" s="1134">
        <v>2036</v>
      </c>
      <c r="Q52" s="1122">
        <f t="shared" si="5"/>
        <v>96334.800000000745</v>
      </c>
      <c r="R52" s="538"/>
      <c r="S52" s="538"/>
      <c r="T52" s="538"/>
      <c r="U52" s="1117">
        <v>100000</v>
      </c>
      <c r="V52" s="538"/>
      <c r="W52" s="538"/>
      <c r="X52" s="538"/>
      <c r="Y52" s="1126">
        <f t="shared" si="4"/>
        <v>156065</v>
      </c>
      <c r="Z52" s="496">
        <f>-1976.3*Table1[[#This Row],[Year]]+4130497.79</f>
        <v>106750.99000000022</v>
      </c>
      <c r="AC52" s="496">
        <v>2036</v>
      </c>
      <c r="AD52" s="1301">
        <f>Table1[[#This Row],[Electricity]]/Table1[[#This Row],[Gasoline]]</f>
        <v>0.61727357190914522</v>
      </c>
      <c r="AE52" s="1301">
        <f>Table1[[#This Row],[Hydrogen]]/Table1[[#This Row],[Gasoline]]</f>
        <v>0.64075865825136957</v>
      </c>
    </row>
    <row r="53" spans="2:31" x14ac:dyDescent="0.2">
      <c r="D53" s="496" t="b">
        <v>1</v>
      </c>
      <c r="M53" s="1302">
        <f t="shared" si="3"/>
        <v>0.44000000000000022</v>
      </c>
      <c r="N53" s="1287">
        <f t="shared" si="6"/>
        <v>0.45102114846019115</v>
      </c>
      <c r="P53" s="1134">
        <v>2037</v>
      </c>
      <c r="Q53" s="1122">
        <f t="shared" si="5"/>
        <v>100088.53333333414</v>
      </c>
      <c r="R53" s="538"/>
      <c r="S53" s="538"/>
      <c r="T53" s="538"/>
      <c r="U53" s="1117">
        <v>100000</v>
      </c>
      <c r="V53" s="538"/>
      <c r="W53" s="538"/>
      <c r="X53" s="538"/>
      <c r="Y53" s="1126">
        <f t="shared" si="4"/>
        <v>156065</v>
      </c>
      <c r="Z53" s="496">
        <f>-1976.3*Table1[[#This Row],[Year]]+4130497.79</f>
        <v>104774.68999999994</v>
      </c>
      <c r="AC53" s="496">
        <v>2037</v>
      </c>
      <c r="AD53" s="1301">
        <f>Table1[[#This Row],[Electricity]]/Table1[[#This Row],[Gasoline]]</f>
        <v>0.64132594325014669</v>
      </c>
      <c r="AE53" s="1301">
        <f>Table1[[#This Row],[Hydrogen]]/Table1[[#This Row],[Gasoline]]</f>
        <v>0.64075865825136957</v>
      </c>
    </row>
    <row r="54" spans="2:31" x14ac:dyDescent="0.2">
      <c r="D54" s="496" t="b">
        <v>0</v>
      </c>
      <c r="M54" s="1302">
        <f t="shared" si="3"/>
        <v>0.45000000000000023</v>
      </c>
      <c r="N54" s="1287">
        <f t="shared" si="6"/>
        <v>0.48112900953454829</v>
      </c>
      <c r="P54" s="1134">
        <v>2038</v>
      </c>
      <c r="Q54" s="1122">
        <f t="shared" si="5"/>
        <v>103842.26666666754</v>
      </c>
      <c r="R54" s="538"/>
      <c r="S54" s="538"/>
      <c r="T54" s="538"/>
      <c r="U54" s="1117">
        <v>100000</v>
      </c>
      <c r="V54" s="538"/>
      <c r="W54" s="538"/>
      <c r="X54" s="538"/>
      <c r="Y54" s="1126">
        <f t="shared" si="4"/>
        <v>156065</v>
      </c>
      <c r="Z54" s="496">
        <f>-1976.3*Table1[[#This Row],[Year]]+4130497.79</f>
        <v>102798.39000000013</v>
      </c>
      <c r="AC54" s="496">
        <v>2038</v>
      </c>
      <c r="AD54" s="1301">
        <f>Table1[[#This Row],[Electricity]]/Table1[[#This Row],[Gasoline]]</f>
        <v>0.66537831459114816</v>
      </c>
      <c r="AE54" s="1301">
        <f>Table1[[#This Row],[Hydrogen]]/Table1[[#This Row],[Gasoline]]</f>
        <v>0.64075865825136957</v>
      </c>
    </row>
    <row r="55" spans="2:31" x14ac:dyDescent="0.2">
      <c r="M55" s="1302">
        <f t="shared" si="3"/>
        <v>0.46000000000000024</v>
      </c>
      <c r="N55" s="1287">
        <f t="shared" si="6"/>
        <v>0.51148883886909147</v>
      </c>
      <c r="P55" s="1134">
        <v>2039</v>
      </c>
      <c r="Q55" s="1122">
        <f t="shared" si="5"/>
        <v>107596.00000000093</v>
      </c>
      <c r="R55" s="538"/>
      <c r="S55" s="538"/>
      <c r="T55" s="538"/>
      <c r="U55" s="1117">
        <v>100000</v>
      </c>
      <c r="V55" s="538"/>
      <c r="W55" s="538"/>
      <c r="X55" s="538"/>
      <c r="Y55" s="1126">
        <f t="shared" si="4"/>
        <v>156065</v>
      </c>
      <c r="Z55" s="496">
        <f>-1976.3*Table1[[#This Row],[Year]]+4130497.79</f>
        <v>100822.09000000032</v>
      </c>
      <c r="AC55" s="496">
        <v>2039</v>
      </c>
      <c r="AD55" s="1301">
        <f>Table1[[#This Row],[Electricity]]/Table1[[#This Row],[Gasoline]]</f>
        <v>0.68943068593214962</v>
      </c>
      <c r="AE55" s="1301">
        <f>Table1[[#This Row],[Hydrogen]]/Table1[[#This Row],[Gasoline]]</f>
        <v>0.64075865825136957</v>
      </c>
    </row>
    <row r="56" spans="2:31" x14ac:dyDescent="0.2">
      <c r="M56" s="1302">
        <f t="shared" si="3"/>
        <v>0.47000000000000025</v>
      </c>
      <c r="N56" s="1287">
        <f t="shared" si="6"/>
        <v>0.54193718792371426</v>
      </c>
      <c r="P56" s="1134">
        <v>2040</v>
      </c>
      <c r="Q56" s="1122">
        <f t="shared" si="5"/>
        <v>111349.73333333433</v>
      </c>
      <c r="R56" s="538"/>
      <c r="S56" s="538"/>
      <c r="T56" s="538"/>
      <c r="U56" s="1117">
        <v>100000</v>
      </c>
      <c r="V56" s="538"/>
      <c r="W56" s="538"/>
      <c r="X56" s="538"/>
      <c r="Y56" s="1126">
        <f t="shared" si="4"/>
        <v>156065</v>
      </c>
      <c r="Z56" s="496">
        <f>-1976.3*Table1[[#This Row],[Year]]+4130497.79</f>
        <v>98845.790000000037</v>
      </c>
      <c r="AC56" s="496">
        <v>2040</v>
      </c>
      <c r="AD56" s="1301">
        <f>Table1[[#This Row],[Electricity]]/Table1[[#This Row],[Gasoline]]</f>
        <v>0.71348305727315109</v>
      </c>
      <c r="AE56" s="1301">
        <f>Table1[[#This Row],[Hydrogen]]/Table1[[#This Row],[Gasoline]]</f>
        <v>0.64075865825136957</v>
      </c>
    </row>
    <row r="57" spans="2:31" x14ac:dyDescent="0.2">
      <c r="M57" s="1302">
        <f t="shared" si="3"/>
        <v>0.48000000000000026</v>
      </c>
      <c r="N57" s="1287">
        <f t="shared" si="6"/>
        <v>0.57230568676862981</v>
      </c>
      <c r="P57" s="1134">
        <v>2041</v>
      </c>
      <c r="Q57" s="1122">
        <f t="shared" si="5"/>
        <v>115103.46666666679</v>
      </c>
      <c r="R57" s="1125"/>
      <c r="S57" s="1125"/>
      <c r="T57" s="1125"/>
      <c r="U57" s="1117">
        <v>100000</v>
      </c>
      <c r="V57" s="1125"/>
      <c r="W57" s="1125"/>
      <c r="X57" s="1125"/>
      <c r="Y57" s="1126">
        <f t="shared" si="4"/>
        <v>156065</v>
      </c>
      <c r="Z57" s="496">
        <f>-1976.3*Table1[[#This Row],[Year]]+4130497.79</f>
        <v>96869.490000000224</v>
      </c>
      <c r="AC57" s="496">
        <v>2041</v>
      </c>
      <c r="AD57" s="1301">
        <f>Table1[[#This Row],[Electricity]]/Table1[[#This Row],[Gasoline]]</f>
        <v>0.73753542861414656</v>
      </c>
      <c r="AE57" s="1301">
        <f>Table1[[#This Row],[Hydrogen]]/Table1[[#This Row],[Gasoline]]</f>
        <v>0.64075865825136957</v>
      </c>
    </row>
    <row r="58" spans="2:31" x14ac:dyDescent="0.2">
      <c r="M58" s="1302">
        <f t="shared" si="3"/>
        <v>0.49000000000000027</v>
      </c>
      <c r="N58" s="1287">
        <f t="shared" si="6"/>
        <v>0.60242359916581223</v>
      </c>
      <c r="P58" s="1134">
        <v>2042</v>
      </c>
      <c r="Q58" s="1122">
        <f t="shared" si="5"/>
        <v>118857.20000000019</v>
      </c>
      <c r="R58" s="1125"/>
      <c r="S58" s="1125"/>
      <c r="T58" s="1125"/>
      <c r="U58" s="1117">
        <v>100000</v>
      </c>
      <c r="V58" s="1125"/>
      <c r="W58" s="1125"/>
      <c r="X58" s="1125"/>
      <c r="Y58" s="1126">
        <f t="shared" si="4"/>
        <v>156065</v>
      </c>
      <c r="Z58" s="496">
        <f>-1976.3*Table1[[#This Row],[Year]]+4130497.79</f>
        <v>94893.189999999944</v>
      </c>
      <c r="AC58" s="496">
        <v>2042</v>
      </c>
      <c r="AD58" s="1301">
        <f>Table1[[#This Row],[Electricity]]/Table1[[#This Row],[Gasoline]]</f>
        <v>0.76158779995514814</v>
      </c>
      <c r="AE58" s="1301">
        <f>Table1[[#This Row],[Hydrogen]]/Table1[[#This Row],[Gasoline]]</f>
        <v>0.64075865825136957</v>
      </c>
    </row>
    <row r="59" spans="2:31" x14ac:dyDescent="0.2">
      <c r="M59" s="1302">
        <f t="shared" si="3"/>
        <v>0.50000000000000022</v>
      </c>
      <c r="N59" s="1287">
        <f t="shared" si="6"/>
        <v>0.63212055882855833</v>
      </c>
      <c r="P59" s="1134">
        <v>2043</v>
      </c>
      <c r="Q59" s="1122">
        <f t="shared" si="5"/>
        <v>122610.93333333358</v>
      </c>
      <c r="R59" s="1125"/>
      <c r="S59" s="1125"/>
      <c r="T59" s="1125"/>
      <c r="U59" s="1117">
        <v>100000</v>
      </c>
      <c r="V59" s="1125"/>
      <c r="W59" s="1125"/>
      <c r="X59" s="1125"/>
      <c r="Y59" s="1126">
        <f t="shared" si="4"/>
        <v>156065</v>
      </c>
      <c r="Z59" s="496">
        <f>-1976.3*Table1[[#This Row],[Year]]+4130497.79</f>
        <v>92916.89000000013</v>
      </c>
      <c r="AC59" s="496">
        <v>2043</v>
      </c>
      <c r="AD59" s="1301">
        <f>Table1[[#This Row],[Electricity]]/Table1[[#This Row],[Gasoline]]</f>
        <v>0.7856401712961496</v>
      </c>
      <c r="AE59" s="1301">
        <f>Table1[[#This Row],[Hydrogen]]/Table1[[#This Row],[Gasoline]]</f>
        <v>0.64075865825136957</v>
      </c>
    </row>
    <row r="60" spans="2:31" x14ac:dyDescent="0.2">
      <c r="M60" s="1302">
        <f t="shared" si="3"/>
        <v>0.51000000000000023</v>
      </c>
      <c r="N60" s="1287">
        <f t="shared" ref="N60:N109" si="7">WEIBULL(M60,$N$4,$N$5,$N$6)</f>
        <v>0.66122942140045338</v>
      </c>
      <c r="P60" s="1134">
        <v>2044</v>
      </c>
      <c r="Q60" s="1122">
        <f t="shared" si="5"/>
        <v>126364.66666666698</v>
      </c>
      <c r="R60" s="1125"/>
      <c r="S60" s="1125"/>
      <c r="T60" s="1125"/>
      <c r="U60" s="1117">
        <v>100000</v>
      </c>
      <c r="V60" s="1125"/>
      <c r="W60" s="1125"/>
      <c r="X60" s="1125"/>
      <c r="Y60" s="1126">
        <f t="shared" si="4"/>
        <v>156065</v>
      </c>
      <c r="Z60" s="496">
        <f>-1976.3*Table1[[#This Row],[Year]]+4130497.79</f>
        <v>90940.590000000317</v>
      </c>
      <c r="AC60" s="496">
        <v>2044</v>
      </c>
      <c r="AD60" s="1301">
        <f>Table1[[#This Row],[Electricity]]/Table1[[#This Row],[Gasoline]]</f>
        <v>0.80969254263715107</v>
      </c>
      <c r="AE60" s="1301">
        <f>Table1[[#This Row],[Hydrogen]]/Table1[[#This Row],[Gasoline]]</f>
        <v>0.64075865825136957</v>
      </c>
    </row>
    <row r="61" spans="2:31" x14ac:dyDescent="0.2">
      <c r="M61" s="1302">
        <f t="shared" si="3"/>
        <v>0.52000000000000024</v>
      </c>
      <c r="N61" s="1287">
        <f t="shared" si="7"/>
        <v>0.68958915732970893</v>
      </c>
      <c r="P61" s="1134">
        <v>2045</v>
      </c>
      <c r="Q61" s="1122">
        <f t="shared" si="5"/>
        <v>130118.40000000037</v>
      </c>
      <c r="R61" s="1125"/>
      <c r="S61" s="1125"/>
      <c r="T61" s="1125"/>
      <c r="U61" s="1117">
        <v>100000</v>
      </c>
      <c r="V61" s="1125"/>
      <c r="W61" s="1125"/>
      <c r="X61" s="1125"/>
      <c r="Y61" s="1126">
        <f t="shared" si="4"/>
        <v>156065</v>
      </c>
      <c r="Z61" s="496">
        <f>-1976.3*Table1[[#This Row],[Year]]+4130497.79</f>
        <v>88964.290000000037</v>
      </c>
      <c r="AC61" s="496">
        <v>2045</v>
      </c>
      <c r="AD61" s="1301">
        <f>Table1[[#This Row],[Electricity]]/Table1[[#This Row],[Gasoline]]</f>
        <v>0.83374491397815254</v>
      </c>
      <c r="AE61" s="1301">
        <f>Table1[[#This Row],[Hydrogen]]/Table1[[#This Row],[Gasoline]]</f>
        <v>0.64075865825136957</v>
      </c>
    </row>
    <row r="62" spans="2:31" x14ac:dyDescent="0.2">
      <c r="M62" s="1302">
        <f t="shared" si="3"/>
        <v>0.53000000000000025</v>
      </c>
      <c r="N62" s="1287">
        <f t="shared" si="7"/>
        <v>0.71704770374006288</v>
      </c>
      <c r="P62" s="1134">
        <v>2046</v>
      </c>
      <c r="Q62" s="1122">
        <f t="shared" si="5"/>
        <v>133872.13333333377</v>
      </c>
      <c r="R62" s="1125"/>
      <c r="S62" s="1125"/>
      <c r="T62" s="1125"/>
      <c r="U62" s="1117">
        <v>100000</v>
      </c>
      <c r="V62" s="1125"/>
      <c r="W62" s="1125"/>
      <c r="X62" s="1125"/>
      <c r="Y62" s="1126">
        <f t="shared" si="4"/>
        <v>156065</v>
      </c>
      <c r="Z62" s="496">
        <f>-1976.3*Table1[[#This Row],[Year]]+4130497.79</f>
        <v>86987.990000000224</v>
      </c>
      <c r="AC62" s="496">
        <v>2046</v>
      </c>
      <c r="AD62" s="1301">
        <f>Table1[[#This Row],[Electricity]]/Table1[[#This Row],[Gasoline]]</f>
        <v>0.857797285319154</v>
      </c>
      <c r="AE62" s="1301">
        <f>Table1[[#This Row],[Hydrogen]]/Table1[[#This Row],[Gasoline]]</f>
        <v>0.64075865825136957</v>
      </c>
    </row>
    <row r="63" spans="2:31" x14ac:dyDescent="0.2">
      <c r="M63" s="1302">
        <f t="shared" si="3"/>
        <v>0.54000000000000026</v>
      </c>
      <c r="N63" s="1287">
        <f t="shared" si="7"/>
        <v>0.74346468922347331</v>
      </c>
      <c r="P63" s="1134">
        <v>2047</v>
      </c>
      <c r="Q63" s="1122">
        <f t="shared" si="5"/>
        <v>137625.86666666716</v>
      </c>
      <c r="R63" s="1125"/>
      <c r="S63" s="1125"/>
      <c r="T63" s="1125"/>
      <c r="U63" s="1117">
        <v>100000</v>
      </c>
      <c r="V63" s="1125"/>
      <c r="W63" s="1125"/>
      <c r="X63" s="1125"/>
      <c r="Y63" s="1126">
        <f t="shared" si="4"/>
        <v>156065</v>
      </c>
      <c r="Z63" s="496">
        <f>-1976.3*Table1[[#This Row],[Year]]+4130497.79</f>
        <v>85011.689999999944</v>
      </c>
      <c r="AC63" s="496">
        <v>2047</v>
      </c>
      <c r="AD63" s="1301">
        <f>Table1[[#This Row],[Electricity]]/Table1[[#This Row],[Gasoline]]</f>
        <v>0.88184965666015547</v>
      </c>
      <c r="AE63" s="1301">
        <f>Table1[[#This Row],[Hydrogen]]/Table1[[#This Row],[Gasoline]]</f>
        <v>0.64075865825136957</v>
      </c>
    </row>
    <row r="64" spans="2:31" x14ac:dyDescent="0.2">
      <c r="M64" s="1302">
        <f t="shared" si="3"/>
        <v>0.55000000000000027</v>
      </c>
      <c r="N64" s="1287">
        <f t="shared" si="7"/>
        <v>0.768713944715672</v>
      </c>
      <c r="P64" s="1134">
        <v>2048</v>
      </c>
      <c r="Q64" s="1122">
        <f t="shared" si="5"/>
        <v>141379.60000000056</v>
      </c>
      <c r="R64" s="1125"/>
      <c r="S64" s="1125"/>
      <c r="T64" s="1125"/>
      <c r="U64" s="1117">
        <v>100000</v>
      </c>
      <c r="V64" s="1125"/>
      <c r="W64" s="1125"/>
      <c r="X64" s="1125"/>
      <c r="Y64" s="1126">
        <f t="shared" si="4"/>
        <v>156065</v>
      </c>
      <c r="Z64" s="496">
        <f>-1976.3*Table1[[#This Row],[Year]]+4130497.79</f>
        <v>83035.39000000013</v>
      </c>
      <c r="AC64" s="496">
        <v>2048</v>
      </c>
      <c r="AD64" s="1301">
        <f>Table1[[#This Row],[Electricity]]/Table1[[#This Row],[Gasoline]]</f>
        <v>0.90590202800115693</v>
      </c>
      <c r="AE64" s="1301">
        <f>Table1[[#This Row],[Hydrogen]]/Table1[[#This Row],[Gasoline]]</f>
        <v>0.64075865825136957</v>
      </c>
    </row>
    <row r="65" spans="13:31" x14ac:dyDescent="0.2">
      <c r="M65" s="1302">
        <f t="shared" si="3"/>
        <v>0.56000000000000028</v>
      </c>
      <c r="N65" s="1287">
        <f t="shared" si="7"/>
        <v>0.79268571663322196</v>
      </c>
      <c r="P65" s="1134">
        <v>2049</v>
      </c>
      <c r="Q65" s="1122">
        <f t="shared" si="5"/>
        <v>145133.33333333395</v>
      </c>
      <c r="R65" s="1125"/>
      <c r="S65" s="1125"/>
      <c r="T65" s="1125"/>
      <c r="U65" s="1117">
        <v>100000</v>
      </c>
      <c r="V65" s="1125"/>
      <c r="W65" s="1125"/>
      <c r="X65" s="1125"/>
      <c r="Y65" s="1126">
        <f t="shared" si="4"/>
        <v>156065</v>
      </c>
      <c r="Z65" s="496">
        <f>-1976.3*Table1[[#This Row],[Year]]+4130497.79</f>
        <v>81059.090000000317</v>
      </c>
      <c r="AC65" s="496">
        <v>2049</v>
      </c>
      <c r="AD65" s="1301">
        <f>Table1[[#This Row],[Electricity]]/Table1[[#This Row],[Gasoline]]</f>
        <v>0.9299543993421584</v>
      </c>
      <c r="AE65" s="1301">
        <f>Table1[[#This Row],[Hydrogen]]/Table1[[#This Row],[Gasoline]]</f>
        <v>0.64075865825136957</v>
      </c>
    </row>
    <row r="66" spans="13:31" x14ac:dyDescent="0.2">
      <c r="M66" s="1302">
        <f t="shared" si="3"/>
        <v>0.57000000000000028</v>
      </c>
      <c r="N66" s="1287">
        <f t="shared" si="7"/>
        <v>0.81528850543313935</v>
      </c>
      <c r="P66" s="1134">
        <v>2050</v>
      </c>
      <c r="Q66" s="1122">
        <f t="shared" si="5"/>
        <v>148887.06666666735</v>
      </c>
      <c r="R66" s="1125"/>
      <c r="S66" s="1125"/>
      <c r="T66" s="1125"/>
      <c r="U66" s="1117">
        <v>100000</v>
      </c>
      <c r="V66" s="1125"/>
      <c r="W66" s="1125"/>
      <c r="X66" s="1125"/>
      <c r="Y66" s="1126">
        <f t="shared" si="4"/>
        <v>156065</v>
      </c>
      <c r="Z66" s="496">
        <f>-1976.3*Table1[[#This Row],[Year]]+4130497.79</f>
        <v>79082.790000000037</v>
      </c>
      <c r="AC66" s="496">
        <v>2050</v>
      </c>
      <c r="AD66" s="1301">
        <f>Table1[[#This Row],[Electricity]]/Table1[[#This Row],[Gasoline]]</f>
        <v>0.95400677068315987</v>
      </c>
      <c r="AE66" s="1301">
        <f>Table1[[#This Row],[Hydrogen]]/Table1[[#This Row],[Gasoline]]</f>
        <v>0.64075865825136957</v>
      </c>
    </row>
    <row r="67" spans="13:31" x14ac:dyDescent="0.2">
      <c r="M67" s="1302">
        <f t="shared" si="3"/>
        <v>0.58000000000000029</v>
      </c>
      <c r="N67" s="1287">
        <f t="shared" si="7"/>
        <v>0.83645046366396225</v>
      </c>
      <c r="P67" s="1135"/>
      <c r="Q67"/>
      <c r="R67"/>
      <c r="S67"/>
      <c r="T67"/>
      <c r="U67"/>
      <c r="V67"/>
      <c r="W67"/>
      <c r="X67"/>
    </row>
    <row r="68" spans="13:31" x14ac:dyDescent="0.2">
      <c r="M68" s="1302">
        <f t="shared" si="3"/>
        <v>0.5900000000000003</v>
      </c>
      <c r="N68" s="1287">
        <f t="shared" si="7"/>
        <v>0.85612030212542312</v>
      </c>
      <c r="P68" s="1135"/>
      <c r="Q68"/>
      <c r="R68"/>
      <c r="S68"/>
      <c r="T68"/>
      <c r="U68"/>
      <c r="V68"/>
      <c r="W68"/>
      <c r="X68"/>
    </row>
    <row r="69" spans="13:31" x14ac:dyDescent="0.2">
      <c r="M69" s="1302">
        <f t="shared" si="3"/>
        <v>0.60000000000000031</v>
      </c>
      <c r="N69" s="1287">
        <f t="shared" si="7"/>
        <v>0.87426767040557263</v>
      </c>
      <c r="P69" s="1135"/>
      <c r="Q69"/>
      <c r="R69"/>
      <c r="S69"/>
      <c r="T69"/>
      <c r="U69"/>
      <c r="V69"/>
      <c r="W69"/>
      <c r="X69"/>
    </row>
    <row r="70" spans="13:31" x14ac:dyDescent="0.2">
      <c r="M70" s="1302">
        <f t="shared" si="3"/>
        <v>0.61000000000000032</v>
      </c>
      <c r="N70" s="1287">
        <f t="shared" si="7"/>
        <v>0.89088299804314675</v>
      </c>
      <c r="P70"/>
      <c r="Q70"/>
      <c r="R70"/>
      <c r="S70"/>
      <c r="T70"/>
      <c r="U70"/>
      <c r="V70"/>
      <c r="W70"/>
      <c r="X70"/>
      <c r="Y70"/>
      <c r="Z70"/>
    </row>
    <row r="71" spans="13:31" x14ac:dyDescent="0.2">
      <c r="M71" s="1302">
        <f t="shared" si="3"/>
        <v>0.62000000000000033</v>
      </c>
      <c r="N71" s="1287">
        <f t="shared" si="7"/>
        <v>0.90597680388751134</v>
      </c>
      <c r="P71"/>
      <c r="Q71" t="s">
        <v>332</v>
      </c>
      <c r="R71"/>
      <c r="S71"/>
      <c r="T71"/>
      <c r="U71"/>
      <c r="V71"/>
      <c r="W71"/>
      <c r="X71"/>
      <c r="Y71"/>
      <c r="Z71"/>
    </row>
    <row r="72" spans="13:31" ht="15" thickBot="1" x14ac:dyDescent="0.25">
      <c r="M72" s="1302">
        <f t="shared" si="3"/>
        <v>0.63000000000000034</v>
      </c>
      <c r="N72" s="1287">
        <f t="shared" si="7"/>
        <v>0.91957850276566688</v>
      </c>
      <c r="P72"/>
      <c r="Q72"/>
      <c r="R72"/>
      <c r="S72"/>
      <c r="T72"/>
      <c r="U72"/>
      <c r="V72"/>
      <c r="W72"/>
      <c r="X72"/>
      <c r="Y72"/>
      <c r="Z72"/>
    </row>
    <row r="73" spans="13:31" x14ac:dyDescent="0.2">
      <c r="M73" s="1302">
        <f t="shared" si="3"/>
        <v>0.64000000000000035</v>
      </c>
      <c r="N73" s="1287">
        <f t="shared" si="7"/>
        <v>0.93173475910294257</v>
      </c>
      <c r="P73"/>
      <c r="Q73" s="1282" t="s">
        <v>333</v>
      </c>
      <c r="R73" s="1282"/>
      <c r="S73"/>
      <c r="T73"/>
      <c r="U73"/>
      <c r="V73"/>
      <c r="W73"/>
      <c r="X73"/>
      <c r="Y73"/>
      <c r="Z73"/>
    </row>
    <row r="74" spans="13:31" x14ac:dyDescent="0.2">
      <c r="M74" s="1302">
        <f t="shared" si="3"/>
        <v>0.65000000000000036</v>
      </c>
      <c r="N74" s="1287">
        <f t="shared" si="7"/>
        <v>0.94250745547383585</v>
      </c>
      <c r="P74"/>
      <c r="Q74" s="1281" t="s">
        <v>334</v>
      </c>
      <c r="R74" s="1281">
        <v>0.99449967320782939</v>
      </c>
      <c r="S74"/>
      <c r="T74"/>
      <c r="U74"/>
      <c r="V74"/>
      <c r="W74"/>
      <c r="X74"/>
      <c r="Y74"/>
      <c r="Z74"/>
    </row>
    <row r="75" spans="13:31" x14ac:dyDescent="0.2">
      <c r="M75" s="1302">
        <f t="shared" si="3"/>
        <v>0.66000000000000036</v>
      </c>
      <c r="N75" s="1287">
        <f t="shared" si="7"/>
        <v>0.95197135907101305</v>
      </c>
      <c r="P75"/>
      <c r="Q75" s="1281" t="s">
        <v>335</v>
      </c>
      <c r="R75" s="1281">
        <v>0.98902960001047946</v>
      </c>
      <c r="S75"/>
      <c r="T75"/>
      <c r="U75"/>
      <c r="V75"/>
      <c r="W75"/>
      <c r="X75"/>
      <c r="Y75"/>
      <c r="Z75"/>
    </row>
    <row r="76" spans="13:31" x14ac:dyDescent="0.2">
      <c r="M76" s="1302">
        <f t="shared" ref="M76:M109" si="8">M75+0.01</f>
        <v>0.67000000000000037</v>
      </c>
      <c r="N76" s="1287">
        <f t="shared" si="7"/>
        <v>0.96021157984875782</v>
      </c>
      <c r="P76"/>
      <c r="Q76" s="1281" t="s">
        <v>336</v>
      </c>
      <c r="R76" s="1281">
        <v>0.98720120001222611</v>
      </c>
      <c r="S76"/>
      <c r="T76"/>
      <c r="U76"/>
      <c r="V76"/>
      <c r="W76"/>
      <c r="X76"/>
      <c r="Y76"/>
      <c r="Z76"/>
    </row>
    <row r="77" spans="13:31" x14ac:dyDescent="0.2">
      <c r="M77" s="1302">
        <f t="shared" si="8"/>
        <v>0.68000000000000038</v>
      </c>
      <c r="N77" s="1287">
        <f t="shared" si="7"/>
        <v>0.96732091996204717</v>
      </c>
      <c r="P77"/>
      <c r="Q77" s="1281" t="s">
        <v>337</v>
      </c>
      <c r="R77" s="1281">
        <v>1099.8062500724445</v>
      </c>
      <c r="S77"/>
      <c r="T77"/>
      <c r="U77"/>
      <c r="V77"/>
      <c r="W77"/>
      <c r="X77"/>
      <c r="Y77"/>
      <c r="Z77"/>
    </row>
    <row r="78" spans="13:31" ht="15" thickBot="1" x14ac:dyDescent="0.25">
      <c r="M78" s="1302">
        <f t="shared" si="8"/>
        <v>0.69000000000000039</v>
      </c>
      <c r="N78" s="1287">
        <f t="shared" si="7"/>
        <v>0.97339721474921714</v>
      </c>
      <c r="P78"/>
      <c r="Q78" s="1279" t="s">
        <v>338</v>
      </c>
      <c r="R78" s="1279">
        <v>8</v>
      </c>
      <c r="S78"/>
      <c r="T78"/>
      <c r="U78"/>
      <c r="V78"/>
      <c r="W78"/>
      <c r="X78"/>
      <c r="Y78"/>
      <c r="Z78"/>
    </row>
    <row r="79" spans="13:31" x14ac:dyDescent="0.2">
      <c r="M79" s="1302">
        <f t="shared" si="8"/>
        <v>0.7000000000000004</v>
      </c>
      <c r="N79" s="1287">
        <f t="shared" si="7"/>
        <v>0.97854076091991982</v>
      </c>
      <c r="P79"/>
      <c r="Q79"/>
      <c r="R79"/>
      <c r="S79"/>
      <c r="T79"/>
      <c r="U79"/>
      <c r="V79"/>
      <c r="W79"/>
      <c r="X79"/>
      <c r="Y79"/>
      <c r="Z79"/>
    </row>
    <row r="80" spans="13:31" ht="15" thickBot="1" x14ac:dyDescent="0.25">
      <c r="M80" s="1302">
        <f t="shared" si="8"/>
        <v>0.71000000000000041</v>
      </c>
      <c r="N80" s="1287">
        <f t="shared" si="7"/>
        <v>0.9828519181996197</v>
      </c>
      <c r="P80"/>
      <c r="Q80" t="s">
        <v>339</v>
      </c>
      <c r="R80"/>
      <c r="S80"/>
      <c r="T80"/>
      <c r="U80"/>
      <c r="V80"/>
      <c r="W80"/>
      <c r="X80"/>
      <c r="Y80"/>
      <c r="Z80"/>
    </row>
    <row r="81" spans="13:26" x14ac:dyDescent="0.2">
      <c r="M81" s="1302">
        <f t="shared" si="8"/>
        <v>0.72000000000000042</v>
      </c>
      <c r="N81" s="1287">
        <f t="shared" si="7"/>
        <v>0.98642895717144563</v>
      </c>
      <c r="P81"/>
      <c r="Q81" s="1280"/>
      <c r="R81" s="1280" t="s">
        <v>343</v>
      </c>
      <c r="S81" s="1280" t="s">
        <v>344</v>
      </c>
      <c r="T81" s="1280" t="s">
        <v>345</v>
      </c>
      <c r="U81" s="1280" t="s">
        <v>346</v>
      </c>
      <c r="V81" s="1280" t="s">
        <v>347</v>
      </c>
      <c r="W81"/>
      <c r="X81"/>
      <c r="Y81"/>
      <c r="Z81"/>
    </row>
    <row r="82" spans="13:26" x14ac:dyDescent="0.2">
      <c r="M82" s="1302">
        <f t="shared" si="8"/>
        <v>0.73000000000000043</v>
      </c>
      <c r="N82" s="1287">
        <f t="shared" si="7"/>
        <v>0.98936620944626497</v>
      </c>
      <c r="P82"/>
      <c r="Q82" s="1281" t="s">
        <v>340</v>
      </c>
      <c r="R82" s="1281">
        <v>1</v>
      </c>
      <c r="S82" s="1281">
        <v>654290243.14880955</v>
      </c>
      <c r="T82" s="1281">
        <v>654290243.14880955</v>
      </c>
      <c r="U82" s="1281">
        <v>540.92627486066692</v>
      </c>
      <c r="V82" s="1281">
        <v>4.1429738325697967E-7</v>
      </c>
      <c r="W82"/>
      <c r="X82"/>
      <c r="Y82"/>
      <c r="Z82"/>
    </row>
    <row r="83" spans="13:26" x14ac:dyDescent="0.2">
      <c r="M83" s="1302">
        <f t="shared" si="8"/>
        <v>0.74000000000000044</v>
      </c>
      <c r="N83" s="1287">
        <f t="shared" si="7"/>
        <v>0.99175255777467719</v>
      </c>
      <c r="P83"/>
      <c r="Q83" s="1281" t="s">
        <v>341</v>
      </c>
      <c r="R83" s="1281">
        <v>6</v>
      </c>
      <c r="S83" s="1281">
        <v>7257442.7261904757</v>
      </c>
      <c r="T83" s="1281">
        <v>1209573.7876984125</v>
      </c>
      <c r="U83" s="1281"/>
      <c r="V83" s="1281"/>
      <c r="W83"/>
      <c r="X83"/>
      <c r="Y83"/>
      <c r="Z83"/>
    </row>
    <row r="84" spans="13:26" ht="15" thickBot="1" x14ac:dyDescent="0.25">
      <c r="M84" s="1302">
        <f t="shared" si="8"/>
        <v>0.75000000000000044</v>
      </c>
      <c r="N84" s="1287">
        <f t="shared" si="7"/>
        <v>0.99367028457251438</v>
      </c>
      <c r="P84"/>
      <c r="Q84" s="1279" t="s">
        <v>18</v>
      </c>
      <c r="R84" s="1279">
        <v>7</v>
      </c>
      <c r="S84" s="1279">
        <v>661547685.875</v>
      </c>
      <c r="T84" s="1279"/>
      <c r="U84" s="1279"/>
      <c r="V84" s="1279"/>
      <c r="W84"/>
      <c r="X84"/>
      <c r="Y84"/>
      <c r="Z84"/>
    </row>
    <row r="85" spans="13:26" ht="15" thickBot="1" x14ac:dyDescent="0.25">
      <c r="M85" s="1302">
        <f t="shared" si="8"/>
        <v>0.76000000000000045</v>
      </c>
      <c r="N85" s="1287">
        <f t="shared" si="7"/>
        <v>0.9951942788280157</v>
      </c>
      <c r="P85"/>
      <c r="Q85"/>
      <c r="R85"/>
      <c r="S85"/>
      <c r="T85"/>
      <c r="U85"/>
      <c r="V85"/>
      <c r="W85"/>
      <c r="X85"/>
      <c r="Y85"/>
      <c r="Z85"/>
    </row>
    <row r="86" spans="13:26" x14ac:dyDescent="0.2">
      <c r="M86" s="1302">
        <f t="shared" si="8"/>
        <v>0.77000000000000046</v>
      </c>
      <c r="N86" s="1287">
        <f t="shared" si="7"/>
        <v>0.9963915846347442</v>
      </c>
      <c r="P86"/>
      <c r="Q86" s="1280"/>
      <c r="R86" s="1280" t="s">
        <v>348</v>
      </c>
      <c r="S86" s="1280" t="s">
        <v>337</v>
      </c>
      <c r="T86" s="1280" t="s">
        <v>349</v>
      </c>
      <c r="U86" s="1280" t="s">
        <v>350</v>
      </c>
      <c r="V86" s="1280" t="s">
        <v>351</v>
      </c>
      <c r="W86" s="1280" t="s">
        <v>352</v>
      </c>
      <c r="X86" s="1280" t="s">
        <v>353</v>
      </c>
      <c r="Y86" s="1280" t="s">
        <v>354</v>
      </c>
      <c r="Z86"/>
    </row>
    <row r="87" spans="13:26" x14ac:dyDescent="0.2">
      <c r="M87" s="1302">
        <f t="shared" si="8"/>
        <v>0.78000000000000047</v>
      </c>
      <c r="N87" s="1287">
        <f t="shared" si="7"/>
        <v>0.99732126057789017</v>
      </c>
      <c r="P87"/>
      <c r="Q87" s="1281" t="s">
        <v>342</v>
      </c>
      <c r="R87" s="1281">
        <v>-7935707.4642857136</v>
      </c>
      <c r="S87" s="1281">
        <v>341868.5034598693</v>
      </c>
      <c r="T87" s="1281">
        <v>-23.212748129683312</v>
      </c>
      <c r="U87" s="1281">
        <v>4.1910075053613936E-7</v>
      </c>
      <c r="V87" s="1281">
        <v>-8772229.5569348633</v>
      </c>
      <c r="W87" s="1281">
        <v>-7099185.3716365639</v>
      </c>
      <c r="X87" s="1281">
        <v>-8772229.5569348633</v>
      </c>
      <c r="Y87" s="1281">
        <v>-7099185.3716365639</v>
      </c>
      <c r="Z87"/>
    </row>
    <row r="88" spans="13:26" ht="15" thickBot="1" x14ac:dyDescent="0.25">
      <c r="M88" s="1302">
        <f t="shared" si="8"/>
        <v>0.79000000000000048</v>
      </c>
      <c r="N88" s="1287">
        <f t="shared" si="7"/>
        <v>0.99803450854380882</v>
      </c>
      <c r="P88"/>
      <c r="Q88" s="1279" t="s">
        <v>355</v>
      </c>
      <c r="R88" s="1279">
        <v>3946.9404761904757</v>
      </c>
      <c r="S88" s="1279">
        <v>169.70378869542441</v>
      </c>
      <c r="T88" s="1279">
        <v>23.257821799572433</v>
      </c>
      <c r="U88" s="1279">
        <v>4.1429738325698041E-7</v>
      </c>
      <c r="V88" s="1279">
        <v>3531.6902644474399</v>
      </c>
      <c r="W88" s="1279">
        <v>4362.1906879335111</v>
      </c>
      <c r="X88" s="1279">
        <v>3531.6902644474399</v>
      </c>
      <c r="Y88" s="1279">
        <v>4362.1906879335111</v>
      </c>
      <c r="Z88"/>
    </row>
    <row r="89" spans="13:26" x14ac:dyDescent="0.2">
      <c r="M89" s="1302">
        <f t="shared" si="8"/>
        <v>0.80000000000000049</v>
      </c>
      <c r="N89" s="1287">
        <f t="shared" si="7"/>
        <v>0.99857502356180761</v>
      </c>
      <c r="P89"/>
      <c r="Q89"/>
      <c r="R89"/>
      <c r="S89"/>
      <c r="T89"/>
      <c r="U89"/>
      <c r="V89"/>
      <c r="W89"/>
      <c r="X89"/>
      <c r="Y89"/>
      <c r="Z89"/>
    </row>
    <row r="90" spans="13:26" x14ac:dyDescent="0.2">
      <c r="M90" s="1302">
        <f t="shared" si="8"/>
        <v>0.8100000000000005</v>
      </c>
      <c r="N90" s="1287">
        <f t="shared" si="7"/>
        <v>0.99897951304628008</v>
      </c>
      <c r="Q90"/>
      <c r="R90"/>
      <c r="S90"/>
      <c r="T90"/>
      <c r="U90"/>
      <c r="V90"/>
      <c r="W90"/>
      <c r="X90"/>
      <c r="Y90"/>
    </row>
    <row r="91" spans="13:26" x14ac:dyDescent="0.2">
      <c r="M91" s="1302">
        <f t="shared" si="8"/>
        <v>0.82000000000000051</v>
      </c>
      <c r="N91" s="1287">
        <f t="shared" si="7"/>
        <v>0.99927833402166177</v>
      </c>
      <c r="Q91"/>
      <c r="R91"/>
      <c r="S91"/>
      <c r="T91"/>
      <c r="U91"/>
      <c r="V91"/>
      <c r="W91"/>
      <c r="X91"/>
      <c r="Y91"/>
    </row>
    <row r="92" spans="13:26" x14ac:dyDescent="0.2">
      <c r="M92" s="1302">
        <f t="shared" si="8"/>
        <v>0.83000000000000052</v>
      </c>
      <c r="N92" s="1287">
        <f t="shared" si="7"/>
        <v>0.99949620008360773</v>
      </c>
    </row>
    <row r="93" spans="13:26" x14ac:dyDescent="0.2">
      <c r="M93" s="1302">
        <f t="shared" si="8"/>
        <v>0.84000000000000052</v>
      </c>
      <c r="N93" s="1287">
        <f t="shared" si="7"/>
        <v>0.99965291531541611</v>
      </c>
      <c r="Q93" t="s">
        <v>332</v>
      </c>
      <c r="R93"/>
      <c r="S93"/>
      <c r="T93"/>
      <c r="U93"/>
      <c r="V93"/>
      <c r="W93"/>
      <c r="X93"/>
      <c r="Y93"/>
    </row>
    <row r="94" spans="13:26" ht="15" thickBot="1" x14ac:dyDescent="0.25">
      <c r="M94" s="1302">
        <f t="shared" si="8"/>
        <v>0.85000000000000053</v>
      </c>
      <c r="N94" s="1287">
        <f t="shared" si="7"/>
        <v>0.99976409939337041</v>
      </c>
      <c r="Q94"/>
      <c r="R94"/>
      <c r="S94"/>
      <c r="T94"/>
      <c r="U94"/>
      <c r="V94"/>
      <c r="W94"/>
      <c r="X94"/>
      <c r="Y94"/>
    </row>
    <row r="95" spans="13:26" x14ac:dyDescent="0.2">
      <c r="M95" s="1302">
        <f t="shared" si="8"/>
        <v>0.86000000000000054</v>
      </c>
      <c r="N95" s="1287">
        <f t="shared" si="7"/>
        <v>0.9998418759268497</v>
      </c>
      <c r="Q95" s="1282" t="s">
        <v>333</v>
      </c>
      <c r="R95" s="1282"/>
      <c r="S95"/>
      <c r="T95"/>
      <c r="U95"/>
      <c r="V95"/>
      <c r="W95"/>
      <c r="X95"/>
      <c r="Y95"/>
    </row>
    <row r="96" spans="13:26" x14ac:dyDescent="0.2">
      <c r="M96" s="1302">
        <f t="shared" si="8"/>
        <v>0.87000000000000055</v>
      </c>
      <c r="N96" s="1287">
        <f t="shared" si="7"/>
        <v>0.999895503999498</v>
      </c>
      <c r="Q96" s="1281" t="s">
        <v>334</v>
      </c>
      <c r="R96" s="1281">
        <v>0.99269784439834385</v>
      </c>
      <c r="S96"/>
      <c r="T96"/>
      <c r="U96"/>
      <c r="V96"/>
      <c r="W96"/>
      <c r="X96"/>
      <c r="Y96"/>
    </row>
    <row r="97" spans="13:25" x14ac:dyDescent="0.2">
      <c r="M97" s="1302">
        <f t="shared" si="8"/>
        <v>0.88000000000000056</v>
      </c>
      <c r="N97" s="1287">
        <f t="shared" si="7"/>
        <v>0.99993194033152688</v>
      </c>
      <c r="Q97" s="1281" t="s">
        <v>335</v>
      </c>
      <c r="R97" s="1281">
        <v>0.98544901027311849</v>
      </c>
      <c r="S97"/>
      <c r="T97"/>
      <c r="U97"/>
      <c r="V97"/>
      <c r="W97"/>
      <c r="X97"/>
      <c r="Y97"/>
    </row>
    <row r="98" spans="13:25" x14ac:dyDescent="0.2">
      <c r="M98" s="1302">
        <f t="shared" si="8"/>
        <v>0.89000000000000057</v>
      </c>
      <c r="N98" s="1287">
        <f t="shared" si="7"/>
        <v>0.99995632604198814</v>
      </c>
      <c r="Q98" s="1281" t="s">
        <v>336</v>
      </c>
      <c r="R98" s="1281">
        <v>0.9833702974549926</v>
      </c>
      <c r="S98"/>
      <c r="T98"/>
      <c r="U98"/>
      <c r="V98"/>
      <c r="W98"/>
      <c r="X98"/>
      <c r="Y98"/>
    </row>
    <row r="99" spans="13:25" x14ac:dyDescent="0.2">
      <c r="M99" s="1302">
        <f t="shared" si="8"/>
        <v>0.90000000000000058</v>
      </c>
      <c r="N99" s="1287">
        <f t="shared" si="7"/>
        <v>0.99997239738380339</v>
      </c>
      <c r="Q99" s="1281" t="s">
        <v>337</v>
      </c>
      <c r="R99" s="1281">
        <v>1335.4241024233945</v>
      </c>
      <c r="S99"/>
      <c r="T99"/>
      <c r="U99"/>
      <c r="V99"/>
      <c r="W99"/>
      <c r="X99"/>
      <c r="Y99"/>
    </row>
    <row r="100" spans="13:25" ht="15" thickBot="1" x14ac:dyDescent="0.25">
      <c r="M100" s="1302">
        <f t="shared" si="8"/>
        <v>0.91000000000000059</v>
      </c>
      <c r="N100" s="1287">
        <f t="shared" si="7"/>
        <v>0.99998282393580651</v>
      </c>
      <c r="Q100" s="1279" t="s">
        <v>338</v>
      </c>
      <c r="R100" s="1279">
        <v>9</v>
      </c>
      <c r="S100"/>
      <c r="T100"/>
      <c r="U100"/>
      <c r="V100"/>
      <c r="W100"/>
      <c r="X100"/>
      <c r="Y100"/>
    </row>
    <row r="101" spans="13:25" x14ac:dyDescent="0.2">
      <c r="M101" s="1302">
        <f t="shared" si="8"/>
        <v>0.9200000000000006</v>
      </c>
      <c r="N101" s="1287">
        <f t="shared" si="7"/>
        <v>0.99998948057868242</v>
      </c>
      <c r="Q101"/>
      <c r="R101"/>
      <c r="S101"/>
      <c r="T101"/>
      <c r="U101"/>
      <c r="V101"/>
      <c r="W101"/>
      <c r="X101"/>
      <c r="Y101"/>
    </row>
    <row r="102" spans="13:25" ht="15" thickBot="1" x14ac:dyDescent="0.25">
      <c r="M102" s="1302">
        <f t="shared" si="8"/>
        <v>0.9300000000000006</v>
      </c>
      <c r="N102" s="1287">
        <f t="shared" si="7"/>
        <v>0.9999936612702216</v>
      </c>
      <c r="Q102" t="s">
        <v>339</v>
      </c>
      <c r="R102"/>
      <c r="S102"/>
      <c r="T102"/>
      <c r="U102"/>
      <c r="V102"/>
      <c r="W102"/>
      <c r="X102"/>
      <c r="Y102"/>
    </row>
    <row r="103" spans="13:25" x14ac:dyDescent="0.2">
      <c r="M103" s="1302">
        <f t="shared" si="8"/>
        <v>0.94000000000000061</v>
      </c>
      <c r="N103" s="1287">
        <f t="shared" si="7"/>
        <v>0.99999624335152093</v>
      </c>
      <c r="Q103" s="1280"/>
      <c r="R103" s="1280" t="s">
        <v>343</v>
      </c>
      <c r="S103" s="1280" t="s">
        <v>344</v>
      </c>
      <c r="T103" s="1280" t="s">
        <v>345</v>
      </c>
      <c r="U103" s="1280" t="s">
        <v>346</v>
      </c>
      <c r="V103" s="1280" t="s">
        <v>347</v>
      </c>
      <c r="W103"/>
      <c r="X103"/>
      <c r="Y103"/>
    </row>
    <row r="104" spans="13:25" x14ac:dyDescent="0.2">
      <c r="M104" s="1302">
        <f t="shared" si="8"/>
        <v>0.95000000000000062</v>
      </c>
      <c r="N104" s="1287">
        <f t="shared" si="7"/>
        <v>0.99999781107499508</v>
      </c>
      <c r="Q104" s="1281" t="s">
        <v>340</v>
      </c>
      <c r="R104" s="1281">
        <v>1</v>
      </c>
      <c r="S104" s="1281">
        <v>845430836.26666653</v>
      </c>
      <c r="T104" s="1281">
        <v>845430836.26666653</v>
      </c>
      <c r="U104" s="1281">
        <v>474.06693299825616</v>
      </c>
      <c r="V104" s="1281">
        <v>1.0877487663116294E-7</v>
      </c>
      <c r="W104"/>
      <c r="X104"/>
      <c r="Y104"/>
    </row>
    <row r="105" spans="13:25" x14ac:dyDescent="0.2">
      <c r="M105" s="1302">
        <f t="shared" si="8"/>
        <v>0.96000000000000063</v>
      </c>
      <c r="N105" s="1287">
        <f t="shared" si="7"/>
        <v>0.99999874646745956</v>
      </c>
      <c r="Q105" s="1281" t="s">
        <v>341</v>
      </c>
      <c r="R105" s="1281">
        <v>7</v>
      </c>
      <c r="S105" s="1281">
        <v>12483502.733333301</v>
      </c>
      <c r="T105" s="1281">
        <v>1783357.5333333288</v>
      </c>
      <c r="U105" s="1281"/>
      <c r="V105" s="1281"/>
      <c r="W105"/>
      <c r="X105"/>
      <c r="Y105"/>
    </row>
    <row r="106" spans="13:25" ht="15" thickBot="1" x14ac:dyDescent="0.25">
      <c r="M106" s="1302">
        <f t="shared" si="8"/>
        <v>0.97000000000000064</v>
      </c>
      <c r="N106" s="1287">
        <f t="shared" si="7"/>
        <v>0.99999929472988103</v>
      </c>
      <c r="Q106" s="1279" t="s">
        <v>18</v>
      </c>
      <c r="R106" s="1279">
        <v>8</v>
      </c>
      <c r="S106" s="1279">
        <v>857914338.99999988</v>
      </c>
      <c r="T106" s="1279"/>
      <c r="U106" s="1279"/>
      <c r="V106" s="1279"/>
      <c r="W106"/>
      <c r="X106"/>
      <c r="Y106"/>
    </row>
    <row r="107" spans="13:25" ht="15" thickBot="1" x14ac:dyDescent="0.25">
      <c r="M107" s="1302">
        <f t="shared" si="8"/>
        <v>0.98000000000000065</v>
      </c>
      <c r="N107" s="1287">
        <f t="shared" si="7"/>
        <v>0.99999961030075424</v>
      </c>
      <c r="Q107"/>
      <c r="R107"/>
      <c r="S107"/>
      <c r="T107"/>
      <c r="U107"/>
      <c r="V107"/>
      <c r="W107"/>
      <c r="X107"/>
      <c r="Y107"/>
    </row>
    <row r="108" spans="13:25" x14ac:dyDescent="0.2">
      <c r="M108" s="1302">
        <f t="shared" si="8"/>
        <v>0.99000000000000066</v>
      </c>
      <c r="N108" s="1287">
        <f t="shared" si="7"/>
        <v>0.9999997886047346</v>
      </c>
      <c r="Q108" s="1280"/>
      <c r="R108" s="1280" t="s">
        <v>348</v>
      </c>
      <c r="S108" s="1280" t="s">
        <v>337</v>
      </c>
      <c r="T108" s="1280" t="s">
        <v>349</v>
      </c>
      <c r="U108" s="1280" t="s">
        <v>350</v>
      </c>
      <c r="V108" s="1280" t="s">
        <v>351</v>
      </c>
      <c r="W108" s="1280" t="s">
        <v>352</v>
      </c>
      <c r="X108" s="1280" t="s">
        <v>353</v>
      </c>
      <c r="Y108" s="1280" t="s">
        <v>354</v>
      </c>
    </row>
    <row r="109" spans="13:25" x14ac:dyDescent="0.2">
      <c r="M109" s="1302">
        <f t="shared" si="8"/>
        <v>1.0000000000000007</v>
      </c>
      <c r="N109" s="1287">
        <f t="shared" si="7"/>
        <v>0.99999988746482527</v>
      </c>
      <c r="Q109" s="1281" t="s">
        <v>342</v>
      </c>
      <c r="R109" s="1281">
        <v>-7546266.2666666638</v>
      </c>
      <c r="S109" s="1281">
        <v>347218.94107144978</v>
      </c>
      <c r="T109" s="1281">
        <v>-21.733452222912614</v>
      </c>
      <c r="U109" s="1281">
        <v>1.1015256825256942E-7</v>
      </c>
      <c r="V109" s="1281">
        <v>-8367308.5953365797</v>
      </c>
      <c r="W109" s="1281">
        <v>-6725223.9379967479</v>
      </c>
      <c r="X109" s="1281">
        <v>-8367308.5953365797</v>
      </c>
      <c r="Y109" s="1281">
        <v>-6725223.9379967479</v>
      </c>
    </row>
    <row r="110" spans="13:25" ht="15" thickBot="1" x14ac:dyDescent="0.25">
      <c r="Q110" s="1279" t="s">
        <v>355</v>
      </c>
      <c r="R110" s="1279">
        <v>3753.7333333333322</v>
      </c>
      <c r="S110" s="1279">
        <v>172.40251029365982</v>
      </c>
      <c r="T110" s="1279">
        <v>21.773078170030438</v>
      </c>
      <c r="U110" s="1279">
        <v>1.0877487663116294E-7</v>
      </c>
      <c r="V110" s="1279">
        <v>3346.0661764574693</v>
      </c>
      <c r="W110" s="1279">
        <v>4161.4004902091947</v>
      </c>
      <c r="X110" s="1279">
        <v>3346.0661764574693</v>
      </c>
      <c r="Y110" s="1279">
        <v>4161.4004902091947</v>
      </c>
    </row>
    <row r="111" spans="13:25" x14ac:dyDescent="0.2">
      <c r="Q111"/>
      <c r="R111"/>
      <c r="S111"/>
      <c r="T111"/>
      <c r="U111"/>
      <c r="V111"/>
      <c r="W111"/>
      <c r="X111"/>
      <c r="Y111"/>
    </row>
    <row r="112" spans="13:25" x14ac:dyDescent="0.2">
      <c r="Q112"/>
      <c r="R112"/>
      <c r="S112"/>
      <c r="T112"/>
      <c r="U112"/>
      <c r="V112"/>
      <c r="W112"/>
      <c r="X112"/>
      <c r="Y112"/>
    </row>
    <row r="113" spans="17:25" x14ac:dyDescent="0.2">
      <c r="Q113"/>
      <c r="R113"/>
      <c r="S113"/>
      <c r="T113"/>
      <c r="U113"/>
      <c r="V113"/>
      <c r="W113"/>
      <c r="X113"/>
      <c r="Y113"/>
    </row>
  </sheetData>
  <mergeCells count="1">
    <mergeCell ref="M2:N3"/>
  </mergeCells>
  <dataValidations count="1">
    <dataValidation type="list" allowBlank="1" showInputMessage="1" showErrorMessage="1" sqref="J4:K4" xr:uid="{474C44A5-0FF0-45D5-B46D-39A5C7899A6D}">
      <formula1>TorF</formula1>
    </dataValidation>
  </dataValidations>
  <hyperlinks>
    <hyperlink ref="Q5" r:id="rId1" xr:uid="{00000000-0004-0000-1200-000000000000}"/>
  </hyperlinks>
  <pageMargins left="0.7" right="0.7" top="0.75" bottom="0.75" header="0.3" footer="0.3"/>
  <drawing r:id="rId2"/>
  <legacyDrawing r:id="rId3"/>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MktData"/>
  <dimension ref="A1:AD155"/>
  <sheetViews>
    <sheetView zoomScale="60" zoomScaleNormal="60" workbookViewId="0">
      <selection activeCell="A122" sqref="A122"/>
    </sheetView>
  </sheetViews>
  <sheetFormatPr baseColWidth="10" defaultColWidth="14.6640625" defaultRowHeight="14" x14ac:dyDescent="0.2"/>
  <cols>
    <col min="1" max="12" width="14.6640625" style="48"/>
    <col min="13" max="13" width="19.1640625" style="48" bestFit="1" customWidth="1"/>
    <col min="14" max="15" width="14.6640625" style="48"/>
    <col min="16" max="16" width="15.6640625" style="48" customWidth="1"/>
    <col min="17" max="16384" width="14.6640625" style="48"/>
  </cols>
  <sheetData>
    <row r="1" spans="1:30" ht="24" x14ac:dyDescent="0.3">
      <c r="A1" s="71" t="s">
        <v>235</v>
      </c>
      <c r="K1" s="71" t="s">
        <v>236</v>
      </c>
      <c r="U1" s="71" t="s">
        <v>155</v>
      </c>
    </row>
    <row r="2" spans="1:30" x14ac:dyDescent="0.2">
      <c r="A2" s="50" t="s">
        <v>9</v>
      </c>
      <c r="K2" s="50" t="s">
        <v>9</v>
      </c>
      <c r="U2" s="50" t="s">
        <v>9</v>
      </c>
    </row>
    <row r="3" spans="1:30" x14ac:dyDescent="0.2">
      <c r="A3" s="49" t="s">
        <v>237</v>
      </c>
      <c r="K3" s="49" t="s">
        <v>237</v>
      </c>
      <c r="U3" s="49" t="s">
        <v>238</v>
      </c>
    </row>
    <row r="4" spans="1:30" ht="15" thickBot="1" x14ac:dyDescent="0.25"/>
    <row r="5" spans="1:30" ht="19" x14ac:dyDescent="0.25">
      <c r="A5" s="72"/>
      <c r="B5" s="1629" t="s">
        <v>10</v>
      </c>
      <c r="C5" s="1628"/>
      <c r="D5" s="1628"/>
      <c r="E5" s="1630"/>
      <c r="F5" s="1629" t="s">
        <v>11</v>
      </c>
      <c r="G5" s="1628"/>
      <c r="H5" s="1628"/>
      <c r="I5" s="1630"/>
      <c r="J5" s="74"/>
      <c r="K5" s="72"/>
      <c r="L5" s="1629" t="s">
        <v>10</v>
      </c>
      <c r="M5" s="1628"/>
      <c r="N5" s="1628"/>
      <c r="O5" s="1630"/>
      <c r="P5" s="1629" t="s">
        <v>11</v>
      </c>
      <c r="Q5" s="1628"/>
      <c r="R5" s="1628"/>
      <c r="S5" s="1630"/>
      <c r="T5" s="74">
        <v>1</v>
      </c>
      <c r="U5" s="72"/>
      <c r="V5" s="1628" t="s">
        <v>10</v>
      </c>
      <c r="W5" s="1628"/>
      <c r="X5" s="1628"/>
      <c r="Y5" s="1628"/>
      <c r="Z5" s="1629" t="s">
        <v>11</v>
      </c>
      <c r="AA5" s="1628"/>
      <c r="AB5" s="1630"/>
      <c r="AC5" s="73"/>
    </row>
    <row r="6" spans="1:30" s="1299" customFormat="1" ht="45" customHeight="1" thickBot="1" x14ac:dyDescent="0.2">
      <c r="A6" s="1288" t="s">
        <v>12</v>
      </c>
      <c r="B6" s="1289" t="s">
        <v>13</v>
      </c>
      <c r="C6" s="1290" t="s">
        <v>362</v>
      </c>
      <c r="D6" s="1291" t="s">
        <v>15</v>
      </c>
      <c r="E6" s="1292" t="s">
        <v>361</v>
      </c>
      <c r="F6" s="1289" t="s">
        <v>13</v>
      </c>
      <c r="G6" s="1290" t="s">
        <v>362</v>
      </c>
      <c r="H6" s="1291" t="s">
        <v>15</v>
      </c>
      <c r="I6" s="1292" t="s">
        <v>361</v>
      </c>
      <c r="J6" s="1293" t="s">
        <v>363</v>
      </c>
      <c r="K6" s="1288" t="s">
        <v>12</v>
      </c>
      <c r="L6" s="1289" t="s">
        <v>13</v>
      </c>
      <c r="M6" s="1290" t="s">
        <v>362</v>
      </c>
      <c r="N6" s="1291" t="s">
        <v>15</v>
      </c>
      <c r="O6" s="1292" t="s">
        <v>361</v>
      </c>
      <c r="P6" s="1289" t="s">
        <v>13</v>
      </c>
      <c r="Q6" s="1290" t="s">
        <v>362</v>
      </c>
      <c r="R6" s="1291" t="s">
        <v>15</v>
      </c>
      <c r="S6" s="1292" t="s">
        <v>361</v>
      </c>
      <c r="T6" s="1293"/>
      <c r="U6" s="1288" t="s">
        <v>12</v>
      </c>
      <c r="V6" s="1294" t="s">
        <v>13</v>
      </c>
      <c r="W6" s="1295" t="s">
        <v>14</v>
      </c>
      <c r="X6" s="1294" t="s">
        <v>15</v>
      </c>
      <c r="Y6" s="1295" t="s">
        <v>16</v>
      </c>
      <c r="Z6" s="1296" t="s">
        <v>13</v>
      </c>
      <c r="AA6" s="1295" t="s">
        <v>14</v>
      </c>
      <c r="AB6" s="1297" t="s">
        <v>15</v>
      </c>
      <c r="AC6" s="1298" t="s">
        <v>16</v>
      </c>
    </row>
    <row r="7" spans="1:30" ht="19" x14ac:dyDescent="0.25">
      <c r="A7" s="447">
        <v>0</v>
      </c>
      <c r="B7" s="450">
        <v>0</v>
      </c>
      <c r="C7" s="76">
        <v>0</v>
      </c>
      <c r="D7" s="75">
        <v>78.199399999999997</v>
      </c>
      <c r="E7" s="451">
        <v>378.45699999999999</v>
      </c>
      <c r="F7" s="77">
        <f t="shared" ref="F7:F48" si="0">IF(C$51=0,0,B7/C$51)</f>
        <v>0</v>
      </c>
      <c r="G7" s="78">
        <f t="shared" ref="G7:G48" si="1">IF(E$51=0,0,C7/E$51)</f>
        <v>0</v>
      </c>
      <c r="H7" s="438">
        <f t="shared" ref="H7:H48" si="2">IF(C$51=0,0,D7/C$51)</f>
        <v>5.6718335278556332E-4</v>
      </c>
      <c r="I7" s="79">
        <f t="shared" ref="I7:I48" si="3">IF(E$51=0,0,E7/E$51)</f>
        <v>2.4017448920174025E-5</v>
      </c>
      <c r="J7" s="3">
        <f t="shared" ref="J7:J48" si="4">A7*1000/OPDAYS_Cls1</f>
        <v>0</v>
      </c>
      <c r="K7" s="81">
        <v>0</v>
      </c>
      <c r="L7" s="450">
        <v>455.41399999999999</v>
      </c>
      <c r="M7" s="76">
        <v>1515.472</v>
      </c>
      <c r="N7" s="75">
        <v>377.03719999999998</v>
      </c>
      <c r="O7" s="451">
        <v>1452.3679999999999</v>
      </c>
      <c r="P7" s="77">
        <f t="shared" ref="P7:P48" si="5">IF(M$51=0,0,L7/M$51)</f>
        <v>6.1482995906353421E-3</v>
      </c>
      <c r="Q7" s="78">
        <f t="shared" ref="Q7:Q48" si="6">IF(O$51=0,0,M7/O$51)</f>
        <v>2.6576119620509795E-4</v>
      </c>
      <c r="R7" s="438">
        <f t="shared" ref="R7:R48" si="7">IF(M$51=0,0,N7/M$51)</f>
        <v>5.0901765479636017E-3</v>
      </c>
      <c r="S7" s="79">
        <f t="shared" ref="S7:S48" si="8">IF(O$51=0,0,O7/O$51)</f>
        <v>2.5469494455193214E-4</v>
      </c>
      <c r="T7" s="3">
        <f t="shared" ref="T7:T48" si="9">K7*1000/OPDAYS_Cls2</f>
        <v>0</v>
      </c>
      <c r="U7" s="81">
        <v>0</v>
      </c>
      <c r="V7" s="75">
        <v>1586.4960000000001</v>
      </c>
      <c r="W7" s="76">
        <v>5113.2812697999998</v>
      </c>
      <c r="X7" s="75">
        <v>3291.1450999999997</v>
      </c>
      <c r="Y7" s="82">
        <v>11474.4704757</v>
      </c>
      <c r="Z7" s="77">
        <f t="shared" ref="Z7:Z48" si="10">IF(W$51=0,0,V7/W$51)</f>
        <v>2.0457803284261861E-2</v>
      </c>
      <c r="AA7" s="78">
        <f t="shared" ref="AA7:AA48" si="11">IF(Y$51=0,0,W7/Y$51)</f>
        <v>2.4186753268329482E-3</v>
      </c>
      <c r="AB7" s="79">
        <f t="shared" ref="AB7:AB48" si="12">IF(W$51=0,0,X7/W$51)</f>
        <v>4.2439186128274083E-2</v>
      </c>
      <c r="AC7" s="80">
        <f t="shared" ref="AC7:AC48" si="13">IF(Y$51=0,0,Y7/Y$51)</f>
        <v>5.4276338741549883E-3</v>
      </c>
      <c r="AD7" s="48">
        <f t="shared" ref="AD7:AD48" si="14">U7*1000/OPDAYS_Cls3</f>
        <v>0</v>
      </c>
    </row>
    <row r="8" spans="1:30" ht="19" x14ac:dyDescent="0.25">
      <c r="A8" s="448">
        <v>5</v>
      </c>
      <c r="B8" s="452">
        <v>319.01490000000001</v>
      </c>
      <c r="C8" s="84">
        <v>2848.6089999999999</v>
      </c>
      <c r="D8" s="83">
        <v>550.78359999999998</v>
      </c>
      <c r="E8" s="453">
        <v>4477.4870000000001</v>
      </c>
      <c r="F8" s="85">
        <f t="shared" si="0"/>
        <v>2.3138277348745797E-3</v>
      </c>
      <c r="G8" s="86">
        <f t="shared" si="1"/>
        <v>1.8077700016394996E-4</v>
      </c>
      <c r="H8" s="439">
        <f t="shared" si="2"/>
        <v>3.9948553173976093E-3</v>
      </c>
      <c r="I8" s="87">
        <f t="shared" si="3"/>
        <v>2.8414804142410695E-4</v>
      </c>
      <c r="J8" s="3">
        <f t="shared" si="4"/>
        <v>20</v>
      </c>
      <c r="K8" s="89">
        <v>5</v>
      </c>
      <c r="L8" s="452">
        <v>396.22390000000001</v>
      </c>
      <c r="M8" s="84">
        <v>3067.0360000000001</v>
      </c>
      <c r="N8" s="83">
        <v>503.51850000000002</v>
      </c>
      <c r="O8" s="453">
        <v>3842.4180000000001</v>
      </c>
      <c r="P8" s="85">
        <f t="shared" si="5"/>
        <v>5.3492058701970933E-3</v>
      </c>
      <c r="Q8" s="86">
        <f t="shared" si="6"/>
        <v>5.3785167668165353E-4</v>
      </c>
      <c r="R8" s="439">
        <f t="shared" si="7"/>
        <v>6.7977325849168492E-3</v>
      </c>
      <c r="S8" s="87">
        <f t="shared" si="8"/>
        <v>6.7382677080144013E-4</v>
      </c>
      <c r="T8" s="3">
        <f t="shared" si="9"/>
        <v>20</v>
      </c>
      <c r="U8" s="89">
        <v>5</v>
      </c>
      <c r="V8" s="83">
        <v>3246.1117000000004</v>
      </c>
      <c r="W8" s="84">
        <v>27329.557050900006</v>
      </c>
      <c r="X8" s="83">
        <v>6181.638799999997</v>
      </c>
      <c r="Y8" s="90">
        <v>50899.896887500028</v>
      </c>
      <c r="Z8" s="85">
        <f t="shared" si="10"/>
        <v>4.1858482213217585E-2</v>
      </c>
      <c r="AA8" s="86">
        <f t="shared" si="11"/>
        <v>1.292737908291729E-2</v>
      </c>
      <c r="AB8" s="87">
        <f t="shared" si="12"/>
        <v>7.9711988271486636E-2</v>
      </c>
      <c r="AC8" s="88">
        <f t="shared" si="13"/>
        <v>2.4076579840669084E-2</v>
      </c>
      <c r="AD8" s="48">
        <f t="shared" si="14"/>
        <v>20</v>
      </c>
    </row>
    <row r="9" spans="1:30" ht="19" x14ac:dyDescent="0.25">
      <c r="A9" s="448">
        <f t="shared" ref="A9:A40" si="15">+A8+5</f>
        <v>10</v>
      </c>
      <c r="B9" s="452">
        <v>428.81830000000002</v>
      </c>
      <c r="C9" s="84">
        <v>5192.9650000000001</v>
      </c>
      <c r="D9" s="83">
        <v>729.59640000000002</v>
      </c>
      <c r="E9" s="453">
        <v>8913.7189999999991</v>
      </c>
      <c r="F9" s="85">
        <f t="shared" si="0"/>
        <v>3.1102361543669842E-3</v>
      </c>
      <c r="G9" s="86">
        <f t="shared" si="1"/>
        <v>3.2955334854884837E-4</v>
      </c>
      <c r="H9" s="439">
        <f t="shared" si="2"/>
        <v>5.2917916548244227E-3</v>
      </c>
      <c r="I9" s="87">
        <f t="shared" si="3"/>
        <v>5.6567797866411427E-4</v>
      </c>
      <c r="J9" s="3">
        <f t="shared" si="4"/>
        <v>40</v>
      </c>
      <c r="K9" s="89">
        <f t="shared" ref="K9:K40" si="16">+K8+5</f>
        <v>10</v>
      </c>
      <c r="L9" s="452">
        <v>1010.35259999999</v>
      </c>
      <c r="M9" s="84">
        <v>13143.563</v>
      </c>
      <c r="N9" s="83">
        <v>1100.8408999999999</v>
      </c>
      <c r="O9" s="453">
        <v>14427.4089999999</v>
      </c>
      <c r="P9" s="85">
        <f t="shared" si="5"/>
        <v>1.3640227303019435E-2</v>
      </c>
      <c r="Q9" s="86">
        <f t="shared" si="6"/>
        <v>2.3049248189851517E-3</v>
      </c>
      <c r="R9" s="439">
        <f t="shared" si="7"/>
        <v>1.4861861196240436E-2</v>
      </c>
      <c r="S9" s="87">
        <f t="shared" si="8"/>
        <v>2.5300668530861469E-3</v>
      </c>
      <c r="T9" s="3">
        <f t="shared" si="9"/>
        <v>40</v>
      </c>
      <c r="U9" s="89">
        <f t="shared" ref="U9:U40" si="17">+U8+5</f>
        <v>10</v>
      </c>
      <c r="V9" s="83">
        <v>4067.7950000000014</v>
      </c>
      <c r="W9" s="84">
        <v>53340.16690020002</v>
      </c>
      <c r="X9" s="83">
        <v>5884.1002999999992</v>
      </c>
      <c r="Y9" s="90">
        <v>74684.951303599999</v>
      </c>
      <c r="Z9" s="85">
        <f t="shared" si="10"/>
        <v>5.2454055926207187E-2</v>
      </c>
      <c r="AA9" s="86">
        <f t="shared" si="11"/>
        <v>2.523087207673038E-2</v>
      </c>
      <c r="AB9" s="87">
        <f t="shared" si="12"/>
        <v>7.5875241060970947E-2</v>
      </c>
      <c r="AC9" s="88">
        <f t="shared" si="13"/>
        <v>3.5327344511756738E-2</v>
      </c>
      <c r="AD9" s="48">
        <f t="shared" si="14"/>
        <v>40</v>
      </c>
    </row>
    <row r="10" spans="1:30" ht="19" x14ac:dyDescent="0.25">
      <c r="A10" s="448">
        <f t="shared" si="15"/>
        <v>15</v>
      </c>
      <c r="B10" s="452">
        <v>347.7167</v>
      </c>
      <c r="C10" s="84">
        <v>6102.7879999999996</v>
      </c>
      <c r="D10" s="83">
        <v>428.76530000000002</v>
      </c>
      <c r="E10" s="453">
        <v>7644.759</v>
      </c>
      <c r="F10" s="85">
        <f t="shared" si="0"/>
        <v>2.5220030297615059E-3</v>
      </c>
      <c r="G10" s="86">
        <f t="shared" si="1"/>
        <v>3.8729208089862522E-4</v>
      </c>
      <c r="H10" s="439">
        <f t="shared" si="2"/>
        <v>3.109851743262837E-3</v>
      </c>
      <c r="I10" s="87">
        <f t="shared" si="3"/>
        <v>4.851478735749125E-4</v>
      </c>
      <c r="J10" s="3">
        <f t="shared" si="4"/>
        <v>60</v>
      </c>
      <c r="K10" s="89">
        <f t="shared" si="16"/>
        <v>15</v>
      </c>
      <c r="L10" s="452">
        <v>1068.2598</v>
      </c>
      <c r="M10" s="84">
        <v>18413.037999999899</v>
      </c>
      <c r="N10" s="83">
        <v>1429.8081</v>
      </c>
      <c r="O10" s="453">
        <v>26597.382000000001</v>
      </c>
      <c r="P10" s="85">
        <f t="shared" si="5"/>
        <v>1.4422001280224571E-2</v>
      </c>
      <c r="Q10" s="86">
        <f t="shared" si="6"/>
        <v>3.2290078633256817E-3</v>
      </c>
      <c r="R10" s="439">
        <f t="shared" si="7"/>
        <v>1.9303070515875879E-2</v>
      </c>
      <c r="S10" s="87">
        <f t="shared" si="8"/>
        <v>4.6642577733167889E-3</v>
      </c>
      <c r="T10" s="3">
        <f t="shared" si="9"/>
        <v>60</v>
      </c>
      <c r="U10" s="89">
        <f t="shared" si="17"/>
        <v>15</v>
      </c>
      <c r="V10" s="83">
        <v>3887.7840999999994</v>
      </c>
      <c r="W10" s="84">
        <v>71520.6606531</v>
      </c>
      <c r="X10" s="83">
        <v>5832.7905999999975</v>
      </c>
      <c r="Y10" s="90">
        <v>105671.20272490001</v>
      </c>
      <c r="Z10" s="85">
        <f t="shared" si="10"/>
        <v>5.0132822477636889E-2</v>
      </c>
      <c r="AA10" s="86">
        <f t="shared" si="11"/>
        <v>3.3830577305052324E-2</v>
      </c>
      <c r="AB10" s="87">
        <f t="shared" si="12"/>
        <v>7.5213604505206214E-2</v>
      </c>
      <c r="AC10" s="88">
        <f t="shared" si="13"/>
        <v>4.998440674425781E-2</v>
      </c>
      <c r="AD10" s="48">
        <f t="shared" si="14"/>
        <v>60</v>
      </c>
    </row>
    <row r="11" spans="1:30" ht="19" x14ac:dyDescent="0.25">
      <c r="A11" s="448">
        <f>+A10+5</f>
        <v>20</v>
      </c>
      <c r="B11" s="452">
        <v>357.4427</v>
      </c>
      <c r="C11" s="84">
        <v>7912.5459999999903</v>
      </c>
      <c r="D11" s="83">
        <v>1360.1478999999999</v>
      </c>
      <c r="E11" s="453">
        <v>31123.967000000001</v>
      </c>
      <c r="F11" s="85">
        <f t="shared" si="0"/>
        <v>2.5925460938923351E-3</v>
      </c>
      <c r="G11" s="86">
        <f t="shared" si="1"/>
        <v>5.0214203828579491E-4</v>
      </c>
      <c r="H11" s="439">
        <f t="shared" si="2"/>
        <v>9.865206717778437E-3</v>
      </c>
      <c r="I11" s="87">
        <f t="shared" si="3"/>
        <v>1.9751736329772789E-3</v>
      </c>
      <c r="J11" s="3">
        <f t="shared" si="4"/>
        <v>80</v>
      </c>
      <c r="K11" s="89">
        <f>+K10+5</f>
        <v>20</v>
      </c>
      <c r="L11" s="452">
        <v>1930.7424000000001</v>
      </c>
      <c r="M11" s="84">
        <v>44967.369999999901</v>
      </c>
      <c r="N11" s="83">
        <v>880.51700000000005</v>
      </c>
      <c r="O11" s="453">
        <v>20791.761999999999</v>
      </c>
      <c r="P11" s="85">
        <f t="shared" si="5"/>
        <v>2.6065915205817781E-2</v>
      </c>
      <c r="Q11" s="86">
        <f t="shared" si="6"/>
        <v>7.88571616063986E-3</v>
      </c>
      <c r="R11" s="439">
        <f t="shared" si="7"/>
        <v>1.1887386664984959E-2</v>
      </c>
      <c r="S11" s="87">
        <f t="shared" si="8"/>
        <v>3.6461535022301299E-3</v>
      </c>
      <c r="T11" s="3">
        <f t="shared" si="9"/>
        <v>80</v>
      </c>
      <c r="U11" s="89">
        <f>+U10+5</f>
        <v>20</v>
      </c>
      <c r="V11" s="83">
        <v>3031.5534000000007</v>
      </c>
      <c r="W11" s="84">
        <v>70481.949212300009</v>
      </c>
      <c r="X11" s="83">
        <v>6351.5653000000002</v>
      </c>
      <c r="Y11" s="90">
        <v>145675.2032369001</v>
      </c>
      <c r="Z11" s="85">
        <f t="shared" si="10"/>
        <v>3.9091761405597752E-2</v>
      </c>
      <c r="AA11" s="86">
        <f t="shared" si="11"/>
        <v>3.3339247843401115E-2</v>
      </c>
      <c r="AB11" s="87">
        <f t="shared" si="12"/>
        <v>8.1903183780194622E-2</v>
      </c>
      <c r="AC11" s="88">
        <f t="shared" si="13"/>
        <v>6.890702881561743E-2</v>
      </c>
      <c r="AD11" s="48">
        <f t="shared" si="14"/>
        <v>80</v>
      </c>
    </row>
    <row r="12" spans="1:30" ht="19" x14ac:dyDescent="0.25">
      <c r="A12" s="448">
        <f t="shared" si="15"/>
        <v>25</v>
      </c>
      <c r="B12" s="452">
        <v>74.308300000000003</v>
      </c>
      <c r="C12" s="84">
        <v>1989.5329999999999</v>
      </c>
      <c r="D12" s="83">
        <v>715.27779999999996</v>
      </c>
      <c r="E12" s="453">
        <v>19433.701000000001</v>
      </c>
      <c r="F12" s="85">
        <f t="shared" si="0"/>
        <v>5.3896105000544089E-4</v>
      </c>
      <c r="G12" s="86">
        <f t="shared" si="1"/>
        <v>1.2625874855664074E-4</v>
      </c>
      <c r="H12" s="439">
        <f t="shared" si="2"/>
        <v>5.1879382805632979E-3</v>
      </c>
      <c r="I12" s="87">
        <f t="shared" si="3"/>
        <v>1.2332918167650088E-3</v>
      </c>
      <c r="J12" s="3">
        <f t="shared" si="4"/>
        <v>100</v>
      </c>
      <c r="K12" s="89">
        <f t="shared" si="16"/>
        <v>25</v>
      </c>
      <c r="L12" s="452">
        <v>1459.87569999999</v>
      </c>
      <c r="M12" s="84">
        <v>40540.396000000001</v>
      </c>
      <c r="N12" s="83">
        <v>1127.5441000000001</v>
      </c>
      <c r="O12" s="453">
        <v>31585.745999999901</v>
      </c>
      <c r="P12" s="85">
        <f t="shared" si="5"/>
        <v>1.9708997019609462E-2</v>
      </c>
      <c r="Q12" s="86">
        <f t="shared" si="6"/>
        <v>7.1093785537366368E-3</v>
      </c>
      <c r="R12" s="439">
        <f t="shared" si="7"/>
        <v>1.5222366744222391E-2</v>
      </c>
      <c r="S12" s="87">
        <f t="shared" si="8"/>
        <v>5.5390437038693964E-3</v>
      </c>
      <c r="T12" s="3">
        <f t="shared" si="9"/>
        <v>100</v>
      </c>
      <c r="U12" s="89">
        <f t="shared" si="17"/>
        <v>25</v>
      </c>
      <c r="V12" s="83">
        <v>4000.4311999999991</v>
      </c>
      <c r="W12" s="84">
        <v>111892.51392849999</v>
      </c>
      <c r="X12" s="83">
        <v>6327.574499999997</v>
      </c>
      <c r="Y12" s="90">
        <v>178753.6499543</v>
      </c>
      <c r="Z12" s="85">
        <f t="shared" si="10"/>
        <v>5.1585402384767179E-2</v>
      </c>
      <c r="AA12" s="86">
        <f t="shared" si="11"/>
        <v>5.2927200444570957E-2</v>
      </c>
      <c r="AB12" s="87">
        <f t="shared" si="12"/>
        <v>8.1593823361364615E-2</v>
      </c>
      <c r="AC12" s="88">
        <f t="shared" si="13"/>
        <v>8.45537375929859E-2</v>
      </c>
      <c r="AD12" s="48">
        <f t="shared" si="14"/>
        <v>100</v>
      </c>
    </row>
    <row r="13" spans="1:30" ht="19" x14ac:dyDescent="0.25">
      <c r="A13" s="448">
        <f t="shared" si="15"/>
        <v>30</v>
      </c>
      <c r="B13" s="452">
        <v>90.285299999999907</v>
      </c>
      <c r="C13" s="84">
        <v>3093.1619999999998</v>
      </c>
      <c r="D13" s="83">
        <v>778.28279999999995</v>
      </c>
      <c r="E13" s="453">
        <v>25259.602999999999</v>
      </c>
      <c r="F13" s="85">
        <f t="shared" si="0"/>
        <v>6.5484286530651599E-4</v>
      </c>
      <c r="G13" s="86">
        <f t="shared" si="1"/>
        <v>1.9629670038293209E-4</v>
      </c>
      <c r="H13" s="439">
        <f t="shared" si="2"/>
        <v>5.6449160469177005E-3</v>
      </c>
      <c r="I13" s="87">
        <f t="shared" si="3"/>
        <v>1.6030122967638982E-3</v>
      </c>
      <c r="J13" s="3">
        <f t="shared" si="4"/>
        <v>120</v>
      </c>
      <c r="K13" s="89">
        <f t="shared" si="16"/>
        <v>30</v>
      </c>
      <c r="L13" s="452">
        <v>1766.5920999999901</v>
      </c>
      <c r="M13" s="84">
        <v>57401.540999999997</v>
      </c>
      <c r="N13" s="83">
        <v>1424.3596</v>
      </c>
      <c r="O13" s="453">
        <v>46454.703999999998</v>
      </c>
      <c r="P13" s="85">
        <f t="shared" si="5"/>
        <v>2.3849810250123116E-2</v>
      </c>
      <c r="Q13" s="86">
        <f t="shared" si="6"/>
        <v>1.0066238241403321E-2</v>
      </c>
      <c r="R13" s="439">
        <f t="shared" si="7"/>
        <v>1.9229513246403318E-2</v>
      </c>
      <c r="S13" s="87">
        <f t="shared" si="8"/>
        <v>8.1465429281397141E-3</v>
      </c>
      <c r="T13" s="3">
        <f t="shared" si="9"/>
        <v>120</v>
      </c>
      <c r="U13" s="89">
        <f t="shared" si="17"/>
        <v>30</v>
      </c>
      <c r="V13" s="83">
        <v>2433.5399000000002</v>
      </c>
      <c r="W13" s="84">
        <v>78093.81746060001</v>
      </c>
      <c r="X13" s="83">
        <v>4607.3185999999987</v>
      </c>
      <c r="Y13" s="90">
        <v>147900.50045819997</v>
      </c>
      <c r="Z13" s="85">
        <f t="shared" si="10"/>
        <v>3.138040093300095E-2</v>
      </c>
      <c r="AA13" s="86">
        <f t="shared" si="11"/>
        <v>3.6939800395047954E-2</v>
      </c>
      <c r="AB13" s="87">
        <f t="shared" si="12"/>
        <v>5.9411191447517497E-2</v>
      </c>
      <c r="AC13" s="88">
        <f t="shared" si="13"/>
        <v>6.9959634999403303E-2</v>
      </c>
      <c r="AD13" s="48">
        <f t="shared" si="14"/>
        <v>120</v>
      </c>
    </row>
    <row r="14" spans="1:30" ht="19" x14ac:dyDescent="0.25">
      <c r="A14" s="448">
        <f t="shared" si="15"/>
        <v>35</v>
      </c>
      <c r="B14" s="452">
        <v>162.02449999999999</v>
      </c>
      <c r="C14" s="84">
        <v>5983.57</v>
      </c>
      <c r="D14" s="83">
        <v>432.79520000000002</v>
      </c>
      <c r="E14" s="453">
        <v>16668.141</v>
      </c>
      <c r="F14" s="85">
        <f t="shared" si="0"/>
        <v>1.1751701310164081E-3</v>
      </c>
      <c r="G14" s="86">
        <f t="shared" si="1"/>
        <v>3.7972632778700272E-4</v>
      </c>
      <c r="H14" s="439">
        <f t="shared" si="2"/>
        <v>3.1390807679534428E-3</v>
      </c>
      <c r="I14" s="87">
        <f t="shared" si="3"/>
        <v>1.0577852307177788E-3</v>
      </c>
      <c r="J14" s="3">
        <f t="shared" si="4"/>
        <v>140</v>
      </c>
      <c r="K14" s="89">
        <f t="shared" si="16"/>
        <v>35</v>
      </c>
      <c r="L14" s="452">
        <v>1483.3704</v>
      </c>
      <c r="M14" s="84">
        <v>56498.048999999999</v>
      </c>
      <c r="N14" s="83">
        <v>1532.8508999999999</v>
      </c>
      <c r="O14" s="453">
        <v>58347.328999999998</v>
      </c>
      <c r="P14" s="85">
        <f t="shared" si="5"/>
        <v>2.0026186333930412E-2</v>
      </c>
      <c r="Q14" s="86">
        <f t="shared" si="6"/>
        <v>9.9077970991837769E-3</v>
      </c>
      <c r="R14" s="439">
        <f t="shared" si="7"/>
        <v>2.0694195964496075E-2</v>
      </c>
      <c r="S14" s="87">
        <f t="shared" si="8"/>
        <v>1.023209663419212E-2</v>
      </c>
      <c r="T14" s="3">
        <f t="shared" si="9"/>
        <v>140</v>
      </c>
      <c r="U14" s="89">
        <f t="shared" si="17"/>
        <v>35</v>
      </c>
      <c r="V14" s="83">
        <v>1507.7938000000006</v>
      </c>
      <c r="W14" s="84">
        <v>57747.626754200006</v>
      </c>
      <c r="X14" s="83">
        <v>2574.3629999999994</v>
      </c>
      <c r="Y14" s="90">
        <v>98202.747962299982</v>
      </c>
      <c r="Z14" s="85">
        <f t="shared" si="10"/>
        <v>1.9442941522468182E-2</v>
      </c>
      <c r="AA14" s="86">
        <f t="shared" si="11"/>
        <v>2.731568099695109E-2</v>
      </c>
      <c r="AB14" s="87">
        <f t="shared" si="12"/>
        <v>3.3196309247727193E-2</v>
      </c>
      <c r="AC14" s="88">
        <f t="shared" si="13"/>
        <v>4.645169138776907E-2</v>
      </c>
      <c r="AD14" s="48">
        <f t="shared" si="14"/>
        <v>140</v>
      </c>
    </row>
    <row r="15" spans="1:30" ht="19" x14ac:dyDescent="0.25">
      <c r="A15" s="448">
        <f t="shared" si="15"/>
        <v>40</v>
      </c>
      <c r="B15" s="452">
        <v>395.316699999999</v>
      </c>
      <c r="C15" s="84">
        <v>17290.057999999899</v>
      </c>
      <c r="D15" s="83">
        <v>318.625</v>
      </c>
      <c r="E15" s="453">
        <v>14274.369999999901</v>
      </c>
      <c r="F15" s="85">
        <f t="shared" si="0"/>
        <v>2.8672477195237321E-3</v>
      </c>
      <c r="G15" s="86">
        <f t="shared" si="1"/>
        <v>1.0972530164373862E-3</v>
      </c>
      <c r="H15" s="439">
        <f t="shared" si="2"/>
        <v>2.3109997746952036E-3</v>
      </c>
      <c r="I15" s="87">
        <f t="shared" si="3"/>
        <v>9.0587293230845814E-4</v>
      </c>
      <c r="J15" s="3">
        <f t="shared" si="4"/>
        <v>160</v>
      </c>
      <c r="K15" s="89">
        <f t="shared" si="16"/>
        <v>40</v>
      </c>
      <c r="L15" s="452">
        <v>1384.4818</v>
      </c>
      <c r="M15" s="84">
        <v>58570.233</v>
      </c>
      <c r="N15" s="83">
        <v>527.10400000000004</v>
      </c>
      <c r="O15" s="453">
        <v>22903.161</v>
      </c>
      <c r="P15" s="85">
        <f t="shared" si="5"/>
        <v>1.8691144506277985E-2</v>
      </c>
      <c r="Q15" s="86">
        <f t="shared" si="6"/>
        <v>1.0271186260182506E-2</v>
      </c>
      <c r="R15" s="439">
        <f t="shared" si="7"/>
        <v>7.1161477412250212E-3</v>
      </c>
      <c r="S15" s="87">
        <f t="shared" si="8"/>
        <v>4.0164196133204355E-3</v>
      </c>
      <c r="T15" s="3">
        <f t="shared" si="9"/>
        <v>160</v>
      </c>
      <c r="U15" s="89">
        <f t="shared" si="17"/>
        <v>40</v>
      </c>
      <c r="V15" s="83">
        <v>1575.2067000000002</v>
      </c>
      <c r="W15" s="84">
        <v>67740.184828900005</v>
      </c>
      <c r="X15" s="83">
        <v>1436.6661000000004</v>
      </c>
      <c r="Y15" s="90">
        <v>61209.360521200011</v>
      </c>
      <c r="Z15" s="85">
        <f t="shared" si="10"/>
        <v>2.0312228206469659E-2</v>
      </c>
      <c r="AA15" s="86">
        <f t="shared" si="11"/>
        <v>3.2042343269564066E-2</v>
      </c>
      <c r="AB15" s="87">
        <f t="shared" si="12"/>
        <v>1.8525752639129051E-2</v>
      </c>
      <c r="AC15" s="88">
        <f t="shared" si="13"/>
        <v>2.8953144224283956E-2</v>
      </c>
      <c r="AD15" s="48">
        <f t="shared" si="14"/>
        <v>160</v>
      </c>
    </row>
    <row r="16" spans="1:30" ht="19" x14ac:dyDescent="0.25">
      <c r="A16" s="448">
        <f t="shared" si="15"/>
        <v>45</v>
      </c>
      <c r="B16" s="452">
        <v>192.0582</v>
      </c>
      <c r="C16" s="84">
        <v>9002.7430000000004</v>
      </c>
      <c r="D16" s="83">
        <v>1004.6699</v>
      </c>
      <c r="E16" s="453">
        <v>48855.101999999897</v>
      </c>
      <c r="F16" s="85">
        <f t="shared" si="0"/>
        <v>1.3930057494809459E-3</v>
      </c>
      <c r="G16" s="86">
        <f t="shared" si="1"/>
        <v>5.7132757524356605E-4</v>
      </c>
      <c r="H16" s="439">
        <f t="shared" si="2"/>
        <v>7.2869106709864346E-3</v>
      </c>
      <c r="I16" s="87">
        <f t="shared" si="3"/>
        <v>3.1004180574672668E-3</v>
      </c>
      <c r="J16" s="3">
        <f t="shared" si="4"/>
        <v>180</v>
      </c>
      <c r="K16" s="89">
        <f t="shared" si="16"/>
        <v>45</v>
      </c>
      <c r="L16" s="452">
        <v>2437.8386</v>
      </c>
      <c r="M16" s="84">
        <v>117824.859999999</v>
      </c>
      <c r="N16" s="83">
        <v>1195.047</v>
      </c>
      <c r="O16" s="453">
        <v>58122.951999999997</v>
      </c>
      <c r="P16" s="85">
        <f t="shared" si="5"/>
        <v>3.2911948395119683E-2</v>
      </c>
      <c r="Q16" s="86">
        <f t="shared" si="6"/>
        <v>2.0662391476911436E-2</v>
      </c>
      <c r="R16" s="439">
        <f t="shared" si="7"/>
        <v>1.6133687108630817E-2</v>
      </c>
      <c r="S16" s="87">
        <f t="shared" si="8"/>
        <v>1.0192748695120392E-2</v>
      </c>
      <c r="T16" s="3">
        <f t="shared" si="9"/>
        <v>180</v>
      </c>
      <c r="U16" s="89">
        <f t="shared" si="17"/>
        <v>45</v>
      </c>
      <c r="V16" s="83">
        <v>1427.0545999999999</v>
      </c>
      <c r="W16" s="84">
        <v>68973.062843199994</v>
      </c>
      <c r="X16" s="83">
        <v>836.4615</v>
      </c>
      <c r="Y16" s="90">
        <v>40642.646009800003</v>
      </c>
      <c r="Z16" s="85">
        <f t="shared" si="10"/>
        <v>1.8401812726096374E-2</v>
      </c>
      <c r="AA16" s="86">
        <f t="shared" si="11"/>
        <v>3.2625517062837291E-2</v>
      </c>
      <c r="AB16" s="87">
        <f t="shared" si="12"/>
        <v>1.0786138018538087E-2</v>
      </c>
      <c r="AC16" s="88">
        <f t="shared" si="13"/>
        <v>1.9224713043206752E-2</v>
      </c>
      <c r="AD16" s="48">
        <f t="shared" si="14"/>
        <v>180</v>
      </c>
    </row>
    <row r="17" spans="1:30" ht="19" x14ac:dyDescent="0.25">
      <c r="A17" s="448">
        <f t="shared" si="15"/>
        <v>50</v>
      </c>
      <c r="B17" s="452">
        <v>294.42559999999997</v>
      </c>
      <c r="C17" s="84">
        <v>15720.736999999999</v>
      </c>
      <c r="D17" s="83">
        <v>653.85789999999997</v>
      </c>
      <c r="E17" s="453">
        <v>34463.65</v>
      </c>
      <c r="F17" s="85">
        <f t="shared" si="0"/>
        <v>2.1354805657575523E-3</v>
      </c>
      <c r="G17" s="86">
        <f t="shared" si="1"/>
        <v>9.9766155173504475E-4</v>
      </c>
      <c r="H17" s="439">
        <f t="shared" si="2"/>
        <v>4.7424573074387726E-3</v>
      </c>
      <c r="I17" s="87">
        <f t="shared" si="3"/>
        <v>2.1871149258112696E-3</v>
      </c>
      <c r="J17" s="3">
        <f t="shared" si="4"/>
        <v>200</v>
      </c>
      <c r="K17" s="89">
        <f t="shared" si="16"/>
        <v>50</v>
      </c>
      <c r="L17" s="452">
        <v>1523.0124000000001</v>
      </c>
      <c r="M17" s="84">
        <v>80162.679999999993</v>
      </c>
      <c r="N17" s="83">
        <v>1680.5527</v>
      </c>
      <c r="O17" s="453">
        <v>87541.116999999998</v>
      </c>
      <c r="P17" s="85">
        <f t="shared" si="5"/>
        <v>2.0561371665018095E-2</v>
      </c>
      <c r="Q17" s="86">
        <f t="shared" si="6"/>
        <v>1.4057752124622876E-2</v>
      </c>
      <c r="R17" s="439">
        <f t="shared" si="7"/>
        <v>2.2688238564144095E-2</v>
      </c>
      <c r="S17" s="87">
        <f t="shared" si="8"/>
        <v>1.5351673914826823E-2</v>
      </c>
      <c r="T17" s="3">
        <f t="shared" si="9"/>
        <v>200</v>
      </c>
      <c r="U17" s="89">
        <f t="shared" si="17"/>
        <v>50</v>
      </c>
      <c r="V17" s="83">
        <v>571.39710000000002</v>
      </c>
      <c r="W17" s="84">
        <v>30177.891872900003</v>
      </c>
      <c r="X17" s="83">
        <v>528.73239999999998</v>
      </c>
      <c r="Y17" s="90">
        <v>27443.2739545</v>
      </c>
      <c r="Z17" s="85">
        <f t="shared" si="10"/>
        <v>7.3681430454269675E-3</v>
      </c>
      <c r="AA17" s="86">
        <f t="shared" si="11"/>
        <v>1.4274693418473091E-2</v>
      </c>
      <c r="AB17" s="87">
        <f t="shared" si="12"/>
        <v>6.8179834233528819E-3</v>
      </c>
      <c r="AC17" s="88">
        <f t="shared" si="13"/>
        <v>1.2981169252960469E-2</v>
      </c>
      <c r="AD17" s="48">
        <f t="shared" si="14"/>
        <v>200</v>
      </c>
    </row>
    <row r="18" spans="1:30" ht="19" x14ac:dyDescent="0.25">
      <c r="A18" s="448">
        <f t="shared" si="15"/>
        <v>55</v>
      </c>
      <c r="B18" s="452">
        <v>397.8836</v>
      </c>
      <c r="C18" s="84">
        <v>23379.037999999899</v>
      </c>
      <c r="D18" s="83">
        <v>1575.65839999999</v>
      </c>
      <c r="E18" s="453">
        <v>93079.861999999994</v>
      </c>
      <c r="F18" s="85">
        <f t="shared" si="0"/>
        <v>2.885865547131947E-3</v>
      </c>
      <c r="G18" s="86">
        <f t="shared" si="1"/>
        <v>1.483668820943476E-3</v>
      </c>
      <c r="H18" s="439">
        <f t="shared" si="2"/>
        <v>1.1428312930236429E-2</v>
      </c>
      <c r="I18" s="87">
        <f t="shared" si="3"/>
        <v>5.9069876659220127E-3</v>
      </c>
      <c r="J18" s="3">
        <f t="shared" si="4"/>
        <v>220</v>
      </c>
      <c r="K18" s="89">
        <f t="shared" si="16"/>
        <v>55</v>
      </c>
      <c r="L18" s="452">
        <v>1458.675</v>
      </c>
      <c r="M18" s="84">
        <v>85329.2959999999</v>
      </c>
      <c r="N18" s="83">
        <v>1213.1447000000001</v>
      </c>
      <c r="O18" s="453">
        <v>70266.301999999996</v>
      </c>
      <c r="P18" s="85">
        <f t="shared" si="5"/>
        <v>1.9692787014386929E-2</v>
      </c>
      <c r="Q18" s="86">
        <f t="shared" si="6"/>
        <v>1.49637972699587E-2</v>
      </c>
      <c r="R18" s="439">
        <f t="shared" si="7"/>
        <v>1.6378014427293485E-2</v>
      </c>
      <c r="S18" s="87">
        <f t="shared" si="8"/>
        <v>1.232227086506954E-2</v>
      </c>
      <c r="T18" s="3">
        <f t="shared" si="9"/>
        <v>220</v>
      </c>
      <c r="U18" s="89">
        <f t="shared" si="17"/>
        <v>55</v>
      </c>
      <c r="V18" s="83">
        <v>369.18089999999995</v>
      </c>
      <c r="W18" s="84">
        <v>21321.6819062</v>
      </c>
      <c r="X18" s="83">
        <v>809.79319999999996</v>
      </c>
      <c r="Y18" s="90">
        <v>47941.236421100002</v>
      </c>
      <c r="Z18" s="85">
        <f t="shared" si="10"/>
        <v>4.7605731300342062E-3</v>
      </c>
      <c r="AA18" s="86">
        <f t="shared" si="11"/>
        <v>1.0085544532371002E-2</v>
      </c>
      <c r="AB18" s="87">
        <f t="shared" si="12"/>
        <v>1.0442251342917297E-2</v>
      </c>
      <c r="AC18" s="88">
        <f t="shared" si="13"/>
        <v>2.2677079462541497E-2</v>
      </c>
      <c r="AD18" s="48">
        <f t="shared" si="14"/>
        <v>220</v>
      </c>
    </row>
    <row r="19" spans="1:30" ht="19" x14ac:dyDescent="0.25">
      <c r="A19" s="448">
        <f t="shared" si="15"/>
        <v>60</v>
      </c>
      <c r="B19" s="452">
        <v>230.6739</v>
      </c>
      <c r="C19" s="84">
        <v>14543.975</v>
      </c>
      <c r="D19" s="83">
        <v>1966.33069999999</v>
      </c>
      <c r="E19" s="453">
        <v>123285.726</v>
      </c>
      <c r="F19" s="85">
        <f t="shared" si="0"/>
        <v>1.6730869546584981E-3</v>
      </c>
      <c r="G19" s="86">
        <f t="shared" si="1"/>
        <v>9.2298247002641789E-4</v>
      </c>
      <c r="H19" s="439">
        <f t="shared" si="2"/>
        <v>1.4261874632173367E-2</v>
      </c>
      <c r="I19" s="87">
        <f t="shared" si="3"/>
        <v>7.8238971053291948E-3</v>
      </c>
      <c r="J19" s="3">
        <f t="shared" si="4"/>
        <v>240</v>
      </c>
      <c r="K19" s="89">
        <f t="shared" si="16"/>
        <v>60</v>
      </c>
      <c r="L19" s="452">
        <v>2040.8957</v>
      </c>
      <c r="M19" s="84">
        <v>127764.553</v>
      </c>
      <c r="N19" s="83">
        <v>526.22969999999998</v>
      </c>
      <c r="O19" s="453">
        <v>32847.394</v>
      </c>
      <c r="P19" s="85">
        <f t="shared" si="5"/>
        <v>2.7553035692445625E-2</v>
      </c>
      <c r="Q19" s="86">
        <f t="shared" si="6"/>
        <v>2.2405468684271061E-2</v>
      </c>
      <c r="R19" s="439">
        <f t="shared" si="7"/>
        <v>7.1043442869348746E-3</v>
      </c>
      <c r="S19" s="87">
        <f t="shared" si="8"/>
        <v>5.7602929791247589E-3</v>
      </c>
      <c r="T19" s="3">
        <f t="shared" si="9"/>
        <v>240</v>
      </c>
      <c r="U19" s="89">
        <f t="shared" si="17"/>
        <v>60</v>
      </c>
      <c r="V19" s="83">
        <v>239.59610000000001</v>
      </c>
      <c r="W19" s="84">
        <v>14785.852513900001</v>
      </c>
      <c r="X19" s="83">
        <v>193.85490000000004</v>
      </c>
      <c r="Y19" s="90">
        <v>11981.370364499999</v>
      </c>
      <c r="Z19" s="85">
        <f t="shared" si="10"/>
        <v>3.0895822501136672E-3</v>
      </c>
      <c r="AA19" s="86">
        <f t="shared" si="11"/>
        <v>6.9939779907627984E-3</v>
      </c>
      <c r="AB19" s="87">
        <f t="shared" si="12"/>
        <v>2.4997512820015022E-3</v>
      </c>
      <c r="AC19" s="88">
        <f t="shared" si="13"/>
        <v>5.6674067693907862E-3</v>
      </c>
      <c r="AD19" s="48">
        <f t="shared" si="14"/>
        <v>240</v>
      </c>
    </row>
    <row r="20" spans="1:30" ht="19" x14ac:dyDescent="0.25">
      <c r="A20" s="448">
        <f t="shared" si="15"/>
        <v>65</v>
      </c>
      <c r="B20" s="452">
        <v>1063.1494</v>
      </c>
      <c r="C20" s="84">
        <v>73019.386999999901</v>
      </c>
      <c r="D20" s="83">
        <v>793.50890000000004</v>
      </c>
      <c r="E20" s="453">
        <v>53429.180999999997</v>
      </c>
      <c r="F20" s="85">
        <f t="shared" si="0"/>
        <v>7.7110648061744719E-3</v>
      </c>
      <c r="G20" s="86">
        <f t="shared" si="1"/>
        <v>4.6339198309316961E-3</v>
      </c>
      <c r="H20" s="439">
        <f t="shared" si="2"/>
        <v>5.7553515547073804E-3</v>
      </c>
      <c r="I20" s="87">
        <f t="shared" si="3"/>
        <v>3.3906959721031254E-3</v>
      </c>
      <c r="J20" s="3">
        <f t="shared" si="4"/>
        <v>260</v>
      </c>
      <c r="K20" s="89">
        <f t="shared" si="16"/>
        <v>65</v>
      </c>
      <c r="L20" s="452">
        <v>1071.1591999999901</v>
      </c>
      <c r="M20" s="84">
        <v>72268.667000000001</v>
      </c>
      <c r="N20" s="83">
        <v>1721.8702000000001</v>
      </c>
      <c r="O20" s="453">
        <v>116180.515</v>
      </c>
      <c r="P20" s="85">
        <f t="shared" si="5"/>
        <v>1.4461144520952847E-2</v>
      </c>
      <c r="Q20" s="86">
        <f t="shared" si="6"/>
        <v>1.2673416196450932E-2</v>
      </c>
      <c r="R20" s="439">
        <f t="shared" si="7"/>
        <v>2.3246043920009476E-2</v>
      </c>
      <c r="S20" s="87">
        <f t="shared" si="8"/>
        <v>2.0374030428885737E-2</v>
      </c>
      <c r="T20" s="3">
        <f t="shared" si="9"/>
        <v>260</v>
      </c>
      <c r="U20" s="89">
        <f t="shared" si="17"/>
        <v>65</v>
      </c>
      <c r="V20" s="83">
        <v>337.29359999999997</v>
      </c>
      <c r="W20" s="84">
        <v>23119.950836199998</v>
      </c>
      <c r="X20" s="83">
        <v>873.49450000000002</v>
      </c>
      <c r="Y20" s="90">
        <v>59801.014994600002</v>
      </c>
      <c r="Z20" s="85">
        <f t="shared" si="10"/>
        <v>4.3493876554624184E-3</v>
      </c>
      <c r="AA20" s="86">
        <f t="shared" si="11"/>
        <v>1.0936158543708462E-2</v>
      </c>
      <c r="AB20" s="87">
        <f t="shared" si="12"/>
        <v>1.1263677091454797E-2</v>
      </c>
      <c r="AC20" s="88">
        <f t="shared" si="13"/>
        <v>2.8286971096480203E-2</v>
      </c>
      <c r="AD20" s="48">
        <f t="shared" si="14"/>
        <v>260</v>
      </c>
    </row>
    <row r="21" spans="1:30" ht="19" x14ac:dyDescent="0.25">
      <c r="A21" s="448">
        <f t="shared" si="15"/>
        <v>70</v>
      </c>
      <c r="B21" s="452">
        <v>1455.7556999999999</v>
      </c>
      <c r="C21" s="84">
        <v>104747.23699999999</v>
      </c>
      <c r="D21" s="83">
        <v>2313.4735999999898</v>
      </c>
      <c r="E21" s="453">
        <v>169182.22199999899</v>
      </c>
      <c r="F21" s="85">
        <f t="shared" si="0"/>
        <v>1.0558653886892925E-2</v>
      </c>
      <c r="G21" s="86">
        <f t="shared" si="1"/>
        <v>6.6474167849368956E-3</v>
      </c>
      <c r="H21" s="439">
        <f t="shared" si="2"/>
        <v>1.6779715867754501E-2</v>
      </c>
      <c r="I21" s="87">
        <f t="shared" si="3"/>
        <v>1.073655758801269E-2</v>
      </c>
      <c r="J21" s="3">
        <f t="shared" si="4"/>
        <v>280</v>
      </c>
      <c r="K21" s="89">
        <f t="shared" si="16"/>
        <v>70</v>
      </c>
      <c r="L21" s="452">
        <v>2101.2222999999999</v>
      </c>
      <c r="M21" s="84">
        <v>152797.033999999</v>
      </c>
      <c r="N21" s="83">
        <v>1433.5342000000001</v>
      </c>
      <c r="O21" s="453">
        <v>104665.05499999999</v>
      </c>
      <c r="P21" s="85">
        <f t="shared" si="5"/>
        <v>2.8367472688419444E-2</v>
      </c>
      <c r="Q21" s="86">
        <f t="shared" si="6"/>
        <v>2.6795297130155327E-2</v>
      </c>
      <c r="R21" s="439">
        <f t="shared" si="7"/>
        <v>1.9353374588883442E-2</v>
      </c>
      <c r="S21" s="87">
        <f t="shared" si="8"/>
        <v>1.8354618374785126E-2</v>
      </c>
      <c r="T21" s="3">
        <f t="shared" si="9"/>
        <v>280</v>
      </c>
      <c r="U21" s="89">
        <f t="shared" si="17"/>
        <v>70</v>
      </c>
      <c r="V21" s="83">
        <v>625.3845</v>
      </c>
      <c r="W21" s="84">
        <v>45775.046318499997</v>
      </c>
      <c r="X21" s="83">
        <v>74.381799999999998</v>
      </c>
      <c r="Y21" s="90">
        <v>5319.3768362000001</v>
      </c>
      <c r="Z21" s="85">
        <f t="shared" si="10"/>
        <v>8.0643084369746033E-3</v>
      </c>
      <c r="AA21" s="86">
        <f t="shared" si="11"/>
        <v>2.1652432024245327E-2</v>
      </c>
      <c r="AB21" s="87">
        <f t="shared" si="12"/>
        <v>9.5915037436546243E-4</v>
      </c>
      <c r="AC21" s="88">
        <f t="shared" si="13"/>
        <v>2.5161622897280755E-3</v>
      </c>
      <c r="AD21" s="48">
        <f t="shared" si="14"/>
        <v>280</v>
      </c>
    </row>
    <row r="22" spans="1:30" ht="19" x14ac:dyDescent="0.25">
      <c r="A22" s="448">
        <f t="shared" si="15"/>
        <v>75</v>
      </c>
      <c r="B22" s="452">
        <v>1501.537</v>
      </c>
      <c r="C22" s="84">
        <v>116156.867</v>
      </c>
      <c r="D22" s="83">
        <v>2918.5681999999902</v>
      </c>
      <c r="E22" s="453">
        <v>230121.454</v>
      </c>
      <c r="F22" s="85">
        <f t="shared" si="0"/>
        <v>1.0890707473351156E-2</v>
      </c>
      <c r="G22" s="86">
        <f t="shared" si="1"/>
        <v>7.371489019624285E-3</v>
      </c>
      <c r="H22" s="439">
        <f t="shared" si="2"/>
        <v>2.1168491024347001E-2</v>
      </c>
      <c r="I22" s="87">
        <f t="shared" si="3"/>
        <v>1.4603852661943568E-2</v>
      </c>
      <c r="J22" s="3">
        <f t="shared" si="4"/>
        <v>300</v>
      </c>
      <c r="K22" s="89">
        <f t="shared" si="16"/>
        <v>75</v>
      </c>
      <c r="L22" s="452">
        <v>1654.29259999999</v>
      </c>
      <c r="M22" s="84">
        <v>129589.42200000001</v>
      </c>
      <c r="N22" s="83">
        <v>1437.3330000000001</v>
      </c>
      <c r="O22" s="453">
        <v>112909.545</v>
      </c>
      <c r="P22" s="85">
        <f t="shared" si="5"/>
        <v>2.2333715071058455E-2</v>
      </c>
      <c r="Q22" s="86">
        <f t="shared" si="6"/>
        <v>2.2725487377033188E-2</v>
      </c>
      <c r="R22" s="439">
        <f t="shared" si="7"/>
        <v>1.9404660145508634E-2</v>
      </c>
      <c r="S22" s="87">
        <f t="shared" si="8"/>
        <v>1.980041580588314E-2</v>
      </c>
      <c r="T22" s="3">
        <f t="shared" si="9"/>
        <v>300</v>
      </c>
      <c r="U22" s="89">
        <f t="shared" si="17"/>
        <v>75</v>
      </c>
      <c r="V22" s="83">
        <v>154.32050000000001</v>
      </c>
      <c r="W22" s="84">
        <v>12206.060251000003</v>
      </c>
      <c r="X22" s="83">
        <v>624.81139999999994</v>
      </c>
      <c r="Y22" s="90">
        <v>49411.109789799993</v>
      </c>
      <c r="Z22" s="85">
        <f t="shared" si="10"/>
        <v>1.9899567548414443E-3</v>
      </c>
      <c r="AA22" s="86">
        <f t="shared" si="11"/>
        <v>5.7736891849262239E-3</v>
      </c>
      <c r="AB22" s="87">
        <f t="shared" si="12"/>
        <v>8.0569183351009068E-3</v>
      </c>
      <c r="AC22" s="88">
        <f t="shared" si="13"/>
        <v>2.3372356382166642E-2</v>
      </c>
      <c r="AD22" s="48">
        <f t="shared" si="14"/>
        <v>300</v>
      </c>
    </row>
    <row r="23" spans="1:30" ht="19" x14ac:dyDescent="0.25">
      <c r="A23" s="448">
        <f t="shared" si="15"/>
        <v>80</v>
      </c>
      <c r="B23" s="452">
        <v>1280.7547999999999</v>
      </c>
      <c r="C23" s="84">
        <v>106423.68700000001</v>
      </c>
      <c r="D23" s="83">
        <v>3268.5821999999898</v>
      </c>
      <c r="E23" s="453">
        <v>271099.75</v>
      </c>
      <c r="F23" s="85">
        <f t="shared" si="0"/>
        <v>9.2893654115019236E-3</v>
      </c>
      <c r="G23" s="86">
        <f t="shared" si="1"/>
        <v>6.7538068166768973E-3</v>
      </c>
      <c r="H23" s="439">
        <f t="shared" si="2"/>
        <v>2.3707156462213354E-2</v>
      </c>
      <c r="I23" s="87">
        <f t="shared" si="3"/>
        <v>1.7204396795136433E-2</v>
      </c>
      <c r="J23" s="3">
        <f t="shared" si="4"/>
        <v>320</v>
      </c>
      <c r="K23" s="89">
        <f t="shared" si="16"/>
        <v>80</v>
      </c>
      <c r="L23" s="452">
        <v>2683.4986999999901</v>
      </c>
      <c r="M23" s="84">
        <v>222613.96599999999</v>
      </c>
      <c r="N23" s="83">
        <v>2033.1388999999999</v>
      </c>
      <c r="O23" s="453">
        <v>168690.07199999999</v>
      </c>
      <c r="P23" s="85">
        <f t="shared" si="5"/>
        <v>3.6228473342234564E-2</v>
      </c>
      <c r="Q23" s="86">
        <f t="shared" si="6"/>
        <v>3.9038764092059107E-2</v>
      </c>
      <c r="R23" s="439">
        <f t="shared" si="7"/>
        <v>2.744831530557864E-2</v>
      </c>
      <c r="S23" s="87">
        <f t="shared" si="8"/>
        <v>2.9582384446986878E-2</v>
      </c>
      <c r="T23" s="3">
        <f t="shared" si="9"/>
        <v>320</v>
      </c>
      <c r="U23" s="89">
        <f t="shared" si="17"/>
        <v>80</v>
      </c>
      <c r="V23" s="83">
        <v>105.05269999999999</v>
      </c>
      <c r="W23" s="84">
        <v>8733.4503960000002</v>
      </c>
      <c r="X23" s="83">
        <v>108.85039999999999</v>
      </c>
      <c r="Y23" s="90">
        <v>9036.201019099999</v>
      </c>
      <c r="Z23" s="85">
        <f t="shared" si="10"/>
        <v>1.3546504189613938E-3</v>
      </c>
      <c r="AA23" s="86">
        <f t="shared" si="11"/>
        <v>4.1310813695470457E-3</v>
      </c>
      <c r="AB23" s="87">
        <f t="shared" si="12"/>
        <v>1.4036216105261009E-3</v>
      </c>
      <c r="AC23" s="88">
        <f t="shared" si="13"/>
        <v>4.2742879376269412E-3</v>
      </c>
      <c r="AD23" s="48">
        <f t="shared" si="14"/>
        <v>320</v>
      </c>
    </row>
    <row r="24" spans="1:30" ht="19" x14ac:dyDescent="0.25">
      <c r="A24" s="448">
        <f t="shared" si="15"/>
        <v>85</v>
      </c>
      <c r="B24" s="452">
        <v>1257.1134</v>
      </c>
      <c r="C24" s="84">
        <v>110558.601</v>
      </c>
      <c r="D24" s="83">
        <v>1649.71189999999</v>
      </c>
      <c r="E24" s="453">
        <v>144708.20300000001</v>
      </c>
      <c r="F24" s="85">
        <f t="shared" si="0"/>
        <v>9.1178933987173683E-3</v>
      </c>
      <c r="G24" s="86">
        <f t="shared" si="1"/>
        <v>7.0162146616482212E-3</v>
      </c>
      <c r="H24" s="439">
        <f t="shared" si="2"/>
        <v>1.1965425905726084E-2</v>
      </c>
      <c r="I24" s="87">
        <f t="shared" si="3"/>
        <v>9.1833996302953143E-3</v>
      </c>
      <c r="J24" s="3">
        <f t="shared" si="4"/>
        <v>340</v>
      </c>
      <c r="K24" s="89">
        <f t="shared" si="16"/>
        <v>85</v>
      </c>
      <c r="L24" s="452">
        <v>1913.39129999999</v>
      </c>
      <c r="M24" s="84">
        <v>168878.98099999901</v>
      </c>
      <c r="N24" s="83">
        <v>1179.1614</v>
      </c>
      <c r="O24" s="453">
        <v>103645.571</v>
      </c>
      <c r="P24" s="85">
        <f t="shared" si="5"/>
        <v>2.5831667332394621E-2</v>
      </c>
      <c r="Q24" s="86">
        <f t="shared" si="6"/>
        <v>2.9615512529731824E-2</v>
      </c>
      <c r="R24" s="439">
        <f t="shared" si="7"/>
        <v>1.5919224162878165E-2</v>
      </c>
      <c r="S24" s="87">
        <f t="shared" si="8"/>
        <v>1.8175836261125518E-2</v>
      </c>
      <c r="T24" s="3">
        <f t="shared" si="9"/>
        <v>340</v>
      </c>
      <c r="U24" s="89">
        <f t="shared" si="17"/>
        <v>85</v>
      </c>
      <c r="V24" s="83">
        <v>333.61880000000002</v>
      </c>
      <c r="W24" s="84">
        <v>29138.413549500001</v>
      </c>
      <c r="X24" s="83">
        <v>189.23439999999999</v>
      </c>
      <c r="Y24" s="90">
        <v>16683.33294</v>
      </c>
      <c r="Z24" s="85">
        <f t="shared" si="10"/>
        <v>4.3020012545455519E-3</v>
      </c>
      <c r="AA24" s="86">
        <f t="shared" si="11"/>
        <v>1.3783001207361143E-2</v>
      </c>
      <c r="AB24" s="87">
        <f t="shared" si="12"/>
        <v>2.4401701169213929E-3</v>
      </c>
      <c r="AC24" s="88">
        <f t="shared" si="13"/>
        <v>7.8915208497606654E-3</v>
      </c>
      <c r="AD24" s="48">
        <f t="shared" si="14"/>
        <v>340</v>
      </c>
    </row>
    <row r="25" spans="1:30" ht="19" x14ac:dyDescent="0.25">
      <c r="A25" s="448">
        <f t="shared" si="15"/>
        <v>90</v>
      </c>
      <c r="B25" s="452">
        <v>1424.5120999999999</v>
      </c>
      <c r="C25" s="84">
        <v>131726.34499999901</v>
      </c>
      <c r="D25" s="83">
        <v>3633.2916</v>
      </c>
      <c r="E25" s="453">
        <v>335462.89399999997</v>
      </c>
      <c r="F25" s="85">
        <f t="shared" si="0"/>
        <v>1.0332042815694284E-2</v>
      </c>
      <c r="G25" s="86">
        <f t="shared" si="1"/>
        <v>8.359551448324903E-3</v>
      </c>
      <c r="H25" s="439">
        <f t="shared" si="2"/>
        <v>2.63524082197002E-2</v>
      </c>
      <c r="I25" s="87">
        <f t="shared" si="3"/>
        <v>2.1288978460588002E-2</v>
      </c>
      <c r="J25" s="3">
        <f t="shared" si="4"/>
        <v>360</v>
      </c>
      <c r="K25" s="89">
        <f t="shared" si="16"/>
        <v>90</v>
      </c>
      <c r="L25" s="452">
        <v>1992.4115999999999</v>
      </c>
      <c r="M25" s="84">
        <v>184257.72899999999</v>
      </c>
      <c r="N25" s="83">
        <v>965.65989999999999</v>
      </c>
      <c r="O25" s="453">
        <v>88458.058000000005</v>
      </c>
      <c r="P25" s="85">
        <f t="shared" si="5"/>
        <v>2.6898477922631073E-2</v>
      </c>
      <c r="Q25" s="86">
        <f t="shared" si="6"/>
        <v>3.2312411228366318E-2</v>
      </c>
      <c r="R25" s="439">
        <f t="shared" si="7"/>
        <v>1.3036855186408337E-2</v>
      </c>
      <c r="S25" s="87">
        <f t="shared" si="8"/>
        <v>1.5512473544915337E-2</v>
      </c>
      <c r="T25" s="3">
        <f t="shared" si="9"/>
        <v>360</v>
      </c>
      <c r="U25" s="89">
        <f t="shared" si="17"/>
        <v>90</v>
      </c>
      <c r="V25" s="83">
        <v>52.854500000000002</v>
      </c>
      <c r="W25" s="84">
        <v>4803.4339649000003</v>
      </c>
      <c r="X25" s="83">
        <v>60.427300000000002</v>
      </c>
      <c r="Y25" s="90">
        <v>5491.0855080000001</v>
      </c>
      <c r="Z25" s="85">
        <f t="shared" si="10"/>
        <v>6.8155669077515381E-4</v>
      </c>
      <c r="AA25" s="86">
        <f t="shared" si="11"/>
        <v>2.2721118987904638E-3</v>
      </c>
      <c r="AB25" s="87">
        <f t="shared" si="12"/>
        <v>7.7920764779682808E-4</v>
      </c>
      <c r="AC25" s="88">
        <f t="shared" si="13"/>
        <v>2.5973836241261657E-3</v>
      </c>
      <c r="AD25" s="48">
        <f t="shared" si="14"/>
        <v>360</v>
      </c>
    </row>
    <row r="26" spans="1:30" ht="19" x14ac:dyDescent="0.25">
      <c r="A26" s="448">
        <f t="shared" si="15"/>
        <v>95</v>
      </c>
      <c r="B26" s="452">
        <v>2003.2981</v>
      </c>
      <c r="C26" s="84">
        <v>195297.85799999899</v>
      </c>
      <c r="D26" s="83">
        <v>5666.7551999999896</v>
      </c>
      <c r="E26" s="453">
        <v>558952.43799999997</v>
      </c>
      <c r="F26" s="85">
        <f t="shared" si="0"/>
        <v>1.4530000652012019E-2</v>
      </c>
      <c r="G26" s="86">
        <f t="shared" si="1"/>
        <v>1.2393895023039277E-2</v>
      </c>
      <c r="H26" s="439">
        <f t="shared" si="2"/>
        <v>4.1101200440809262E-2</v>
      </c>
      <c r="I26" s="87">
        <f t="shared" si="3"/>
        <v>3.5471960165809426E-2</v>
      </c>
      <c r="J26" s="3">
        <f t="shared" si="4"/>
        <v>380</v>
      </c>
      <c r="K26" s="89">
        <f t="shared" si="16"/>
        <v>95</v>
      </c>
      <c r="L26" s="452">
        <v>1499.40379999999</v>
      </c>
      <c r="M26" s="84">
        <v>148605.92600000001</v>
      </c>
      <c r="N26" s="83">
        <v>1616.0700999999899</v>
      </c>
      <c r="O26" s="453">
        <v>159168.21400000001</v>
      </c>
      <c r="P26" s="85">
        <f t="shared" si="5"/>
        <v>2.0242644648027983E-2</v>
      </c>
      <c r="Q26" s="86">
        <f t="shared" si="6"/>
        <v>2.6060322234212355E-2</v>
      </c>
      <c r="R26" s="439">
        <f t="shared" si="7"/>
        <v>2.1817693646370019E-2</v>
      </c>
      <c r="S26" s="87">
        <f t="shared" si="8"/>
        <v>2.7912580998176818E-2</v>
      </c>
      <c r="T26" s="3">
        <f t="shared" si="9"/>
        <v>380</v>
      </c>
      <c r="U26" s="89">
        <f t="shared" si="17"/>
        <v>95</v>
      </c>
      <c r="V26" s="83">
        <v>17.5535</v>
      </c>
      <c r="W26" s="84">
        <v>1755.35</v>
      </c>
      <c r="X26" s="83">
        <v>35.531599999999997</v>
      </c>
      <c r="Y26" s="90">
        <v>3489.2031199999997</v>
      </c>
      <c r="Z26" s="85">
        <f t="shared" si="10"/>
        <v>2.2635168947812695E-4</v>
      </c>
      <c r="AA26" s="86">
        <f t="shared" si="11"/>
        <v>8.3031257443858116E-4</v>
      </c>
      <c r="AB26" s="87">
        <f t="shared" si="12"/>
        <v>4.5817857919281145E-4</v>
      </c>
      <c r="AC26" s="88">
        <f t="shared" si="13"/>
        <v>1.6504567324501266E-3</v>
      </c>
      <c r="AD26" s="48">
        <f t="shared" si="14"/>
        <v>380</v>
      </c>
    </row>
    <row r="27" spans="1:30" ht="19" x14ac:dyDescent="0.25">
      <c r="A27" s="448">
        <f t="shared" si="15"/>
        <v>100</v>
      </c>
      <c r="B27" s="452">
        <v>945.53879999999901</v>
      </c>
      <c r="C27" s="84">
        <v>96985.84</v>
      </c>
      <c r="D27" s="83">
        <v>3682.0984999999901</v>
      </c>
      <c r="E27" s="453">
        <v>378643.88900000002</v>
      </c>
      <c r="F27" s="85">
        <f t="shared" si="0"/>
        <v>6.858030455129293E-3</v>
      </c>
      <c r="G27" s="86">
        <f t="shared" si="1"/>
        <v>6.1548668889204608E-3</v>
      </c>
      <c r="H27" s="439">
        <f t="shared" si="2"/>
        <v>2.6706406603077361E-2</v>
      </c>
      <c r="I27" s="87">
        <f t="shared" si="3"/>
        <v>2.4029309176454773E-2</v>
      </c>
      <c r="J27" s="3">
        <f t="shared" si="4"/>
        <v>400</v>
      </c>
      <c r="K27" s="89">
        <f t="shared" si="16"/>
        <v>100</v>
      </c>
      <c r="L27" s="452">
        <v>1488.4650999999999</v>
      </c>
      <c r="M27" s="84">
        <v>151164.02799999999</v>
      </c>
      <c r="N27" s="83">
        <v>368.87189999999998</v>
      </c>
      <c r="O27" s="453">
        <v>38092.885000000002</v>
      </c>
      <c r="P27" s="85">
        <f t="shared" si="5"/>
        <v>2.0094967139800256E-2</v>
      </c>
      <c r="Q27" s="86">
        <f t="shared" si="6"/>
        <v>2.6508924549223555E-2</v>
      </c>
      <c r="R27" s="439">
        <f t="shared" si="7"/>
        <v>4.9799412221997585E-3</v>
      </c>
      <c r="S27" s="87">
        <f t="shared" si="8"/>
        <v>6.6801700622005772E-3</v>
      </c>
      <c r="T27" s="3">
        <f t="shared" si="9"/>
        <v>400</v>
      </c>
      <c r="U27" s="89">
        <f t="shared" si="17"/>
        <v>100</v>
      </c>
      <c r="V27" s="83">
        <v>10.134399999999999</v>
      </c>
      <c r="W27" s="84">
        <v>1036.0498464</v>
      </c>
      <c r="X27" s="83">
        <v>57.123000000000005</v>
      </c>
      <c r="Y27" s="90">
        <v>5899.4290926000003</v>
      </c>
      <c r="Z27" s="85">
        <f t="shared" si="10"/>
        <v>1.3068268788829179E-4</v>
      </c>
      <c r="AA27" s="86">
        <f t="shared" si="11"/>
        <v>4.9007047894213725E-4</v>
      </c>
      <c r="AB27" s="87">
        <f t="shared" si="12"/>
        <v>7.3659882975241682E-4</v>
      </c>
      <c r="AC27" s="88">
        <f t="shared" si="13"/>
        <v>2.7905375894235166E-3</v>
      </c>
      <c r="AD27" s="48">
        <f t="shared" si="14"/>
        <v>400</v>
      </c>
    </row>
    <row r="28" spans="1:30" ht="19" x14ac:dyDescent="0.25">
      <c r="A28" s="448">
        <f t="shared" si="15"/>
        <v>105</v>
      </c>
      <c r="B28" s="452">
        <v>519.00159999999903</v>
      </c>
      <c r="C28" s="84">
        <v>55851.678</v>
      </c>
      <c r="D28" s="83">
        <v>7138.5586999999996</v>
      </c>
      <c r="E28" s="453">
        <v>769365.93400000001</v>
      </c>
      <c r="F28" s="85">
        <f t="shared" si="0"/>
        <v>3.7643392096240033E-3</v>
      </c>
      <c r="G28" s="86">
        <f t="shared" si="1"/>
        <v>3.5444312655625539E-3</v>
      </c>
      <c r="H28" s="439">
        <f t="shared" si="2"/>
        <v>5.1776249658214153E-2</v>
      </c>
      <c r="I28" s="87">
        <f t="shared" si="3"/>
        <v>4.8825116250371857E-2</v>
      </c>
      <c r="J28" s="3">
        <f t="shared" si="4"/>
        <v>420</v>
      </c>
      <c r="K28" s="89">
        <f t="shared" si="16"/>
        <v>105</v>
      </c>
      <c r="L28" s="452">
        <v>739.90470000000005</v>
      </c>
      <c r="M28" s="84">
        <v>79229.471999999994</v>
      </c>
      <c r="N28" s="83">
        <v>666.90329999999994</v>
      </c>
      <c r="O28" s="453">
        <v>72431.176999999996</v>
      </c>
      <c r="P28" s="85">
        <f t="shared" si="5"/>
        <v>9.9890555936338506E-3</v>
      </c>
      <c r="Q28" s="86">
        <f t="shared" si="6"/>
        <v>1.3894099827260625E-2</v>
      </c>
      <c r="R28" s="439">
        <f t="shared" si="7"/>
        <v>9.0035029366320723E-3</v>
      </c>
      <c r="S28" s="87">
        <f t="shared" si="8"/>
        <v>1.2701914810740929E-2</v>
      </c>
      <c r="T28" s="3">
        <f t="shared" si="9"/>
        <v>420</v>
      </c>
      <c r="U28" s="89">
        <f t="shared" si="17"/>
        <v>105</v>
      </c>
      <c r="V28" s="83">
        <v>0</v>
      </c>
      <c r="W28" s="84">
        <v>0</v>
      </c>
      <c r="X28" s="83">
        <v>144.16370000000001</v>
      </c>
      <c r="Y28" s="90">
        <v>15591.853449599999</v>
      </c>
      <c r="Z28" s="85">
        <f t="shared" si="10"/>
        <v>0</v>
      </c>
      <c r="AA28" s="86">
        <f t="shared" si="11"/>
        <v>0</v>
      </c>
      <c r="AB28" s="87">
        <f t="shared" si="12"/>
        <v>1.858985219837517E-3</v>
      </c>
      <c r="AC28" s="88">
        <f t="shared" si="13"/>
        <v>7.3752311379533704E-3</v>
      </c>
      <c r="AD28" s="48">
        <f t="shared" si="14"/>
        <v>420</v>
      </c>
    </row>
    <row r="29" spans="1:30" ht="19" x14ac:dyDescent="0.25">
      <c r="A29" s="448">
        <f t="shared" si="15"/>
        <v>110</v>
      </c>
      <c r="B29" s="452">
        <v>1386.0089</v>
      </c>
      <c r="C29" s="84">
        <v>156229.302</v>
      </c>
      <c r="D29" s="83">
        <v>6033.3536999999997</v>
      </c>
      <c r="E29" s="453">
        <v>678564.09799999895</v>
      </c>
      <c r="F29" s="85">
        <f t="shared" si="0"/>
        <v>1.0052777577483083E-2</v>
      </c>
      <c r="G29" s="86">
        <f t="shared" si="1"/>
        <v>9.914545854930526E-3</v>
      </c>
      <c r="H29" s="439">
        <f t="shared" si="2"/>
        <v>4.3760153915595054E-2</v>
      </c>
      <c r="I29" s="87">
        <f t="shared" si="3"/>
        <v>4.3062695531537104E-2</v>
      </c>
      <c r="J29" s="1300">
        <f t="shared" si="4"/>
        <v>440</v>
      </c>
      <c r="K29" s="89">
        <f t="shared" si="16"/>
        <v>110</v>
      </c>
      <c r="L29" s="452">
        <v>544.17139999999995</v>
      </c>
      <c r="M29" s="84">
        <v>61365.601999999999</v>
      </c>
      <c r="N29" s="83">
        <v>410.79509999999999</v>
      </c>
      <c r="O29" s="453">
        <v>46323.256999999998</v>
      </c>
      <c r="P29" s="85">
        <f t="shared" si="5"/>
        <v>7.3465655334606778E-3</v>
      </c>
      <c r="Q29" s="86">
        <f t="shared" si="6"/>
        <v>1.0761396972933813E-2</v>
      </c>
      <c r="R29" s="439">
        <f t="shared" si="7"/>
        <v>5.5459238081503959E-3</v>
      </c>
      <c r="S29" s="87">
        <f t="shared" si="8"/>
        <v>8.1234916860464437E-3</v>
      </c>
      <c r="T29" s="3">
        <f t="shared" si="9"/>
        <v>440</v>
      </c>
      <c r="U29" s="89">
        <f t="shared" si="17"/>
        <v>110</v>
      </c>
      <c r="V29" s="83">
        <v>0</v>
      </c>
      <c r="W29" s="84">
        <v>0</v>
      </c>
      <c r="X29" s="83">
        <v>0</v>
      </c>
      <c r="Y29" s="90">
        <v>0</v>
      </c>
      <c r="Z29" s="85">
        <f t="shared" si="10"/>
        <v>0</v>
      </c>
      <c r="AA29" s="86">
        <f t="shared" si="11"/>
        <v>0</v>
      </c>
      <c r="AB29" s="87">
        <f t="shared" si="12"/>
        <v>0</v>
      </c>
      <c r="AC29" s="88">
        <f t="shared" si="13"/>
        <v>0</v>
      </c>
      <c r="AD29" s="48">
        <f t="shared" si="14"/>
        <v>440</v>
      </c>
    </row>
    <row r="30" spans="1:30" ht="19" x14ac:dyDescent="0.25">
      <c r="A30" s="448">
        <f t="shared" si="15"/>
        <v>115</v>
      </c>
      <c r="B30" s="452">
        <v>1029.8838000000001</v>
      </c>
      <c r="C30" s="84">
        <v>121303.545</v>
      </c>
      <c r="D30" s="83">
        <v>8722.3936999999896</v>
      </c>
      <c r="E30" s="453">
        <v>1033607.194</v>
      </c>
      <c r="F30" s="85">
        <f t="shared" si="0"/>
        <v>7.4697880887006369E-3</v>
      </c>
      <c r="G30" s="86">
        <f t="shared" si="1"/>
        <v>7.6981049257208384E-3</v>
      </c>
      <c r="H30" s="439">
        <f t="shared" si="2"/>
        <v>6.3263867792868855E-2</v>
      </c>
      <c r="I30" s="87">
        <f t="shared" si="3"/>
        <v>6.5594262982107368E-2</v>
      </c>
      <c r="J30" s="3">
        <f t="shared" si="4"/>
        <v>460</v>
      </c>
      <c r="K30" s="89">
        <f t="shared" si="16"/>
        <v>115</v>
      </c>
      <c r="L30" s="452">
        <v>769.06920000000002</v>
      </c>
      <c r="M30" s="84">
        <v>91467.982999999906</v>
      </c>
      <c r="N30" s="83">
        <v>1185.1524999999999</v>
      </c>
      <c r="O30" s="453">
        <v>139586.94899999999</v>
      </c>
      <c r="P30" s="85">
        <f t="shared" si="5"/>
        <v>1.0382789829759846E-2</v>
      </c>
      <c r="Q30" s="86">
        <f t="shared" si="6"/>
        <v>1.6040309934164099E-2</v>
      </c>
      <c r="R30" s="439">
        <f t="shared" si="7"/>
        <v>1.6000106783257546E-2</v>
      </c>
      <c r="S30" s="87">
        <f t="shared" si="8"/>
        <v>2.4478706660934678E-2</v>
      </c>
      <c r="T30" s="3">
        <f t="shared" si="9"/>
        <v>460</v>
      </c>
      <c r="U30" s="89">
        <f t="shared" si="17"/>
        <v>115</v>
      </c>
      <c r="V30" s="83">
        <v>0</v>
      </c>
      <c r="W30" s="84">
        <v>0</v>
      </c>
      <c r="X30" s="83">
        <v>0</v>
      </c>
      <c r="Y30" s="90">
        <v>0</v>
      </c>
      <c r="Z30" s="85">
        <f t="shared" si="10"/>
        <v>0</v>
      </c>
      <c r="AA30" s="86">
        <f t="shared" si="11"/>
        <v>0</v>
      </c>
      <c r="AB30" s="87">
        <f t="shared" si="12"/>
        <v>0</v>
      </c>
      <c r="AC30" s="88">
        <f t="shared" si="13"/>
        <v>0</v>
      </c>
      <c r="AD30" s="48">
        <f t="shared" si="14"/>
        <v>460</v>
      </c>
    </row>
    <row r="31" spans="1:30" ht="19" x14ac:dyDescent="0.25">
      <c r="A31" s="448">
        <f t="shared" si="15"/>
        <v>120</v>
      </c>
      <c r="B31" s="452">
        <v>5638.7830000000004</v>
      </c>
      <c r="C31" s="84">
        <v>697692.64199999999</v>
      </c>
      <c r="D31" s="83">
        <v>12836.4771</v>
      </c>
      <c r="E31" s="453">
        <v>1579329.1440000001</v>
      </c>
      <c r="F31" s="85">
        <f t="shared" si="0"/>
        <v>4.0898316963688175E-2</v>
      </c>
      <c r="G31" s="86">
        <f t="shared" si="1"/>
        <v>4.4276621627334846E-2</v>
      </c>
      <c r="H31" s="439">
        <f t="shared" si="2"/>
        <v>9.3103478025830189E-2</v>
      </c>
      <c r="I31" s="87">
        <f t="shared" si="3"/>
        <v>0.10022659653319181</v>
      </c>
      <c r="J31" s="3">
        <f t="shared" si="4"/>
        <v>480</v>
      </c>
      <c r="K31" s="89">
        <f t="shared" si="16"/>
        <v>120</v>
      </c>
      <c r="L31" s="452">
        <v>1675.8359</v>
      </c>
      <c r="M31" s="84">
        <v>203931.10299999901</v>
      </c>
      <c r="N31" s="83">
        <v>870.24490000000003</v>
      </c>
      <c r="O31" s="453">
        <v>105227.204999999</v>
      </c>
      <c r="P31" s="85">
        <f t="shared" si="5"/>
        <v>2.2624559583021189E-2</v>
      </c>
      <c r="Q31" s="86">
        <f t="shared" si="6"/>
        <v>3.5762438287678541E-2</v>
      </c>
      <c r="R31" s="439">
        <f t="shared" si="7"/>
        <v>1.174870856500348E-2</v>
      </c>
      <c r="S31" s="87">
        <f t="shared" si="8"/>
        <v>1.8453199976059469E-2</v>
      </c>
      <c r="T31" s="3">
        <f t="shared" si="9"/>
        <v>480</v>
      </c>
      <c r="U31" s="89">
        <f t="shared" si="17"/>
        <v>120</v>
      </c>
      <c r="V31" s="83">
        <v>75.965000000000003</v>
      </c>
      <c r="W31" s="84">
        <v>9495.625</v>
      </c>
      <c r="X31" s="83">
        <v>0</v>
      </c>
      <c r="Y31" s="90">
        <v>0</v>
      </c>
      <c r="Z31" s="85">
        <f t="shared" si="10"/>
        <v>9.7956567585985219E-4</v>
      </c>
      <c r="AA31" s="86">
        <f t="shared" si="11"/>
        <v>4.4916038622800879E-3</v>
      </c>
      <c r="AB31" s="87">
        <f t="shared" si="12"/>
        <v>0</v>
      </c>
      <c r="AC31" s="88">
        <f t="shared" si="13"/>
        <v>0</v>
      </c>
      <c r="AD31" s="48">
        <f t="shared" si="14"/>
        <v>480</v>
      </c>
    </row>
    <row r="32" spans="1:30" ht="19" x14ac:dyDescent="0.25">
      <c r="A32" s="448">
        <f t="shared" si="15"/>
        <v>125</v>
      </c>
      <c r="B32" s="452">
        <v>1575.847</v>
      </c>
      <c r="C32" s="84">
        <v>200591.02</v>
      </c>
      <c r="D32" s="83">
        <v>6633.0735000000004</v>
      </c>
      <c r="E32" s="453">
        <v>843694.77399999998</v>
      </c>
      <c r="F32" s="85">
        <f t="shared" si="0"/>
        <v>1.1429680853524088E-2</v>
      </c>
      <c r="G32" s="86">
        <f t="shared" si="1"/>
        <v>1.2729807023507575E-2</v>
      </c>
      <c r="H32" s="439">
        <f t="shared" si="2"/>
        <v>4.8109945434403223E-2</v>
      </c>
      <c r="I32" s="87">
        <f t="shared" si="3"/>
        <v>5.3542135932913827E-2</v>
      </c>
      <c r="J32" s="3">
        <f t="shared" si="4"/>
        <v>500</v>
      </c>
      <c r="K32" s="89">
        <f t="shared" si="16"/>
        <v>125</v>
      </c>
      <c r="L32" s="452">
        <v>522.59209999999996</v>
      </c>
      <c r="M32" s="84">
        <v>66735.721999999994</v>
      </c>
      <c r="N32" s="83">
        <v>411.65730000000002</v>
      </c>
      <c r="O32" s="453">
        <v>51980.504000000001</v>
      </c>
      <c r="P32" s="85">
        <f t="shared" si="5"/>
        <v>7.0552350048511108E-3</v>
      </c>
      <c r="Q32" s="86">
        <f t="shared" si="6"/>
        <v>1.1703129657513217E-2</v>
      </c>
      <c r="R32" s="439">
        <f t="shared" si="7"/>
        <v>5.5575639068453113E-3</v>
      </c>
      <c r="S32" s="87">
        <f t="shared" si="8"/>
        <v>9.1155764820358802E-3</v>
      </c>
      <c r="T32" s="3">
        <f t="shared" si="9"/>
        <v>500</v>
      </c>
      <c r="U32" s="89">
        <f t="shared" si="17"/>
        <v>125</v>
      </c>
      <c r="V32" s="83">
        <v>0</v>
      </c>
      <c r="W32" s="84">
        <v>0</v>
      </c>
      <c r="X32" s="83">
        <v>208.6585</v>
      </c>
      <c r="Y32" s="90">
        <v>26311.376705999999</v>
      </c>
      <c r="Z32" s="85">
        <f t="shared" si="10"/>
        <v>0</v>
      </c>
      <c r="AA32" s="86">
        <f t="shared" si="11"/>
        <v>0</v>
      </c>
      <c r="AB32" s="87">
        <f t="shared" si="12"/>
        <v>2.6906431195471989E-3</v>
      </c>
      <c r="AC32" s="88">
        <f t="shared" si="13"/>
        <v>1.2445761204194135E-2</v>
      </c>
      <c r="AD32" s="48">
        <f t="shared" si="14"/>
        <v>500</v>
      </c>
    </row>
    <row r="33" spans="1:30" ht="19" x14ac:dyDescent="0.25">
      <c r="A33" s="448">
        <f t="shared" si="15"/>
        <v>130</v>
      </c>
      <c r="B33" s="452">
        <v>1937.9351999999999</v>
      </c>
      <c r="C33" s="84">
        <v>257261.7</v>
      </c>
      <c r="D33" s="83">
        <v>6290.2311</v>
      </c>
      <c r="E33" s="453">
        <v>834755.29299999995</v>
      </c>
      <c r="F33" s="85">
        <f t="shared" si="0"/>
        <v>1.4055920943346895E-2</v>
      </c>
      <c r="G33" s="86">
        <f t="shared" si="1"/>
        <v>1.6326213384524887E-2</v>
      </c>
      <c r="H33" s="439">
        <f t="shared" si="2"/>
        <v>4.5623295896055752E-2</v>
      </c>
      <c r="I33" s="87">
        <f t="shared" si="3"/>
        <v>5.2974823059085713E-2</v>
      </c>
      <c r="J33" s="3">
        <f t="shared" si="4"/>
        <v>520</v>
      </c>
      <c r="K33" s="89">
        <f t="shared" si="16"/>
        <v>130</v>
      </c>
      <c r="L33" s="452">
        <v>288.9171</v>
      </c>
      <c r="M33" s="84">
        <v>38323.088000000003</v>
      </c>
      <c r="N33" s="83">
        <v>461.54109999999997</v>
      </c>
      <c r="O33" s="453">
        <v>61572.883000000002</v>
      </c>
      <c r="P33" s="85">
        <f t="shared" si="5"/>
        <v>3.9005144498358646E-3</v>
      </c>
      <c r="Q33" s="86">
        <f t="shared" si="6"/>
        <v>6.72053967948813E-3</v>
      </c>
      <c r="R33" s="439">
        <f t="shared" si="7"/>
        <v>6.2310182739032738E-3</v>
      </c>
      <c r="S33" s="87">
        <f t="shared" si="8"/>
        <v>1.079774686690123E-2</v>
      </c>
      <c r="T33" s="3">
        <f t="shared" si="9"/>
        <v>520</v>
      </c>
      <c r="U33" s="89">
        <f t="shared" si="17"/>
        <v>130</v>
      </c>
      <c r="V33" s="83">
        <v>0</v>
      </c>
      <c r="W33" s="84">
        <v>0</v>
      </c>
      <c r="X33" s="83">
        <v>81.903700000000001</v>
      </c>
      <c r="Y33" s="90">
        <v>11050.635719999998</v>
      </c>
      <c r="Z33" s="85">
        <f t="shared" si="10"/>
        <v>0</v>
      </c>
      <c r="AA33" s="86">
        <f t="shared" si="11"/>
        <v>0</v>
      </c>
      <c r="AB33" s="87">
        <f t="shared" si="12"/>
        <v>1.0561449778966967E-3</v>
      </c>
      <c r="AC33" s="88">
        <f t="shared" si="13"/>
        <v>5.2271523023078833E-3</v>
      </c>
      <c r="AD33" s="48">
        <f t="shared" si="14"/>
        <v>520</v>
      </c>
    </row>
    <row r="34" spans="1:30" ht="19" x14ac:dyDescent="0.25">
      <c r="A34" s="448">
        <f t="shared" si="15"/>
        <v>135</v>
      </c>
      <c r="B34" s="452">
        <v>359.35430000000002</v>
      </c>
      <c r="C34" s="84">
        <v>49570.470999999998</v>
      </c>
      <c r="D34" s="83">
        <v>3622.0074999999902</v>
      </c>
      <c r="E34" s="453">
        <v>497862.19500000001</v>
      </c>
      <c r="F34" s="85">
        <f t="shared" si="0"/>
        <v>2.6064110045845514E-3</v>
      </c>
      <c r="G34" s="86">
        <f t="shared" si="1"/>
        <v>3.1458164472885105E-3</v>
      </c>
      <c r="H34" s="439">
        <f t="shared" si="2"/>
        <v>2.6270564194411348E-2</v>
      </c>
      <c r="I34" s="87">
        <f t="shared" si="3"/>
        <v>3.159508170729626E-2</v>
      </c>
      <c r="J34" s="3">
        <f t="shared" si="4"/>
        <v>540</v>
      </c>
      <c r="K34" s="89">
        <f t="shared" si="16"/>
        <v>135</v>
      </c>
      <c r="L34" s="452">
        <v>1425.6043</v>
      </c>
      <c r="M34" s="84">
        <v>196862.63800000001</v>
      </c>
      <c r="N34" s="83">
        <v>497.0958</v>
      </c>
      <c r="O34" s="453">
        <v>67969.755000000005</v>
      </c>
      <c r="P34" s="85">
        <f t="shared" si="5"/>
        <v>1.924631727197228E-2</v>
      </c>
      <c r="Q34" s="86">
        <f t="shared" si="6"/>
        <v>3.4522874829077128E-2</v>
      </c>
      <c r="R34" s="439">
        <f t="shared" si="7"/>
        <v>6.7110231649588027E-3</v>
      </c>
      <c r="S34" s="87">
        <f t="shared" si="8"/>
        <v>1.1919536220113231E-2</v>
      </c>
      <c r="T34" s="3">
        <f t="shared" si="9"/>
        <v>540</v>
      </c>
      <c r="U34" s="89">
        <f t="shared" si="17"/>
        <v>135</v>
      </c>
      <c r="V34" s="83">
        <v>155.62700000000001</v>
      </c>
      <c r="W34" s="84">
        <v>21787.78</v>
      </c>
      <c r="X34" s="83">
        <v>46.326599999999999</v>
      </c>
      <c r="Y34" s="90">
        <v>6399.7418304000003</v>
      </c>
      <c r="Z34" s="85">
        <f t="shared" si="10"/>
        <v>2.0068040207601029E-3</v>
      </c>
      <c r="AA34" s="86">
        <f t="shared" si="11"/>
        <v>1.030601743418773E-2</v>
      </c>
      <c r="AB34" s="87">
        <f t="shared" si="12"/>
        <v>5.9737967800025044E-4</v>
      </c>
      <c r="AC34" s="88">
        <f t="shared" si="13"/>
        <v>3.0271946420609578E-3</v>
      </c>
      <c r="AD34" s="48">
        <f t="shared" si="14"/>
        <v>540</v>
      </c>
    </row>
    <row r="35" spans="1:30" ht="19" x14ac:dyDescent="0.25">
      <c r="A35" s="448">
        <f t="shared" si="15"/>
        <v>140</v>
      </c>
      <c r="B35" s="452">
        <v>958.18190000000004</v>
      </c>
      <c r="C35" s="84">
        <v>136610.31699999899</v>
      </c>
      <c r="D35" s="83">
        <v>3064.0736999999899</v>
      </c>
      <c r="E35" s="453">
        <v>436337.08399999997</v>
      </c>
      <c r="F35" s="85">
        <f t="shared" si="0"/>
        <v>6.9497313613715887E-3</v>
      </c>
      <c r="G35" s="86">
        <f t="shared" si="1"/>
        <v>8.6694956375922682E-3</v>
      </c>
      <c r="H35" s="439">
        <f t="shared" si="2"/>
        <v>2.2223848192544454E-2</v>
      </c>
      <c r="I35" s="87">
        <f t="shared" si="3"/>
        <v>2.7690605873184226E-2</v>
      </c>
      <c r="J35" s="3">
        <f t="shared" si="4"/>
        <v>560</v>
      </c>
      <c r="K35" s="89">
        <f t="shared" si="16"/>
        <v>140</v>
      </c>
      <c r="L35" s="452">
        <v>409.39080000000001</v>
      </c>
      <c r="M35" s="84">
        <v>59155.885000000002</v>
      </c>
      <c r="N35" s="83">
        <v>482.28309999999999</v>
      </c>
      <c r="O35" s="453">
        <v>68504.797999999995</v>
      </c>
      <c r="P35" s="85">
        <f t="shared" si="5"/>
        <v>5.5269651087798697E-3</v>
      </c>
      <c r="Q35" s="86">
        <f t="shared" si="6"/>
        <v>1.0373889296648972E-2</v>
      </c>
      <c r="R35" s="439">
        <f t="shared" si="7"/>
        <v>6.51104486533208E-3</v>
      </c>
      <c r="S35" s="87">
        <f t="shared" si="8"/>
        <v>1.2013364194302897E-2</v>
      </c>
      <c r="T35" s="3">
        <f t="shared" si="9"/>
        <v>560</v>
      </c>
      <c r="U35" s="89">
        <f t="shared" si="17"/>
        <v>140</v>
      </c>
      <c r="V35" s="83">
        <v>0</v>
      </c>
      <c r="W35" s="84">
        <v>0</v>
      </c>
      <c r="X35" s="83">
        <v>10.2363</v>
      </c>
      <c r="Y35" s="90">
        <v>1458.2940068999999</v>
      </c>
      <c r="Z35" s="85">
        <f t="shared" si="10"/>
        <v>0</v>
      </c>
      <c r="AA35" s="86">
        <f t="shared" si="11"/>
        <v>0</v>
      </c>
      <c r="AB35" s="87">
        <f t="shared" si="12"/>
        <v>1.3199668436522351E-4</v>
      </c>
      <c r="AC35" s="88">
        <f t="shared" si="13"/>
        <v>6.8979967024097367E-4</v>
      </c>
      <c r="AD35" s="48">
        <f t="shared" si="14"/>
        <v>560</v>
      </c>
    </row>
    <row r="36" spans="1:30" ht="19" x14ac:dyDescent="0.25">
      <c r="A36" s="448">
        <f t="shared" si="15"/>
        <v>145</v>
      </c>
      <c r="B36" s="452">
        <v>1141.6544999999901</v>
      </c>
      <c r="C36" s="84">
        <v>169387.77900000001</v>
      </c>
      <c r="D36" s="83">
        <v>3519.11399999999</v>
      </c>
      <c r="E36" s="453">
        <v>521486.56999999902</v>
      </c>
      <c r="F36" s="85">
        <f t="shared" si="0"/>
        <v>8.2804654131965246E-3</v>
      </c>
      <c r="G36" s="86">
        <f t="shared" si="1"/>
        <v>1.0749602543576224E-2</v>
      </c>
      <c r="H36" s="439">
        <f t="shared" si="2"/>
        <v>2.5524273553948103E-2</v>
      </c>
      <c r="I36" s="87">
        <f t="shared" si="3"/>
        <v>3.3094319982274689E-2</v>
      </c>
      <c r="J36" s="3">
        <f t="shared" si="4"/>
        <v>580</v>
      </c>
      <c r="K36" s="89">
        <f t="shared" si="16"/>
        <v>145</v>
      </c>
      <c r="L36" s="452">
        <v>1154.4870000000001</v>
      </c>
      <c r="M36" s="84">
        <v>171276.04799999899</v>
      </c>
      <c r="N36" s="83">
        <v>24.398099999999999</v>
      </c>
      <c r="O36" s="453">
        <v>3610.9319999999998</v>
      </c>
      <c r="P36" s="85">
        <f t="shared" si="5"/>
        <v>1.5586108353045417E-2</v>
      </c>
      <c r="Q36" s="86">
        <f t="shared" si="6"/>
        <v>3.0035874894264958E-2</v>
      </c>
      <c r="R36" s="439">
        <f t="shared" si="7"/>
        <v>3.2938563206726221E-4</v>
      </c>
      <c r="S36" s="87">
        <f t="shared" si="8"/>
        <v>6.3323215983882692E-4</v>
      </c>
      <c r="T36" s="3">
        <f t="shared" si="9"/>
        <v>580</v>
      </c>
      <c r="U36" s="89">
        <f t="shared" si="17"/>
        <v>145</v>
      </c>
      <c r="V36" s="83">
        <v>0</v>
      </c>
      <c r="W36" s="84">
        <v>0</v>
      </c>
      <c r="X36" s="83">
        <v>0</v>
      </c>
      <c r="Y36" s="90">
        <v>0</v>
      </c>
      <c r="Z36" s="85">
        <f t="shared" si="10"/>
        <v>0</v>
      </c>
      <c r="AA36" s="86">
        <f t="shared" si="11"/>
        <v>0</v>
      </c>
      <c r="AB36" s="87">
        <f t="shared" si="12"/>
        <v>0</v>
      </c>
      <c r="AC36" s="88">
        <f t="shared" si="13"/>
        <v>0</v>
      </c>
      <c r="AD36" s="48">
        <f t="shared" si="14"/>
        <v>580</v>
      </c>
    </row>
    <row r="37" spans="1:30" ht="19" x14ac:dyDescent="0.25">
      <c r="A37" s="448">
        <f t="shared" si="15"/>
        <v>150</v>
      </c>
      <c r="B37" s="452">
        <v>723.12109999999996</v>
      </c>
      <c r="C37" s="84">
        <v>109565.15300000001</v>
      </c>
      <c r="D37" s="83">
        <v>1559.9998000000001</v>
      </c>
      <c r="E37" s="453">
        <v>237534.04199999999</v>
      </c>
      <c r="F37" s="85">
        <f t="shared" si="0"/>
        <v>5.2448260468492677E-3</v>
      </c>
      <c r="G37" s="86">
        <f t="shared" si="1"/>
        <v>6.9531689613577027E-3</v>
      </c>
      <c r="H37" s="439">
        <f t="shared" si="2"/>
        <v>1.1314740482776189E-2</v>
      </c>
      <c r="I37" s="87">
        <f t="shared" si="3"/>
        <v>1.5074266615592977E-2</v>
      </c>
      <c r="J37" s="3">
        <f t="shared" si="4"/>
        <v>600</v>
      </c>
      <c r="K37" s="89">
        <f t="shared" si="16"/>
        <v>150</v>
      </c>
      <c r="L37" s="452">
        <v>629.95089999999902</v>
      </c>
      <c r="M37" s="84">
        <v>95128.692999999999</v>
      </c>
      <c r="N37" s="83">
        <v>35.081800000000001</v>
      </c>
      <c r="O37" s="453">
        <v>5313.3860000000004</v>
      </c>
      <c r="P37" s="85">
        <f t="shared" si="5"/>
        <v>8.5046284492579487E-3</v>
      </c>
      <c r="Q37" s="86">
        <f t="shared" si="6"/>
        <v>1.6682271427718578E-2</v>
      </c>
      <c r="R37" s="439">
        <f t="shared" si="7"/>
        <v>4.7362052237909019E-4</v>
      </c>
      <c r="S37" s="87">
        <f t="shared" si="8"/>
        <v>9.3178350986321138E-4</v>
      </c>
      <c r="T37" s="3">
        <f t="shared" si="9"/>
        <v>600</v>
      </c>
      <c r="U37" s="89">
        <f t="shared" si="17"/>
        <v>150</v>
      </c>
      <c r="V37" s="83">
        <v>0</v>
      </c>
      <c r="W37" s="84">
        <v>0</v>
      </c>
      <c r="X37" s="83">
        <v>281.0324</v>
      </c>
      <c r="Y37" s="90">
        <v>42846.199703999999</v>
      </c>
      <c r="Z37" s="85">
        <f t="shared" si="10"/>
        <v>0</v>
      </c>
      <c r="AA37" s="86">
        <f t="shared" si="11"/>
        <v>0</v>
      </c>
      <c r="AB37" s="87">
        <f t="shared" si="12"/>
        <v>3.6239017026856619E-3</v>
      </c>
      <c r="AC37" s="88">
        <f t="shared" si="13"/>
        <v>2.0267034141987533E-2</v>
      </c>
      <c r="AD37" s="48">
        <f t="shared" si="14"/>
        <v>600</v>
      </c>
    </row>
    <row r="38" spans="1:30" ht="19" x14ac:dyDescent="0.25">
      <c r="A38" s="448">
        <f t="shared" si="15"/>
        <v>155</v>
      </c>
      <c r="B38" s="452">
        <v>613.6961</v>
      </c>
      <c r="C38" s="84">
        <v>96251.414999999994</v>
      </c>
      <c r="D38" s="83">
        <v>1971.7786000000001</v>
      </c>
      <c r="E38" s="453">
        <v>311107.86800000002</v>
      </c>
      <c r="F38" s="85">
        <f t="shared" si="0"/>
        <v>4.4511621775796791E-3</v>
      </c>
      <c r="G38" s="86">
        <f t="shared" si="1"/>
        <v>6.1082591767544847E-3</v>
      </c>
      <c r="H38" s="439">
        <f t="shared" si="2"/>
        <v>1.4301388467159904E-2</v>
      </c>
      <c r="I38" s="87">
        <f t="shared" si="3"/>
        <v>1.974337197714468E-2</v>
      </c>
      <c r="J38" s="3">
        <f t="shared" si="4"/>
        <v>620</v>
      </c>
      <c r="K38" s="89">
        <f t="shared" si="16"/>
        <v>155</v>
      </c>
      <c r="L38" s="452">
        <v>274.59449999999998</v>
      </c>
      <c r="M38" s="84">
        <v>43350.593999999997</v>
      </c>
      <c r="N38" s="83">
        <v>70.278300000000002</v>
      </c>
      <c r="O38" s="453">
        <v>11198.953</v>
      </c>
      <c r="P38" s="85">
        <f t="shared" si="5"/>
        <v>3.7071527268391319E-3</v>
      </c>
      <c r="Q38" s="86">
        <f t="shared" si="6"/>
        <v>7.6021897584657066E-3</v>
      </c>
      <c r="R38" s="439">
        <f t="shared" si="7"/>
        <v>9.4878954779727413E-4</v>
      </c>
      <c r="S38" s="87">
        <f t="shared" si="8"/>
        <v>1.9639077102874022E-3</v>
      </c>
      <c r="T38" s="3">
        <f t="shared" si="9"/>
        <v>620</v>
      </c>
      <c r="U38" s="89">
        <f t="shared" si="17"/>
        <v>155</v>
      </c>
      <c r="V38" s="83">
        <v>0</v>
      </c>
      <c r="W38" s="84">
        <v>0</v>
      </c>
      <c r="X38" s="83">
        <v>0</v>
      </c>
      <c r="Y38" s="90">
        <v>0</v>
      </c>
      <c r="Z38" s="85">
        <f t="shared" si="10"/>
        <v>0</v>
      </c>
      <c r="AA38" s="86">
        <f t="shared" si="11"/>
        <v>0</v>
      </c>
      <c r="AB38" s="87">
        <f t="shared" si="12"/>
        <v>0</v>
      </c>
      <c r="AC38" s="88">
        <f t="shared" si="13"/>
        <v>0</v>
      </c>
      <c r="AD38" s="48">
        <f t="shared" si="14"/>
        <v>620</v>
      </c>
    </row>
    <row r="39" spans="1:30" ht="19" x14ac:dyDescent="0.25">
      <c r="A39" s="448">
        <f t="shared" si="15"/>
        <v>160</v>
      </c>
      <c r="B39" s="452">
        <v>340.08229999999998</v>
      </c>
      <c r="C39" s="84">
        <v>55036.735000000001</v>
      </c>
      <c r="D39" s="83">
        <v>1121.9716999999901</v>
      </c>
      <c r="E39" s="453">
        <v>182430.54699999999</v>
      </c>
      <c r="F39" s="85">
        <f t="shared" si="0"/>
        <v>2.466630423469052E-3</v>
      </c>
      <c r="G39" s="86">
        <f t="shared" si="1"/>
        <v>3.4927137603364558E-3</v>
      </c>
      <c r="H39" s="439">
        <f t="shared" si="2"/>
        <v>8.1377052833719009E-3</v>
      </c>
      <c r="I39" s="87">
        <f t="shared" si="3"/>
        <v>1.1577316165513933E-2</v>
      </c>
      <c r="J39" s="3">
        <f t="shared" si="4"/>
        <v>640</v>
      </c>
      <c r="K39" s="89">
        <f t="shared" si="16"/>
        <v>160</v>
      </c>
      <c r="L39" s="452">
        <v>213.9194</v>
      </c>
      <c r="M39" s="84">
        <v>34938.305</v>
      </c>
      <c r="N39" s="83">
        <v>74.229600000000005</v>
      </c>
      <c r="O39" s="453">
        <v>11941.465</v>
      </c>
      <c r="P39" s="85">
        <f t="shared" si="5"/>
        <v>2.8880108197133995E-3</v>
      </c>
      <c r="Q39" s="86">
        <f t="shared" si="6"/>
        <v>6.1269662060259474E-3</v>
      </c>
      <c r="R39" s="439">
        <f t="shared" si="7"/>
        <v>1.0021339249408785E-3</v>
      </c>
      <c r="S39" s="87">
        <f t="shared" si="8"/>
        <v>2.0941185471201776E-3</v>
      </c>
      <c r="T39" s="3">
        <f t="shared" si="9"/>
        <v>640</v>
      </c>
      <c r="U39" s="89">
        <f t="shared" si="17"/>
        <v>160</v>
      </c>
      <c r="V39" s="83">
        <v>0</v>
      </c>
      <c r="W39" s="84">
        <v>0</v>
      </c>
      <c r="X39" s="83">
        <v>0</v>
      </c>
      <c r="Y39" s="90">
        <v>0</v>
      </c>
      <c r="Z39" s="85">
        <f t="shared" si="10"/>
        <v>0</v>
      </c>
      <c r="AA39" s="86">
        <f t="shared" si="11"/>
        <v>0</v>
      </c>
      <c r="AB39" s="87">
        <f t="shared" si="12"/>
        <v>0</v>
      </c>
      <c r="AC39" s="88">
        <f t="shared" si="13"/>
        <v>0</v>
      </c>
      <c r="AD39" s="48">
        <f t="shared" si="14"/>
        <v>640</v>
      </c>
    </row>
    <row r="40" spans="1:30" ht="19" x14ac:dyDescent="0.25">
      <c r="A40" s="448">
        <f t="shared" si="15"/>
        <v>165</v>
      </c>
      <c r="B40" s="452">
        <v>119.10169999999999</v>
      </c>
      <c r="C40" s="84">
        <v>19996.532999999999</v>
      </c>
      <c r="D40" s="83">
        <v>742.52219999999897</v>
      </c>
      <c r="E40" s="453">
        <v>124668.71</v>
      </c>
      <c r="F40" s="85">
        <f t="shared" si="0"/>
        <v>8.6384935854316432E-4</v>
      </c>
      <c r="G40" s="86">
        <f t="shared" si="1"/>
        <v>1.2690099797548315E-3</v>
      </c>
      <c r="H40" s="439">
        <f t="shared" si="2"/>
        <v>5.3855429953901437E-3</v>
      </c>
      <c r="I40" s="87">
        <f t="shared" si="3"/>
        <v>7.9116633444988177E-3</v>
      </c>
      <c r="J40" s="3">
        <f t="shared" si="4"/>
        <v>660</v>
      </c>
      <c r="K40" s="89">
        <f t="shared" si="16"/>
        <v>165</v>
      </c>
      <c r="L40" s="452">
        <v>437.8252</v>
      </c>
      <c r="M40" s="84">
        <v>72706.957999999999</v>
      </c>
      <c r="N40" s="83">
        <v>106.1105</v>
      </c>
      <c r="O40" s="453">
        <v>17575.824000000001</v>
      </c>
      <c r="P40" s="85">
        <f t="shared" si="5"/>
        <v>5.9108426572960799E-3</v>
      </c>
      <c r="Q40" s="86">
        <f t="shared" si="6"/>
        <v>1.2750277227499957E-2</v>
      </c>
      <c r="R40" s="439">
        <f t="shared" si="7"/>
        <v>1.4325408171731908E-3</v>
      </c>
      <c r="S40" s="87">
        <f t="shared" si="8"/>
        <v>3.0821895822095487E-3</v>
      </c>
      <c r="T40" s="3">
        <f t="shared" si="9"/>
        <v>660</v>
      </c>
      <c r="U40" s="89">
        <f t="shared" si="17"/>
        <v>165</v>
      </c>
      <c r="V40" s="83">
        <v>0</v>
      </c>
      <c r="W40" s="84">
        <v>0</v>
      </c>
      <c r="X40" s="83">
        <v>0</v>
      </c>
      <c r="Y40" s="90">
        <v>0</v>
      </c>
      <c r="Z40" s="85">
        <f t="shared" si="10"/>
        <v>0</v>
      </c>
      <c r="AA40" s="86">
        <f t="shared" si="11"/>
        <v>0</v>
      </c>
      <c r="AB40" s="87">
        <f t="shared" si="12"/>
        <v>0</v>
      </c>
      <c r="AC40" s="88">
        <f t="shared" si="13"/>
        <v>0</v>
      </c>
      <c r="AD40" s="48">
        <f t="shared" si="14"/>
        <v>660</v>
      </c>
    </row>
    <row r="41" spans="1:30" ht="19" x14ac:dyDescent="0.25">
      <c r="A41" s="448">
        <f>+A40+5</f>
        <v>170</v>
      </c>
      <c r="B41" s="452">
        <v>327.39609999999999</v>
      </c>
      <c r="C41" s="84">
        <v>56817.536</v>
      </c>
      <c r="D41" s="83">
        <v>676.35849999999903</v>
      </c>
      <c r="E41" s="453">
        <v>117680.74099999999</v>
      </c>
      <c r="F41" s="85">
        <f t="shared" si="0"/>
        <v>2.3746169112156558E-3</v>
      </c>
      <c r="G41" s="86">
        <f t="shared" si="1"/>
        <v>3.6057260630670035E-3</v>
      </c>
      <c r="H41" s="439">
        <f t="shared" si="2"/>
        <v>4.9056550525325496E-3</v>
      </c>
      <c r="I41" s="87">
        <f t="shared" si="3"/>
        <v>7.4681963495343701E-3</v>
      </c>
      <c r="J41" s="3">
        <f t="shared" si="4"/>
        <v>680</v>
      </c>
      <c r="K41" s="89">
        <f>+K40+5</f>
        <v>170</v>
      </c>
      <c r="L41" s="452">
        <v>296.6361</v>
      </c>
      <c r="M41" s="84">
        <v>51263.328000000001</v>
      </c>
      <c r="N41" s="83"/>
      <c r="O41" s="453"/>
      <c r="P41" s="85">
        <f t="shared" si="5"/>
        <v>4.0047245192235299E-3</v>
      </c>
      <c r="Q41" s="86">
        <f t="shared" si="6"/>
        <v>8.9898087003483351E-3</v>
      </c>
      <c r="R41" s="439">
        <f t="shared" si="7"/>
        <v>0</v>
      </c>
      <c r="S41" s="87">
        <f t="shared" si="8"/>
        <v>0</v>
      </c>
      <c r="T41" s="3">
        <f t="shared" si="9"/>
        <v>680</v>
      </c>
      <c r="U41" s="89">
        <f>+U40+5</f>
        <v>170</v>
      </c>
      <c r="V41" s="83">
        <v>0</v>
      </c>
      <c r="W41" s="84">
        <v>0</v>
      </c>
      <c r="X41" s="83">
        <v>0</v>
      </c>
      <c r="Y41" s="90">
        <v>0</v>
      </c>
      <c r="Z41" s="85">
        <f t="shared" si="10"/>
        <v>0</v>
      </c>
      <c r="AA41" s="86">
        <f t="shared" si="11"/>
        <v>0</v>
      </c>
      <c r="AB41" s="87">
        <f t="shared" si="12"/>
        <v>0</v>
      </c>
      <c r="AC41" s="88">
        <f t="shared" si="13"/>
        <v>0</v>
      </c>
      <c r="AD41" s="48">
        <f t="shared" si="14"/>
        <v>680</v>
      </c>
    </row>
    <row r="42" spans="1:30" ht="19" x14ac:dyDescent="0.25">
      <c r="A42" s="448">
        <f>+A41+5</f>
        <v>175</v>
      </c>
      <c r="B42" s="452">
        <v>301.10509999999999</v>
      </c>
      <c r="C42" s="84">
        <v>53662.309000000001</v>
      </c>
      <c r="D42" s="83">
        <v>196.8596</v>
      </c>
      <c r="E42" s="453">
        <v>35231.584000000003</v>
      </c>
      <c r="F42" s="85">
        <f t="shared" si="0"/>
        <v>2.1839272444396291E-3</v>
      </c>
      <c r="G42" s="86">
        <f t="shared" si="1"/>
        <v>3.4054906246841648E-3</v>
      </c>
      <c r="H42" s="439">
        <f t="shared" si="2"/>
        <v>1.427830494300786E-3</v>
      </c>
      <c r="I42" s="87">
        <f t="shared" si="3"/>
        <v>2.2358491693820451E-3</v>
      </c>
      <c r="J42" s="3">
        <f t="shared" si="4"/>
        <v>700</v>
      </c>
      <c r="K42" s="89">
        <f>+K41+5</f>
        <v>175</v>
      </c>
      <c r="L42" s="452">
        <v>147.60910000000001</v>
      </c>
      <c r="M42" s="84">
        <v>26569.651999999998</v>
      </c>
      <c r="N42" s="83">
        <v>295.5718</v>
      </c>
      <c r="O42" s="453">
        <v>53202.94</v>
      </c>
      <c r="P42" s="85">
        <f t="shared" si="5"/>
        <v>1.9927911067820739E-3</v>
      </c>
      <c r="Q42" s="86">
        <f t="shared" si="6"/>
        <v>4.6593948936523889E-3</v>
      </c>
      <c r="R42" s="439">
        <f t="shared" si="7"/>
        <v>3.990355977074379E-3</v>
      </c>
      <c r="S42" s="87">
        <f t="shared" si="8"/>
        <v>9.3299493332955376E-3</v>
      </c>
      <c r="T42" s="3">
        <f t="shared" si="9"/>
        <v>700</v>
      </c>
      <c r="U42" s="89">
        <f>+U41+5</f>
        <v>175</v>
      </c>
      <c r="V42" s="83">
        <v>0</v>
      </c>
      <c r="W42" s="84">
        <v>0</v>
      </c>
      <c r="X42" s="83">
        <v>37.982500000000002</v>
      </c>
      <c r="Y42" s="90">
        <v>6677.3235000000004</v>
      </c>
      <c r="Z42" s="85">
        <f t="shared" si="10"/>
        <v>0</v>
      </c>
      <c r="AA42" s="86">
        <f t="shared" si="11"/>
        <v>0</v>
      </c>
      <c r="AB42" s="87">
        <f t="shared" si="12"/>
        <v>4.897828379299261E-4</v>
      </c>
      <c r="AC42" s="88">
        <f t="shared" si="13"/>
        <v>3.1584958359553582E-3</v>
      </c>
      <c r="AD42" s="48">
        <f t="shared" si="14"/>
        <v>700</v>
      </c>
    </row>
    <row r="43" spans="1:30" ht="19" x14ac:dyDescent="0.25">
      <c r="A43" s="448">
        <f>+A42+5</f>
        <v>180</v>
      </c>
      <c r="B43" s="452">
        <v>63.163999999999902</v>
      </c>
      <c r="C43" s="84">
        <v>11490.901</v>
      </c>
      <c r="D43" s="83">
        <v>909.29669999999896</v>
      </c>
      <c r="E43" s="453">
        <v>166679.00699999899</v>
      </c>
      <c r="F43" s="85">
        <f t="shared" si="0"/>
        <v>4.5813099966684226E-4</v>
      </c>
      <c r="G43" s="86">
        <f t="shared" si="1"/>
        <v>7.2922981425704012E-4</v>
      </c>
      <c r="H43" s="439">
        <f t="shared" si="2"/>
        <v>6.5951650649857668E-3</v>
      </c>
      <c r="I43" s="87">
        <f t="shared" si="3"/>
        <v>1.057769980919313E-2</v>
      </c>
      <c r="J43" s="3">
        <f t="shared" si="4"/>
        <v>720</v>
      </c>
      <c r="K43" s="89">
        <f>+K42+5</f>
        <v>180</v>
      </c>
      <c r="L43" s="452">
        <v>133.2072</v>
      </c>
      <c r="M43" s="84">
        <v>24286.657999999999</v>
      </c>
      <c r="N43" s="83">
        <v>44.600900000000003</v>
      </c>
      <c r="O43" s="453">
        <v>8171.0789999999997</v>
      </c>
      <c r="P43" s="85">
        <f t="shared" si="5"/>
        <v>1.7983587971157676E-3</v>
      </c>
      <c r="Q43" s="86">
        <f t="shared" si="6"/>
        <v>4.2590369745558552E-3</v>
      </c>
      <c r="R43" s="439">
        <f t="shared" si="7"/>
        <v>6.0213277416146162E-4</v>
      </c>
      <c r="S43" s="87">
        <f t="shared" si="8"/>
        <v>1.4329236893366262E-3</v>
      </c>
      <c r="T43" s="3">
        <f t="shared" si="9"/>
        <v>720</v>
      </c>
      <c r="U43" s="89">
        <f>+U42+5</f>
        <v>180</v>
      </c>
      <c r="V43" s="83">
        <v>0</v>
      </c>
      <c r="W43" s="84">
        <v>0</v>
      </c>
      <c r="X43" s="83">
        <v>0</v>
      </c>
      <c r="Y43" s="90">
        <v>0</v>
      </c>
      <c r="Z43" s="85">
        <f t="shared" si="10"/>
        <v>0</v>
      </c>
      <c r="AA43" s="86">
        <f t="shared" si="11"/>
        <v>0</v>
      </c>
      <c r="AB43" s="87">
        <f t="shared" si="12"/>
        <v>0</v>
      </c>
      <c r="AC43" s="88">
        <f t="shared" si="13"/>
        <v>0</v>
      </c>
      <c r="AD43" s="48">
        <f t="shared" si="14"/>
        <v>720</v>
      </c>
    </row>
    <row r="44" spans="1:30" ht="19" x14ac:dyDescent="0.25">
      <c r="A44" s="448">
        <f>+A43+5</f>
        <v>185</v>
      </c>
      <c r="B44" s="452">
        <v>79.791499999999999</v>
      </c>
      <c r="C44" s="84">
        <v>14877.198</v>
      </c>
      <c r="D44" s="83">
        <v>885.30049999999903</v>
      </c>
      <c r="E44" s="453">
        <v>165569.511</v>
      </c>
      <c r="F44" s="85">
        <f t="shared" si="0"/>
        <v>5.7873091729334595E-4</v>
      </c>
      <c r="G44" s="86">
        <f t="shared" si="1"/>
        <v>9.4412930145383806E-4</v>
      </c>
      <c r="H44" s="439">
        <f t="shared" si="2"/>
        <v>6.4211196737153364E-3</v>
      </c>
      <c r="I44" s="87">
        <f t="shared" si="3"/>
        <v>1.0507289528746177E-2</v>
      </c>
      <c r="J44" s="3">
        <f t="shared" si="4"/>
        <v>740</v>
      </c>
      <c r="K44" s="89">
        <f>+K43+5</f>
        <v>185</v>
      </c>
      <c r="L44" s="452">
        <v>226.9589</v>
      </c>
      <c r="M44" s="84">
        <v>42361.958999999901</v>
      </c>
      <c r="N44" s="83">
        <v>21.688600000000001</v>
      </c>
      <c r="O44" s="453">
        <v>4111.3869999999997</v>
      </c>
      <c r="P44" s="85">
        <f t="shared" si="5"/>
        <v>3.0640500993844013E-3</v>
      </c>
      <c r="Q44" s="86">
        <f t="shared" si="6"/>
        <v>7.4288174888294135E-3</v>
      </c>
      <c r="R44" s="439">
        <f t="shared" si="7"/>
        <v>2.9280612915161524E-4</v>
      </c>
      <c r="S44" s="87">
        <f t="shared" si="8"/>
        <v>7.2099459916256383E-4</v>
      </c>
      <c r="T44" s="3">
        <f t="shared" si="9"/>
        <v>740</v>
      </c>
      <c r="U44" s="89">
        <f>+U43+5</f>
        <v>185</v>
      </c>
      <c r="V44" s="83">
        <v>0</v>
      </c>
      <c r="W44" s="84">
        <v>0</v>
      </c>
      <c r="X44" s="83">
        <v>0</v>
      </c>
      <c r="Y44" s="90">
        <v>0</v>
      </c>
      <c r="Z44" s="85">
        <f t="shared" si="10"/>
        <v>0</v>
      </c>
      <c r="AA44" s="86">
        <f t="shared" si="11"/>
        <v>0</v>
      </c>
      <c r="AB44" s="87">
        <f t="shared" si="12"/>
        <v>0</v>
      </c>
      <c r="AC44" s="88">
        <f t="shared" si="13"/>
        <v>0</v>
      </c>
      <c r="AD44" s="48">
        <f t="shared" si="14"/>
        <v>740</v>
      </c>
    </row>
    <row r="45" spans="1:30" ht="19" x14ac:dyDescent="0.25">
      <c r="A45" s="448">
        <v>190</v>
      </c>
      <c r="B45" s="452">
        <v>293.4556</v>
      </c>
      <c r="C45" s="84">
        <v>56598.394999999997</v>
      </c>
      <c r="D45" s="83">
        <v>449.40120000000002</v>
      </c>
      <c r="E45" s="453">
        <v>86087.187999999995</v>
      </c>
      <c r="F45" s="85">
        <f t="shared" si="0"/>
        <v>2.1284451172476921E-3</v>
      </c>
      <c r="G45" s="86">
        <f t="shared" si="1"/>
        <v>3.5918190464870061E-3</v>
      </c>
      <c r="H45" s="439">
        <f t="shared" si="2"/>
        <v>3.2595247452263765E-3</v>
      </c>
      <c r="I45" s="87">
        <f t="shared" si="3"/>
        <v>5.4632220845998837E-3</v>
      </c>
      <c r="J45" s="3">
        <f t="shared" si="4"/>
        <v>760</v>
      </c>
      <c r="K45" s="89">
        <v>190</v>
      </c>
      <c r="L45" s="452">
        <v>125.16759999999999</v>
      </c>
      <c r="M45" s="84">
        <v>23965.909</v>
      </c>
      <c r="N45" s="83">
        <v>57.994100000000003</v>
      </c>
      <c r="O45" s="453">
        <v>11086.1539999999</v>
      </c>
      <c r="P45" s="85">
        <f t="shared" si="5"/>
        <v>1.6898204794775925E-3</v>
      </c>
      <c r="Q45" s="86">
        <f t="shared" si="6"/>
        <v>4.2027887311560505E-3</v>
      </c>
      <c r="R45" s="439">
        <f t="shared" si="7"/>
        <v>7.8294716738893657E-4</v>
      </c>
      <c r="S45" s="87">
        <f t="shared" si="8"/>
        <v>1.9441266802381733E-3</v>
      </c>
      <c r="T45" s="3">
        <f t="shared" si="9"/>
        <v>760</v>
      </c>
      <c r="U45" s="89">
        <v>190</v>
      </c>
      <c r="V45" s="83">
        <v>0</v>
      </c>
      <c r="W45" s="84">
        <v>0</v>
      </c>
      <c r="X45" s="83">
        <v>0</v>
      </c>
      <c r="Y45" s="90">
        <v>0</v>
      </c>
      <c r="Z45" s="85">
        <f t="shared" si="10"/>
        <v>0</v>
      </c>
      <c r="AA45" s="86">
        <f t="shared" si="11"/>
        <v>0</v>
      </c>
      <c r="AB45" s="87">
        <f t="shared" si="12"/>
        <v>0</v>
      </c>
      <c r="AC45" s="88">
        <f t="shared" si="13"/>
        <v>0</v>
      </c>
      <c r="AD45" s="48">
        <f t="shared" si="14"/>
        <v>760</v>
      </c>
    </row>
    <row r="46" spans="1:30" ht="19" x14ac:dyDescent="0.25">
      <c r="A46" s="448">
        <f>+A45+5</f>
        <v>195</v>
      </c>
      <c r="B46" s="452">
        <v>60.568199999999997</v>
      </c>
      <c r="C46" s="84">
        <v>12113.646000000001</v>
      </c>
      <c r="D46" s="83">
        <v>687.35410000000002</v>
      </c>
      <c r="E46" s="453">
        <v>136480.87</v>
      </c>
      <c r="F46" s="85">
        <f t="shared" si="0"/>
        <v>4.3930355921127981E-4</v>
      </c>
      <c r="G46" s="86">
        <f t="shared" si="1"/>
        <v>7.6875014609868611E-4</v>
      </c>
      <c r="H46" s="439">
        <f t="shared" si="2"/>
        <v>4.9854065758676326E-3</v>
      </c>
      <c r="I46" s="87">
        <f t="shared" si="3"/>
        <v>8.6612807367968132E-3</v>
      </c>
      <c r="J46" s="3">
        <f t="shared" si="4"/>
        <v>780</v>
      </c>
      <c r="K46" s="89">
        <f>+K45+5</f>
        <v>195</v>
      </c>
      <c r="L46" s="452"/>
      <c r="M46" s="84"/>
      <c r="N46" s="83">
        <v>23.808800000000002</v>
      </c>
      <c r="O46" s="453">
        <v>4761.7839999999997</v>
      </c>
      <c r="P46" s="85">
        <f t="shared" si="5"/>
        <v>0</v>
      </c>
      <c r="Q46" s="86">
        <f t="shared" si="6"/>
        <v>0</v>
      </c>
      <c r="R46" s="439">
        <f t="shared" si="7"/>
        <v>3.2142980956562328E-4</v>
      </c>
      <c r="S46" s="87">
        <f t="shared" si="8"/>
        <v>8.3505166173330559E-4</v>
      </c>
      <c r="T46" s="3">
        <f t="shared" si="9"/>
        <v>780</v>
      </c>
      <c r="U46" s="89">
        <f>+U45+5</f>
        <v>195</v>
      </c>
      <c r="V46" s="83">
        <v>39.219499999999996</v>
      </c>
      <c r="W46" s="84">
        <v>7843.9</v>
      </c>
      <c r="X46" s="83">
        <v>0</v>
      </c>
      <c r="Y46" s="90">
        <v>0</v>
      </c>
      <c r="Z46" s="85">
        <f t="shared" si="10"/>
        <v>5.0573390409248292E-4</v>
      </c>
      <c r="AA46" s="86">
        <f t="shared" si="11"/>
        <v>3.7103078033661591E-3</v>
      </c>
      <c r="AB46" s="87">
        <f t="shared" si="12"/>
        <v>0</v>
      </c>
      <c r="AC46" s="88">
        <f t="shared" si="13"/>
        <v>0</v>
      </c>
      <c r="AD46" s="48">
        <f t="shared" si="14"/>
        <v>780</v>
      </c>
    </row>
    <row r="47" spans="1:30" ht="19" x14ac:dyDescent="0.25">
      <c r="A47" s="448">
        <v>200</v>
      </c>
      <c r="B47" s="452">
        <v>1036.2875999999901</v>
      </c>
      <c r="C47" s="84">
        <v>251371.94899999999</v>
      </c>
      <c r="D47" s="83">
        <v>3568.0746999999901</v>
      </c>
      <c r="E47" s="453">
        <v>799398.59900000005</v>
      </c>
      <c r="F47" s="85">
        <f t="shared" si="0"/>
        <v>7.5162351043371062E-3</v>
      </c>
      <c r="G47" s="86">
        <f t="shared" si="1"/>
        <v>1.5952440951210019E-2</v>
      </c>
      <c r="H47" s="439">
        <f t="shared" si="2"/>
        <v>2.5879387454831333E-2</v>
      </c>
      <c r="I47" s="87">
        <f t="shared" si="3"/>
        <v>5.0731034221433824E-2</v>
      </c>
      <c r="J47" s="3">
        <f t="shared" si="4"/>
        <v>800</v>
      </c>
      <c r="K47" s="89">
        <v>200</v>
      </c>
      <c r="L47" s="452">
        <v>830.17509999999902</v>
      </c>
      <c r="M47" s="84">
        <v>185944.334</v>
      </c>
      <c r="N47" s="83">
        <v>392.31180000000001</v>
      </c>
      <c r="O47" s="453">
        <v>86584.358999999997</v>
      </c>
      <c r="P47" s="85">
        <f t="shared" si="5"/>
        <v>1.1207747736094297E-2</v>
      </c>
      <c r="Q47" s="86">
        <f t="shared" si="6"/>
        <v>3.2608183213810787E-2</v>
      </c>
      <c r="R47" s="439">
        <f t="shared" si="7"/>
        <v>5.2963907111801883E-3</v>
      </c>
      <c r="S47" s="87">
        <f t="shared" si="8"/>
        <v>1.5183891764738403E-2</v>
      </c>
      <c r="T47" s="3">
        <f t="shared" si="9"/>
        <v>800</v>
      </c>
      <c r="U47" s="89">
        <v>200</v>
      </c>
      <c r="V47" s="83">
        <v>0</v>
      </c>
      <c r="W47" s="84">
        <v>0</v>
      </c>
      <c r="X47" s="83">
        <v>8.5482999999999993</v>
      </c>
      <c r="Y47" s="90">
        <v>1923.3674999999998</v>
      </c>
      <c r="Z47" s="85">
        <f t="shared" si="10"/>
        <v>0</v>
      </c>
      <c r="AA47" s="86">
        <f t="shared" si="11"/>
        <v>0</v>
      </c>
      <c r="AB47" s="87">
        <f t="shared" si="12"/>
        <v>1.1022999100839563E-4</v>
      </c>
      <c r="AC47" s="88">
        <f t="shared" si="13"/>
        <v>9.0978791723388369E-4</v>
      </c>
      <c r="AD47" s="48">
        <f t="shared" si="14"/>
        <v>800</v>
      </c>
    </row>
    <row r="48" spans="1:30" ht="20" thickBot="1" x14ac:dyDescent="0.3">
      <c r="A48" s="449">
        <v>212.5</v>
      </c>
      <c r="B48" s="454">
        <v>0</v>
      </c>
      <c r="C48" s="94">
        <v>0</v>
      </c>
      <c r="D48" s="93">
        <v>0</v>
      </c>
      <c r="E48" s="455">
        <v>0</v>
      </c>
      <c r="F48" s="95">
        <f t="shared" si="0"/>
        <v>0</v>
      </c>
      <c r="G48" s="96">
        <f t="shared" si="1"/>
        <v>0</v>
      </c>
      <c r="H48" s="440">
        <f t="shared" si="2"/>
        <v>0</v>
      </c>
      <c r="I48" s="97">
        <f t="shared" si="3"/>
        <v>0</v>
      </c>
      <c r="J48" s="3">
        <f t="shared" si="4"/>
        <v>850</v>
      </c>
      <c r="K48" s="99">
        <v>212.5</v>
      </c>
      <c r="L48" s="454">
        <v>0</v>
      </c>
      <c r="M48" s="94">
        <v>0</v>
      </c>
      <c r="N48" s="93">
        <v>0</v>
      </c>
      <c r="O48" s="455">
        <v>0</v>
      </c>
      <c r="P48" s="95">
        <f t="shared" si="5"/>
        <v>0</v>
      </c>
      <c r="Q48" s="96">
        <f t="shared" si="6"/>
        <v>0</v>
      </c>
      <c r="R48" s="440">
        <f t="shared" si="7"/>
        <v>0</v>
      </c>
      <c r="S48" s="97">
        <f t="shared" si="8"/>
        <v>0</v>
      </c>
      <c r="T48" s="3">
        <f t="shared" si="9"/>
        <v>850</v>
      </c>
      <c r="U48" s="99">
        <v>212.5</v>
      </c>
      <c r="V48" s="93">
        <v>0</v>
      </c>
      <c r="W48" s="94">
        <v>0</v>
      </c>
      <c r="X48" s="93">
        <v>0</v>
      </c>
      <c r="Y48" s="100">
        <v>0</v>
      </c>
      <c r="Z48" s="95">
        <f t="shared" si="10"/>
        <v>0</v>
      </c>
      <c r="AA48" s="96">
        <f t="shared" si="11"/>
        <v>0</v>
      </c>
      <c r="AB48" s="97">
        <f t="shared" si="12"/>
        <v>0</v>
      </c>
      <c r="AC48" s="98">
        <f t="shared" si="13"/>
        <v>0</v>
      </c>
      <c r="AD48" s="48">
        <f t="shared" si="14"/>
        <v>850</v>
      </c>
    </row>
    <row r="49" spans="1:29" ht="21" thickTop="1" thickBot="1" x14ac:dyDescent="0.3">
      <c r="A49" s="101"/>
      <c r="B49" s="444">
        <f t="shared" ref="B49:I49" si="18">SUM(B7:B48)</f>
        <v>32726.047499999982</v>
      </c>
      <c r="C49" s="445">
        <f t="shared" si="18"/>
        <v>3630255.7699999958</v>
      </c>
      <c r="D49" s="445">
        <f t="shared" si="18"/>
        <v>105147.18099999987</v>
      </c>
      <c r="E49" s="446">
        <f t="shared" si="18"/>
        <v>12127329.527999995</v>
      </c>
      <c r="F49" s="441">
        <f t="shared" si="18"/>
        <v>0.23736332177062219</v>
      </c>
      <c r="G49" s="442">
        <f t="shared" si="18"/>
        <v>0.23038147668861178</v>
      </c>
      <c r="H49" s="442">
        <f t="shared" si="18"/>
        <v>0.76263667822937775</v>
      </c>
      <c r="I49" s="443">
        <f t="shared" si="18"/>
        <v>0.76961852331138836</v>
      </c>
      <c r="K49" s="101"/>
      <c r="L49" s="444">
        <f t="shared" ref="L49:S49" si="19">SUM(L7:L48)</f>
        <v>43665.595499999908</v>
      </c>
      <c r="M49" s="445">
        <f t="shared" si="19"/>
        <v>3504237.7709999941</v>
      </c>
      <c r="N49" s="445">
        <f t="shared" si="19"/>
        <v>30405.941399999985</v>
      </c>
      <c r="O49" s="446">
        <f t="shared" si="19"/>
        <v>2198144.7499999986</v>
      </c>
      <c r="P49" s="441">
        <f t="shared" si="19"/>
        <v>0.58950573091186897</v>
      </c>
      <c r="Q49" s="442">
        <f t="shared" si="19"/>
        <v>0.61452169476443308</v>
      </c>
      <c r="R49" s="442">
        <f t="shared" si="19"/>
        <v>0.41049426908813103</v>
      </c>
      <c r="S49" s="443">
        <f t="shared" si="19"/>
        <v>0.38547830523556731</v>
      </c>
      <c r="U49" s="101"/>
      <c r="V49" s="102">
        <f t="shared" ref="V49:AC49" si="20">SUM(V7:V48)</f>
        <v>29850.964499999998</v>
      </c>
      <c r="W49" s="102">
        <f t="shared" si="20"/>
        <v>844213.30735720019</v>
      </c>
      <c r="X49" s="102">
        <f t="shared" si="20"/>
        <v>47698.710699999989</v>
      </c>
      <c r="Y49" s="102">
        <f t="shared" si="20"/>
        <v>1269870.0559916999</v>
      </c>
      <c r="Z49" s="103">
        <f t="shared" si="20"/>
        <v>0.38492700869493779</v>
      </c>
      <c r="AA49" s="104">
        <f t="shared" si="20"/>
        <v>0.39932829612730564</v>
      </c>
      <c r="AB49" s="104">
        <f t="shared" si="20"/>
        <v>0.61507299130506243</v>
      </c>
      <c r="AC49" s="105">
        <f t="shared" si="20"/>
        <v>0.60067170387269397</v>
      </c>
    </row>
    <row r="50" spans="1:29" ht="19" x14ac:dyDescent="0.25">
      <c r="A50" s="106"/>
      <c r="B50" s="107"/>
      <c r="C50" s="108" t="s">
        <v>10</v>
      </c>
      <c r="D50" s="109"/>
      <c r="E50" s="108" t="s">
        <v>17</v>
      </c>
      <c r="F50" s="110"/>
      <c r="G50" s="111" t="s">
        <v>367</v>
      </c>
      <c r="H50" s="112">
        <f>(E51*1000)/C51</f>
        <v>114290.39175651137</v>
      </c>
      <c r="I50" s="110"/>
      <c r="J50" s="117">
        <f>SUM(C7:C28,E7:E28)/E51</f>
        <v>0.28193734312603552</v>
      </c>
      <c r="K50" s="106"/>
      <c r="L50" s="107"/>
      <c r="M50" s="108" t="s">
        <v>10</v>
      </c>
      <c r="N50" s="109"/>
      <c r="O50" s="108" t="s">
        <v>17</v>
      </c>
      <c r="P50" s="110"/>
      <c r="Q50" s="111" t="s">
        <v>367</v>
      </c>
      <c r="R50" s="112">
        <f>(O51*1000)/M51</f>
        <v>76984.800905352895</v>
      </c>
      <c r="S50" s="110"/>
      <c r="T50" s="48">
        <f>(AB50-H50)/H50</f>
        <v>-0.76147582411578907</v>
      </c>
      <c r="U50" s="106"/>
      <c r="V50" s="107"/>
      <c r="W50" s="108" t="s">
        <v>10</v>
      </c>
      <c r="X50" s="109"/>
      <c r="Y50" s="108" t="s">
        <v>17</v>
      </c>
      <c r="Z50" s="110"/>
      <c r="AA50" s="111" t="s">
        <v>367</v>
      </c>
      <c r="AB50" s="112">
        <f>(Y51*1000)/W51</f>
        <v>27261.021505205488</v>
      </c>
      <c r="AC50" s="110"/>
    </row>
    <row r="51" spans="1:29" ht="16" x14ac:dyDescent="0.2">
      <c r="A51" s="111" t="s">
        <v>18</v>
      </c>
      <c r="C51" s="112">
        <f>B49+D49</f>
        <v>137873.22849999985</v>
      </c>
      <c r="E51" s="112">
        <f>C49+E49</f>
        <v>15757585.297999991</v>
      </c>
      <c r="G51" s="111" t="s">
        <v>366</v>
      </c>
      <c r="H51" s="215">
        <f>H50/OPDAYS_Cls1</f>
        <v>457.16156702604547</v>
      </c>
      <c r="I51" s="113"/>
      <c r="K51" s="111" t="s">
        <v>18</v>
      </c>
      <c r="M51" s="112">
        <f>+L49+N49</f>
        <v>74071.53689999989</v>
      </c>
      <c r="O51" s="112">
        <f>+M49+O49</f>
        <v>5702382.5209999923</v>
      </c>
      <c r="Q51" s="111" t="s">
        <v>366</v>
      </c>
      <c r="R51" s="215">
        <f>R50/OPDAYS_Cls1</f>
        <v>307.93920362141159</v>
      </c>
      <c r="S51" s="113"/>
      <c r="U51" s="111" t="s">
        <v>18</v>
      </c>
      <c r="W51" s="112">
        <f>+V49+X49</f>
        <v>77549.675199999983</v>
      </c>
      <c r="Y51" s="112">
        <f>W49+Y49</f>
        <v>2114083.3633489003</v>
      </c>
      <c r="AA51" s="111" t="s">
        <v>366</v>
      </c>
      <c r="AB51" s="215">
        <f>AB50/OPDAYS_Cls1</f>
        <v>109.04408602082195</v>
      </c>
      <c r="AC51" s="113"/>
    </row>
    <row r="52" spans="1:29" ht="16" x14ac:dyDescent="0.2">
      <c r="A52" s="113"/>
      <c r="C52" s="114">
        <f>C51/($C51+$M51+$W51)</f>
        <v>0.47625518546831802</v>
      </c>
      <c r="D52" s="115"/>
      <c r="E52" s="116">
        <f>E51/($E51+$O51+$Y51)</f>
        <v>0.66842924773992651</v>
      </c>
      <c r="F52" s="113"/>
      <c r="G52" s="113"/>
      <c r="H52" s="113"/>
      <c r="I52" s="113"/>
      <c r="K52" s="113"/>
      <c r="M52" s="114">
        <f>M51/($C51+$M51+$W51)</f>
        <v>0.25586514458267617</v>
      </c>
      <c r="N52" s="115"/>
      <c r="O52" s="116">
        <f>O51/($E51+$O51+$Y51)</f>
        <v>0.24189234497249509</v>
      </c>
      <c r="P52" s="113"/>
      <c r="Q52" s="113"/>
      <c r="R52" s="113"/>
      <c r="S52" s="113"/>
      <c r="U52" s="113"/>
      <c r="W52" s="114">
        <f>W51/($C51+$M51+$W51)</f>
        <v>0.26787966994900575</v>
      </c>
      <c r="X52" s="115"/>
      <c r="Y52" s="116">
        <f>Y51/($E51+$O51+$Y51)</f>
        <v>8.967840728757831E-2</v>
      </c>
      <c r="Z52" s="113"/>
      <c r="AA52" s="113"/>
      <c r="AB52" s="113"/>
      <c r="AC52" s="113"/>
    </row>
    <row r="53" spans="1:29" ht="25" thickBot="1" x14ac:dyDescent="0.35">
      <c r="A53" s="71" t="s">
        <v>235</v>
      </c>
      <c r="K53" s="71" t="s">
        <v>236</v>
      </c>
      <c r="L53" s="117"/>
      <c r="M53" s="91"/>
      <c r="U53" s="71" t="s">
        <v>155</v>
      </c>
      <c r="V53" s="117"/>
      <c r="W53" s="91"/>
    </row>
    <row r="54" spans="1:29" s="113" customFormat="1" ht="18.75" customHeight="1" x14ac:dyDescent="0.2">
      <c r="A54" s="118" t="str">
        <f>A2</f>
        <v>Vehicle Age 2 or Less</v>
      </c>
      <c r="B54" s="119"/>
      <c r="C54" s="120"/>
      <c r="D54" s="121"/>
      <c r="E54" s="121"/>
      <c r="F54" s="121"/>
      <c r="G54" s="121"/>
      <c r="H54" s="122"/>
      <c r="K54" s="118" t="str">
        <f>K2</f>
        <v>Vehicle Age 2 or Less</v>
      </c>
      <c r="L54" s="119"/>
      <c r="M54" s="120"/>
      <c r="N54" s="121"/>
      <c r="O54" s="121"/>
      <c r="P54" s="121"/>
      <c r="Q54" s="121"/>
      <c r="R54" s="122"/>
      <c r="U54" s="118" t="str">
        <f>U2</f>
        <v>Vehicle Age 2 or Less</v>
      </c>
      <c r="V54" s="119"/>
      <c r="W54" s="120"/>
      <c r="X54" s="121"/>
      <c r="Y54" s="121"/>
      <c r="Z54" s="121"/>
      <c r="AA54" s="121"/>
      <c r="AB54" s="122"/>
    </row>
    <row r="55" spans="1:29" ht="30" x14ac:dyDescent="0.2">
      <c r="A55" s="123" t="s">
        <v>12</v>
      </c>
      <c r="B55" s="124" t="s">
        <v>19</v>
      </c>
      <c r="C55" s="125"/>
      <c r="D55" s="126" t="s">
        <v>20</v>
      </c>
      <c r="E55" s="125"/>
      <c r="F55" s="124" t="s">
        <v>21</v>
      </c>
      <c r="G55" s="125"/>
      <c r="H55" s="127" t="s">
        <v>22</v>
      </c>
      <c r="K55" s="123" t="s">
        <v>12</v>
      </c>
      <c r="L55" s="124" t="s">
        <v>19</v>
      </c>
      <c r="M55" s="125"/>
      <c r="N55" s="126" t="s">
        <v>20</v>
      </c>
      <c r="O55" s="125"/>
      <c r="P55" s="124" t="s">
        <v>21</v>
      </c>
      <c r="Q55" s="125"/>
      <c r="R55" s="127" t="s">
        <v>22</v>
      </c>
      <c r="U55" s="123" t="s">
        <v>12</v>
      </c>
      <c r="V55" s="124" t="s">
        <v>19</v>
      </c>
      <c r="W55" s="125"/>
      <c r="X55" s="126" t="s">
        <v>20</v>
      </c>
      <c r="Y55" s="125"/>
      <c r="Z55" s="124" t="s">
        <v>21</v>
      </c>
      <c r="AA55" s="125"/>
      <c r="AB55" s="127" t="s">
        <v>22</v>
      </c>
    </row>
    <row r="56" spans="1:29" ht="16" x14ac:dyDescent="0.2">
      <c r="A56" s="128">
        <v>0</v>
      </c>
      <c r="B56" s="129">
        <f>+IF(B$60=0,0,B7/B$60)</f>
        <v>0</v>
      </c>
      <c r="C56" s="129"/>
      <c r="D56" s="129">
        <f>+IF(D$60=0,0,D7/D$60)</f>
        <v>4.3751717282066518E-2</v>
      </c>
      <c r="E56" s="129"/>
      <c r="F56" s="130">
        <f>+$A56*B56</f>
        <v>0</v>
      </c>
      <c r="G56" s="130"/>
      <c r="H56" s="131">
        <f>$A56*D56</f>
        <v>0</v>
      </c>
      <c r="I56" s="132"/>
      <c r="K56" s="128">
        <v>0</v>
      </c>
      <c r="L56" s="129">
        <f>+IF(L$60=0,0,L7/L$60)</f>
        <v>0.15541812247233677</v>
      </c>
      <c r="M56" s="129"/>
      <c r="N56" s="129">
        <f>+IF(N$60=0,0,N7/N$60)</f>
        <v>0.110529045647715</v>
      </c>
      <c r="O56" s="129"/>
      <c r="P56" s="130">
        <f>$A56*L56</f>
        <v>0</v>
      </c>
      <c r="Q56" s="130"/>
      <c r="R56" s="131">
        <f>$A56*N56</f>
        <v>0</v>
      </c>
      <c r="S56" s="132"/>
      <c r="U56" s="128">
        <v>0</v>
      </c>
      <c r="V56" s="129">
        <f>+IF(V$60=0,0,V7/V$60)</f>
        <v>0.12405949528356905</v>
      </c>
      <c r="W56" s="129"/>
      <c r="X56" s="129">
        <f>+IF(X$60=0,0,X7/X$60)</f>
        <v>0.15531833928852937</v>
      </c>
      <c r="Y56" s="129"/>
      <c r="Z56" s="130">
        <f>$A56*V56</f>
        <v>0</v>
      </c>
      <c r="AA56" s="130"/>
      <c r="AB56" s="131">
        <f>$A56*X56</f>
        <v>0</v>
      </c>
      <c r="AC56" s="132"/>
    </row>
    <row r="57" spans="1:29" ht="16" x14ac:dyDescent="0.2">
      <c r="A57" s="128">
        <v>5</v>
      </c>
      <c r="B57" s="129">
        <f>+IF(B$60=0,0,B8/B$60)</f>
        <v>0.2911915742039683</v>
      </c>
      <c r="C57" s="129"/>
      <c r="D57" s="129">
        <f>+IF(D$60=0,0,D8/D$60)</f>
        <v>0.30815745837946085</v>
      </c>
      <c r="E57" s="129"/>
      <c r="F57" s="130">
        <f>+$A57*B57</f>
        <v>1.4559578710198415</v>
      </c>
      <c r="G57" s="130"/>
      <c r="H57" s="131">
        <f>$A57*D57</f>
        <v>1.5407872918973042</v>
      </c>
      <c r="I57" s="132"/>
      <c r="K57" s="128">
        <v>5</v>
      </c>
      <c r="L57" s="129">
        <f>+IF(L$60=0,0,L8/L$60)</f>
        <v>0.13521844874480565</v>
      </c>
      <c r="M57" s="129"/>
      <c r="N57" s="129">
        <f>+IF(N$60=0,0,N8/N$60)</f>
        <v>0.14760723682164251</v>
      </c>
      <c r="O57" s="129"/>
      <c r="P57" s="130">
        <f>$A57*L57</f>
        <v>0.67609224372402821</v>
      </c>
      <c r="Q57" s="130"/>
      <c r="R57" s="131">
        <f>$A57*N57</f>
        <v>0.73803618410821259</v>
      </c>
      <c r="S57" s="132"/>
      <c r="U57" s="128">
        <v>5</v>
      </c>
      <c r="V57" s="129">
        <f>+IF(V$60=0,0,V8/V$60)</f>
        <v>0.25383674408009116</v>
      </c>
      <c r="W57" s="129"/>
      <c r="X57" s="129">
        <f>+IF(X$60=0,0,X8/X$60)</f>
        <v>0.29172881879244317</v>
      </c>
      <c r="Y57" s="129"/>
      <c r="Z57" s="130">
        <f>$A57*V57</f>
        <v>1.2691837204004557</v>
      </c>
      <c r="AA57" s="130"/>
      <c r="AB57" s="131">
        <f>$A57*X57</f>
        <v>1.4586440939622158</v>
      </c>
      <c r="AC57" s="132"/>
    </row>
    <row r="58" spans="1:29" ht="16" x14ac:dyDescent="0.2">
      <c r="A58" s="128">
        <f>+A57+5</f>
        <v>10</v>
      </c>
      <c r="B58" s="129">
        <f>+IF(B$60=0,0,B9/B$60)</f>
        <v>0.39141831878219335</v>
      </c>
      <c r="C58" s="129"/>
      <c r="D58" s="129">
        <f>+IF(D$60=0,0,D9/D$60)</f>
        <v>0.40820128316602833</v>
      </c>
      <c r="E58" s="129"/>
      <c r="F58" s="130">
        <f>+$A58*B58</f>
        <v>3.9141831878219335</v>
      </c>
      <c r="G58" s="130"/>
      <c r="H58" s="131">
        <f>$A58*D58</f>
        <v>4.0820128316602835</v>
      </c>
      <c r="I58" s="132"/>
      <c r="K58" s="128">
        <f>+K57+5</f>
        <v>10</v>
      </c>
      <c r="L58" s="129">
        <f>+IF(L$60=0,0,L9/L$60)</f>
        <v>0.34480078374191914</v>
      </c>
      <c r="M58" s="129"/>
      <c r="N58" s="129">
        <f>+IF(N$60=0,0,N9/N$60)</f>
        <v>0.32271323383202416</v>
      </c>
      <c r="O58" s="129"/>
      <c r="P58" s="130">
        <f>$A58*L58</f>
        <v>3.4480078374191914</v>
      </c>
      <c r="Q58" s="130"/>
      <c r="R58" s="131">
        <f>$A58*N58</f>
        <v>3.2271323383202417</v>
      </c>
      <c r="S58" s="132"/>
      <c r="U58" s="128">
        <f>+U57+5</f>
        <v>10</v>
      </c>
      <c r="V58" s="129">
        <f>+IF(V$60=0,0,V9/V$60)</f>
        <v>0.31809005167175075</v>
      </c>
      <c r="W58" s="129"/>
      <c r="X58" s="129">
        <f>+IF(X$60=0,0,X9/X$60)</f>
        <v>0.27768714506180159</v>
      </c>
      <c r="Y58" s="129"/>
      <c r="Z58" s="130">
        <f>$A58*V58</f>
        <v>3.1809005167175073</v>
      </c>
      <c r="AA58" s="130"/>
      <c r="AB58" s="131">
        <f>$A58*X58</f>
        <v>2.7768714506180157</v>
      </c>
      <c r="AC58" s="132"/>
    </row>
    <row r="59" spans="1:29" ht="17" thickBot="1" x14ac:dyDescent="0.25">
      <c r="A59" s="128">
        <f>+A58+5</f>
        <v>15</v>
      </c>
      <c r="B59" s="415">
        <f>+IF(B$60=0,0,B10/B$60)</f>
        <v>0.31739010701383846</v>
      </c>
      <c r="C59" s="129"/>
      <c r="D59" s="415">
        <f>+IF(D$60=0,0,D10/D$60)</f>
        <v>0.23988954117244424</v>
      </c>
      <c r="E59" s="129"/>
      <c r="F59" s="416">
        <f>+$A59*B59</f>
        <v>4.7608516052075771</v>
      </c>
      <c r="G59" s="130"/>
      <c r="H59" s="133">
        <f>$A59*D59</f>
        <v>3.5983431175866634</v>
      </c>
      <c r="I59" s="132"/>
      <c r="K59" s="128">
        <f>+K58+5</f>
        <v>15</v>
      </c>
      <c r="L59" s="415">
        <f>+IF(L$60=0,0,L10/L$60)</f>
        <v>0.3645626450409386</v>
      </c>
      <c r="M59" s="129"/>
      <c r="N59" s="415">
        <f>+IF(N$60=0,0,N10/N$60)</f>
        <v>0.41915048369861824</v>
      </c>
      <c r="O59" s="129"/>
      <c r="P59" s="416">
        <f>$A59*L59</f>
        <v>5.4684396756140794</v>
      </c>
      <c r="Q59" s="130"/>
      <c r="R59" s="133">
        <f>$A59*N59</f>
        <v>6.2872572554792736</v>
      </c>
      <c r="S59" s="132"/>
      <c r="U59" s="128">
        <f>+U58+5</f>
        <v>15</v>
      </c>
      <c r="V59" s="415">
        <f>+IF(V$60=0,0,V10/V$60)</f>
        <v>0.30401370896458901</v>
      </c>
      <c r="W59" s="129"/>
      <c r="X59" s="415">
        <f>+IF(X$60=0,0,X10/X$60)</f>
        <v>0.27526569685722591</v>
      </c>
      <c r="Y59" s="129"/>
      <c r="Z59" s="416">
        <f>$A59*V59</f>
        <v>4.5602056344688355</v>
      </c>
      <c r="AA59" s="130"/>
      <c r="AB59" s="133">
        <f>$A59*X59</f>
        <v>4.1289854528583882</v>
      </c>
      <c r="AC59" s="132"/>
    </row>
    <row r="60" spans="1:29" ht="17" thickTop="1" x14ac:dyDescent="0.2">
      <c r="A60" s="134" t="s">
        <v>18</v>
      </c>
      <c r="B60" s="135">
        <f>SUM(B7:B10)</f>
        <v>1095.5499</v>
      </c>
      <c r="C60" s="136"/>
      <c r="D60" s="137">
        <f>SUM(D7:D10)</f>
        <v>1787.3447000000001</v>
      </c>
      <c r="E60" s="138" t="s">
        <v>23</v>
      </c>
      <c r="F60" s="139">
        <f>+SUM(F56:F59)</f>
        <v>10.130992664049352</v>
      </c>
      <c r="G60" s="140"/>
      <c r="H60" s="141">
        <f>SUM(H56:H59)</f>
        <v>9.2211432411442509</v>
      </c>
      <c r="I60" s="132"/>
      <c r="K60" s="134" t="s">
        <v>18</v>
      </c>
      <c r="L60" s="135">
        <f>SUM(L7:L10)</f>
        <v>2930.2502999999897</v>
      </c>
      <c r="M60" s="136"/>
      <c r="N60" s="137">
        <f>SUM(N7:N10)</f>
        <v>3411.2047000000002</v>
      </c>
      <c r="O60" s="138" t="s">
        <v>23</v>
      </c>
      <c r="P60" s="139">
        <f>SUM(P56:P59)</f>
        <v>9.592539756757299</v>
      </c>
      <c r="Q60" s="140"/>
      <c r="R60" s="141">
        <f>SUM(R56:R59)</f>
        <v>10.252425777907728</v>
      </c>
      <c r="S60" s="132"/>
      <c r="U60" s="134" t="s">
        <v>18</v>
      </c>
      <c r="V60" s="135">
        <f>SUM(V7:V10)</f>
        <v>12788.186800000001</v>
      </c>
      <c r="W60" s="136"/>
      <c r="X60" s="137">
        <f>SUM(X7:X10)</f>
        <v>21189.674799999993</v>
      </c>
      <c r="Y60" s="138" t="s">
        <v>23</v>
      </c>
      <c r="Z60" s="139">
        <f>SUM(Z56:Z59)</f>
        <v>9.0102898715867994</v>
      </c>
      <c r="AA60" s="140"/>
      <c r="AB60" s="141">
        <f>SUM(AB56:AB59)</f>
        <v>8.3645009974386184</v>
      </c>
      <c r="AC60" s="132"/>
    </row>
    <row r="61" spans="1:29" ht="16" x14ac:dyDescent="0.2">
      <c r="A61" s="128"/>
      <c r="B61" s="129"/>
      <c r="C61" s="129"/>
      <c r="D61" s="129"/>
      <c r="E61" s="129"/>
      <c r="F61" s="130"/>
      <c r="G61" s="130"/>
      <c r="H61" s="131"/>
      <c r="K61" s="128"/>
      <c r="L61" s="129"/>
      <c r="M61" s="129"/>
      <c r="N61" s="129"/>
      <c r="O61" s="129"/>
      <c r="P61" s="130"/>
      <c r="Q61" s="130"/>
      <c r="R61" s="131"/>
      <c r="U61" s="128"/>
      <c r="V61" s="129"/>
      <c r="W61" s="129"/>
      <c r="X61" s="129"/>
      <c r="Y61" s="129"/>
      <c r="Z61" s="130"/>
      <c r="AA61" s="130"/>
      <c r="AB61" s="131"/>
    </row>
    <row r="62" spans="1:29" ht="16" x14ac:dyDescent="0.2">
      <c r="A62" s="128">
        <f>+A59+5</f>
        <v>20</v>
      </c>
      <c r="B62" s="129">
        <f>+IF(B$66=0,0,B11/B$66)</f>
        <v>0.52253059961921522</v>
      </c>
      <c r="C62" s="129"/>
      <c r="D62" s="129">
        <f>+IF(D$66=0,0,D11/D$66)</f>
        <v>0.41385862428817594</v>
      </c>
      <c r="E62" s="129"/>
      <c r="F62" s="130">
        <f>$A62*B62</f>
        <v>10.450611992384305</v>
      </c>
      <c r="G62" s="130"/>
      <c r="H62" s="131">
        <f>$A62*D62</f>
        <v>8.2771724857635185</v>
      </c>
      <c r="I62" s="132"/>
      <c r="K62" s="128">
        <f>+K59+5</f>
        <v>20</v>
      </c>
      <c r="L62" s="129">
        <f>+IF(L$66=0,0,L11/L$66)</f>
        <v>0.29074903480578279</v>
      </c>
      <c r="M62" s="129"/>
      <c r="N62" s="129">
        <f>+IF(N$66=0,0,N11/N$66)</f>
        <v>0.17733511294729579</v>
      </c>
      <c r="O62" s="129"/>
      <c r="P62" s="130">
        <f>$A62*L62</f>
        <v>5.814980696115656</v>
      </c>
      <c r="Q62" s="130"/>
      <c r="R62" s="131">
        <f>$A62*N62</f>
        <v>3.5467022589459156</v>
      </c>
      <c r="S62" s="132"/>
      <c r="U62" s="128">
        <f>+U59+5</f>
        <v>20</v>
      </c>
      <c r="V62" s="129">
        <f>+IF(V$66=0,0,V11/V$66)</f>
        <v>0.276265876658294</v>
      </c>
      <c r="W62" s="129"/>
      <c r="X62" s="129">
        <f>+IF(X$66=0,0,X11/X$66)</f>
        <v>0.31980375695841073</v>
      </c>
      <c r="Y62" s="129"/>
      <c r="Z62" s="130">
        <f>$A62*V62</f>
        <v>5.5253175331658797</v>
      </c>
      <c r="AA62" s="130"/>
      <c r="AB62" s="131">
        <f>$A62*X62</f>
        <v>6.3960751391682145</v>
      </c>
      <c r="AC62" s="132"/>
    </row>
    <row r="63" spans="1:29" ht="16" x14ac:dyDescent="0.2">
      <c r="A63" s="128">
        <f>+A62+5</f>
        <v>25</v>
      </c>
      <c r="B63" s="129">
        <f>+IF(B$66=0,0,B12/B$66)</f>
        <v>0.10862820965621772</v>
      </c>
      <c r="C63" s="129"/>
      <c r="D63" s="129">
        <f>+IF(D$66=0,0,D12/D$66)</f>
        <v>0.21764095381970816</v>
      </c>
      <c r="E63" s="129"/>
      <c r="F63" s="130">
        <f>$A63*B63</f>
        <v>2.715705241405443</v>
      </c>
      <c r="G63" s="130"/>
      <c r="H63" s="131">
        <f>$A63*D63</f>
        <v>5.4410238454927038</v>
      </c>
      <c r="I63" s="132"/>
      <c r="K63" s="128">
        <f>+K62+5</f>
        <v>25</v>
      </c>
      <c r="L63" s="129">
        <f>+IF(L$66=0,0,L12/L$66)</f>
        <v>0.21984157529840001</v>
      </c>
      <c r="M63" s="129"/>
      <c r="N63" s="129">
        <f>+IF(N$66=0,0,N12/N$66)</f>
        <v>0.22708608729480176</v>
      </c>
      <c r="O63" s="129"/>
      <c r="P63" s="130">
        <f>$A63*L63</f>
        <v>5.4960393824600002</v>
      </c>
      <c r="Q63" s="130"/>
      <c r="R63" s="131">
        <f>$A63*N63</f>
        <v>5.6771521823700439</v>
      </c>
      <c r="S63" s="132"/>
      <c r="U63" s="128">
        <f>+U62+5</f>
        <v>25</v>
      </c>
      <c r="V63" s="129">
        <f>+IF(V$66=0,0,V12/V$66)</f>
        <v>0.36455984330646807</v>
      </c>
      <c r="W63" s="129"/>
      <c r="X63" s="129">
        <f>+IF(X$66=0,0,X12/X$66)</f>
        <v>0.31859581094667105</v>
      </c>
      <c r="Y63" s="129"/>
      <c r="Z63" s="130">
        <f>$A63*V63</f>
        <v>9.1139960826617017</v>
      </c>
      <c r="AA63" s="130"/>
      <c r="AB63" s="131">
        <f>$A63*X63</f>
        <v>7.9648952736667766</v>
      </c>
      <c r="AC63" s="132"/>
    </row>
    <row r="64" spans="1:29" ht="16" x14ac:dyDescent="0.2">
      <c r="A64" s="128">
        <f>+A63+5</f>
        <v>30</v>
      </c>
      <c r="B64" s="129">
        <f>+IF(B$66=0,0,B13/B$66)</f>
        <v>0.13198432069196178</v>
      </c>
      <c r="C64" s="129"/>
      <c r="D64" s="129">
        <f>+IF(D$66=0,0,D13/D$66)</f>
        <v>0.23681178268565467</v>
      </c>
      <c r="E64" s="129"/>
      <c r="F64" s="130">
        <f>$A64*B64</f>
        <v>3.9595296207588535</v>
      </c>
      <c r="G64" s="130"/>
      <c r="H64" s="131">
        <f>$A64*D64</f>
        <v>7.1043534805696398</v>
      </c>
      <c r="I64" s="132"/>
      <c r="K64" s="128">
        <f>+K63+5</f>
        <v>30</v>
      </c>
      <c r="L64" s="129">
        <f>+IF(L$66=0,0,L13/L$66)</f>
        <v>0.26602976552983865</v>
      </c>
      <c r="M64" s="129"/>
      <c r="N64" s="129">
        <f>+IF(N$66=0,0,N13/N$66)</f>
        <v>0.28686438824413957</v>
      </c>
      <c r="O64" s="129"/>
      <c r="P64" s="130">
        <f>$A64*L64</f>
        <v>7.9808929658951593</v>
      </c>
      <c r="Q64" s="130"/>
      <c r="R64" s="131">
        <f>$A64*N64</f>
        <v>8.6059316473241871</v>
      </c>
      <c r="S64" s="132"/>
      <c r="U64" s="128">
        <f>+U63+5</f>
        <v>30</v>
      </c>
      <c r="V64" s="129">
        <f>+IF(V$66=0,0,V13/V$66)</f>
        <v>0.22176882447673099</v>
      </c>
      <c r="W64" s="129"/>
      <c r="X64" s="129">
        <f>+IF(X$66=0,0,X13/X$66)</f>
        <v>0.23198026442149067</v>
      </c>
      <c r="Y64" s="129"/>
      <c r="Z64" s="130">
        <f>$A64*V64</f>
        <v>6.65306473430193</v>
      </c>
      <c r="AA64" s="130"/>
      <c r="AB64" s="131">
        <f>$A64*X64</f>
        <v>6.9594079326447202</v>
      </c>
      <c r="AC64" s="132"/>
    </row>
    <row r="65" spans="1:29" ht="17" thickBot="1" x14ac:dyDescent="0.25">
      <c r="A65" s="128">
        <f>+A64+5</f>
        <v>35</v>
      </c>
      <c r="B65" s="415">
        <f>+IF(B$66=0,0,B14/B$66)</f>
        <v>0.23685687003260533</v>
      </c>
      <c r="C65" s="129"/>
      <c r="D65" s="415">
        <f>+IF(D$66=0,0,D14/D$66)</f>
        <v>0.13168863920646129</v>
      </c>
      <c r="E65" s="129"/>
      <c r="F65" s="416">
        <f>$A65*B65</f>
        <v>8.2899904511411862</v>
      </c>
      <c r="G65" s="130"/>
      <c r="H65" s="133">
        <f>$A65*D65</f>
        <v>4.6091023722261451</v>
      </c>
      <c r="I65" s="132"/>
      <c r="K65" s="128">
        <f>+K64+5</f>
        <v>35</v>
      </c>
      <c r="L65" s="415">
        <f>+IF(L$66=0,0,L14/L$66)</f>
        <v>0.22337962436597855</v>
      </c>
      <c r="M65" s="129"/>
      <c r="N65" s="415">
        <f>+IF(N$66=0,0,N14/N$66)</f>
        <v>0.30871441151376289</v>
      </c>
      <c r="O65" s="129"/>
      <c r="P65" s="416">
        <f>$A65*L65</f>
        <v>7.8182868528092495</v>
      </c>
      <c r="Q65" s="130"/>
      <c r="R65" s="133">
        <f>$A65*N65</f>
        <v>10.805004402981702</v>
      </c>
      <c r="S65" s="132"/>
      <c r="U65" s="128">
        <f>+U64+5</f>
        <v>35</v>
      </c>
      <c r="V65" s="415">
        <f>+IF(V$66=0,0,V14/V$66)</f>
        <v>0.13740545555850689</v>
      </c>
      <c r="W65" s="129"/>
      <c r="X65" s="415">
        <f>+IF(X$66=0,0,X14/X$66)</f>
        <v>0.12962016767342766</v>
      </c>
      <c r="Y65" s="129"/>
      <c r="Z65" s="416">
        <f>$A65*V65</f>
        <v>4.8091909445477414</v>
      </c>
      <c r="AA65" s="130"/>
      <c r="AB65" s="133">
        <f>$A65*X65</f>
        <v>4.5367058685699675</v>
      </c>
      <c r="AC65" s="132"/>
    </row>
    <row r="66" spans="1:29" ht="17" thickTop="1" x14ac:dyDescent="0.2">
      <c r="A66" s="134" t="s">
        <v>18</v>
      </c>
      <c r="B66" s="135">
        <f>SUM(B11:B14)</f>
        <v>684.06079999999986</v>
      </c>
      <c r="C66" s="136"/>
      <c r="D66" s="137">
        <f>SUM(D11:D14)</f>
        <v>3286.5036999999998</v>
      </c>
      <c r="E66" s="138" t="s">
        <v>23</v>
      </c>
      <c r="F66" s="139">
        <f>SUM(F62:F65)</f>
        <v>25.415837305689788</v>
      </c>
      <c r="G66" s="140"/>
      <c r="H66" s="141">
        <f>SUM(H62:H65)</f>
        <v>25.431652184052005</v>
      </c>
      <c r="I66" s="132"/>
      <c r="K66" s="134" t="s">
        <v>18</v>
      </c>
      <c r="L66" s="135">
        <f>SUM(L11:L14)</f>
        <v>6640.5805999999802</v>
      </c>
      <c r="M66" s="136"/>
      <c r="N66" s="137">
        <f>SUM(N11:N14)</f>
        <v>4965.2716</v>
      </c>
      <c r="O66" s="138" t="s">
        <v>23</v>
      </c>
      <c r="P66" s="139">
        <f>SUM(P62:P65)</f>
        <v>27.110199897280062</v>
      </c>
      <c r="Q66" s="140"/>
      <c r="R66" s="141">
        <f>SUM(R62:R65)</f>
        <v>28.63479049162185</v>
      </c>
      <c r="S66" s="132"/>
      <c r="U66" s="134" t="s">
        <v>18</v>
      </c>
      <c r="V66" s="135">
        <f>SUM(V11:V14)</f>
        <v>10973.318300000001</v>
      </c>
      <c r="W66" s="136"/>
      <c r="X66" s="137">
        <f>SUM(X11:X14)</f>
        <v>19860.821399999993</v>
      </c>
      <c r="Y66" s="138" t="s">
        <v>23</v>
      </c>
      <c r="Z66" s="139">
        <f>SUM(Z62:Z65)</f>
        <v>26.101569294677251</v>
      </c>
      <c r="AA66" s="140"/>
      <c r="AB66" s="141">
        <f>SUM(AB62:AB65)</f>
        <v>25.857084214049678</v>
      </c>
      <c r="AC66" s="132"/>
    </row>
    <row r="67" spans="1:29" ht="16" x14ac:dyDescent="0.2">
      <c r="A67" s="128"/>
      <c r="B67" s="129"/>
      <c r="C67" s="129"/>
      <c r="D67" s="129"/>
      <c r="E67" s="129"/>
      <c r="F67" s="130"/>
      <c r="G67" s="130"/>
      <c r="H67" s="131"/>
      <c r="K67" s="128"/>
      <c r="L67" s="129"/>
      <c r="M67" s="129"/>
      <c r="N67" s="129"/>
      <c r="O67" s="129"/>
      <c r="P67" s="130"/>
      <c r="Q67" s="130"/>
      <c r="R67" s="131"/>
      <c r="U67" s="128"/>
      <c r="V67" s="129"/>
      <c r="W67" s="129"/>
      <c r="X67" s="129"/>
      <c r="Y67" s="129"/>
      <c r="Z67" s="130"/>
      <c r="AA67" s="130"/>
      <c r="AB67" s="131"/>
    </row>
    <row r="68" spans="1:29" ht="16" x14ac:dyDescent="0.2">
      <c r="A68" s="128">
        <f>+A65+5</f>
        <v>40</v>
      </c>
      <c r="B68" s="129">
        <f>+IF(B$72=0,0,B15/B$72)</f>
        <v>0.30891741172684672</v>
      </c>
      <c r="C68" s="129"/>
      <c r="D68" s="129">
        <f>+IF(D$72=0,0,D15/D$72)</f>
        <v>8.9682502689701293E-2</v>
      </c>
      <c r="E68" s="129"/>
      <c r="F68" s="130">
        <f>$A68*B68</f>
        <v>12.356696469073869</v>
      </c>
      <c r="G68" s="130"/>
      <c r="H68" s="131">
        <f>$A68*D68</f>
        <v>3.5873001075880517</v>
      </c>
      <c r="I68" s="132"/>
      <c r="K68" s="128">
        <f>+K65+5</f>
        <v>40</v>
      </c>
      <c r="L68" s="129">
        <f>+IF(L$72=0,0,L15/L$72)</f>
        <v>0.20348033698609222</v>
      </c>
      <c r="M68" s="129"/>
      <c r="N68" s="129">
        <f>+IF(N$72=0,0,N15/N$72)</f>
        <v>0.11419439165289745</v>
      </c>
      <c r="O68" s="129"/>
      <c r="P68" s="130">
        <f>$A68*L68</f>
        <v>8.1392134794436881</v>
      </c>
      <c r="Q68" s="130"/>
      <c r="R68" s="131">
        <f>$A68*N68</f>
        <v>4.5677756661158977</v>
      </c>
      <c r="S68" s="132"/>
      <c r="U68" s="128">
        <f>+U65+5</f>
        <v>40</v>
      </c>
      <c r="V68" s="129">
        <f>+IF(V$72=0,0,V15/V$72)</f>
        <v>0.39951075358308419</v>
      </c>
      <c r="W68" s="129"/>
      <c r="X68" s="129">
        <f>+IF(X$72=0,0,X15/X$72)</f>
        <v>0.39778628247031034</v>
      </c>
      <c r="Y68" s="129"/>
      <c r="Z68" s="130">
        <f>$A68*V68</f>
        <v>15.980430143323368</v>
      </c>
      <c r="AA68" s="130"/>
      <c r="AB68" s="131">
        <f>$A68*X68</f>
        <v>15.911451298812413</v>
      </c>
      <c r="AC68" s="132"/>
    </row>
    <row r="69" spans="1:29" ht="16" x14ac:dyDescent="0.2">
      <c r="A69" s="128">
        <f>+A68+5</f>
        <v>45</v>
      </c>
      <c r="B69" s="129">
        <f>+IF(B$72=0,0,B16/B$72)</f>
        <v>0.15008250864412565</v>
      </c>
      <c r="C69" s="129"/>
      <c r="D69" s="129">
        <f>+IF(D$72=0,0,D16/D$72)</f>
        <v>0.28278167441039442</v>
      </c>
      <c r="E69" s="129"/>
      <c r="F69" s="130">
        <f>$A69*B69</f>
        <v>6.7537128889856541</v>
      </c>
      <c r="G69" s="130"/>
      <c r="H69" s="131">
        <f>$A69*D69</f>
        <v>12.725175348467749</v>
      </c>
      <c r="I69" s="132"/>
      <c r="K69" s="128">
        <f>+K68+5</f>
        <v>45</v>
      </c>
      <c r="L69" s="129">
        <f>+IF(L$72=0,0,L16/L$72)</f>
        <v>0.3582945040127673</v>
      </c>
      <c r="M69" s="129"/>
      <c r="N69" s="129">
        <f>+IF(N$72=0,0,N16/N$72)</f>
        <v>0.25890083391820234</v>
      </c>
      <c r="O69" s="129"/>
      <c r="P69" s="130">
        <f>$A69*L69</f>
        <v>16.123252680574527</v>
      </c>
      <c r="Q69" s="130"/>
      <c r="R69" s="131">
        <f>$A69*N69</f>
        <v>11.650537526319106</v>
      </c>
      <c r="S69" s="132"/>
      <c r="U69" s="128">
        <f>+U68+5</f>
        <v>45</v>
      </c>
      <c r="V69" s="129">
        <f>+IF(V$72=0,0,V16/V$72)</f>
        <v>0.36193577557168</v>
      </c>
      <c r="W69" s="129"/>
      <c r="X69" s="129">
        <f>+IF(X$72=0,0,X16/X$72)</f>
        <v>0.23160072511945498</v>
      </c>
      <c r="Y69" s="129"/>
      <c r="Z69" s="130">
        <f>$A69*V69</f>
        <v>16.2871099007256</v>
      </c>
      <c r="AA69" s="130"/>
      <c r="AB69" s="131">
        <f>$A69*X69</f>
        <v>10.422032630375474</v>
      </c>
      <c r="AC69" s="132"/>
    </row>
    <row r="70" spans="1:29" ht="16" x14ac:dyDescent="0.2">
      <c r="A70" s="128">
        <f>+A69+5</f>
        <v>50</v>
      </c>
      <c r="B70" s="129">
        <f>+IF(B$72=0,0,B17/B$72)</f>
        <v>0.23007678223086478</v>
      </c>
      <c r="C70" s="129"/>
      <c r="D70" s="129">
        <f>+IF(D$72=0,0,D17/D$72)</f>
        <v>0.18403958532893663</v>
      </c>
      <c r="E70" s="129"/>
      <c r="F70" s="130">
        <f>$A70*B70</f>
        <v>11.50383911154324</v>
      </c>
      <c r="G70" s="130"/>
      <c r="H70" s="131">
        <f>$A70*D70</f>
        <v>9.2019792664468323</v>
      </c>
      <c r="I70" s="132"/>
      <c r="K70" s="128">
        <f>+K69+5</f>
        <v>50</v>
      </c>
      <c r="L70" s="129">
        <f>+IF(L$72=0,0,L17/L$72)</f>
        <v>0.22384048413348379</v>
      </c>
      <c r="M70" s="129"/>
      <c r="N70" s="129">
        <f>+IF(N$72=0,0,N17/N$72)</f>
        <v>0.36408316616290953</v>
      </c>
      <c r="O70" s="129"/>
      <c r="P70" s="130">
        <f>$A70*L70</f>
        <v>11.192024206674189</v>
      </c>
      <c r="Q70" s="130"/>
      <c r="R70" s="131">
        <f>$A70*N70</f>
        <v>18.204158308145477</v>
      </c>
      <c r="S70" s="132"/>
      <c r="U70" s="128">
        <f>+U69+5</f>
        <v>50</v>
      </c>
      <c r="V70" s="129">
        <f>+IF(V$72=0,0,V17/V$72)</f>
        <v>0.14492021016428441</v>
      </c>
      <c r="W70" s="129"/>
      <c r="X70" s="129">
        <f>+IF(X$72=0,0,X17/X$72)</f>
        <v>0.14639622652584694</v>
      </c>
      <c r="Y70" s="129"/>
      <c r="Z70" s="130">
        <f>$A70*V70</f>
        <v>7.246010508214221</v>
      </c>
      <c r="AA70" s="130"/>
      <c r="AB70" s="131">
        <f>$A70*X70</f>
        <v>7.3198113262923474</v>
      </c>
      <c r="AC70" s="132"/>
    </row>
    <row r="71" spans="1:29" ht="17" thickBot="1" x14ac:dyDescent="0.25">
      <c r="A71" s="128">
        <f>+A70+5</f>
        <v>55</v>
      </c>
      <c r="B71" s="415">
        <f>+IF(B$72=0,0,B18/B$72)</f>
        <v>0.31092329739816282</v>
      </c>
      <c r="C71" s="129"/>
      <c r="D71" s="415">
        <f>+IF(D$72=0,0,D18/D$72)</f>
        <v>0.44349623757096757</v>
      </c>
      <c r="E71" s="129"/>
      <c r="F71" s="416">
        <f>$A71*B71</f>
        <v>17.100781356898956</v>
      </c>
      <c r="G71" s="130"/>
      <c r="H71" s="133">
        <f>$A71*D71</f>
        <v>24.392293066403216</v>
      </c>
      <c r="I71" s="132"/>
      <c r="K71" s="128">
        <f>+K70+5</f>
        <v>55</v>
      </c>
      <c r="L71" s="415">
        <f>+IF(L$72=0,0,L18/L$72)</f>
        <v>0.21438467486765667</v>
      </c>
      <c r="M71" s="129"/>
      <c r="N71" s="415">
        <f>+IF(N$72=0,0,N18/N$72)</f>
        <v>0.26282160826599071</v>
      </c>
      <c r="O71" s="129"/>
      <c r="P71" s="416">
        <f>$A71*L71</f>
        <v>11.791157117721117</v>
      </c>
      <c r="Q71" s="130"/>
      <c r="R71" s="133">
        <f>$A71*N71</f>
        <v>14.455188454629489</v>
      </c>
      <c r="S71" s="132"/>
      <c r="U71" s="128">
        <f>+U70+5</f>
        <v>55</v>
      </c>
      <c r="V71" s="415">
        <f>+IF(V$72=0,0,V18/V$72)</f>
        <v>9.3633260680951402E-2</v>
      </c>
      <c r="W71" s="129"/>
      <c r="X71" s="415">
        <f>+IF(X$72=0,0,X18/X$72)</f>
        <v>0.22421676588438777</v>
      </c>
      <c r="Y71" s="129"/>
      <c r="Z71" s="416">
        <f>$A71*V71</f>
        <v>5.149829337452327</v>
      </c>
      <c r="AA71" s="130"/>
      <c r="AB71" s="133">
        <f>$A71*X71</f>
        <v>12.331922123641327</v>
      </c>
      <c r="AC71" s="132"/>
    </row>
    <row r="72" spans="1:29" ht="17" thickTop="1" x14ac:dyDescent="0.2">
      <c r="A72" s="134" t="s">
        <v>18</v>
      </c>
      <c r="B72" s="135">
        <f>SUM(B15:B18)</f>
        <v>1279.684099999999</v>
      </c>
      <c r="C72" s="136"/>
      <c r="D72" s="137">
        <f>SUM(D15:D18)</f>
        <v>3552.8111999999901</v>
      </c>
      <c r="E72" s="138" t="s">
        <v>23</v>
      </c>
      <c r="F72" s="139">
        <f>SUM(F68:F71)</f>
        <v>47.71502982650172</v>
      </c>
      <c r="G72" s="140"/>
      <c r="H72" s="141">
        <f>SUM(H68:H71)</f>
        <v>49.906747788905847</v>
      </c>
      <c r="I72" s="132"/>
      <c r="K72" s="134" t="s">
        <v>18</v>
      </c>
      <c r="L72" s="135">
        <f>SUM(L15:L18)</f>
        <v>6804.0078000000003</v>
      </c>
      <c r="M72" s="136"/>
      <c r="N72" s="137">
        <f>SUM(N15:N18)</f>
        <v>4615.8483999999999</v>
      </c>
      <c r="O72" s="138" t="s">
        <v>23</v>
      </c>
      <c r="P72" s="139">
        <f>SUM(P68:P71)</f>
        <v>47.245647484413524</v>
      </c>
      <c r="Q72" s="140"/>
      <c r="R72" s="141">
        <f>SUM(R68:R71)</f>
        <v>48.877659955209978</v>
      </c>
      <c r="S72" s="132"/>
      <c r="U72" s="134" t="s">
        <v>18</v>
      </c>
      <c r="V72" s="135">
        <f>SUM(V15:V18)</f>
        <v>3942.8393000000001</v>
      </c>
      <c r="W72" s="136"/>
      <c r="X72" s="137">
        <f>SUM(X15:X18)</f>
        <v>3611.6532000000002</v>
      </c>
      <c r="Y72" s="138" t="s">
        <v>23</v>
      </c>
      <c r="Z72" s="139">
        <f>SUM(Z68:Z71)</f>
        <v>44.663379889715515</v>
      </c>
      <c r="AA72" s="140"/>
      <c r="AB72" s="141">
        <f>SUM(AB68:AB71)</f>
        <v>45.985217379121558</v>
      </c>
      <c r="AC72" s="132"/>
    </row>
    <row r="73" spans="1:29" ht="16" x14ac:dyDescent="0.2">
      <c r="A73" s="128"/>
      <c r="B73" s="142"/>
      <c r="C73" s="142"/>
      <c r="D73" s="142"/>
      <c r="E73" s="142"/>
      <c r="F73" s="130"/>
      <c r="G73" s="130"/>
      <c r="H73" s="131"/>
      <c r="K73" s="128"/>
      <c r="L73" s="142"/>
      <c r="M73" s="142"/>
      <c r="N73" s="142"/>
      <c r="O73" s="142"/>
      <c r="P73" s="130"/>
      <c r="Q73" s="130"/>
      <c r="R73" s="131"/>
      <c r="U73" s="128"/>
      <c r="V73" s="142"/>
      <c r="W73" s="142"/>
      <c r="X73" s="142"/>
      <c r="Y73" s="142"/>
      <c r="Z73" s="130"/>
      <c r="AA73" s="130"/>
      <c r="AB73" s="131"/>
    </row>
    <row r="74" spans="1:29" ht="16" x14ac:dyDescent="0.2">
      <c r="A74" s="128">
        <f>+A71+5</f>
        <v>60</v>
      </c>
      <c r="B74" s="129">
        <f>+IF(B$78=0,0,B19/B$78)</f>
        <v>5.4261963211542572E-2</v>
      </c>
      <c r="C74" s="129"/>
      <c r="D74" s="129">
        <f>+IF(D$78=0,0,D19/D$78)</f>
        <v>0.24604102608429562</v>
      </c>
      <c r="E74" s="129"/>
      <c r="F74" s="130">
        <f>$A74*B74</f>
        <v>3.2557177926925545</v>
      </c>
      <c r="G74" s="130"/>
      <c r="H74" s="131">
        <f>$A74*D74</f>
        <v>14.762461565057738</v>
      </c>
      <c r="I74" s="132"/>
      <c r="K74" s="128">
        <f>+K71+5</f>
        <v>60</v>
      </c>
      <c r="L74" s="129">
        <f>+IF(L$78=0,0,L19/L$78)</f>
        <v>0.29717873417173074</v>
      </c>
      <c r="M74" s="129"/>
      <c r="N74" s="129">
        <f>+IF(N$78=0,0,N19/N$78)</f>
        <v>0.10279997697191685</v>
      </c>
      <c r="O74" s="129"/>
      <c r="P74" s="130">
        <f>$A74*L74</f>
        <v>17.830724050303843</v>
      </c>
      <c r="Q74" s="130"/>
      <c r="R74" s="131">
        <f>$A74*N74</f>
        <v>6.1679986183150115</v>
      </c>
      <c r="S74" s="132"/>
      <c r="U74" s="128">
        <f>+U71+5</f>
        <v>60</v>
      </c>
      <c r="V74" s="129">
        <f>+IF(V$78=0,0,V19/V$78)</f>
        <v>0.17661583080045945</v>
      </c>
      <c r="W74" s="129"/>
      <c r="X74" s="129">
        <f>+IF(X$78=0,0,X19/X$78)</f>
        <v>0.10973689510799231</v>
      </c>
      <c r="Y74" s="129"/>
      <c r="Z74" s="130">
        <f>$A74*V74</f>
        <v>10.596949848027567</v>
      </c>
      <c r="AA74" s="130"/>
      <c r="AB74" s="131">
        <f>$A74*X74</f>
        <v>6.584213706479539</v>
      </c>
      <c r="AC74" s="132"/>
    </row>
    <row r="75" spans="1:29" ht="16" x14ac:dyDescent="0.2">
      <c r="A75" s="128">
        <f>+A74+5</f>
        <v>65</v>
      </c>
      <c r="B75" s="129">
        <f>+IF(B$78=0,0,B20/B$78)</f>
        <v>0.2500871300618473</v>
      </c>
      <c r="C75" s="129"/>
      <c r="D75" s="129">
        <f>+IF(D$78=0,0,D20/D$78)</f>
        <v>9.928937383880633E-2</v>
      </c>
      <c r="E75" s="129"/>
      <c r="F75" s="130">
        <f>$A75*B75</f>
        <v>16.255663454020073</v>
      </c>
      <c r="G75" s="130"/>
      <c r="H75" s="131">
        <f>$A75*D75</f>
        <v>6.4538092995224119</v>
      </c>
      <c r="I75" s="132"/>
      <c r="K75" s="128">
        <f>+K74+5</f>
        <v>65</v>
      </c>
      <c r="L75" s="129">
        <f>+IF(L$78=0,0,L20/L$78)</f>
        <v>0.15597354394563173</v>
      </c>
      <c r="M75" s="129"/>
      <c r="N75" s="129">
        <f>+IF(N$78=0,0,N20/N$78)</f>
        <v>0.33637063227071728</v>
      </c>
      <c r="O75" s="129"/>
      <c r="P75" s="130">
        <f>$A75*L75</f>
        <v>10.138280356466062</v>
      </c>
      <c r="Q75" s="130"/>
      <c r="R75" s="131">
        <f>$A75*N75</f>
        <v>21.864091097596624</v>
      </c>
      <c r="S75" s="132"/>
      <c r="U75" s="128">
        <f>+U74+5</f>
        <v>65</v>
      </c>
      <c r="V75" s="129">
        <f>+IF(V$78=0,0,V20/V$78)</f>
        <v>0.24863255031145265</v>
      </c>
      <c r="W75" s="129"/>
      <c r="X75" s="129">
        <f>+IF(X$78=0,0,X20/X$78)</f>
        <v>0.49446557360122528</v>
      </c>
      <c r="Y75" s="129"/>
      <c r="Z75" s="130">
        <f>$A75*V75</f>
        <v>16.161115770244422</v>
      </c>
      <c r="AA75" s="130"/>
      <c r="AB75" s="131">
        <f>$A75*X75</f>
        <v>32.140262284079647</v>
      </c>
      <c r="AC75" s="132"/>
    </row>
    <row r="76" spans="1:29" ht="16" x14ac:dyDescent="0.2">
      <c r="A76" s="128">
        <f>+A75+5</f>
        <v>70</v>
      </c>
      <c r="B76" s="129">
        <f>+IF(B$78=0,0,B21/B$78)</f>
        <v>0.34244083200740699</v>
      </c>
      <c r="C76" s="129"/>
      <c r="D76" s="129">
        <f>+IF(D$78=0,0,D21/D$78)</f>
        <v>0.28947796948037768</v>
      </c>
      <c r="E76" s="129"/>
      <c r="F76" s="130">
        <f>$A76*B76</f>
        <v>23.970858240518488</v>
      </c>
      <c r="G76" s="130"/>
      <c r="H76" s="131">
        <f>$A76*D76</f>
        <v>20.263457863626439</v>
      </c>
      <c r="I76" s="132"/>
      <c r="K76" s="128">
        <f>+K75+5</f>
        <v>70</v>
      </c>
      <c r="L76" s="129">
        <f>+IF(L$78=0,0,L21/L$78)</f>
        <v>0.30596300601123944</v>
      </c>
      <c r="M76" s="129"/>
      <c r="N76" s="129">
        <f>+IF(N$78=0,0,N21/N$78)</f>
        <v>0.2800436439609077</v>
      </c>
      <c r="O76" s="129"/>
      <c r="P76" s="130">
        <f>$A76*L76</f>
        <v>21.417410420786762</v>
      </c>
      <c r="Q76" s="130"/>
      <c r="R76" s="131">
        <f>$A76*N76</f>
        <v>19.603055077263537</v>
      </c>
      <c r="S76" s="132"/>
      <c r="U76" s="128">
        <f>+U75+5</f>
        <v>70</v>
      </c>
      <c r="V76" s="129">
        <f>+IF(V$78=0,0,V21/V$78)</f>
        <v>0.46099583022106755</v>
      </c>
      <c r="W76" s="129"/>
      <c r="X76" s="129">
        <f>+IF(X$78=0,0,X21/X$78)</f>
        <v>4.2105862604162499E-2</v>
      </c>
      <c r="Y76" s="129"/>
      <c r="Z76" s="130">
        <f>$A76*V76</f>
        <v>32.269708115474728</v>
      </c>
      <c r="AA76" s="130"/>
      <c r="AB76" s="131">
        <f>$A76*X76</f>
        <v>2.9474103822913751</v>
      </c>
      <c r="AC76" s="132"/>
    </row>
    <row r="77" spans="1:29" ht="17" thickBot="1" x14ac:dyDescent="0.25">
      <c r="A77" s="128">
        <f>+A76+5</f>
        <v>75</v>
      </c>
      <c r="B77" s="415">
        <f>+IF(B$78=0,0,B22/B$78)</f>
        <v>0.35321007471920318</v>
      </c>
      <c r="C77" s="129"/>
      <c r="D77" s="415">
        <f>+IF(D$78=0,0,D22/D$78)</f>
        <v>0.36519163059652021</v>
      </c>
      <c r="E77" s="129"/>
      <c r="F77" s="416">
        <f>$A77*B77</f>
        <v>26.49075560394024</v>
      </c>
      <c r="G77" s="130"/>
      <c r="H77" s="133">
        <f>$A77*D77</f>
        <v>27.389372294739015</v>
      </c>
      <c r="I77" s="132"/>
      <c r="K77" s="128">
        <f>+K76+5</f>
        <v>75</v>
      </c>
      <c r="L77" s="415">
        <f>+IF(L$78=0,0,L22/L$78)</f>
        <v>0.2408847158713982</v>
      </c>
      <c r="M77" s="129"/>
      <c r="N77" s="415">
        <f>+IF(N$78=0,0,N22/N$78)</f>
        <v>0.28078574679645824</v>
      </c>
      <c r="O77" s="129"/>
      <c r="P77" s="416">
        <f>$A77*L77</f>
        <v>18.066353690354866</v>
      </c>
      <c r="Q77" s="130"/>
      <c r="R77" s="133">
        <f>$A77*N77</f>
        <v>21.058931009734369</v>
      </c>
      <c r="S77" s="132"/>
      <c r="U77" s="128">
        <f>+U76+5</f>
        <v>75</v>
      </c>
      <c r="V77" s="415">
        <f>+IF(V$78=0,0,V22/V$78)</f>
        <v>0.11375578866702046</v>
      </c>
      <c r="W77" s="129"/>
      <c r="X77" s="415">
        <f>+IF(X$78=0,0,X22/X$78)</f>
        <v>0.35369166868661978</v>
      </c>
      <c r="Y77" s="129"/>
      <c r="Z77" s="416">
        <f>$A77*V77</f>
        <v>8.5316841500265355</v>
      </c>
      <c r="AA77" s="130"/>
      <c r="AB77" s="133">
        <f>$A77*X77</f>
        <v>26.526875151496483</v>
      </c>
      <c r="AC77" s="132"/>
    </row>
    <row r="78" spans="1:29" ht="17" thickTop="1" x14ac:dyDescent="0.2">
      <c r="A78" s="134" t="s">
        <v>18</v>
      </c>
      <c r="B78" s="135">
        <f>SUM(B19:B22)</f>
        <v>4251.116</v>
      </c>
      <c r="C78" s="136"/>
      <c r="D78" s="137">
        <f>SUM(D19:D22)</f>
        <v>7991.8813999999711</v>
      </c>
      <c r="E78" s="138" t="s">
        <v>23</v>
      </c>
      <c r="F78" s="139">
        <f>SUM(F74:F77)</f>
        <v>69.972995091171356</v>
      </c>
      <c r="G78" s="140"/>
      <c r="H78" s="141">
        <f>SUM(H74:H77)</f>
        <v>68.8691010229456</v>
      </c>
      <c r="I78" s="132"/>
      <c r="K78" s="134" t="s">
        <v>18</v>
      </c>
      <c r="L78" s="135">
        <f>SUM(L19:L22)</f>
        <v>6867.5697999999793</v>
      </c>
      <c r="M78" s="136"/>
      <c r="N78" s="137">
        <f>SUM(N19:N22)</f>
        <v>5118.9670999999998</v>
      </c>
      <c r="O78" s="138" t="s">
        <v>23</v>
      </c>
      <c r="P78" s="139">
        <f>SUM(P74:P77)</f>
        <v>67.452768517911522</v>
      </c>
      <c r="Q78" s="140"/>
      <c r="R78" s="141">
        <f>SUM(R74:R77)</f>
        <v>68.694075802909538</v>
      </c>
      <c r="S78" s="132"/>
      <c r="U78" s="134" t="s">
        <v>18</v>
      </c>
      <c r="V78" s="135">
        <f>SUM(V19:V22)</f>
        <v>1356.5946999999999</v>
      </c>
      <c r="W78" s="136"/>
      <c r="X78" s="137">
        <f>SUM(X19:X22)</f>
        <v>1766.5426000000002</v>
      </c>
      <c r="Y78" s="138" t="s">
        <v>23</v>
      </c>
      <c r="Z78" s="139">
        <f>SUM(Z74:Z77)</f>
        <v>67.559457883773248</v>
      </c>
      <c r="AA78" s="140"/>
      <c r="AB78" s="141">
        <f>SUM(AB74:AB77)</f>
        <v>68.198761524347049</v>
      </c>
      <c r="AC78" s="132"/>
    </row>
    <row r="79" spans="1:29" ht="16" x14ac:dyDescent="0.2">
      <c r="A79" s="128"/>
      <c r="B79" s="142"/>
      <c r="C79" s="142"/>
      <c r="D79" s="142"/>
      <c r="E79" s="142"/>
      <c r="F79" s="130"/>
      <c r="G79" s="130"/>
      <c r="H79" s="131"/>
      <c r="K79" s="128"/>
      <c r="L79" s="142"/>
      <c r="M79" s="142"/>
      <c r="N79" s="142"/>
      <c r="O79" s="142"/>
      <c r="P79" s="130"/>
      <c r="Q79" s="130"/>
      <c r="R79" s="131"/>
      <c r="U79" s="128"/>
      <c r="V79" s="142"/>
      <c r="W79" s="142"/>
      <c r="X79" s="142"/>
      <c r="Y79" s="142"/>
      <c r="Z79" s="130"/>
      <c r="AA79" s="130"/>
      <c r="AB79" s="131"/>
    </row>
    <row r="80" spans="1:29" ht="16" x14ac:dyDescent="0.2">
      <c r="A80" s="128">
        <f>+A77+5</f>
        <v>80</v>
      </c>
      <c r="B80" s="129">
        <f>+IF(B$84=0,0,B23/B$84)</f>
        <v>0.21468720137511937</v>
      </c>
      <c r="C80" s="129"/>
      <c r="D80" s="129">
        <f>+IF(D$84=0,0,D23/D$84)</f>
        <v>0.22988492279011236</v>
      </c>
      <c r="E80" s="129"/>
      <c r="F80" s="130">
        <f>$A80*B80</f>
        <v>17.174976110009549</v>
      </c>
      <c r="G80" s="130"/>
      <c r="H80" s="131">
        <f>$A80*D80</f>
        <v>18.390793823208988</v>
      </c>
      <c r="I80" s="132"/>
      <c r="K80" s="128">
        <f>+K77+5</f>
        <v>80</v>
      </c>
      <c r="L80" s="129">
        <f>+IF(L$84=0,0,L23/L$84)</f>
        <v>0.33175873854918736</v>
      </c>
      <c r="M80" s="129"/>
      <c r="N80" s="129">
        <f>+IF(N$84=0,0,N23/N$84)</f>
        <v>0.35090235893312527</v>
      </c>
      <c r="O80" s="129"/>
      <c r="P80" s="130">
        <f>$A80*L80</f>
        <v>26.540699083934989</v>
      </c>
      <c r="Q80" s="130"/>
      <c r="R80" s="131">
        <f>$A80*N80</f>
        <v>28.072188714650022</v>
      </c>
      <c r="S80" s="132"/>
      <c r="U80" s="128">
        <f>+U77+5</f>
        <v>80</v>
      </c>
      <c r="V80" s="129">
        <f>+IF(V$84=0,0,V23/V$84)</f>
        <v>0.20635814249051471</v>
      </c>
      <c r="W80" s="129"/>
      <c r="X80" s="129">
        <f>+IF(X$84=0,0,X23/X$84)</f>
        <v>0.27623941202460539</v>
      </c>
      <c r="Y80" s="129"/>
      <c r="Z80" s="130">
        <f>$A80*V80</f>
        <v>16.508651399241177</v>
      </c>
      <c r="AA80" s="130"/>
      <c r="AB80" s="131">
        <f>$A80*X80</f>
        <v>22.099152961968432</v>
      </c>
      <c r="AC80" s="132"/>
    </row>
    <row r="81" spans="1:29" ht="16" x14ac:dyDescent="0.2">
      <c r="A81" s="128">
        <f>+A80+5</f>
        <v>85</v>
      </c>
      <c r="B81" s="129">
        <f>+IF(B$84=0,0,B24/B$84)</f>
        <v>0.21072429918448168</v>
      </c>
      <c r="C81" s="129"/>
      <c r="D81" s="129">
        <f>+IF(D$84=0,0,D24/D$84)</f>
        <v>0.11602703238040898</v>
      </c>
      <c r="E81" s="129"/>
      <c r="F81" s="130">
        <f>$A81*B81</f>
        <v>17.911565430680945</v>
      </c>
      <c r="G81" s="130"/>
      <c r="H81" s="131">
        <f>$A81*D81</f>
        <v>9.8622977523347632</v>
      </c>
      <c r="I81" s="132"/>
      <c r="K81" s="128">
        <f>+K80+5</f>
        <v>85</v>
      </c>
      <c r="L81" s="129">
        <f>+IF(L$84=0,0,L24/L$84)</f>
        <v>0.23655099368558991</v>
      </c>
      <c r="M81" s="129"/>
      <c r="N81" s="129">
        <f>+IF(N$84=0,0,N24/N$84)</f>
        <v>0.20351315732677513</v>
      </c>
      <c r="O81" s="129"/>
      <c r="P81" s="130">
        <f>$A81*L81</f>
        <v>20.106834463275142</v>
      </c>
      <c r="Q81" s="130"/>
      <c r="R81" s="131">
        <f>$A81*N81</f>
        <v>17.298618372775888</v>
      </c>
      <c r="S81" s="132"/>
      <c r="U81" s="128">
        <f>+U80+5</f>
        <v>85</v>
      </c>
      <c r="V81" s="129">
        <f>+IF(V$84=0,0,V24/V$84)</f>
        <v>0.6553373294347935</v>
      </c>
      <c r="W81" s="129"/>
      <c r="X81" s="129">
        <f>+IF(X$84=0,0,X24/X$84)</f>
        <v>0.48023709045468821</v>
      </c>
      <c r="Y81" s="129"/>
      <c r="Z81" s="130">
        <f>$A81*V81</f>
        <v>55.703673001957448</v>
      </c>
      <c r="AA81" s="130"/>
      <c r="AB81" s="131">
        <f>$A81*X81</f>
        <v>40.820152688648498</v>
      </c>
      <c r="AC81" s="132"/>
    </row>
    <row r="82" spans="1:29" ht="16" x14ac:dyDescent="0.2">
      <c r="A82" s="128">
        <f>+A81+5</f>
        <v>90</v>
      </c>
      <c r="B82" s="129">
        <f>+IF(B$84=0,0,B25/B$84)</f>
        <v>0.2387845948920076</v>
      </c>
      <c r="C82" s="129"/>
      <c r="D82" s="129">
        <f>+IF(D$84=0,0,D25/D$84)</f>
        <v>0.25553555267478556</v>
      </c>
      <c r="E82" s="129"/>
      <c r="F82" s="130">
        <f>$A82*B82</f>
        <v>21.490613540280684</v>
      </c>
      <c r="G82" s="130"/>
      <c r="H82" s="131">
        <f>$A82*D82</f>
        <v>22.998199740730701</v>
      </c>
      <c r="I82" s="132"/>
      <c r="K82" s="128">
        <f>+K81+5</f>
        <v>90</v>
      </c>
      <c r="L82" s="129">
        <f>+IF(L$84=0,0,L25/L$84)</f>
        <v>0.24632020842297053</v>
      </c>
      <c r="M82" s="129"/>
      <c r="N82" s="129">
        <f>+IF(N$84=0,0,N25/N$84)</f>
        <v>0.16666462721121802</v>
      </c>
      <c r="O82" s="129"/>
      <c r="P82" s="130">
        <f>$A82*L82</f>
        <v>22.168818758067349</v>
      </c>
      <c r="Q82" s="130"/>
      <c r="R82" s="131">
        <f>$A82*N82</f>
        <v>14.999816449009622</v>
      </c>
      <c r="S82" s="132"/>
      <c r="U82" s="128">
        <f>+U81+5</f>
        <v>90</v>
      </c>
      <c r="V82" s="129">
        <f>+IF(V$84=0,0,V25/V$84)</f>
        <v>0.10382366604823018</v>
      </c>
      <c r="W82" s="129"/>
      <c r="X82" s="129">
        <f>+IF(X$84=0,0,X25/X$84)</f>
        <v>0.1533517729124968</v>
      </c>
      <c r="Y82" s="129"/>
      <c r="Z82" s="130">
        <f>$A82*V82</f>
        <v>9.3441299443407164</v>
      </c>
      <c r="AA82" s="130"/>
      <c r="AB82" s="131">
        <f>$A82*X82</f>
        <v>13.801659562124712</v>
      </c>
      <c r="AC82" s="132"/>
    </row>
    <row r="83" spans="1:29" ht="17" thickBot="1" x14ac:dyDescent="0.25">
      <c r="A83" s="128">
        <f>+A82+5</f>
        <v>95</v>
      </c>
      <c r="B83" s="415">
        <f>+IF(B$84=0,0,B26/B$84)</f>
        <v>0.33580390454839137</v>
      </c>
      <c r="C83" s="129"/>
      <c r="D83" s="415">
        <f>+IF(D$84=0,0,D26/D$84)</f>
        <v>0.39855249215469307</v>
      </c>
      <c r="E83" s="129"/>
      <c r="F83" s="416">
        <f>$A83*B83</f>
        <v>31.90137093209718</v>
      </c>
      <c r="G83" s="130"/>
      <c r="H83" s="133">
        <f>$A83*D83</f>
        <v>37.862486754695844</v>
      </c>
      <c r="I83" s="132"/>
      <c r="K83" s="128">
        <f>+K82+5</f>
        <v>95</v>
      </c>
      <c r="L83" s="415">
        <f>+IF(L$84=0,0,L26/L$84)</f>
        <v>0.18537005934225215</v>
      </c>
      <c r="M83" s="129"/>
      <c r="N83" s="415">
        <f>+IF(N$84=0,0,N26/N$84)</f>
        <v>0.27891985652888163</v>
      </c>
      <c r="O83" s="129"/>
      <c r="P83" s="416">
        <f>$A83*L83</f>
        <v>17.610155637513955</v>
      </c>
      <c r="Q83" s="130"/>
      <c r="R83" s="133">
        <f>$A83*N83</f>
        <v>26.497386370243756</v>
      </c>
      <c r="S83" s="132"/>
      <c r="U83" s="128">
        <f>+U82+5</f>
        <v>95</v>
      </c>
      <c r="V83" s="415">
        <f>+IF(V$84=0,0,V26/V$84)</f>
        <v>3.448086202646148E-2</v>
      </c>
      <c r="W83" s="129"/>
      <c r="X83" s="415">
        <f>+IF(X$84=0,0,X26/X$84)</f>
        <v>9.01717246082097E-2</v>
      </c>
      <c r="Y83" s="129"/>
      <c r="Z83" s="416">
        <f>$A83*V83</f>
        <v>3.2756818925138407</v>
      </c>
      <c r="AA83" s="130"/>
      <c r="AB83" s="133">
        <f>$A83*X83</f>
        <v>8.5663138377799211</v>
      </c>
      <c r="AC83" s="132"/>
    </row>
    <row r="84" spans="1:29" ht="17" thickTop="1" x14ac:dyDescent="0.2">
      <c r="A84" s="134" t="s">
        <v>18</v>
      </c>
      <c r="B84" s="135">
        <f>SUM(B23:B26)</f>
        <v>5965.6783999999998</v>
      </c>
      <c r="C84" s="136" t="s">
        <v>24</v>
      </c>
      <c r="D84" s="137">
        <f>SUM(D23:D26)</f>
        <v>14218.34089999997</v>
      </c>
      <c r="E84" s="138" t="s">
        <v>23</v>
      </c>
      <c r="F84" s="139">
        <f>SUM(F80:F83)</f>
        <v>88.478526013068347</v>
      </c>
      <c r="G84" s="140"/>
      <c r="H84" s="141">
        <f>SUM(H80:H83)</f>
        <v>89.113778070970284</v>
      </c>
      <c r="I84" s="132"/>
      <c r="K84" s="134" t="s">
        <v>18</v>
      </c>
      <c r="L84" s="135">
        <f>SUM(L23:L26)</f>
        <v>8088.7053999999707</v>
      </c>
      <c r="M84" s="136" t="s">
        <v>24</v>
      </c>
      <c r="N84" s="137">
        <f>SUM(N23:N26)</f>
        <v>5794.0302999999894</v>
      </c>
      <c r="O84" s="138" t="s">
        <v>23</v>
      </c>
      <c r="P84" s="139">
        <f>SUM(P80:P83)</f>
        <v>86.426507942791432</v>
      </c>
      <c r="Q84" s="140"/>
      <c r="R84" s="141">
        <f>SUM(R80:R83)</f>
        <v>86.868009906679291</v>
      </c>
      <c r="S84" s="132"/>
      <c r="U84" s="134" t="s">
        <v>18</v>
      </c>
      <c r="V84" s="135">
        <f>SUM(V23:V26)</f>
        <v>509.07950000000005</v>
      </c>
      <c r="W84" s="136" t="s">
        <v>24</v>
      </c>
      <c r="X84" s="137">
        <f>SUM(X23:X26)</f>
        <v>394.04369999999994</v>
      </c>
      <c r="Y84" s="138" t="s">
        <v>23</v>
      </c>
      <c r="Z84" s="139">
        <f>SUM(Z80:Z83)</f>
        <v>84.832136238053195</v>
      </c>
      <c r="AA84" s="140"/>
      <c r="AB84" s="141">
        <f>SUM(AB80:AB83)</f>
        <v>85.287279050521562</v>
      </c>
      <c r="AC84" s="132"/>
    </row>
    <row r="85" spans="1:29" ht="16" x14ac:dyDescent="0.2">
      <c r="A85" s="128"/>
      <c r="B85" s="142"/>
      <c r="C85" s="142"/>
      <c r="D85" s="142"/>
      <c r="E85" s="142"/>
      <c r="F85" s="130"/>
      <c r="G85" s="130"/>
      <c r="H85" s="131"/>
      <c r="K85" s="128"/>
      <c r="L85" s="142"/>
      <c r="M85" s="142"/>
      <c r="N85" s="142"/>
      <c r="O85" s="142"/>
      <c r="P85" s="130"/>
      <c r="Q85" s="130"/>
      <c r="R85" s="131"/>
      <c r="U85" s="128"/>
      <c r="V85" s="142"/>
      <c r="W85" s="142"/>
      <c r="X85" s="142"/>
      <c r="Y85" s="142"/>
      <c r="Z85" s="130"/>
      <c r="AA85" s="130"/>
      <c r="AB85" s="131"/>
    </row>
    <row r="86" spans="1:29" ht="16" x14ac:dyDescent="0.2">
      <c r="A86" s="128">
        <f>+A83+5</f>
        <v>100</v>
      </c>
      <c r="B86" s="129">
        <f>+IF(B$90=0,0,B27/B$90)</f>
        <v>0.24366836784275434</v>
      </c>
      <c r="C86" s="129"/>
      <c r="D86" s="129">
        <f>+IF(D$90=0,0,D27/D$90)</f>
        <v>0.14396466421241996</v>
      </c>
      <c r="E86" s="129"/>
      <c r="F86" s="130">
        <f>$A86*B86</f>
        <v>24.366836784275435</v>
      </c>
      <c r="G86" s="130"/>
      <c r="H86" s="131">
        <f>$A86*D86</f>
        <v>14.396466421241996</v>
      </c>
      <c r="I86" s="132"/>
      <c r="K86" s="128">
        <f>+K83+5</f>
        <v>100</v>
      </c>
      <c r="L86" s="129">
        <f>+IF(L$90=0,0,L27/L$90)</f>
        <v>0.42027917582351804</v>
      </c>
      <c r="M86" s="129"/>
      <c r="N86" s="129">
        <f>+IF(N$90=0,0,N27/N$90)</f>
        <v>0.14016366009368464</v>
      </c>
      <c r="O86" s="129"/>
      <c r="P86" s="130">
        <f>$A86*L86</f>
        <v>42.027917582351805</v>
      </c>
      <c r="Q86" s="130"/>
      <c r="R86" s="131">
        <f>$A86*N86</f>
        <v>14.016366009368465</v>
      </c>
      <c r="S86" s="132"/>
      <c r="U86" s="128">
        <f>+U83+5</f>
        <v>100</v>
      </c>
      <c r="V86" s="129">
        <f>+IF(V$90=0,0,V27/V$90)</f>
        <v>1</v>
      </c>
      <c r="W86" s="129"/>
      <c r="X86" s="129">
        <f>+IF(X$90=0,0,X27/X$90)</f>
        <v>0.28378924191215815</v>
      </c>
      <c r="Y86" s="129"/>
      <c r="Z86" s="130">
        <f>$A86*V86</f>
        <v>100</v>
      </c>
      <c r="AA86" s="130"/>
      <c r="AB86" s="131">
        <f>$A86*X86</f>
        <v>28.378924191215816</v>
      </c>
      <c r="AC86" s="132"/>
    </row>
    <row r="87" spans="1:29" ht="16" x14ac:dyDescent="0.2">
      <c r="A87" s="128">
        <f>+A86+5</f>
        <v>105</v>
      </c>
      <c r="B87" s="129">
        <f>+IF(B$90=0,0,B28/B$90)</f>
        <v>0.13374836947968496</v>
      </c>
      <c r="C87" s="129"/>
      <c r="D87" s="129">
        <f>+IF(D$90=0,0,D28/D$90)</f>
        <v>0.27910720101761316</v>
      </c>
      <c r="E87" s="129"/>
      <c r="F87" s="130">
        <f>$A87*B87</f>
        <v>14.043578795366921</v>
      </c>
      <c r="G87" s="130"/>
      <c r="H87" s="131">
        <f>$A87*D87</f>
        <v>29.306256106849382</v>
      </c>
      <c r="I87" s="132"/>
      <c r="K87" s="128">
        <f>+K86+5</f>
        <v>105</v>
      </c>
      <c r="L87" s="129">
        <f>+IF(L$90=0,0,L28/L$90)</f>
        <v>0.2089175873212932</v>
      </c>
      <c r="M87" s="129"/>
      <c r="N87" s="129">
        <f>+IF(N$90=0,0,N28/N$90)</f>
        <v>0.25340940162846937</v>
      </c>
      <c r="O87" s="129"/>
      <c r="P87" s="130">
        <f>$A87*L87</f>
        <v>21.936346668735787</v>
      </c>
      <c r="Q87" s="130"/>
      <c r="R87" s="131">
        <f>$A87*N87</f>
        <v>26.607987170989283</v>
      </c>
      <c r="S87" s="132"/>
      <c r="U87" s="128">
        <f>+U86+5</f>
        <v>105</v>
      </c>
      <c r="V87" s="129">
        <f>+IF(V$90=0,0,V28/V$90)</f>
        <v>0</v>
      </c>
      <c r="W87" s="129"/>
      <c r="X87" s="129">
        <f>+IF(X$90=0,0,X28/X$90)</f>
        <v>0.71621075808784196</v>
      </c>
      <c r="Y87" s="129"/>
      <c r="Z87" s="130">
        <f>$A87*V87</f>
        <v>0</v>
      </c>
      <c r="AA87" s="130"/>
      <c r="AB87" s="131">
        <f>$A87*X87</f>
        <v>75.202129599223412</v>
      </c>
      <c r="AC87" s="132"/>
    </row>
    <row r="88" spans="1:29" ht="16" x14ac:dyDescent="0.2">
      <c r="A88" s="128">
        <f>+A87+5</f>
        <v>110</v>
      </c>
      <c r="B88" s="129">
        <f>+IF(B$90=0,0,B29/B$90)</f>
        <v>0.35717891902324017</v>
      </c>
      <c r="C88" s="129"/>
      <c r="D88" s="129">
        <f>+IF(D$90=0,0,D29/D$90)</f>
        <v>0.23589530250080593</v>
      </c>
      <c r="E88" s="129"/>
      <c r="F88" s="130">
        <f>$A88*B88</f>
        <v>39.289681092556421</v>
      </c>
      <c r="G88" s="130"/>
      <c r="H88" s="131">
        <f>$A88*D88</f>
        <v>25.948483275088652</v>
      </c>
      <c r="I88" s="132"/>
      <c r="K88" s="128">
        <f>+K87+5</f>
        <v>110</v>
      </c>
      <c r="L88" s="129">
        <f>+IF(L$90=0,0,L29/L$90)</f>
        <v>0.1536508363539931</v>
      </c>
      <c r="M88" s="129"/>
      <c r="N88" s="129">
        <f>+IF(N$90=0,0,N29/N$90)</f>
        <v>0.15609360529915992</v>
      </c>
      <c r="O88" s="129"/>
      <c r="P88" s="130">
        <f>$A88*L88</f>
        <v>16.901591998939242</v>
      </c>
      <c r="Q88" s="130"/>
      <c r="R88" s="131">
        <f>$A88*N88</f>
        <v>17.170296582907589</v>
      </c>
      <c r="S88" s="132"/>
      <c r="U88" s="128">
        <f>+U87+5</f>
        <v>110</v>
      </c>
      <c r="V88" s="129">
        <f>+IF(V$90=0,0,V29/V$90)</f>
        <v>0</v>
      </c>
      <c r="W88" s="129"/>
      <c r="X88" s="129">
        <f>+IF(X$90=0,0,X29/X$90)</f>
        <v>0</v>
      </c>
      <c r="Y88" s="129"/>
      <c r="Z88" s="130">
        <f>$A88*V88</f>
        <v>0</v>
      </c>
      <c r="AA88" s="130"/>
      <c r="AB88" s="131">
        <f>$A88*X88</f>
        <v>0</v>
      </c>
      <c r="AC88" s="132"/>
    </row>
    <row r="89" spans="1:29" ht="17" thickBot="1" x14ac:dyDescent="0.25">
      <c r="A89" s="128">
        <f>+A88+5</f>
        <v>115</v>
      </c>
      <c r="B89" s="415">
        <f>+IF(B$90=0,0,B30/B$90)</f>
        <v>0.26540434365432058</v>
      </c>
      <c r="C89" s="129"/>
      <c r="D89" s="415">
        <f>+IF(D$90=0,0,D30/D$90)</f>
        <v>0.34103283226916092</v>
      </c>
      <c r="E89" s="129"/>
      <c r="F89" s="416">
        <f>$A89*B89</f>
        <v>30.521499520246866</v>
      </c>
      <c r="G89" s="130"/>
      <c r="H89" s="133">
        <f>$A89*D89</f>
        <v>39.218775710953508</v>
      </c>
      <c r="I89" s="132"/>
      <c r="K89" s="128">
        <f>+K88+5</f>
        <v>115</v>
      </c>
      <c r="L89" s="415">
        <f>+IF(L$90=0,0,L30/L$90)</f>
        <v>0.21715240050119575</v>
      </c>
      <c r="M89" s="129"/>
      <c r="N89" s="415">
        <f>+IF(N$90=0,0,N30/N$90)</f>
        <v>0.450333332978686</v>
      </c>
      <c r="O89" s="129"/>
      <c r="P89" s="416">
        <f>$A89*L89</f>
        <v>24.972526057637509</v>
      </c>
      <c r="Q89" s="130"/>
      <c r="R89" s="133">
        <f>$A89*N89</f>
        <v>51.788333292548892</v>
      </c>
      <c r="S89" s="132"/>
      <c r="U89" s="128">
        <f>+U88+5</f>
        <v>115</v>
      </c>
      <c r="V89" s="415">
        <f>+IF(V$90=0,0,V30/V$90)</f>
        <v>0</v>
      </c>
      <c r="W89" s="129"/>
      <c r="X89" s="415">
        <f>+IF(X$90=0,0,X30/X$90)</f>
        <v>0</v>
      </c>
      <c r="Y89" s="129"/>
      <c r="Z89" s="416">
        <f>$A89*V89</f>
        <v>0</v>
      </c>
      <c r="AA89" s="130"/>
      <c r="AB89" s="133">
        <f>$A89*X89</f>
        <v>0</v>
      </c>
      <c r="AC89" s="132"/>
    </row>
    <row r="90" spans="1:29" ht="17" thickTop="1" x14ac:dyDescent="0.2">
      <c r="A90" s="134" t="s">
        <v>18</v>
      </c>
      <c r="B90" s="135">
        <f>SUM(B27:B30)</f>
        <v>3880.4330999999979</v>
      </c>
      <c r="C90" s="136"/>
      <c r="D90" s="137">
        <f>SUM(D27:D30)</f>
        <v>25576.40459999998</v>
      </c>
      <c r="E90" s="138" t="s">
        <v>23</v>
      </c>
      <c r="F90" s="139">
        <f>SUM(F86:F89)</f>
        <v>108.22159619244565</v>
      </c>
      <c r="G90" s="140"/>
      <c r="H90" s="141">
        <f>SUM(H86:H89)</f>
        <v>108.86998151413354</v>
      </c>
      <c r="I90" s="132"/>
      <c r="K90" s="134" t="s">
        <v>18</v>
      </c>
      <c r="L90" s="135">
        <f>SUM(L27:L30)</f>
        <v>3541.6103999999996</v>
      </c>
      <c r="M90" s="136"/>
      <c r="N90" s="137">
        <f>SUM(N27:N30)</f>
        <v>2631.7228</v>
      </c>
      <c r="O90" s="138" t="s">
        <v>23</v>
      </c>
      <c r="P90" s="139">
        <f>SUM(P86:P89)</f>
        <v>105.83838230766435</v>
      </c>
      <c r="Q90" s="140"/>
      <c r="R90" s="141">
        <f>SUM(R86:R89)</f>
        <v>109.58298305581422</v>
      </c>
      <c r="S90" s="132"/>
      <c r="U90" s="134" t="s">
        <v>18</v>
      </c>
      <c r="V90" s="135">
        <f>SUM(V27:V30)</f>
        <v>10.134399999999999</v>
      </c>
      <c r="W90" s="136"/>
      <c r="X90" s="137">
        <f>SUM(X27:X30)</f>
        <v>201.2867</v>
      </c>
      <c r="Y90" s="138" t="s">
        <v>23</v>
      </c>
      <c r="Z90" s="139">
        <f>SUM(Z86:Z89)</f>
        <v>100</v>
      </c>
      <c r="AA90" s="140"/>
      <c r="AB90" s="141">
        <f>SUM(AB86:AB89)</f>
        <v>103.58105379043923</v>
      </c>
      <c r="AC90" s="132"/>
    </row>
    <row r="91" spans="1:29" ht="16" x14ac:dyDescent="0.2">
      <c r="A91" s="128"/>
      <c r="B91" s="142"/>
      <c r="C91" s="142"/>
      <c r="D91" s="142"/>
      <c r="E91" s="142"/>
      <c r="F91" s="130"/>
      <c r="G91" s="130"/>
      <c r="H91" s="131"/>
      <c r="K91" s="128"/>
      <c r="L91" s="142"/>
      <c r="M91" s="142"/>
      <c r="N91" s="142"/>
      <c r="O91" s="142"/>
      <c r="P91" s="130"/>
      <c r="Q91" s="130"/>
      <c r="R91" s="131"/>
      <c r="U91" s="128"/>
      <c r="V91" s="142"/>
      <c r="W91" s="142"/>
      <c r="X91" s="142"/>
      <c r="Y91" s="142"/>
      <c r="Z91" s="130"/>
      <c r="AA91" s="130"/>
      <c r="AB91" s="131"/>
    </row>
    <row r="92" spans="1:29" ht="16" x14ac:dyDescent="0.2">
      <c r="A92" s="128">
        <f>+A89+5</f>
        <v>120</v>
      </c>
      <c r="B92" s="129">
        <f>+IF(B$96=0,0,B31/B$96)</f>
        <v>0.59281231301421333</v>
      </c>
      <c r="C92" s="129"/>
      <c r="D92" s="129">
        <f>+IF(D$96=0,0,D31/D$96)</f>
        <v>0.43688548075213895</v>
      </c>
      <c r="E92" s="129"/>
      <c r="F92" s="130">
        <f>$A92*B92</f>
        <v>71.137477561705595</v>
      </c>
      <c r="G92" s="130"/>
      <c r="H92" s="131">
        <f>$A92*D92</f>
        <v>52.426257690256676</v>
      </c>
      <c r="I92" s="132"/>
      <c r="K92" s="128">
        <f>+K89+5</f>
        <v>120</v>
      </c>
      <c r="L92" s="129">
        <f>+IF(L$96=0,0,L31/L$96)</f>
        <v>0.42827947123466509</v>
      </c>
      <c r="M92" s="129"/>
      <c r="N92" s="129">
        <f>+IF(N$96=0,0,N31/N$96)</f>
        <v>0.38840870931464666</v>
      </c>
      <c r="O92" s="129"/>
      <c r="P92" s="130">
        <f>$A92*L92</f>
        <v>51.393536548159808</v>
      </c>
      <c r="Q92" s="130"/>
      <c r="R92" s="131">
        <f>$A92*N92</f>
        <v>46.609045117757603</v>
      </c>
      <c r="S92" s="132"/>
      <c r="U92" s="128">
        <f>+U89+5</f>
        <v>120</v>
      </c>
      <c r="V92" s="129">
        <f>+IF(V$96=0,0,V31/V$96)</f>
        <v>0.32801219385816438</v>
      </c>
      <c r="W92" s="129"/>
      <c r="X92" s="129">
        <f>+IF(X$96=0,0,X31/X$96)</f>
        <v>0</v>
      </c>
      <c r="Y92" s="129"/>
      <c r="Z92" s="130">
        <f>$A92*V92</f>
        <v>39.361463262979726</v>
      </c>
      <c r="AA92" s="130"/>
      <c r="AB92" s="131">
        <f>$A92*X92</f>
        <v>0</v>
      </c>
      <c r="AC92" s="132"/>
    </row>
    <row r="93" spans="1:29" ht="16" x14ac:dyDescent="0.2">
      <c r="A93" s="128">
        <f>+A92+5</f>
        <v>125</v>
      </c>
      <c r="B93" s="129">
        <f>+IF(B$96=0,0,B32/B$96)</f>
        <v>0.16567076708334208</v>
      </c>
      <c r="C93" s="129"/>
      <c r="D93" s="129">
        <f>+IF(D$96=0,0,D32/D$96)</f>
        <v>0.22575458066386245</v>
      </c>
      <c r="E93" s="129"/>
      <c r="F93" s="130">
        <f>$A93*B93</f>
        <v>20.708845885417759</v>
      </c>
      <c r="G93" s="130"/>
      <c r="H93" s="131">
        <f>$A93*D93</f>
        <v>28.219322582982805</v>
      </c>
      <c r="I93" s="132"/>
      <c r="K93" s="128">
        <f>+K92+5</f>
        <v>125</v>
      </c>
      <c r="L93" s="129">
        <f>+IF(L$96=0,0,L32/L$96)</f>
        <v>0.1335545253920227</v>
      </c>
      <c r="M93" s="129"/>
      <c r="N93" s="129">
        <f>+IF(N$96=0,0,N32/N$96)</f>
        <v>0.18373136179591779</v>
      </c>
      <c r="O93" s="129"/>
      <c r="P93" s="130">
        <f>$A93*L93</f>
        <v>16.694315674002837</v>
      </c>
      <c r="Q93" s="130"/>
      <c r="R93" s="131">
        <f>$A93*N93</f>
        <v>22.966420224489724</v>
      </c>
      <c r="S93" s="132"/>
      <c r="U93" s="128">
        <f>+U92+5</f>
        <v>125</v>
      </c>
      <c r="V93" s="129">
        <f>+IF(V$96=0,0,V32/V$96)</f>
        <v>0</v>
      </c>
      <c r="W93" s="129"/>
      <c r="X93" s="129">
        <f>+IF(X$96=0,0,X32/X$96)</f>
        <v>0.61936906183880258</v>
      </c>
      <c r="Y93" s="129"/>
      <c r="Z93" s="130">
        <f>$A93*V93</f>
        <v>0</v>
      </c>
      <c r="AA93" s="130"/>
      <c r="AB93" s="131">
        <f>$A93*X93</f>
        <v>77.421132729850328</v>
      </c>
      <c r="AC93" s="132"/>
    </row>
    <row r="94" spans="1:29" ht="16" x14ac:dyDescent="0.2">
      <c r="A94" s="128">
        <f>+A93+5</f>
        <v>130</v>
      </c>
      <c r="B94" s="129">
        <f>+IF(B$96=0,0,B33/B$96)</f>
        <v>0.20373755265695842</v>
      </c>
      <c r="C94" s="129"/>
      <c r="D94" s="129">
        <f>+IF(D$96=0,0,D33/D$96)</f>
        <v>0.21408604687695471</v>
      </c>
      <c r="E94" s="129"/>
      <c r="F94" s="130">
        <f>$A94*B94</f>
        <v>26.485881845404595</v>
      </c>
      <c r="G94" s="130"/>
      <c r="H94" s="131">
        <f>$A94*D94</f>
        <v>27.83118609400411</v>
      </c>
      <c r="I94" s="132"/>
      <c r="K94" s="128">
        <f>+K93+5</f>
        <v>130</v>
      </c>
      <c r="L94" s="129">
        <f>+IF(L$96=0,0,L33/L$96)</f>
        <v>7.3836145185010568E-2</v>
      </c>
      <c r="M94" s="129"/>
      <c r="N94" s="129">
        <f>+IF(N$96=0,0,N33/N$96)</f>
        <v>0.20599555705142569</v>
      </c>
      <c r="O94" s="129"/>
      <c r="P94" s="130">
        <f>$A94*L94</f>
        <v>9.5986988740513741</v>
      </c>
      <c r="Q94" s="130"/>
      <c r="R94" s="131">
        <f>$A94*N94</f>
        <v>26.779422416685339</v>
      </c>
      <c r="S94" s="132"/>
      <c r="U94" s="128">
        <f>+U93+5</f>
        <v>130</v>
      </c>
      <c r="V94" s="129">
        <f>+IF(V$96=0,0,V33/V$96)</f>
        <v>0</v>
      </c>
      <c r="W94" s="129"/>
      <c r="X94" s="129">
        <f>+IF(X$96=0,0,X33/X$96)</f>
        <v>0.24311790715512063</v>
      </c>
      <c r="Y94" s="129"/>
      <c r="Z94" s="130">
        <f>$A94*V94</f>
        <v>0</v>
      </c>
      <c r="AA94" s="130"/>
      <c r="AB94" s="131">
        <f>$A94*X94</f>
        <v>31.605327930165682</v>
      </c>
      <c r="AC94" s="132"/>
    </row>
    <row r="95" spans="1:29" ht="17" thickBot="1" x14ac:dyDescent="0.25">
      <c r="A95" s="128">
        <f>+A94+5</f>
        <v>135</v>
      </c>
      <c r="B95" s="415">
        <f>+IF(B$96=0,0,B34/B$96)</f>
        <v>3.7779367245486042E-2</v>
      </c>
      <c r="C95" s="129"/>
      <c r="D95" s="415">
        <f>+IF(D$96=0,0,D34/D$96)</f>
        <v>0.12327389170704386</v>
      </c>
      <c r="E95" s="129"/>
      <c r="F95" s="416">
        <f>$A95*B95</f>
        <v>5.1002145781406156</v>
      </c>
      <c r="G95" s="130"/>
      <c r="H95" s="133">
        <f>$A95*D95</f>
        <v>16.641975380450923</v>
      </c>
      <c r="I95" s="132"/>
      <c r="K95" s="128">
        <f>+K94+5</f>
        <v>135</v>
      </c>
      <c r="L95" s="415">
        <f>+IF(L$96=0,0,L34/L$96)</f>
        <v>0.36432985818830166</v>
      </c>
      <c r="M95" s="129"/>
      <c r="N95" s="415">
        <f>+IF(N$96=0,0,N34/N$96)</f>
        <v>0.22186437183800989</v>
      </c>
      <c r="O95" s="129"/>
      <c r="P95" s="416">
        <f>$A95*L95</f>
        <v>49.184530855420725</v>
      </c>
      <c r="Q95" s="130"/>
      <c r="R95" s="133">
        <f>$A95*N95</f>
        <v>29.951690198131335</v>
      </c>
      <c r="S95" s="132"/>
      <c r="U95" s="128">
        <f>+U94+5</f>
        <v>135</v>
      </c>
      <c r="V95" s="415">
        <f>+IF(V$96=0,0,V34/V$96)</f>
        <v>0.67198780614183562</v>
      </c>
      <c r="W95" s="129"/>
      <c r="X95" s="415">
        <f>+IF(X$96=0,0,X34/X$96)</f>
        <v>0.13751303100607679</v>
      </c>
      <c r="Y95" s="129"/>
      <c r="Z95" s="416">
        <f>$A95*V95</f>
        <v>90.718353829147816</v>
      </c>
      <c r="AA95" s="130"/>
      <c r="AB95" s="133">
        <f>$A95*X95</f>
        <v>18.564259185820365</v>
      </c>
      <c r="AC95" s="132"/>
    </row>
    <row r="96" spans="1:29" ht="17" thickTop="1" x14ac:dyDescent="0.2">
      <c r="A96" s="134" t="s">
        <v>18</v>
      </c>
      <c r="B96" s="135">
        <f>SUM(B31:B34)</f>
        <v>9511.9195000000018</v>
      </c>
      <c r="C96" s="136"/>
      <c r="D96" s="137">
        <f>SUM(D31:D34)</f>
        <v>29381.789199999992</v>
      </c>
      <c r="E96" s="138" t="s">
        <v>23</v>
      </c>
      <c r="F96" s="139">
        <f>SUM(F92:F95)</f>
        <v>123.43241987066855</v>
      </c>
      <c r="G96" s="140"/>
      <c r="H96" s="141">
        <f>SUM(H92:H95)</f>
        <v>125.11874174769451</v>
      </c>
      <c r="I96" s="132"/>
      <c r="K96" s="134" t="s">
        <v>18</v>
      </c>
      <c r="L96" s="135">
        <f>SUM(L31:L34)</f>
        <v>3912.9494</v>
      </c>
      <c r="M96" s="136"/>
      <c r="N96" s="137">
        <f>SUM(N31:N34)</f>
        <v>2240.5391</v>
      </c>
      <c r="O96" s="138" t="s">
        <v>23</v>
      </c>
      <c r="P96" s="139">
        <f>SUM(P92:P95)</f>
        <v>126.87108195163475</v>
      </c>
      <c r="Q96" s="140"/>
      <c r="R96" s="141">
        <f>SUM(R92:R95)</f>
        <v>126.30657795706399</v>
      </c>
      <c r="S96" s="132"/>
      <c r="U96" s="134" t="s">
        <v>18</v>
      </c>
      <c r="V96" s="135">
        <f>SUM(V31:V34)</f>
        <v>231.59200000000001</v>
      </c>
      <c r="W96" s="136"/>
      <c r="X96" s="137">
        <f>SUM(X31:X34)</f>
        <v>336.8888</v>
      </c>
      <c r="Y96" s="138" t="s">
        <v>23</v>
      </c>
      <c r="Z96" s="139">
        <f>SUM(Z92:Z95)</f>
        <v>130.07981709212754</v>
      </c>
      <c r="AA96" s="140"/>
      <c r="AB96" s="141">
        <f>SUM(AB92:AB95)</f>
        <v>127.59071984583638</v>
      </c>
      <c r="AC96" s="132"/>
    </row>
    <row r="97" spans="1:29" ht="16" x14ac:dyDescent="0.2">
      <c r="A97" s="128"/>
      <c r="B97" s="142"/>
      <c r="C97" s="142"/>
      <c r="D97" s="142"/>
      <c r="E97" s="142"/>
      <c r="F97" s="130"/>
      <c r="G97" s="130"/>
      <c r="H97" s="131"/>
      <c r="K97" s="128"/>
      <c r="L97" s="142"/>
      <c r="M97" s="142"/>
      <c r="N97" s="142"/>
      <c r="O97" s="142"/>
      <c r="P97" s="130"/>
      <c r="Q97" s="130"/>
      <c r="R97" s="131"/>
      <c r="U97" s="128"/>
      <c r="V97" s="142"/>
      <c r="W97" s="142"/>
      <c r="X97" s="142"/>
      <c r="Y97" s="142"/>
      <c r="Z97" s="130"/>
      <c r="AA97" s="130"/>
      <c r="AB97" s="131"/>
    </row>
    <row r="98" spans="1:29" ht="16" x14ac:dyDescent="0.2">
      <c r="A98" s="128">
        <f>+A95+5</f>
        <v>140</v>
      </c>
      <c r="B98" s="129">
        <f>+IF(B$102=0,0,B35/B$102)</f>
        <v>0.27881247618322741</v>
      </c>
      <c r="C98" s="129"/>
      <c r="D98" s="129">
        <f>+IF(D$102=0,0,D35/D$102)</f>
        <v>0.3029247621502158</v>
      </c>
      <c r="E98" s="129"/>
      <c r="F98" s="130">
        <f>$A98*B98</f>
        <v>39.03374666565184</v>
      </c>
      <c r="G98" s="130"/>
      <c r="H98" s="131">
        <f>$A98*D98</f>
        <v>42.409466701030212</v>
      </c>
      <c r="I98" s="132"/>
      <c r="K98" s="128">
        <f>+K95+5</f>
        <v>140</v>
      </c>
      <c r="L98" s="129">
        <f>+IF(L$102=0,0,L35/L$102)</f>
        <v>0.16585113930220724</v>
      </c>
      <c r="M98" s="129"/>
      <c r="N98" s="129">
        <f>+IF(N$102=0,0,N35/N$102)</f>
        <v>0.78799110452186794</v>
      </c>
      <c r="O98" s="129"/>
      <c r="P98" s="130">
        <f>$A98*L98</f>
        <v>23.219159502309015</v>
      </c>
      <c r="Q98" s="130"/>
      <c r="R98" s="131">
        <f>$A98*N98</f>
        <v>110.31875463306152</v>
      </c>
      <c r="S98" s="132"/>
      <c r="U98" s="128">
        <f>+U95+5</f>
        <v>140</v>
      </c>
      <c r="V98" s="129">
        <f>+IF(V$102=0,0,V35/V$102)</f>
        <v>0</v>
      </c>
      <c r="W98" s="129"/>
      <c r="X98" s="129">
        <f>+IF(X$102=0,0,X35/X$102)</f>
        <v>3.5143837975038172E-2</v>
      </c>
      <c r="Y98" s="129"/>
      <c r="Z98" s="130">
        <f>$A98*V98</f>
        <v>0</v>
      </c>
      <c r="AA98" s="130"/>
      <c r="AB98" s="131">
        <f>$A98*X98</f>
        <v>4.9201373165053441</v>
      </c>
      <c r="AC98" s="132"/>
    </row>
    <row r="99" spans="1:29" ht="16" x14ac:dyDescent="0.2">
      <c r="A99" s="128">
        <f>+A98+5</f>
        <v>145</v>
      </c>
      <c r="B99" s="129">
        <f>+IF(B$102=0,0,B36/B$102)</f>
        <v>0.33219946869244937</v>
      </c>
      <c r="C99" s="129"/>
      <c r="D99" s="129">
        <f>+IF(D$102=0,0,D36/D$102)</f>
        <v>0.34791159606555649</v>
      </c>
      <c r="E99" s="129"/>
      <c r="F99" s="130">
        <f>$A99*B99</f>
        <v>48.168922960405162</v>
      </c>
      <c r="G99" s="130"/>
      <c r="H99" s="131">
        <f>$A99*D99</f>
        <v>50.44718142950569</v>
      </c>
      <c r="I99" s="132"/>
      <c r="K99" s="128">
        <f>+K98+5</f>
        <v>145</v>
      </c>
      <c r="L99" s="129">
        <f>+IF(L$102=0,0,L36/L$102)</f>
        <v>0.46770221573026877</v>
      </c>
      <c r="M99" s="129"/>
      <c r="N99" s="129">
        <f>+IF(N$102=0,0,N36/N$102)</f>
        <v>3.9863486336624662E-2</v>
      </c>
      <c r="O99" s="129"/>
      <c r="P99" s="130">
        <f>$A99*L99</f>
        <v>67.816821280888973</v>
      </c>
      <c r="Q99" s="130"/>
      <c r="R99" s="131">
        <f>$A99*N99</f>
        <v>5.7802055188105763</v>
      </c>
      <c r="S99" s="132"/>
      <c r="U99" s="128">
        <f>+U98+5</f>
        <v>145</v>
      </c>
      <c r="V99" s="129">
        <f>+IF(V$102=0,0,V36/V$102)</f>
        <v>0</v>
      </c>
      <c r="W99" s="129"/>
      <c r="X99" s="129">
        <f>+IF(X$102=0,0,X36/X$102)</f>
        <v>0</v>
      </c>
      <c r="Y99" s="129"/>
      <c r="Z99" s="130">
        <f>$A99*V99</f>
        <v>0</v>
      </c>
      <c r="AA99" s="130"/>
      <c r="AB99" s="131">
        <f>$A99*X99</f>
        <v>0</v>
      </c>
      <c r="AC99" s="132"/>
    </row>
    <row r="100" spans="1:29" ht="16" x14ac:dyDescent="0.2">
      <c r="A100" s="128">
        <f>+A99+5</f>
        <v>150</v>
      </c>
      <c r="B100" s="129">
        <f>+IF(B$102=0,0,B37/B$102)</f>
        <v>0.21041431117759499</v>
      </c>
      <c r="C100" s="129"/>
      <c r="D100" s="129">
        <f>+IF(D$102=0,0,D37/D$102)</f>
        <v>0.15422689355330643</v>
      </c>
      <c r="E100" s="129"/>
      <c r="F100" s="130">
        <f>$A100*B100</f>
        <v>31.562146676639248</v>
      </c>
      <c r="G100" s="130"/>
      <c r="H100" s="131">
        <f>$A100*D100</f>
        <v>23.134034032995963</v>
      </c>
      <c r="I100" s="132"/>
      <c r="K100" s="128">
        <f>+K99+5</f>
        <v>150</v>
      </c>
      <c r="L100" s="129">
        <f>+IF(L$102=0,0,L37/L$102)</f>
        <v>0.25520376732806566</v>
      </c>
      <c r="M100" s="129"/>
      <c r="N100" s="129">
        <f>+IF(N$102=0,0,N37/N$102)</f>
        <v>5.7319334495891036E-2</v>
      </c>
      <c r="O100" s="129"/>
      <c r="P100" s="130">
        <f>$A100*L100</f>
        <v>38.280565099209845</v>
      </c>
      <c r="Q100" s="130"/>
      <c r="R100" s="131">
        <f>$A100*N100</f>
        <v>8.5979001743836552</v>
      </c>
      <c r="S100" s="132"/>
      <c r="U100" s="128">
        <f>+U99+5</f>
        <v>150</v>
      </c>
      <c r="V100" s="129">
        <f>+IF(V$102=0,0,V37/V$102)</f>
        <v>0</v>
      </c>
      <c r="W100" s="129"/>
      <c r="X100" s="129">
        <f>+IF(X$102=0,0,X37/X$102)</f>
        <v>0.96485616202496194</v>
      </c>
      <c r="Y100" s="129"/>
      <c r="Z100" s="130">
        <f>$A100*V100</f>
        <v>0</v>
      </c>
      <c r="AA100" s="130"/>
      <c r="AB100" s="131">
        <f>$A100*X100</f>
        <v>144.7284243037443</v>
      </c>
      <c r="AC100" s="132"/>
    </row>
    <row r="101" spans="1:29" ht="17" thickBot="1" x14ac:dyDescent="0.25">
      <c r="A101" s="128">
        <f>+A100+5</f>
        <v>155</v>
      </c>
      <c r="B101" s="415">
        <f>+IF(B$102=0,0,B38/B$102)</f>
        <v>0.17857374394672823</v>
      </c>
      <c r="C101" s="129"/>
      <c r="D101" s="415">
        <f>+IF(D$102=0,0,D38/D$102)</f>
        <v>0.1949367482309213</v>
      </c>
      <c r="E101" s="129"/>
      <c r="F101" s="416">
        <f>$A101*B101</f>
        <v>27.678930311742874</v>
      </c>
      <c r="G101" s="130"/>
      <c r="H101" s="133">
        <f>$A101*D101</f>
        <v>30.215195975792803</v>
      </c>
      <c r="I101" s="132"/>
      <c r="K101" s="128">
        <f>+K100+5</f>
        <v>155</v>
      </c>
      <c r="L101" s="415">
        <f>+IF(L$102=0,0,L38/L$102)</f>
        <v>0.11124287763945828</v>
      </c>
      <c r="M101" s="129"/>
      <c r="N101" s="415">
        <f>+IF(N$102=0,0,N38/N$102)</f>
        <v>0.11482607464561623</v>
      </c>
      <c r="O101" s="129"/>
      <c r="P101" s="416">
        <f>$A101*L101</f>
        <v>17.242646034116035</v>
      </c>
      <c r="Q101" s="130"/>
      <c r="R101" s="133">
        <f>$A101*N101</f>
        <v>17.798041570070517</v>
      </c>
      <c r="S101" s="132"/>
      <c r="U101" s="128">
        <f>+U100+5</f>
        <v>155</v>
      </c>
      <c r="V101" s="415">
        <f>+IF(V$102=0,0,V38/V$102)</f>
        <v>0</v>
      </c>
      <c r="W101" s="129"/>
      <c r="X101" s="415">
        <f>+IF(X$102=0,0,X38/X$102)</f>
        <v>0</v>
      </c>
      <c r="Y101" s="129"/>
      <c r="Z101" s="416">
        <f>$A101*V101</f>
        <v>0</v>
      </c>
      <c r="AA101" s="130"/>
      <c r="AB101" s="133">
        <f>$A101*X101</f>
        <v>0</v>
      </c>
      <c r="AC101" s="132"/>
    </row>
    <row r="102" spans="1:29" ht="17" thickTop="1" x14ac:dyDescent="0.2">
      <c r="A102" s="134" t="s">
        <v>18</v>
      </c>
      <c r="B102" s="135">
        <f>SUM(B35:B38)</f>
        <v>3436.6535999999901</v>
      </c>
      <c r="C102" s="136"/>
      <c r="D102" s="137">
        <f>SUM(D35:D38)</f>
        <v>10114.96609999998</v>
      </c>
      <c r="E102" s="138" t="s">
        <v>23</v>
      </c>
      <c r="F102" s="139">
        <f>SUM(F98:F101)</f>
        <v>146.44374661443914</v>
      </c>
      <c r="G102" s="140"/>
      <c r="H102" s="141">
        <f>SUM(H98:H101)</f>
        <v>146.20587813932465</v>
      </c>
      <c r="I102" s="132"/>
      <c r="K102" s="134" t="s">
        <v>18</v>
      </c>
      <c r="L102" s="135">
        <f>SUM(L35:L38)</f>
        <v>2468.4231999999993</v>
      </c>
      <c r="M102" s="136"/>
      <c r="N102" s="137">
        <f>SUM(N35:N38)</f>
        <v>612.04130000000009</v>
      </c>
      <c r="O102" s="138" t="s">
        <v>23</v>
      </c>
      <c r="P102" s="139">
        <f>SUM(P98:P101)</f>
        <v>146.55919191652387</v>
      </c>
      <c r="Q102" s="140"/>
      <c r="R102" s="141">
        <f>SUM(R98:R101)</f>
        <v>142.49490189632627</v>
      </c>
      <c r="S102" s="132"/>
      <c r="U102" s="134" t="s">
        <v>18</v>
      </c>
      <c r="V102" s="135">
        <f>SUM(V35:V38)</f>
        <v>0</v>
      </c>
      <c r="W102" s="136"/>
      <c r="X102" s="137">
        <f>SUM(X35:X38)</f>
        <v>291.26869999999997</v>
      </c>
      <c r="Y102" s="138" t="s">
        <v>23</v>
      </c>
      <c r="Z102" s="139">
        <f>SUM(Z98:Z101)</f>
        <v>0</v>
      </c>
      <c r="AA102" s="140"/>
      <c r="AB102" s="141">
        <f>SUM(AB98:AB101)</f>
        <v>149.64856162024964</v>
      </c>
      <c r="AC102" s="132"/>
    </row>
    <row r="103" spans="1:29" ht="16" x14ac:dyDescent="0.2">
      <c r="A103" s="128"/>
      <c r="B103" s="142"/>
      <c r="C103" s="142"/>
      <c r="D103" s="142"/>
      <c r="E103" s="142"/>
      <c r="F103" s="130"/>
      <c r="G103" s="130"/>
      <c r="H103" s="131"/>
      <c r="K103" s="128"/>
      <c r="L103" s="142"/>
      <c r="M103" s="142"/>
      <c r="N103" s="142"/>
      <c r="O103" s="142"/>
      <c r="P103" s="130"/>
      <c r="Q103" s="130"/>
      <c r="R103" s="131"/>
      <c r="U103" s="128"/>
      <c r="V103" s="142"/>
      <c r="W103" s="142"/>
      <c r="X103" s="142"/>
      <c r="Y103" s="142"/>
      <c r="Z103" s="130"/>
      <c r="AA103" s="130"/>
      <c r="AB103" s="131"/>
    </row>
    <row r="104" spans="1:29" ht="16" x14ac:dyDescent="0.2">
      <c r="A104" s="128">
        <f>+A101+5</f>
        <v>160</v>
      </c>
      <c r="B104" s="129">
        <f>+IF(B$108=0,0,B39/B$108)</f>
        <v>0.31266610964275326</v>
      </c>
      <c r="C104" s="129"/>
      <c r="D104" s="129">
        <f>+IF(D$108=0,0,D39/D$108)</f>
        <v>0.40982093806799075</v>
      </c>
      <c r="E104" s="129"/>
      <c r="F104" s="130">
        <f>$A104*B104</f>
        <v>50.026577542840521</v>
      </c>
      <c r="G104" s="130"/>
      <c r="H104" s="131">
        <f>$A104*D104</f>
        <v>65.571350090878525</v>
      </c>
      <c r="I104" s="132"/>
      <c r="K104" s="128">
        <f>+K101+5</f>
        <v>160</v>
      </c>
      <c r="L104" s="129">
        <f>+IF(L$108=0,0,L39/L$102)</f>
        <v>8.6662368106084908E-2</v>
      </c>
      <c r="M104" s="129"/>
      <c r="N104" s="129">
        <f>+IF(N$108=0,0,N39/N$102)</f>
        <v>0.12128201152438568</v>
      </c>
      <c r="O104" s="129"/>
      <c r="P104" s="130">
        <f>$A104*L104</f>
        <v>13.865978896973585</v>
      </c>
      <c r="Q104" s="130"/>
      <c r="R104" s="131">
        <f>$A104*N104</f>
        <v>19.405121843901711</v>
      </c>
      <c r="S104" s="132"/>
      <c r="U104" s="128">
        <f>+U101+5</f>
        <v>160</v>
      </c>
      <c r="V104" s="129">
        <f>+IF(V$108=0,0,V39/V$102)</f>
        <v>0</v>
      </c>
      <c r="W104" s="129"/>
      <c r="X104" s="129">
        <f>+IF(X$108=0,0,X39/X$102)</f>
        <v>0</v>
      </c>
      <c r="Y104" s="129"/>
      <c r="Z104" s="130">
        <f>$A104*V104</f>
        <v>0</v>
      </c>
      <c r="AA104" s="130"/>
      <c r="AB104" s="131">
        <f>$A104*X104</f>
        <v>0</v>
      </c>
      <c r="AC104" s="132"/>
    </row>
    <row r="105" spans="1:29" ht="16" x14ac:dyDescent="0.2">
      <c r="A105" s="128">
        <f>+A104+5</f>
        <v>165</v>
      </c>
      <c r="B105" s="129">
        <f>+IF(B$108=0,0,B40/B$108)</f>
        <v>0.10950015684685238</v>
      </c>
      <c r="C105" s="129"/>
      <c r="D105" s="129">
        <f>+IF(D$108=0,0,D40/D$108)</f>
        <v>0.27121998223334021</v>
      </c>
      <c r="E105" s="129"/>
      <c r="F105" s="130">
        <f>$A105*B105</f>
        <v>18.067525879730642</v>
      </c>
      <c r="G105" s="130"/>
      <c r="H105" s="131">
        <f>$A105*D105</f>
        <v>44.751297068501131</v>
      </c>
      <c r="I105" s="132"/>
      <c r="K105" s="128">
        <f>+K104+5</f>
        <v>165</v>
      </c>
      <c r="L105" s="129">
        <f>+IF(L$108=0,0,L40/L$102)</f>
        <v>0.17737039580571115</v>
      </c>
      <c r="M105" s="129"/>
      <c r="N105" s="129">
        <f>+IF(N$108=0,0,N40/N$102)</f>
        <v>0.17337147019326962</v>
      </c>
      <c r="O105" s="129"/>
      <c r="P105" s="130">
        <f>$A105*L105</f>
        <v>29.266115307942339</v>
      </c>
      <c r="Q105" s="130"/>
      <c r="R105" s="131">
        <f>$A105*N105</f>
        <v>28.606292581889488</v>
      </c>
      <c r="S105" s="132"/>
      <c r="U105" s="128">
        <f>+U104+5</f>
        <v>165</v>
      </c>
      <c r="V105" s="129">
        <f>+IF(V$108=0,0,V40/V$102)</f>
        <v>0</v>
      </c>
      <c r="W105" s="129"/>
      <c r="X105" s="129">
        <f>+IF(X$108=0,0,X40/X$102)</f>
        <v>0</v>
      </c>
      <c r="Y105" s="129"/>
      <c r="Z105" s="130">
        <f>$A105*V105</f>
        <v>0</v>
      </c>
      <c r="AA105" s="130"/>
      <c r="AB105" s="131">
        <f>$A105*X105</f>
        <v>0</v>
      </c>
      <c r="AC105" s="132"/>
    </row>
    <row r="106" spans="1:29" ht="16" x14ac:dyDescent="0.2">
      <c r="A106" s="128">
        <f>+A105+5</f>
        <v>170</v>
      </c>
      <c r="B106" s="129">
        <f>+IF(B$108=0,0,B41/B$108)</f>
        <v>0.30100262465647232</v>
      </c>
      <c r="C106" s="129"/>
      <c r="D106" s="129">
        <f>+IF(D$108=0,0,D41/D$108)</f>
        <v>0.24705246570859246</v>
      </c>
      <c r="E106" s="129"/>
      <c r="F106" s="130">
        <f>$A106*B106</f>
        <v>51.170446191600291</v>
      </c>
      <c r="G106" s="130"/>
      <c r="H106" s="131">
        <f>$A106*D106</f>
        <v>41.998919170460717</v>
      </c>
      <c r="I106" s="132"/>
      <c r="K106" s="128">
        <f>+K105+5</f>
        <v>170</v>
      </c>
      <c r="L106" s="129">
        <f>+IF(L$108=0,0,L41/L$102)</f>
        <v>0.12017230270725056</v>
      </c>
      <c r="M106" s="129"/>
      <c r="N106" s="129">
        <f>+IF(N$108=0,0,N41/N$102)</f>
        <v>0</v>
      </c>
      <c r="O106" s="129"/>
      <c r="P106" s="130">
        <f>$A106*L106</f>
        <v>20.429291460232594</v>
      </c>
      <c r="Q106" s="130"/>
      <c r="R106" s="131">
        <f>$A106*N106</f>
        <v>0</v>
      </c>
      <c r="S106" s="132"/>
      <c r="U106" s="128">
        <f>+U105+5</f>
        <v>170</v>
      </c>
      <c r="V106" s="129">
        <f>+IF(V$108=0,0,V41/V$102)</f>
        <v>0</v>
      </c>
      <c r="W106" s="129"/>
      <c r="X106" s="129">
        <f>+IF(X$108=0,0,X41/X$102)</f>
        <v>0</v>
      </c>
      <c r="Y106" s="129"/>
      <c r="Z106" s="130">
        <f>$A106*V106</f>
        <v>0</v>
      </c>
      <c r="AA106" s="130"/>
      <c r="AB106" s="131">
        <f>$A106*X106</f>
        <v>0</v>
      </c>
      <c r="AC106" s="132"/>
    </row>
    <row r="107" spans="1:29" ht="17" thickBot="1" x14ac:dyDescent="0.25">
      <c r="A107" s="128">
        <f>+A106+5</f>
        <v>175</v>
      </c>
      <c r="B107" s="415">
        <f>+IF(B$108=0,0,B42/B$108)</f>
        <v>0.27683110885392209</v>
      </c>
      <c r="C107" s="129"/>
      <c r="D107" s="415">
        <f>+IF(D$108=0,0,D42/D$108)</f>
        <v>7.1906613990076709E-2</v>
      </c>
      <c r="E107" s="129"/>
      <c r="F107" s="416">
        <f>$A107*B107</f>
        <v>48.445444049436368</v>
      </c>
      <c r="G107" s="130"/>
      <c r="H107" s="133">
        <f>$A107*D107</f>
        <v>12.583657448263423</v>
      </c>
      <c r="I107" s="132"/>
      <c r="K107" s="128">
        <f>+K106+5</f>
        <v>175</v>
      </c>
      <c r="L107" s="415">
        <f>+IF(L$108=0,0,L42/L$102)</f>
        <v>5.9798943714351759E-2</v>
      </c>
      <c r="M107" s="129"/>
      <c r="N107" s="415">
        <f>+IF(N$108=0,0,N42/N$102)</f>
        <v>0.48292786777624314</v>
      </c>
      <c r="O107" s="129"/>
      <c r="P107" s="416">
        <f>$A107*L107</f>
        <v>10.464815150011558</v>
      </c>
      <c r="Q107" s="130"/>
      <c r="R107" s="133">
        <f>$A107*N107</f>
        <v>84.512376860842551</v>
      </c>
      <c r="S107" s="132"/>
      <c r="U107" s="128">
        <f>+U106+5</f>
        <v>175</v>
      </c>
      <c r="V107" s="415">
        <f>+IF(V$108=0,0,V42/V$102)</f>
        <v>0</v>
      </c>
      <c r="W107" s="129"/>
      <c r="X107" s="415">
        <f>+IF(X$108=0,0,X42/X$102)</f>
        <v>0.13040364446986583</v>
      </c>
      <c r="Y107" s="129"/>
      <c r="Z107" s="416">
        <f>$A107*V107</f>
        <v>0</v>
      </c>
      <c r="AA107" s="130"/>
      <c r="AB107" s="133">
        <f>$A107*X107</f>
        <v>22.82063778222652</v>
      </c>
      <c r="AC107" s="132"/>
    </row>
    <row r="108" spans="1:29" ht="17" thickTop="1" x14ac:dyDescent="0.2">
      <c r="A108" s="134" t="s">
        <v>18</v>
      </c>
      <c r="B108" s="135">
        <f>SUM(B39:B42)</f>
        <v>1087.6851999999999</v>
      </c>
      <c r="C108" s="136"/>
      <c r="D108" s="137">
        <f>SUM(D39:D42)</f>
        <v>2737.7119999999877</v>
      </c>
      <c r="E108" s="138" t="s">
        <v>23</v>
      </c>
      <c r="F108" s="139">
        <f>SUM(F104:F107)</f>
        <v>167.70999366360783</v>
      </c>
      <c r="G108" s="140"/>
      <c r="H108" s="141">
        <f>SUM(H104:H107)</f>
        <v>164.90522377810379</v>
      </c>
      <c r="I108" s="132"/>
      <c r="K108" s="134" t="s">
        <v>18</v>
      </c>
      <c r="L108" s="135">
        <f>SUM(L39:L42)</f>
        <v>1095.9897999999998</v>
      </c>
      <c r="M108" s="136"/>
      <c r="N108" s="137">
        <f>SUM(N39:N42)</f>
        <v>475.9119</v>
      </c>
      <c r="O108" s="138" t="s">
        <v>23</v>
      </c>
      <c r="P108" s="139">
        <f>SUM(P104:P107)</f>
        <v>74.026200815160081</v>
      </c>
      <c r="Q108" s="140"/>
      <c r="R108" s="141">
        <f>SUM(R104:R107)</f>
        <v>132.52379128663375</v>
      </c>
      <c r="S108" s="132"/>
      <c r="U108" s="134" t="s">
        <v>18</v>
      </c>
      <c r="V108" s="135">
        <f>SUM(V39:V42)</f>
        <v>0</v>
      </c>
      <c r="W108" s="136"/>
      <c r="X108" s="137">
        <f>SUM(X39:X42)</f>
        <v>37.982500000000002</v>
      </c>
      <c r="Y108" s="138" t="s">
        <v>23</v>
      </c>
      <c r="Z108" s="139">
        <f>SUM(Z104:Z107)</f>
        <v>0</v>
      </c>
      <c r="AA108" s="140"/>
      <c r="AB108" s="141">
        <f>SUM(AB104:AB107)</f>
        <v>22.82063778222652</v>
      </c>
      <c r="AC108" s="132"/>
    </row>
    <row r="109" spans="1:29" ht="16" x14ac:dyDescent="0.2">
      <c r="A109" s="128"/>
      <c r="B109" s="142"/>
      <c r="C109" s="142"/>
      <c r="D109" s="142"/>
      <c r="E109" s="142"/>
      <c r="F109" s="130"/>
      <c r="G109" s="130"/>
      <c r="H109" s="131"/>
      <c r="K109" s="128"/>
      <c r="L109" s="142"/>
      <c r="M109" s="142"/>
      <c r="N109" s="142"/>
      <c r="O109" s="142"/>
      <c r="P109" s="130"/>
      <c r="Q109" s="130"/>
      <c r="R109" s="131"/>
      <c r="U109" s="128"/>
      <c r="V109" s="142"/>
      <c r="W109" s="142"/>
      <c r="X109" s="142"/>
      <c r="Y109" s="142"/>
      <c r="Z109" s="130"/>
      <c r="AA109" s="130"/>
      <c r="AB109" s="131"/>
    </row>
    <row r="110" spans="1:29" ht="16" x14ac:dyDescent="0.2">
      <c r="A110" s="128">
        <f>+A107+5</f>
        <v>180</v>
      </c>
      <c r="B110" s="129">
        <f>+IF(B$114=0,0,B43/B$114)</f>
        <v>0.12709583678837311</v>
      </c>
      <c r="C110" s="129"/>
      <c r="D110" s="129">
        <f>+IF(D$114=0,0,D43/D$114)</f>
        <v>0.31019698245093336</v>
      </c>
      <c r="E110" s="129"/>
      <c r="F110" s="130">
        <f>$A110*B110</f>
        <v>22.877250621907159</v>
      </c>
      <c r="G110" s="130"/>
      <c r="H110" s="131">
        <f>$A110*D110</f>
        <v>55.835456841168003</v>
      </c>
      <c r="I110" s="132"/>
      <c r="K110" s="128">
        <f>+K107+5</f>
        <v>180</v>
      </c>
      <c r="L110" s="129">
        <f>+IF(L$114=0,0,L43/L$114)</f>
        <v>0.27446517725845121</v>
      </c>
      <c r="M110" s="129"/>
      <c r="N110" s="129">
        <f>+IF(N$114=0,0,N43/N$114)</f>
        <v>0.30116940504711925</v>
      </c>
      <c r="O110" s="129"/>
      <c r="P110" s="130">
        <f>$A110*L110</f>
        <v>49.403731906521216</v>
      </c>
      <c r="Q110" s="130"/>
      <c r="R110" s="131">
        <f>$A110*N110</f>
        <v>54.210492908481463</v>
      </c>
      <c r="S110" s="132"/>
      <c r="U110" s="128">
        <f>+U107+5</f>
        <v>180</v>
      </c>
      <c r="V110" s="129">
        <f>+IF(V$114=0,0,V43/V$114)</f>
        <v>0</v>
      </c>
      <c r="W110" s="129"/>
      <c r="X110" s="129">
        <f>+IF(X$114=0,0,X43/X$114)</f>
        <v>0</v>
      </c>
      <c r="Y110" s="129"/>
      <c r="Z110" s="130">
        <f>$A110*V110</f>
        <v>0</v>
      </c>
      <c r="AA110" s="130"/>
      <c r="AB110" s="131">
        <f>$A110*X110</f>
        <v>0</v>
      </c>
      <c r="AC110" s="132"/>
    </row>
    <row r="111" spans="1:29" ht="16" x14ac:dyDescent="0.2">
      <c r="A111" s="128">
        <f>+A110+5</f>
        <v>185</v>
      </c>
      <c r="B111" s="129">
        <f>+IF(B$114=0,0,B44/B$114)</f>
        <v>0.16055296468082275</v>
      </c>
      <c r="C111" s="129"/>
      <c r="D111" s="129">
        <f>+IF(D$114=0,0,D44/D$114)</f>
        <v>0.3020109318138981</v>
      </c>
      <c r="E111" s="129"/>
      <c r="F111" s="130">
        <f>$A111*B111</f>
        <v>29.702298465952207</v>
      </c>
      <c r="G111" s="130"/>
      <c r="H111" s="131">
        <f>$A111*D111</f>
        <v>55.87202238557115</v>
      </c>
      <c r="I111" s="132"/>
      <c r="K111" s="128">
        <f>+K110+5</f>
        <v>185</v>
      </c>
      <c r="L111" s="129">
        <f>+IF(L$114=0,0,L44/L$114)</f>
        <v>0.46763474285836731</v>
      </c>
      <c r="M111" s="129"/>
      <c r="N111" s="129">
        <f>+IF(N$114=0,0,N44/N$114)</f>
        <v>0.14645316032423</v>
      </c>
      <c r="O111" s="129"/>
      <c r="P111" s="130">
        <f>$A111*L111</f>
        <v>86.512427428797949</v>
      </c>
      <c r="Q111" s="130"/>
      <c r="R111" s="131">
        <f>$A111*N111</f>
        <v>27.093834659982551</v>
      </c>
      <c r="S111" s="132"/>
      <c r="U111" s="128">
        <f>+U110+5</f>
        <v>185</v>
      </c>
      <c r="V111" s="129">
        <f>+IF(V$114=0,0,V44/V$114)</f>
        <v>0</v>
      </c>
      <c r="W111" s="129"/>
      <c r="X111" s="129">
        <f>+IF(X$114=0,0,X44/X$114)</f>
        <v>0</v>
      </c>
      <c r="Y111" s="129"/>
      <c r="Z111" s="130">
        <f>$A111*V111</f>
        <v>0</v>
      </c>
      <c r="AA111" s="130"/>
      <c r="AB111" s="131">
        <f>$A111*X111</f>
        <v>0</v>
      </c>
      <c r="AC111" s="132"/>
    </row>
    <row r="112" spans="1:29" ht="16" x14ac:dyDescent="0.2">
      <c r="A112" s="128">
        <v>190</v>
      </c>
      <c r="B112" s="129">
        <f>+IF(B$114=0,0,B45/B$114)</f>
        <v>0.59047851691207276</v>
      </c>
      <c r="C112" s="129"/>
      <c r="D112" s="129">
        <f>+IF(D$114=0,0,D45/D$114)</f>
        <v>0.15330848132389413</v>
      </c>
      <c r="E112" s="129"/>
      <c r="F112" s="130">
        <f>$A112*B112</f>
        <v>112.19091821329383</v>
      </c>
      <c r="G112" s="130"/>
      <c r="H112" s="131">
        <f>$A112*D112</f>
        <v>29.128611451539886</v>
      </c>
      <c r="I112" s="132"/>
      <c r="K112" s="128">
        <v>190</v>
      </c>
      <c r="L112" s="129">
        <f>+IF(L$114=0,0,L45/L$114)</f>
        <v>0.25790007988318137</v>
      </c>
      <c r="M112" s="129"/>
      <c r="N112" s="129">
        <f>+IF(N$114=0,0,N45/N$114)</f>
        <v>0.39160753691614159</v>
      </c>
      <c r="O112" s="129"/>
      <c r="P112" s="130">
        <f>$A112*L112</f>
        <v>49.001015177804462</v>
      </c>
      <c r="Q112" s="130"/>
      <c r="R112" s="131">
        <f>$A112*N112</f>
        <v>74.405432014066903</v>
      </c>
      <c r="S112" s="132"/>
      <c r="U112" s="128">
        <v>190</v>
      </c>
      <c r="V112" s="129">
        <f>+IF(V$114=0,0,V45/V$114)</f>
        <v>0</v>
      </c>
      <c r="W112" s="129"/>
      <c r="X112" s="129">
        <f>+IF(X$114=0,0,X45/X$114)</f>
        <v>0</v>
      </c>
      <c r="Y112" s="129"/>
      <c r="Z112" s="130">
        <f>$A112*V112</f>
        <v>0</v>
      </c>
      <c r="AA112" s="130"/>
      <c r="AB112" s="131">
        <f>$A112*X112</f>
        <v>0</v>
      </c>
      <c r="AC112" s="132"/>
    </row>
    <row r="113" spans="1:30" ht="17" thickBot="1" x14ac:dyDescent="0.25">
      <c r="A113" s="128">
        <f>+A112+5</f>
        <v>195</v>
      </c>
      <c r="B113" s="415">
        <f>+IF(B$114=0,0,B46/B$114)</f>
        <v>0.12187268161873142</v>
      </c>
      <c r="C113" s="129"/>
      <c r="D113" s="415">
        <f>+IF(D$114=0,0,D46/D$114)</f>
        <v>0.2344836044112745</v>
      </c>
      <c r="E113" s="129"/>
      <c r="F113" s="416">
        <f>$A113*B113</f>
        <v>23.765172915652627</v>
      </c>
      <c r="G113" s="130"/>
      <c r="H113" s="133">
        <f>$A113*D113</f>
        <v>45.724302860198527</v>
      </c>
      <c r="I113" s="132"/>
      <c r="K113" s="128">
        <f>+K112+5</f>
        <v>195</v>
      </c>
      <c r="L113" s="415">
        <f>+IF(L$114=0,0,L46/L$114)</f>
        <v>0</v>
      </c>
      <c r="M113" s="129"/>
      <c r="N113" s="415">
        <f>+IF(N$114=0,0,N46/N$114)</f>
        <v>0.16076989771250924</v>
      </c>
      <c r="O113" s="129"/>
      <c r="P113" s="416">
        <f>$A113*L113</f>
        <v>0</v>
      </c>
      <c r="Q113" s="130"/>
      <c r="R113" s="133">
        <f>$A113*N113</f>
        <v>31.350130053939303</v>
      </c>
      <c r="S113" s="132"/>
      <c r="U113" s="128">
        <f>+U112+5</f>
        <v>195</v>
      </c>
      <c r="V113" s="415">
        <f>+IF(V$114=0,0,V46/V$114)</f>
        <v>1</v>
      </c>
      <c r="W113" s="129"/>
      <c r="X113" s="415">
        <f>+IF(X$114=0,0,X46/X$114)</f>
        <v>0</v>
      </c>
      <c r="Y113" s="129"/>
      <c r="Z113" s="416">
        <f>$A113*V113</f>
        <v>195</v>
      </c>
      <c r="AA113" s="130"/>
      <c r="AB113" s="133">
        <f>$A113*X113</f>
        <v>0</v>
      </c>
      <c r="AC113" s="132"/>
    </row>
    <row r="114" spans="1:30" ht="17" thickTop="1" x14ac:dyDescent="0.2">
      <c r="A114" s="134" t="s">
        <v>18</v>
      </c>
      <c r="B114" s="135">
        <f>SUM(B43:B46)</f>
        <v>496.97929999999991</v>
      </c>
      <c r="C114" s="136"/>
      <c r="D114" s="137">
        <f>SUM(D43:D46)</f>
        <v>2931.3524999999977</v>
      </c>
      <c r="E114" s="138" t="s">
        <v>23</v>
      </c>
      <c r="F114" s="139">
        <f>SUM(F110:F113)</f>
        <v>188.5356402168058</v>
      </c>
      <c r="G114" s="140"/>
      <c r="H114" s="141">
        <f>SUM(H110:H113)</f>
        <v>186.56039353847757</v>
      </c>
      <c r="I114" s="132"/>
      <c r="K114" s="134" t="s">
        <v>18</v>
      </c>
      <c r="L114" s="135">
        <f>SUM(L43:L46)</f>
        <v>485.33370000000002</v>
      </c>
      <c r="M114" s="136"/>
      <c r="N114" s="137">
        <f>SUM(N43:N46)</f>
        <v>148.0924</v>
      </c>
      <c r="O114" s="138" t="s">
        <v>23</v>
      </c>
      <c r="P114" s="139">
        <f>SUM(P110:P113)</f>
        <v>184.9171745131236</v>
      </c>
      <c r="Q114" s="140"/>
      <c r="R114" s="141">
        <f>SUM(R110:R113)</f>
        <v>187.05988963647022</v>
      </c>
      <c r="S114" s="132"/>
      <c r="U114" s="134" t="s">
        <v>18</v>
      </c>
      <c r="V114" s="135">
        <f>SUM(V43:V46)</f>
        <v>39.219499999999996</v>
      </c>
      <c r="W114" s="136"/>
      <c r="X114" s="137">
        <f>SUM(X43:X46)</f>
        <v>0</v>
      </c>
      <c r="Y114" s="138" t="s">
        <v>23</v>
      </c>
      <c r="Z114" s="139">
        <f>SUM(Z110:Z113)</f>
        <v>195</v>
      </c>
      <c r="AA114" s="140"/>
      <c r="AB114" s="141">
        <f>SUM(AB110:AB113)</f>
        <v>0</v>
      </c>
      <c r="AC114" s="132"/>
    </row>
    <row r="115" spans="1:30" ht="16" x14ac:dyDescent="0.2">
      <c r="A115" s="128"/>
      <c r="B115" s="142"/>
      <c r="C115" s="142"/>
      <c r="D115" s="142"/>
      <c r="E115" s="142"/>
      <c r="F115" s="130"/>
      <c r="G115" s="130"/>
      <c r="H115" s="131"/>
      <c r="K115" s="128"/>
      <c r="L115" s="142"/>
      <c r="M115" s="142"/>
      <c r="N115" s="142"/>
      <c r="O115" s="142"/>
      <c r="P115" s="130"/>
      <c r="Q115" s="130"/>
      <c r="R115" s="131"/>
      <c r="U115" s="128"/>
      <c r="V115" s="142"/>
      <c r="W115" s="142"/>
      <c r="X115" s="142"/>
      <c r="Y115" s="142"/>
      <c r="Z115" s="130"/>
      <c r="AA115" s="130"/>
      <c r="AB115" s="131"/>
    </row>
    <row r="116" spans="1:30" ht="16" x14ac:dyDescent="0.2">
      <c r="A116" s="134">
        <v>200</v>
      </c>
      <c r="B116" s="129">
        <f>+IF(B$118=0,0,B47/B$118)</f>
        <v>1</v>
      </c>
      <c r="C116" s="129"/>
      <c r="D116" s="129">
        <f>+IF(D$118=0,0,D47/D$118)</f>
        <v>1</v>
      </c>
      <c r="E116" s="129"/>
      <c r="F116" s="130">
        <f>$A116*B116</f>
        <v>200</v>
      </c>
      <c r="G116" s="130"/>
      <c r="H116" s="131">
        <f>$A116*D116</f>
        <v>200</v>
      </c>
      <c r="I116" s="132"/>
      <c r="K116" s="134">
        <v>200</v>
      </c>
      <c r="L116" s="129">
        <f>+IF(L$118=0,0,L47/L$118)</f>
        <v>1</v>
      </c>
      <c r="M116" s="129"/>
      <c r="N116" s="129">
        <f>+IF(N$118=0,0,N47/N$118)</f>
        <v>1</v>
      </c>
      <c r="O116" s="129"/>
      <c r="P116" s="130">
        <f>$A116*L116</f>
        <v>200</v>
      </c>
      <c r="Q116" s="130"/>
      <c r="R116" s="131">
        <f>$A116*N116</f>
        <v>200</v>
      </c>
      <c r="S116" s="132"/>
      <c r="U116" s="134">
        <v>200</v>
      </c>
      <c r="V116" s="129">
        <f>+IF(V$118=0,0,V47/V$118)</f>
        <v>0</v>
      </c>
      <c r="W116" s="129"/>
      <c r="X116" s="129">
        <f>+IF(X$118=0,0,X47/X$118)</f>
        <v>1</v>
      </c>
      <c r="Y116" s="129"/>
      <c r="Z116" s="130">
        <f>$A116*V116</f>
        <v>0</v>
      </c>
      <c r="AA116" s="130"/>
      <c r="AB116" s="131">
        <f>$A116*X116</f>
        <v>200</v>
      </c>
      <c r="AC116" s="132"/>
    </row>
    <row r="117" spans="1:30" ht="17" thickBot="1" x14ac:dyDescent="0.25">
      <c r="A117" s="134">
        <v>225</v>
      </c>
      <c r="B117" s="415">
        <f>+IF(B$118=0,0,B48/B$118)</f>
        <v>0</v>
      </c>
      <c r="C117" s="129"/>
      <c r="D117" s="415">
        <f>+IF(D$118=0,0,D48/D$118)</f>
        <v>0</v>
      </c>
      <c r="E117" s="129"/>
      <c r="F117" s="416">
        <f>$A117*B117</f>
        <v>0</v>
      </c>
      <c r="G117" s="130"/>
      <c r="H117" s="133">
        <f>$A117*D117</f>
        <v>0</v>
      </c>
      <c r="I117" s="132"/>
      <c r="K117" s="134">
        <v>225</v>
      </c>
      <c r="L117" s="415">
        <f>+IF(L$118=0,0,L48/L$118)</f>
        <v>0</v>
      </c>
      <c r="M117" s="129"/>
      <c r="N117" s="415">
        <f>+IF(N$118=0,0,N48/N$118)</f>
        <v>0</v>
      </c>
      <c r="O117" s="129"/>
      <c r="P117" s="416">
        <f>$A117*L117</f>
        <v>0</v>
      </c>
      <c r="Q117" s="130"/>
      <c r="R117" s="133">
        <f>$A117*N117</f>
        <v>0</v>
      </c>
      <c r="S117" s="132"/>
      <c r="U117" s="134">
        <v>225</v>
      </c>
      <c r="V117" s="415">
        <f>+IF(V$118=0,0,V48/V$118)</f>
        <v>0</v>
      </c>
      <c r="W117" s="129"/>
      <c r="X117" s="415">
        <f>+IF(X$118=0,0,X48/X$118)</f>
        <v>0</v>
      </c>
      <c r="Y117" s="129"/>
      <c r="Z117" s="416">
        <f>$A117*V117</f>
        <v>0</v>
      </c>
      <c r="AA117" s="130"/>
      <c r="AB117" s="133">
        <f>$A117*X117</f>
        <v>0</v>
      </c>
      <c r="AC117" s="132"/>
    </row>
    <row r="118" spans="1:30" ht="17" thickTop="1" x14ac:dyDescent="0.2">
      <c r="A118" s="134" t="s">
        <v>18</v>
      </c>
      <c r="B118" s="135">
        <f>SUM(B47:B48)</f>
        <v>1036.2875999999901</v>
      </c>
      <c r="C118" s="136"/>
      <c r="D118" s="137">
        <f>SUM(D47:D48)</f>
        <v>3568.0746999999901</v>
      </c>
      <c r="E118" s="138" t="s">
        <v>23</v>
      </c>
      <c r="F118" s="139">
        <f>SUM(F116:F117)</f>
        <v>200</v>
      </c>
      <c r="G118" s="140"/>
      <c r="H118" s="141">
        <f>SUM(H116:H117)</f>
        <v>200</v>
      </c>
      <c r="I118" s="132"/>
      <c r="K118" s="134" t="s">
        <v>18</v>
      </c>
      <c r="L118" s="135">
        <f>SUM(L47:L48)</f>
        <v>830.17509999999902</v>
      </c>
      <c r="M118" s="136"/>
      <c r="N118" s="137">
        <f>SUM(N47:N48)</f>
        <v>392.31180000000001</v>
      </c>
      <c r="O118" s="138" t="s">
        <v>23</v>
      </c>
      <c r="P118" s="139">
        <f>SUM(P116:P117)</f>
        <v>200</v>
      </c>
      <c r="Q118" s="140"/>
      <c r="R118" s="141">
        <f>SUM(R116:R117)</f>
        <v>200</v>
      </c>
      <c r="S118" s="132"/>
      <c r="U118" s="134" t="s">
        <v>18</v>
      </c>
      <c r="V118" s="135">
        <f>SUM(V47:V48)</f>
        <v>0</v>
      </c>
      <c r="W118" s="136"/>
      <c r="X118" s="137">
        <f>SUM(X47:X48)</f>
        <v>8.5482999999999993</v>
      </c>
      <c r="Y118" s="138" t="s">
        <v>23</v>
      </c>
      <c r="Z118" s="139">
        <f>SUM(Z116:Z117)</f>
        <v>0</v>
      </c>
      <c r="AA118" s="140"/>
      <c r="AB118" s="141">
        <f>SUM(AB116:AB117)</f>
        <v>200</v>
      </c>
      <c r="AC118" s="132"/>
    </row>
    <row r="119" spans="1:30" ht="15" thickBot="1" x14ac:dyDescent="0.25">
      <c r="A119" s="143"/>
      <c r="B119" s="144"/>
      <c r="C119" s="144"/>
      <c r="D119" s="144"/>
      <c r="E119" s="144"/>
      <c r="F119" s="145"/>
      <c r="G119" s="145"/>
      <c r="H119" s="146"/>
      <c r="I119" s="132"/>
      <c r="K119" s="143"/>
      <c r="L119" s="144"/>
      <c r="M119" s="144"/>
      <c r="N119" s="144"/>
      <c r="O119" s="144"/>
      <c r="P119" s="145"/>
      <c r="Q119" s="145"/>
      <c r="R119" s="146"/>
      <c r="S119" s="132"/>
      <c r="U119" s="143"/>
      <c r="V119" s="144"/>
      <c r="W119" s="144"/>
      <c r="X119" s="144"/>
      <c r="Y119" s="144"/>
      <c r="Z119" s="145"/>
      <c r="AA119" s="145"/>
      <c r="AB119" s="146"/>
      <c r="AC119" s="132"/>
    </row>
    <row r="120" spans="1:30" x14ac:dyDescent="0.2">
      <c r="A120" s="125"/>
      <c r="F120" s="132"/>
      <c r="G120" s="132"/>
      <c r="H120" s="132"/>
      <c r="I120" s="132"/>
      <c r="K120" s="125"/>
      <c r="P120" s="132"/>
      <c r="Q120" s="132"/>
      <c r="R120" s="132"/>
      <c r="S120" s="132"/>
      <c r="U120" s="125"/>
      <c r="Z120" s="132"/>
      <c r="AA120" s="132"/>
      <c r="AB120" s="132"/>
      <c r="AC120" s="132"/>
    </row>
    <row r="121" spans="1:30" x14ac:dyDescent="0.2">
      <c r="A121" s="125"/>
      <c r="F121" s="132"/>
      <c r="G121" s="132"/>
      <c r="H121" s="132"/>
      <c r="I121" s="132"/>
      <c r="K121" s="125"/>
      <c r="P121" s="132"/>
      <c r="Q121" s="132"/>
      <c r="R121" s="132"/>
      <c r="S121" s="132"/>
      <c r="U121" s="125"/>
      <c r="Z121" s="132"/>
      <c r="AA121" s="132"/>
      <c r="AB121" s="132"/>
      <c r="AC121" s="132"/>
    </row>
    <row r="122" spans="1:30" ht="24" x14ac:dyDescent="0.3">
      <c r="A122" s="71" t="s">
        <v>235</v>
      </c>
      <c r="K122" s="71" t="s">
        <v>236</v>
      </c>
      <c r="L122" s="117"/>
      <c r="M122" s="91"/>
      <c r="U122" s="71" t="s">
        <v>155</v>
      </c>
      <c r="V122" s="117"/>
      <c r="W122" s="91"/>
    </row>
    <row r="123" spans="1:30" x14ac:dyDescent="0.2">
      <c r="A123" s="50" t="str">
        <f>A54</f>
        <v>Vehicle Age 2 or Less</v>
      </c>
      <c r="K123" s="50" t="str">
        <f>K54</f>
        <v>Vehicle Age 2 or Less</v>
      </c>
      <c r="U123" s="50" t="str">
        <f>U54</f>
        <v>Vehicle Age 2 or Less</v>
      </c>
    </row>
    <row r="124" spans="1:30" x14ac:dyDescent="0.2">
      <c r="A124" s="147"/>
      <c r="B124" s="74"/>
      <c r="C124" s="74"/>
      <c r="D124" s="74"/>
      <c r="E124" s="74"/>
      <c r="F124" s="74"/>
      <c r="G124" s="74"/>
      <c r="H124" s="74"/>
      <c r="I124" s="74"/>
      <c r="K124" s="147"/>
      <c r="L124" s="74"/>
      <c r="M124" s="74"/>
      <c r="N124" s="74"/>
      <c r="O124" s="74"/>
      <c r="P124" s="74"/>
      <c r="Q124" s="74"/>
      <c r="R124" s="74"/>
      <c r="S124" s="74"/>
      <c r="U124" s="147"/>
      <c r="V124" s="74"/>
      <c r="W124" s="74"/>
      <c r="X124" s="74"/>
      <c r="Y124" s="74"/>
      <c r="Z124" s="74"/>
      <c r="AA124" s="74"/>
      <c r="AB124" s="74"/>
      <c r="AC124" s="74"/>
    </row>
    <row r="125" spans="1:30" s="115" customFormat="1" ht="51" x14ac:dyDescent="0.2">
      <c r="A125" s="148" t="s">
        <v>25</v>
      </c>
      <c r="B125" s="149" t="s">
        <v>26</v>
      </c>
      <c r="C125" s="958" t="s">
        <v>269</v>
      </c>
      <c r="D125" s="149" t="s">
        <v>27</v>
      </c>
      <c r="E125" s="958" t="s">
        <v>270</v>
      </c>
      <c r="F125" s="149" t="s">
        <v>276</v>
      </c>
      <c r="G125" s="149" t="s">
        <v>277</v>
      </c>
      <c r="H125" s="149" t="s">
        <v>278</v>
      </c>
      <c r="I125" s="149" t="s">
        <v>279</v>
      </c>
      <c r="J125" s="150" t="s">
        <v>280</v>
      </c>
      <c r="K125" s="148" t="s">
        <v>25</v>
      </c>
      <c r="L125" s="149" t="s">
        <v>26</v>
      </c>
      <c r="M125" s="958" t="s">
        <v>269</v>
      </c>
      <c r="N125" s="149" t="s">
        <v>27</v>
      </c>
      <c r="O125" s="958" t="s">
        <v>270</v>
      </c>
      <c r="P125" s="149" t="s">
        <v>271</v>
      </c>
      <c r="Q125" s="149" t="s">
        <v>272</v>
      </c>
      <c r="R125" s="149" t="s">
        <v>273</v>
      </c>
      <c r="S125" s="149" t="s">
        <v>274</v>
      </c>
      <c r="T125" s="150" t="s">
        <v>275</v>
      </c>
      <c r="U125" s="148" t="s">
        <v>25</v>
      </c>
      <c r="V125" s="149" t="s">
        <v>26</v>
      </c>
      <c r="W125" s="958" t="s">
        <v>269</v>
      </c>
      <c r="X125" s="149" t="s">
        <v>27</v>
      </c>
      <c r="Y125" s="958" t="s">
        <v>270</v>
      </c>
      <c r="Z125" s="149" t="s">
        <v>156</v>
      </c>
      <c r="AA125" s="149" t="s">
        <v>157</v>
      </c>
      <c r="AB125" s="149" t="s">
        <v>158</v>
      </c>
      <c r="AC125" s="149" t="s">
        <v>159</v>
      </c>
      <c r="AD125" s="150" t="s">
        <v>160</v>
      </c>
    </row>
    <row r="126" spans="1:30" s="155" customFormat="1" ht="19" x14ac:dyDescent="0.25">
      <c r="A126" s="151" t="s">
        <v>172</v>
      </c>
      <c r="B126" s="152">
        <f>IF(SUM(B7:B10)=0,1000*($A11+$A7)/2,1000*SUM(C7:C10)/SUM(B7:B10))</f>
        <v>12910.741902308606</v>
      </c>
      <c r="C126" s="955">
        <f t="shared" ref="C126:C136" si="21">B126/OPDAYS_Cls1</f>
        <v>51.642967609234425</v>
      </c>
      <c r="D126" s="152">
        <f>IF(SUM(D7:D10)=0,1000*($A11+$A7)/2,1000*SUM(E7:E10)/SUM(D7:D10))</f>
        <v>11981.137158378011</v>
      </c>
      <c r="E126" s="955">
        <f t="shared" ref="E126:E136" si="22">D126/OPDAYS_Cls1</f>
        <v>47.924548633512046</v>
      </c>
      <c r="F126" s="153">
        <f>SUM(F7:F10)</f>
        <v>7.9460669190030697E-3</v>
      </c>
      <c r="G126" s="153">
        <f>SUM(G7:G10)</f>
        <v>8.9762242961142352E-4</v>
      </c>
      <c r="H126" s="153">
        <f>SUM(H7:H10)</f>
        <v>1.2963682068270432E-2</v>
      </c>
      <c r="I126" s="153">
        <f>SUM(I7:I10)</f>
        <v>1.3589913425833078E-3</v>
      </c>
      <c r="J126" s="154">
        <f>H126+F126</f>
        <v>2.0909748987273501E-2</v>
      </c>
      <c r="K126" s="151" t="s">
        <v>172</v>
      </c>
      <c r="L126" s="152">
        <f>IF(SUM(L7:L10)=0,1000*($A11+$A7)/2,1000*SUM(M7:M10)/SUM(L7:L10))</f>
        <v>12333.113317998816</v>
      </c>
      <c r="M126" s="955">
        <f t="shared" ref="M126:M136" si="23">L126/OPDAYS_Cls2</f>
        <v>49.332453271995263</v>
      </c>
      <c r="N126" s="152">
        <f>IF(SUM(N7:N10)=0,1000*($A11+$A7)/2,1000*SUM(O7:O10)/SUM(N7:N10))</f>
        <v>13578.656537381032</v>
      </c>
      <c r="O126" s="955">
        <f t="shared" ref="O126:O136" si="24">N126/OPDAYS_Cls2</f>
        <v>54.31462614952413</v>
      </c>
      <c r="P126" s="153">
        <f>SUM(P7:P10)</f>
        <v>3.9559734044076443E-2</v>
      </c>
      <c r="Q126" s="153">
        <f>SUM(Q7:Q10)</f>
        <v>6.3375455551975849E-3</v>
      </c>
      <c r="R126" s="153">
        <f>SUM(R7:R10)</f>
        <v>4.6052840844996765E-2</v>
      </c>
      <c r="S126" s="153">
        <f>SUM(S7:S10)</f>
        <v>8.1228463417563086E-3</v>
      </c>
      <c r="T126" s="154">
        <f>R126+P126</f>
        <v>8.5612574889073201E-2</v>
      </c>
      <c r="U126" s="151" t="s">
        <v>172</v>
      </c>
      <c r="V126" s="152">
        <f>IF(SUM(V7:V10)=0,1000*($A11+$A7)/2,1000*SUM(W7:W10)/SUM(V7:V10))</f>
        <v>12300.701290506642</v>
      </c>
      <c r="W126" s="955">
        <f t="shared" ref="W126:W136" si="25">V126/OPDAYS_Cls3</f>
        <v>49.202805162026571</v>
      </c>
      <c r="X126" s="152">
        <f>IF(SUM(X7:X10)=0,1000*($A11+$A7)/2,1000*SUM(Y7:Y10)/SUM(X7:X10))</f>
        <v>11455.131977377026</v>
      </c>
      <c r="Y126" s="955">
        <f t="shared" ref="Y126:Y136" si="26">X126/OPDAYS_Cls3</f>
        <v>45.820527909508108</v>
      </c>
      <c r="Z126" s="153">
        <f>SUM(Z7:Z10)</f>
        <v>0.16490316390132354</v>
      </c>
      <c r="AA126" s="153">
        <f>SUM(AA7:AA10)</f>
        <v>7.4407503791532936E-2</v>
      </c>
      <c r="AB126" s="153">
        <f>SUM(AB7:AB10)</f>
        <v>0.27324001996593789</v>
      </c>
      <c r="AC126" s="153">
        <f>SUM(AC7:AC10)</f>
        <v>0.11481596497083862</v>
      </c>
      <c r="AD126" s="154">
        <f>Z126+AB126</f>
        <v>0.43814318386726142</v>
      </c>
    </row>
    <row r="127" spans="1:30" s="155" customFormat="1" ht="19" x14ac:dyDescent="0.25">
      <c r="A127" s="156" t="s">
        <v>173</v>
      </c>
      <c r="B127" s="157">
        <f>IF(SUM(B11:B14)=0,1000*($A11+$A15)/2,1000*SUM(C11:C14)/SUM(B11:B14))</f>
        <v>27744.333544620586</v>
      </c>
      <c r="C127" s="956">
        <f t="shared" si="21"/>
        <v>110.97733417848234</v>
      </c>
      <c r="D127" s="157">
        <f>IF(SUM(D11:D14)=0,1000*($A11+$A15)/2,1000*SUM(E11:E14)/SUM(D11:D14))</f>
        <v>28140.973034656869</v>
      </c>
      <c r="E127" s="956">
        <f t="shared" si="22"/>
        <v>112.56389213862748</v>
      </c>
      <c r="F127" s="158">
        <f>SUM(F11:F14)</f>
        <v>4.9615201402207001E-3</v>
      </c>
      <c r="G127" s="158">
        <f>SUM(G11:G14)</f>
        <v>1.2044238150123706E-3</v>
      </c>
      <c r="H127" s="158">
        <f>SUM(H11:H14)</f>
        <v>2.3837141813212878E-2</v>
      </c>
      <c r="I127" s="158">
        <f>SUM(I11:I14)</f>
        <v>5.8692629772239642E-3</v>
      </c>
      <c r="J127" s="159">
        <f t="shared" ref="J127:J136" si="27">H127+F127</f>
        <v>2.8798661953433578E-2</v>
      </c>
      <c r="K127" s="156" t="s">
        <v>173</v>
      </c>
      <c r="L127" s="157">
        <f>IF(SUM(L11:L14)=0,1000*($A11+$A15)/2,1000*SUM(M11:M14)/SUM(L11:L14))</f>
        <v>30028.602619475849</v>
      </c>
      <c r="M127" s="956">
        <f t="shared" si="23"/>
        <v>120.11441047790339</v>
      </c>
      <c r="N127" s="157">
        <f>IF(SUM(N11:N14)=0,1000*($A11+$A15)/2,1000*SUM(O11:O14)/SUM(N11:N14))</f>
        <v>31655.779111861659</v>
      </c>
      <c r="O127" s="956">
        <f t="shared" si="24"/>
        <v>126.62311644744663</v>
      </c>
      <c r="P127" s="158">
        <f>SUM(P11:P14)</f>
        <v>8.9650908809480775E-2</v>
      </c>
      <c r="Q127" s="158">
        <f>SUM(Q11:Q14)</f>
        <v>3.496913005496359E-2</v>
      </c>
      <c r="R127" s="158">
        <f>SUM(R11:R14)</f>
        <v>6.7033462620106746E-2</v>
      </c>
      <c r="S127" s="158">
        <f>SUM(S11:S14)</f>
        <v>2.7563836768431361E-2</v>
      </c>
      <c r="T127" s="159">
        <f t="shared" ref="T127:T136" si="28">R127+P127</f>
        <v>0.15668437142958752</v>
      </c>
      <c r="U127" s="156" t="s">
        <v>173</v>
      </c>
      <c r="V127" s="157">
        <f>IF(SUM(V11:V14)=0,1000*($A11+$A15)/2,1000*SUM(W11:W14)/SUM(V11:V14))</f>
        <v>28999.059232210555</v>
      </c>
      <c r="W127" s="956">
        <f t="shared" si="25"/>
        <v>115.99623692884222</v>
      </c>
      <c r="X127" s="157">
        <f>IF(SUM(X11:X14)=0,1000*($A11+$A15)/2,1000*SUM(Y11:Y14)/SUM(X11:X14))</f>
        <v>28726.510858795609</v>
      </c>
      <c r="Y127" s="956">
        <f t="shared" si="26"/>
        <v>114.90604343518244</v>
      </c>
      <c r="Z127" s="158">
        <f>SUM(Z11:Z14)</f>
        <v>0.14150050624583405</v>
      </c>
      <c r="AA127" s="158">
        <f>SUM(AA11:AA14)</f>
        <v>0.15052192967997111</v>
      </c>
      <c r="AB127" s="158">
        <f>SUM(AB11:AB14)</f>
        <v>0.25610450783680394</v>
      </c>
      <c r="AC127" s="158">
        <f>SUM(AC11:AC14)</f>
        <v>0.26987209279577573</v>
      </c>
      <c r="AD127" s="159">
        <f t="shared" ref="AD127:AD136" si="29">Z127+AB127</f>
        <v>0.39760501408263799</v>
      </c>
    </row>
    <row r="128" spans="1:30" s="155" customFormat="1" ht="19" x14ac:dyDescent="0.25">
      <c r="A128" s="156" t="s">
        <v>174</v>
      </c>
      <c r="B128" s="157">
        <f>IF(SUM(B15:B18)=0,1000*($A15+$A19)/2,1000*SUM(C15:C18)/SUM(B15:B18))</f>
        <v>51100.561458878678</v>
      </c>
      <c r="C128" s="956">
        <f t="shared" si="21"/>
        <v>204.40224583551472</v>
      </c>
      <c r="D128" s="157">
        <f>IF(SUM(D15:D18)=0,1000*($A15+$A19)/2,1000*SUM(E15:E18)/SUM(D15:D18))</f>
        <v>53668.200550595066</v>
      </c>
      <c r="E128" s="956">
        <f t="shared" si="22"/>
        <v>214.67280220238027</v>
      </c>
      <c r="F128" s="158">
        <f>SUM(F15:F18)</f>
        <v>9.2815995818941767E-3</v>
      </c>
      <c r="G128" s="158">
        <f>SUM(G15:G18)</f>
        <v>4.1499109643594731E-3</v>
      </c>
      <c r="H128" s="158">
        <f>SUM(H15:H18)</f>
        <v>2.5768680683356839E-2</v>
      </c>
      <c r="I128" s="158">
        <f>SUM(I15:I18)</f>
        <v>1.2100393581509007E-2</v>
      </c>
      <c r="J128" s="159">
        <f t="shared" si="27"/>
        <v>3.5050280265251019E-2</v>
      </c>
      <c r="K128" s="156" t="s">
        <v>174</v>
      </c>
      <c r="L128" s="157">
        <f>IF(SUM(L15:L18)=0,1000*($A15+$A19)/2,1000*SUM(M15:M18)/SUM(L15:L18))</f>
        <v>50247.894924517714</v>
      </c>
      <c r="M128" s="956">
        <f t="shared" si="23"/>
        <v>200.99157969807086</v>
      </c>
      <c r="N128" s="157">
        <f>IF(SUM(N15:N18)=0,1000*($A15+$A19)/2,1000*SUM(O15:O18)/SUM(N15:N18))</f>
        <v>51742.06587894004</v>
      </c>
      <c r="O128" s="956">
        <f t="shared" si="24"/>
        <v>206.96826351576016</v>
      </c>
      <c r="P128" s="158">
        <f>SUM(P15:P18)</f>
        <v>9.1857251580802685E-2</v>
      </c>
      <c r="Q128" s="158">
        <f>SUM(Q15:Q18)</f>
        <v>5.9955127131675522E-2</v>
      </c>
      <c r="R128" s="158">
        <f>SUM(R15:R18)</f>
        <v>6.2316087841293416E-2</v>
      </c>
      <c r="S128" s="158">
        <f>SUM(S15:S18)</f>
        <v>4.1883113088337191E-2</v>
      </c>
      <c r="T128" s="159">
        <f t="shared" si="28"/>
        <v>0.1541733394220961</v>
      </c>
      <c r="U128" s="156" t="s">
        <v>174</v>
      </c>
      <c r="V128" s="157">
        <f>IF(SUM(V15:V18)=0,1000*($A15+$A19)/2,1000*SUM(W15:W18)/SUM(V15:V18))</f>
        <v>47735.351895067091</v>
      </c>
      <c r="W128" s="956">
        <f t="shared" si="25"/>
        <v>190.94140758026836</v>
      </c>
      <c r="X128" s="157">
        <f>IF(SUM(X15:X18)=0,1000*($A15+$A19)/2,1000*SUM(Y15:Y18)/SUM(X15:X18))</f>
        <v>49073.514839852294</v>
      </c>
      <c r="Y128" s="956">
        <f t="shared" si="26"/>
        <v>196.29405935940918</v>
      </c>
      <c r="Z128" s="158">
        <f>SUM(Z15:Z18)</f>
        <v>5.0842757108027201E-2</v>
      </c>
      <c r="AA128" s="158">
        <f>SUM(AA15:AA18)</f>
        <v>8.9028098283245441E-2</v>
      </c>
      <c r="AB128" s="158">
        <f>SUM(AB15:AB18)</f>
        <v>4.6572125423937315E-2</v>
      </c>
      <c r="AC128" s="158">
        <f>SUM(AC15:AC18)</f>
        <v>8.3836105982992667E-2</v>
      </c>
      <c r="AD128" s="159">
        <f t="shared" si="29"/>
        <v>9.7414882531964508E-2</v>
      </c>
    </row>
    <row r="129" spans="1:30" s="155" customFormat="1" ht="19" x14ac:dyDescent="0.25">
      <c r="A129" s="156" t="s">
        <v>175</v>
      </c>
      <c r="B129" s="157">
        <f>IF(SUM(B19:B22)=0,1000*($A19+$A23)/2,1000*SUM(C19:C22)/SUM(B19:B22))</f>
        <v>72561.526432118029</v>
      </c>
      <c r="C129" s="956">
        <f t="shared" si="21"/>
        <v>290.24610572847212</v>
      </c>
      <c r="D129" s="157">
        <f>IF(SUM(D19:D22)=0,1000*($A19+$A23)/2,1000*SUM(E19:E22)/SUM(D19:D22))</f>
        <v>72075.466860657005</v>
      </c>
      <c r="E129" s="956">
        <f t="shared" si="22"/>
        <v>288.30186744262801</v>
      </c>
      <c r="F129" s="158">
        <f>SUM(F19:F22)</f>
        <v>3.0833513121077051E-2</v>
      </c>
      <c r="G129" s="158">
        <f>SUM(G19:G22)</f>
        <v>1.9575808105519295E-2</v>
      </c>
      <c r="H129" s="158">
        <f>SUM(H19:H22)</f>
        <v>5.7965433078982248E-2</v>
      </c>
      <c r="I129" s="158">
        <f>SUM(I19:I22)</f>
        <v>3.6555003327388577E-2</v>
      </c>
      <c r="J129" s="159">
        <f t="shared" si="27"/>
        <v>8.8798946200059292E-2</v>
      </c>
      <c r="K129" s="156" t="s">
        <v>175</v>
      </c>
      <c r="L129" s="157">
        <f>IF(SUM(L19:L22)=0,1000*($A19+$A23)/2,1000*SUM(M19:M22)/SUM(L19:L22))</f>
        <v>70246.053560314816</v>
      </c>
      <c r="M129" s="956">
        <f t="shared" si="23"/>
        <v>280.98421424125928</v>
      </c>
      <c r="N129" s="157">
        <f>IF(SUM(N19:N22)=0,1000*($A19+$A23)/2,1000*SUM(O19:O22)/SUM(N19:N22))</f>
        <v>71616.500328747949</v>
      </c>
      <c r="O129" s="956">
        <f t="shared" si="24"/>
        <v>286.46600131499179</v>
      </c>
      <c r="P129" s="158">
        <f>SUM(P19:P22)</f>
        <v>9.271536797287637E-2</v>
      </c>
      <c r="Q129" s="158">
        <f>SUM(Q19:Q22)</f>
        <v>8.4599669387910512E-2</v>
      </c>
      <c r="R129" s="158">
        <f>SUM(R19:R22)</f>
        <v>6.9108422941336428E-2</v>
      </c>
      <c r="S129" s="158">
        <f>SUM(S19:S22)</f>
        <v>6.4289357588678764E-2</v>
      </c>
      <c r="T129" s="159">
        <f t="shared" si="28"/>
        <v>0.16182379091421278</v>
      </c>
      <c r="U129" s="156" t="s">
        <v>175</v>
      </c>
      <c r="V129" s="157">
        <f>IF(SUM(V19:V22)=0,1000*($A19+$A23)/2,1000*SUM(W19:W22)/SUM(V19:V22))</f>
        <v>70682.061428958856</v>
      </c>
      <c r="W129" s="956">
        <f t="shared" si="25"/>
        <v>282.72824571583544</v>
      </c>
      <c r="X129" s="157">
        <f>IF(SUM(X19:X22)=0,1000*($A19+$A23)/2,1000*SUM(Y19:Y22)/SUM(X19:X22))</f>
        <v>71616.08895539795</v>
      </c>
      <c r="Y129" s="956">
        <f t="shared" si="26"/>
        <v>286.46435582159182</v>
      </c>
      <c r="Z129" s="158">
        <f>SUM(Z19:Z22)</f>
        <v>1.7493235097392132E-2</v>
      </c>
      <c r="AA129" s="158">
        <f>SUM(AA19:AA22)</f>
        <v>4.5356257743642811E-2</v>
      </c>
      <c r="AB129" s="158">
        <f>SUM(AB19:AB22)</f>
        <v>2.2779497082922668E-2</v>
      </c>
      <c r="AC129" s="158">
        <f>SUM(AC19:AC22)</f>
        <v>5.9842896537765707E-2</v>
      </c>
      <c r="AD129" s="159">
        <f t="shared" si="29"/>
        <v>4.0272732180314796E-2</v>
      </c>
    </row>
    <row r="130" spans="1:30" s="155" customFormat="1" ht="19" x14ac:dyDescent="0.25">
      <c r="A130" s="156" t="s">
        <v>176</v>
      </c>
      <c r="B130" s="157">
        <f>IF(SUM(B23:B26)=0,1000*($A23+$A27)/2,1000*SUM(C23:C26)/SUM(B23:B26))</f>
        <v>91189.376048162099</v>
      </c>
      <c r="C130" s="956">
        <f t="shared" si="21"/>
        <v>364.75750419264841</v>
      </c>
      <c r="D130" s="157">
        <f>IF(SUM(D23:D26)=0,1000*($A23+$A27)/2,1000*SUM(E23:E26)/SUM(D23:D26))</f>
        <v>92150.223026373118</v>
      </c>
      <c r="E130" s="956">
        <f t="shared" si="22"/>
        <v>368.60089210549245</v>
      </c>
      <c r="F130" s="158">
        <f>SUM(F23:F26)</f>
        <v>4.3269302277925595E-2</v>
      </c>
      <c r="G130" s="158">
        <f>SUM(G23:G26)</f>
        <v>3.4523467949689302E-2</v>
      </c>
      <c r="H130" s="158">
        <f>SUM(H23:H26)</f>
        <v>0.10312619102844889</v>
      </c>
      <c r="I130" s="158">
        <f>SUM(I23:I26)</f>
        <v>8.3148735051829181E-2</v>
      </c>
      <c r="J130" s="159">
        <f t="shared" si="27"/>
        <v>0.14639549330637447</v>
      </c>
      <c r="K130" s="156" t="s">
        <v>176</v>
      </c>
      <c r="L130" s="157">
        <f>IF(SUM(L23:L26)=0,1000*($A23+$A27)/2,1000*SUM(M23:M26)/SUM(L23:L26))</f>
        <v>89551.611312238136</v>
      </c>
      <c r="M130" s="956">
        <f t="shared" si="23"/>
        <v>358.20644524895255</v>
      </c>
      <c r="N130" s="157">
        <f>IF(SUM(N23:N26)=0,1000*($A23+$A27)/2,1000*SUM(O23:O26)/SUM(N23:N26))</f>
        <v>89740.972704267871</v>
      </c>
      <c r="O130" s="956">
        <f t="shared" si="24"/>
        <v>358.9638908170715</v>
      </c>
      <c r="P130" s="158">
        <f>SUM(P23:P26)</f>
        <v>0.10920126324528824</v>
      </c>
      <c r="Q130" s="158">
        <f>SUM(Q23:Q26)</f>
        <v>0.12702701008436962</v>
      </c>
      <c r="R130" s="158">
        <f>SUM(R23:R26)</f>
        <v>7.8222088301235171E-2</v>
      </c>
      <c r="S130" s="158">
        <f>SUM(S23:S26)</f>
        <v>9.1183275251204537E-2</v>
      </c>
      <c r="T130" s="159">
        <f t="shared" si="28"/>
        <v>0.1874233515465234</v>
      </c>
      <c r="U130" s="156" t="s">
        <v>176</v>
      </c>
      <c r="V130" s="157">
        <f>IF(SUM(V23:V26)=0,1000*($A23+$A27)/2,1000*SUM(W23:W26)/SUM(V23:V26))</f>
        <v>87276.442894282722</v>
      </c>
      <c r="W130" s="956">
        <f t="shared" si="25"/>
        <v>349.10577157713089</v>
      </c>
      <c r="X130" s="157">
        <f>IF(SUM(X23:X26)=0,1000*($A23+$A27)/2,1000*SUM(Y23:Y26)/SUM(X23:X26))</f>
        <v>88060.84854827018</v>
      </c>
      <c r="Y130" s="956">
        <f t="shared" si="26"/>
        <v>352.24339419308075</v>
      </c>
      <c r="Z130" s="158">
        <f>SUM(Z23:Z26)</f>
        <v>6.5645600537602268E-3</v>
      </c>
      <c r="AA130" s="158">
        <f>SUM(AA23:AA26)</f>
        <v>2.1016507050137231E-2</v>
      </c>
      <c r="AB130" s="158">
        <f>SUM(AB23:AB26)</f>
        <v>5.0811779544371336E-3</v>
      </c>
      <c r="AC130" s="158">
        <f>SUM(AC23:AC26)</f>
        <v>1.6413649143963899E-2</v>
      </c>
      <c r="AD130" s="159">
        <f t="shared" si="29"/>
        <v>1.164573800819736E-2</v>
      </c>
    </row>
    <row r="131" spans="1:30" s="155" customFormat="1" ht="19" x14ac:dyDescent="0.25">
      <c r="A131" s="156" t="s">
        <v>177</v>
      </c>
      <c r="B131" s="157">
        <f>IF(SUM(B27:B30)=0,1000*($A27+$A31)/2,1000*SUM(C27:C30)/SUM(B27:B30))</f>
        <v>110907.81722277345</v>
      </c>
      <c r="C131" s="956">
        <f t="shared" si="21"/>
        <v>443.63126889109378</v>
      </c>
      <c r="D131" s="157">
        <f>IF(SUM(D27:D30)=0,1000*($A27+$A31)/2,1000*SUM(E27:E30)/SUM(D27:D30))</f>
        <v>111828.89697483131</v>
      </c>
      <c r="E131" s="956">
        <f t="shared" si="22"/>
        <v>447.31558789932524</v>
      </c>
      <c r="F131" s="158">
        <f>SUM(F27:F30)</f>
        <v>2.8144935330937017E-2</v>
      </c>
      <c r="G131" s="158">
        <f>SUM(G27:G30)</f>
        <v>2.7311948935134379E-2</v>
      </c>
      <c r="H131" s="158">
        <f>SUM(H27:H30)</f>
        <v>0.18550667796975542</v>
      </c>
      <c r="I131" s="158">
        <f>SUM(I27:I30)</f>
        <v>0.18151138394047112</v>
      </c>
      <c r="J131" s="159">
        <f t="shared" si="27"/>
        <v>0.21365161330069243</v>
      </c>
      <c r="K131" s="156" t="s">
        <v>177</v>
      </c>
      <c r="L131" s="157">
        <f>IF(SUM(L27:L30)=0,1000*($A27+$A31)/2,1000*SUM(M27:M30)/SUM(L27:L30))</f>
        <v>108207.01367942672</v>
      </c>
      <c r="M131" s="956">
        <f t="shared" si="23"/>
        <v>432.82805471770689</v>
      </c>
      <c r="N131" s="157">
        <f>IF(SUM(N27:N30)=0,1000*($A27+$A31)/2,1000*SUM(O27:O30)/SUM(N27:N30))</f>
        <v>112638.86454910832</v>
      </c>
      <c r="O131" s="956">
        <f t="shared" si="24"/>
        <v>450.55545819643328</v>
      </c>
      <c r="P131" s="158">
        <f>SUM(P27:P30)</f>
        <v>4.7813378096654632E-2</v>
      </c>
      <c r="Q131" s="158">
        <f>SUM(Q27:Q30)</f>
        <v>6.7204731283582092E-2</v>
      </c>
      <c r="R131" s="158">
        <f>SUM(R27:R30)</f>
        <v>3.5529474750239771E-2</v>
      </c>
      <c r="S131" s="158">
        <f>SUM(S27:S30)</f>
        <v>5.1984283219922628E-2</v>
      </c>
      <c r="T131" s="159">
        <f t="shared" si="28"/>
        <v>8.3342852846894411E-2</v>
      </c>
      <c r="U131" s="156" t="s">
        <v>177</v>
      </c>
      <c r="V131" s="157">
        <f>IF(SUM(V27:V30)=0,1000*($A27+$A31)/2,1000*SUM(W27:W30)/SUM(V27:V30))</f>
        <v>102231</v>
      </c>
      <c r="W131" s="956">
        <f t="shared" si="25"/>
        <v>408.92399999999998</v>
      </c>
      <c r="X131" s="157">
        <f>IF(SUM(X27:X30)=0,1000*($A27+$A31)/2,1000*SUM(Y27:Y30)/SUM(X27:X30))</f>
        <v>106769.51106158529</v>
      </c>
      <c r="Y131" s="956">
        <f t="shared" si="26"/>
        <v>427.07804424634116</v>
      </c>
      <c r="Z131" s="158">
        <f>SUM(Z27:Z30)</f>
        <v>1.3068268788829179E-4</v>
      </c>
      <c r="AA131" s="158">
        <f>SUM(AA27:AA30)</f>
        <v>4.9007047894213725E-4</v>
      </c>
      <c r="AB131" s="158">
        <f>SUM(AB27:AB30)</f>
        <v>2.5955840495899339E-3</v>
      </c>
      <c r="AC131" s="158">
        <f>SUM(AC27:AC30)</f>
        <v>1.0165768727376887E-2</v>
      </c>
      <c r="AD131" s="159">
        <f t="shared" si="29"/>
        <v>2.7262667374782258E-3</v>
      </c>
    </row>
    <row r="132" spans="1:30" s="155" customFormat="1" ht="19" x14ac:dyDescent="0.25">
      <c r="A132" s="156" t="s">
        <v>178</v>
      </c>
      <c r="B132" s="157">
        <f>IF(SUM(B31:B34)=0,1000*($A31+$A35)/2,1000*SUM(C31:C34)/SUM(B31:B34))</f>
        <v>126695.33557343495</v>
      </c>
      <c r="C132" s="956">
        <f t="shared" si="21"/>
        <v>506.78134229373978</v>
      </c>
      <c r="D132" s="157">
        <f>IF(SUM(D31:D34)=0,1000*($A31+$A35)/2,1000*SUM(E31:E34)/SUM(D31:D34))</f>
        <v>127822.07987524466</v>
      </c>
      <c r="E132" s="956">
        <f t="shared" si="22"/>
        <v>511.28831950097862</v>
      </c>
      <c r="F132" s="158">
        <f>SUM(F31:F34)</f>
        <v>6.8990329765143715E-2</v>
      </c>
      <c r="G132" s="158">
        <f>SUM(G31:G34)</f>
        <v>7.6478458482655817E-2</v>
      </c>
      <c r="H132" s="158">
        <f>SUM(H31:H34)</f>
        <v>0.21310728355070049</v>
      </c>
      <c r="I132" s="158">
        <f>SUM(I31:I34)</f>
        <v>0.2383386372324876</v>
      </c>
      <c r="J132" s="159">
        <f t="shared" si="27"/>
        <v>0.28209761331584421</v>
      </c>
      <c r="K132" s="156" t="s">
        <v>178</v>
      </c>
      <c r="L132" s="157">
        <f>IF(SUM(L31:L34)=0,1000*($A31+$A35)/2,1000*SUM(M31:M34)/SUM(L31:L34))</f>
        <v>129276.53779524955</v>
      </c>
      <c r="M132" s="956">
        <f t="shared" si="23"/>
        <v>517.10615118099815</v>
      </c>
      <c r="N132" s="157">
        <f>IF(SUM(N31:N34)=0,1000*($A31+$A35)/2,1000*SUM(O31:O34)/SUM(N31:N34))</f>
        <v>127982.74620603543</v>
      </c>
      <c r="O132" s="956">
        <f t="shared" si="24"/>
        <v>511.93098482414172</v>
      </c>
      <c r="P132" s="158">
        <f>SUM(P31:P34)</f>
        <v>5.2826626309680449E-2</v>
      </c>
      <c r="Q132" s="158">
        <f>SUM(Q31:Q34)</f>
        <v>8.8708982453757024E-2</v>
      </c>
      <c r="R132" s="158">
        <f>SUM(R31:R34)</f>
        <v>3.0248313910710867E-2</v>
      </c>
      <c r="S132" s="158">
        <f>SUM(S31:S34)</f>
        <v>5.0286059545109812E-2</v>
      </c>
      <c r="T132" s="159">
        <f t="shared" si="28"/>
        <v>8.3074940220391316E-2</v>
      </c>
      <c r="U132" s="156" t="s">
        <v>178</v>
      </c>
      <c r="V132" s="157">
        <f>IF(SUM(V31:V34)=0,1000*($A31+$A35)/2,1000*SUM(W31:W34)/SUM(V31:V34))</f>
        <v>135079.81709212752</v>
      </c>
      <c r="W132" s="956">
        <f t="shared" si="25"/>
        <v>540.31926836851005</v>
      </c>
      <c r="X132" s="157">
        <f>IF(SUM(X31:X34)=0,1000*($A31+$A35)/2,1000*SUM(Y31:Y34)/SUM(X31:X34))</f>
        <v>129899.70060269146</v>
      </c>
      <c r="Y132" s="956">
        <f t="shared" si="26"/>
        <v>519.59880241076587</v>
      </c>
      <c r="Z132" s="158">
        <f>SUM(Z31:Z34)</f>
        <v>2.9863696966199553E-3</v>
      </c>
      <c r="AA132" s="158">
        <f>SUM(AA31:AA34)</f>
        <v>1.4797621296467818E-2</v>
      </c>
      <c r="AB132" s="158">
        <f>SUM(AB31:AB34)</f>
        <v>4.3441677754441459E-3</v>
      </c>
      <c r="AC132" s="158">
        <f>SUM(AC31:AC34)</f>
        <v>2.0700108148562976E-2</v>
      </c>
      <c r="AD132" s="159">
        <f t="shared" si="29"/>
        <v>7.3305374720641012E-3</v>
      </c>
    </row>
    <row r="133" spans="1:30" s="155" customFormat="1" ht="19" x14ac:dyDescent="0.25">
      <c r="A133" s="156" t="s">
        <v>179</v>
      </c>
      <c r="B133" s="157">
        <f>IF(SUM(B35:B38)=0,1000*($A35+$A39)/2,1000*SUM(C35:C38)/SUM(B35:B38))</f>
        <v>148928.20853402285</v>
      </c>
      <c r="C133" s="956">
        <f t="shared" si="21"/>
        <v>595.71283413609137</v>
      </c>
      <c r="D133" s="157">
        <f>IF(SUM(D35:D38)=0,1000*($A35+$A39)/2,1000*SUM(E35:E38)/SUM(D35:D38))</f>
        <v>148934.3166459057</v>
      </c>
      <c r="E133" s="956">
        <f t="shared" si="22"/>
        <v>595.73726658362273</v>
      </c>
      <c r="F133" s="158">
        <f>SUM(F35:F38)</f>
        <v>2.4926184998997059E-2</v>
      </c>
      <c r="G133" s="158">
        <f>SUM(G35:G38)</f>
        <v>3.2480526319280681E-2</v>
      </c>
      <c r="H133" s="158">
        <f>SUM(H35:H38)</f>
        <v>7.3364250696428643E-2</v>
      </c>
      <c r="I133" s="158">
        <f>SUM(I35:I38)</f>
        <v>9.5602564448196578E-2</v>
      </c>
      <c r="J133" s="159">
        <f t="shared" si="27"/>
        <v>9.8290435695425699E-2</v>
      </c>
      <c r="K133" s="156" t="s">
        <v>179</v>
      </c>
      <c r="L133" s="157">
        <f>IF(SUM(L35:L38)=0,1000*($A35+$A39)/2,1000*SUM(M35:M38)/SUM(L35:L38))</f>
        <v>149452.17659597393</v>
      </c>
      <c r="M133" s="956">
        <f t="shared" si="23"/>
        <v>597.8087063838957</v>
      </c>
      <c r="N133" s="157">
        <f>IF(SUM(N35:N38)=0,1000*($A35+$A39)/2,1000*SUM(O35:O38)/SUM(N35:N38))</f>
        <v>144807.33408023277</v>
      </c>
      <c r="O133" s="956">
        <f t="shared" si="24"/>
        <v>579.22933632093111</v>
      </c>
      <c r="P133" s="158">
        <f>SUM(P35:P38)</f>
        <v>3.3324854637922362E-2</v>
      </c>
      <c r="Q133" s="158">
        <f>SUM(Q35:Q38)</f>
        <v>6.4694225377098208E-2</v>
      </c>
      <c r="R133" s="158">
        <f>SUM(R35:R38)</f>
        <v>8.2628405675757074E-3</v>
      </c>
      <c r="S133" s="158">
        <f>SUM(S35:S38)</f>
        <v>1.5542287574292338E-2</v>
      </c>
      <c r="T133" s="159">
        <f t="shared" si="28"/>
        <v>4.1587695205498071E-2</v>
      </c>
      <c r="U133" s="156" t="s">
        <v>179</v>
      </c>
      <c r="V133" s="157">
        <f>IF(SUM(V35:V38)=0,1000*($A35+$A39)/2,1000*SUM(W35:W38)/SUM(V35:V38))</f>
        <v>150000</v>
      </c>
      <c r="W133" s="956">
        <f t="shared" si="25"/>
        <v>600</v>
      </c>
      <c r="X133" s="157">
        <f>IF(SUM(X35:X38)=0,1000*($A35+$A39)/2,1000*SUM(Y35:Y38)/SUM(X35:X38))</f>
        <v>152108.66705176356</v>
      </c>
      <c r="Y133" s="956">
        <f t="shared" si="26"/>
        <v>608.4346682070543</v>
      </c>
      <c r="Z133" s="158">
        <f>SUM(Z35:Z38)</f>
        <v>0</v>
      </c>
      <c r="AA133" s="158">
        <f>SUM(AA35:AA38)</f>
        <v>0</v>
      </c>
      <c r="AB133" s="158">
        <f>SUM(AB35:AB38)</f>
        <v>3.7558983870508854E-3</v>
      </c>
      <c r="AC133" s="158">
        <f>SUM(AC35:AC38)</f>
        <v>2.0956833812228508E-2</v>
      </c>
      <c r="AD133" s="159">
        <f t="shared" si="29"/>
        <v>3.7558983870508854E-3</v>
      </c>
    </row>
    <row r="134" spans="1:30" s="155" customFormat="1" ht="19" x14ac:dyDescent="0.25">
      <c r="A134" s="156" t="s">
        <v>180</v>
      </c>
      <c r="B134" s="157">
        <f>IF(SUM(B39:B42)=0,1000*($A39+$A43)/2,1000*SUM(C39:C42)/SUM(B39:B42))</f>
        <v>170557.72479022425</v>
      </c>
      <c r="C134" s="956">
        <f t="shared" si="21"/>
        <v>682.23089916089702</v>
      </c>
      <c r="D134" s="157">
        <f>IF(SUM(D39:D42)=0,1000*($A39+$A43)/2,1000*SUM(E39:E42)/SUM(D39:D42))</f>
        <v>168027.74798810174</v>
      </c>
      <c r="E134" s="956">
        <f t="shared" si="22"/>
        <v>672.11099195240695</v>
      </c>
      <c r="F134" s="158">
        <f>SUM(F39:F42)</f>
        <v>7.8890239376675012E-3</v>
      </c>
      <c r="G134" s="158">
        <f>SUM(G39:G42)</f>
        <v>1.1772940427842455E-2</v>
      </c>
      <c r="H134" s="158">
        <f>SUM(H39:H42)</f>
        <v>1.9856733825595378E-2</v>
      </c>
      <c r="I134" s="158">
        <f>SUM(I39:I42)</f>
        <v>2.9193025028929166E-2</v>
      </c>
      <c r="J134" s="159">
        <f t="shared" si="27"/>
        <v>2.7745757763262879E-2</v>
      </c>
      <c r="K134" s="156" t="s">
        <v>180</v>
      </c>
      <c r="L134" s="157">
        <f>IF(SUM(L39:L42)=0,1000*($A39+$A43)/2,1000*SUM(M39:M42)/SUM(L39:L42))</f>
        <v>169233.54852390054</v>
      </c>
      <c r="M134" s="956">
        <f t="shared" si="23"/>
        <v>676.93419409560215</v>
      </c>
      <c r="N134" s="157">
        <f>IF(SUM(N39:N42)=0,1000*($A39+$A43)/2,1000*SUM(O39:O42)/SUM(N39:N42))</f>
        <v>173814.16392403719</v>
      </c>
      <c r="O134" s="956">
        <f t="shared" si="24"/>
        <v>695.25665569614875</v>
      </c>
      <c r="P134" s="158">
        <f>SUM(P39:P42)</f>
        <v>1.4796369103015083E-2</v>
      </c>
      <c r="Q134" s="158">
        <f>SUM(Q39:Q42)</f>
        <v>3.2526447027526634E-2</v>
      </c>
      <c r="R134" s="158">
        <f>SUM(R39:R42)</f>
        <v>6.4250307191884484E-3</v>
      </c>
      <c r="S134" s="158">
        <f>SUM(S39:S42)</f>
        <v>1.4506257462625264E-2</v>
      </c>
      <c r="T134" s="159">
        <f t="shared" si="28"/>
        <v>2.1221399822203529E-2</v>
      </c>
      <c r="U134" s="156" t="s">
        <v>180</v>
      </c>
      <c r="V134" s="157">
        <f>IF(SUM(V39:V42)=0,1000*($A39+$A43)/2,1000*SUM(W39:W42)/SUM(V39:V42))</f>
        <v>170000</v>
      </c>
      <c r="W134" s="956">
        <f t="shared" si="25"/>
        <v>680</v>
      </c>
      <c r="X134" s="157">
        <f>IF(SUM(X39:X42)=0,1000*($A39+$A43)/2,1000*SUM(Y39:Y42)/SUM(X39:X42))</f>
        <v>175800</v>
      </c>
      <c r="Y134" s="956">
        <f t="shared" si="26"/>
        <v>703.2</v>
      </c>
      <c r="Z134" s="158">
        <f>SUM(Z39:Z42)</f>
        <v>0</v>
      </c>
      <c r="AA134" s="158">
        <f>SUM(AA39:AA42)</f>
        <v>0</v>
      </c>
      <c r="AB134" s="158">
        <f>SUM(AB39:AB42)</f>
        <v>4.897828379299261E-4</v>
      </c>
      <c r="AC134" s="158">
        <f>SUM(AC39:AC42)</f>
        <v>3.1584958359553582E-3</v>
      </c>
      <c r="AD134" s="159">
        <f t="shared" si="29"/>
        <v>4.897828379299261E-4</v>
      </c>
    </row>
    <row r="135" spans="1:30" s="155" customFormat="1" ht="19" x14ac:dyDescent="0.25">
      <c r="A135" s="156" t="s">
        <v>181</v>
      </c>
      <c r="B135" s="157">
        <f>IF(SUM(B43:B46)=0,1000*($A43+$A47)/2,1000*SUM(C43:C46)/SUM(B43:B46))</f>
        <v>191316.0970688317</v>
      </c>
      <c r="C135" s="956">
        <f t="shared" si="21"/>
        <v>765.26438827532684</v>
      </c>
      <c r="D135" s="157">
        <f>IF(SUM(D43:D46)=0,1000*($A43+$A47)/2,1000*SUM(E43:E46)/SUM(D43:D46))</f>
        <v>189269.82544746815</v>
      </c>
      <c r="E135" s="956">
        <f t="shared" si="22"/>
        <v>757.0793017898726</v>
      </c>
      <c r="F135" s="158">
        <f>SUM(F43:F46)</f>
        <v>3.6046105934191604E-3</v>
      </c>
      <c r="G135" s="158">
        <f>SUM(G43:G46)</f>
        <v>6.0339283082965706E-3</v>
      </c>
      <c r="H135" s="158">
        <f>SUM(H43:H46)</f>
        <v>2.1261216059795113E-2</v>
      </c>
      <c r="I135" s="158">
        <f>SUM(I43:I46)</f>
        <v>3.5209492159336005E-2</v>
      </c>
      <c r="J135" s="159">
        <f t="shared" si="27"/>
        <v>2.4865826653214275E-2</v>
      </c>
      <c r="K135" s="156" t="s">
        <v>181</v>
      </c>
      <c r="L135" s="157">
        <f>IF(SUM(L43:L46)=0,1000*($A43+$A47)/2,1000*SUM(M43:M46)/SUM(L43:L46))</f>
        <v>186705.61306581408</v>
      </c>
      <c r="M135" s="956">
        <f t="shared" si="23"/>
        <v>746.82245226325631</v>
      </c>
      <c r="N135" s="157">
        <f>IF(SUM(N43:N46)=0,1000*($A43+$A47)/2,1000*SUM(O43:O46)/SUM(N43:N46))</f>
        <v>189951.70582690198</v>
      </c>
      <c r="O135" s="956">
        <f t="shared" si="24"/>
        <v>759.80682330760794</v>
      </c>
      <c r="P135" s="158">
        <f>SUM(P43:P46)</f>
        <v>6.5522293759777608E-3</v>
      </c>
      <c r="Q135" s="158">
        <f>SUM(Q43:Q46)</f>
        <v>1.589064319454132E-2</v>
      </c>
      <c r="R135" s="158">
        <f>SUM(R43:R46)</f>
        <v>1.9993158802676368E-3</v>
      </c>
      <c r="S135" s="158">
        <f>SUM(S43:S46)</f>
        <v>4.9330966304706684E-3</v>
      </c>
      <c r="T135" s="159">
        <f t="shared" si="28"/>
        <v>8.5515452562453971E-3</v>
      </c>
      <c r="U135" s="156" t="s">
        <v>181</v>
      </c>
      <c r="V135" s="157">
        <f>IF(SUM(V43:V46)=0,1000*($A43+$A47)/2,1000*SUM(W43:W46)/SUM(V43:V46))</f>
        <v>200000.00000000003</v>
      </c>
      <c r="W135" s="956">
        <f t="shared" si="25"/>
        <v>800.00000000000011</v>
      </c>
      <c r="X135" s="157">
        <f>IF(SUM(X43:X46)=0,1000*($A43+$A47)/2,1000*SUM(Y43:Y46)/SUM(X43:X46))</f>
        <v>190000</v>
      </c>
      <c r="Y135" s="956">
        <f t="shared" si="26"/>
        <v>760</v>
      </c>
      <c r="Z135" s="158">
        <f>SUM(Z43:Z46)</f>
        <v>5.0573390409248292E-4</v>
      </c>
      <c r="AA135" s="158">
        <f>SUM(AA43:AA46)</f>
        <v>3.7103078033661591E-3</v>
      </c>
      <c r="AB135" s="158">
        <f>SUM(AB43:AB46)</f>
        <v>0</v>
      </c>
      <c r="AC135" s="158">
        <f>SUM(AC43:AC46)</f>
        <v>0</v>
      </c>
      <c r="AD135" s="159">
        <f t="shared" si="29"/>
        <v>5.0573390409248292E-4</v>
      </c>
    </row>
    <row r="136" spans="1:30" s="155" customFormat="1" ht="20" thickBot="1" x14ac:dyDescent="0.3">
      <c r="A136" s="160" t="s">
        <v>182</v>
      </c>
      <c r="B136" s="161">
        <f>IF(B47=0,200000,1000*C47/B47)</f>
        <v>242569.67756827583</v>
      </c>
      <c r="C136" s="957">
        <f t="shared" si="21"/>
        <v>970.27871027310334</v>
      </c>
      <c r="D136" s="161">
        <f>IF(D47=0,200000,1000*E47/D47)</f>
        <v>224042.00197938742</v>
      </c>
      <c r="E136" s="957">
        <f t="shared" si="22"/>
        <v>896.16800791754974</v>
      </c>
      <c r="F136" s="162">
        <f>SUM(F47:F48)</f>
        <v>7.5162351043371062E-3</v>
      </c>
      <c r="G136" s="162">
        <f>SUM(G47:G48)</f>
        <v>1.5952440951210019E-2</v>
      </c>
      <c r="H136" s="162">
        <f>SUM(H47:H48)</f>
        <v>2.5879387454831333E-2</v>
      </c>
      <c r="I136" s="162">
        <f>SUM(I47:I48)</f>
        <v>5.0731034221433824E-2</v>
      </c>
      <c r="J136" s="163">
        <f t="shared" si="27"/>
        <v>3.3395622559168441E-2</v>
      </c>
      <c r="K136" s="160" t="s">
        <v>182</v>
      </c>
      <c r="L136" s="161">
        <f>IF(L47=0,200000,1000*M47/L47)</f>
        <v>223982.06595211086</v>
      </c>
      <c r="M136" s="957">
        <f t="shared" si="23"/>
        <v>895.92826380844349</v>
      </c>
      <c r="N136" s="161">
        <f>IF(N47=0,200000,1000*O47/N47)</f>
        <v>220702.9179341534</v>
      </c>
      <c r="O136" s="957">
        <f t="shared" si="24"/>
        <v>882.81167173661356</v>
      </c>
      <c r="P136" s="162">
        <f>SUM(P47:P48)</f>
        <v>1.1207747736094297E-2</v>
      </c>
      <c r="Q136" s="162">
        <f>SUM(Q47:Q48)</f>
        <v>3.2608183213810787E-2</v>
      </c>
      <c r="R136" s="162">
        <f>SUM(R47:R48)</f>
        <v>5.2963907111801883E-3</v>
      </c>
      <c r="S136" s="162">
        <f>SUM(S47:S48)</f>
        <v>1.5183891764738403E-2</v>
      </c>
      <c r="T136" s="163">
        <f t="shared" si="28"/>
        <v>1.6504138447274486E-2</v>
      </c>
      <c r="U136" s="160" t="s">
        <v>182</v>
      </c>
      <c r="V136" s="161">
        <f>IF(V47=0,200000,1000*W47/V47)</f>
        <v>200000</v>
      </c>
      <c r="W136" s="957">
        <f t="shared" si="25"/>
        <v>800</v>
      </c>
      <c r="X136" s="161">
        <f>IF(X47=0,200000,1000*Y47/X47)</f>
        <v>225000</v>
      </c>
      <c r="Y136" s="957">
        <f t="shared" si="26"/>
        <v>900</v>
      </c>
      <c r="Z136" s="162">
        <f>SUM(Z47:Z48)</f>
        <v>0</v>
      </c>
      <c r="AA136" s="162">
        <f>SUM(AA47:AA48)</f>
        <v>0</v>
      </c>
      <c r="AB136" s="162">
        <f>SUM(AB47:AB48)</f>
        <v>1.1022999100839563E-4</v>
      </c>
      <c r="AC136" s="162">
        <f>SUM(AC47:AC48)</f>
        <v>9.0978791723388369E-4</v>
      </c>
      <c r="AD136" s="163">
        <f t="shared" si="29"/>
        <v>1.1022999100839563E-4</v>
      </c>
    </row>
    <row r="137" spans="1:30" s="115" customFormat="1" ht="17" thickTop="1" x14ac:dyDescent="0.2">
      <c r="A137" s="115" t="s">
        <v>39</v>
      </c>
      <c r="B137" s="164">
        <f>+SUM(B126:B136)</f>
        <v>1246481.4001436508</v>
      </c>
      <c r="C137" s="164"/>
      <c r="D137" s="164">
        <f>+SUM(D126:D136)</f>
        <v>1227940.8695415989</v>
      </c>
      <c r="E137" s="165"/>
      <c r="F137" s="166">
        <f>+SUM(F126:F136)</f>
        <v>0.23736332177062214</v>
      </c>
      <c r="G137" s="166">
        <f>+SUM(G126:G136)</f>
        <v>0.23038147668861178</v>
      </c>
      <c r="H137" s="166">
        <f>+SUM(H126:H136)</f>
        <v>0.76263667822937764</v>
      </c>
      <c r="I137" s="166">
        <f>+SUM(I126:I136)</f>
        <v>0.76961852331138836</v>
      </c>
      <c r="J137" s="167">
        <f>SUM(J126:J136)</f>
        <v>0.99999999999999967</v>
      </c>
      <c r="L137" s="164">
        <f>+SUM(L126:L136)</f>
        <v>1219264.2313470209</v>
      </c>
      <c r="M137" s="164"/>
      <c r="N137" s="164">
        <f>+SUM(N126:N136)</f>
        <v>1228231.7070816676</v>
      </c>
      <c r="O137" s="165"/>
      <c r="P137" s="166">
        <f>+SUM(P126:P136)</f>
        <v>0.58950573091186909</v>
      </c>
      <c r="Q137" s="166">
        <f>+SUM(Q126:Q136)</f>
        <v>0.61452169476443286</v>
      </c>
      <c r="R137" s="166">
        <f>+SUM(R126:R136)</f>
        <v>0.41049426908813114</v>
      </c>
      <c r="S137" s="166">
        <f>+SUM(S126:S136)</f>
        <v>0.38547830523556714</v>
      </c>
      <c r="T137" s="167">
        <f>SUM(T126:T136)</f>
        <v>1</v>
      </c>
      <c r="V137" s="164">
        <f>+SUM(V126:V136)</f>
        <v>1204304.4338331535</v>
      </c>
      <c r="W137" s="164"/>
      <c r="X137" s="164">
        <f>+SUM(X126:X136)</f>
        <v>1228509.9738957332</v>
      </c>
      <c r="Y137" s="165"/>
      <c r="Z137" s="166">
        <f>+SUM(Z126:Z136)</f>
        <v>0.3849270086949379</v>
      </c>
      <c r="AA137" s="166">
        <f>+SUM(AA126:AA136)</f>
        <v>0.39932829612730569</v>
      </c>
      <c r="AB137" s="166">
        <f>+SUM(AB126:AB136)</f>
        <v>0.61507299130506221</v>
      </c>
      <c r="AC137" s="166">
        <f>+SUM(AC126:AC136)</f>
        <v>0.6006717038726942</v>
      </c>
      <c r="AD137" s="168">
        <f>SUM(AD126:AD136)</f>
        <v>1</v>
      </c>
    </row>
    <row r="138" spans="1:30" ht="15" thickBot="1" x14ac:dyDescent="0.25">
      <c r="B138" s="169"/>
      <c r="F138" s="92"/>
      <c r="G138" s="92"/>
      <c r="H138" s="92"/>
      <c r="I138" s="92"/>
      <c r="L138" s="169"/>
      <c r="P138" s="92"/>
      <c r="Q138" s="92"/>
      <c r="R138" s="92"/>
      <c r="S138" s="92"/>
      <c r="V138" s="169"/>
      <c r="Z138" s="92"/>
      <c r="AA138" s="92"/>
      <c r="AB138" s="92"/>
      <c r="AC138" s="92"/>
    </row>
    <row r="139" spans="1:30" s="51" customFormat="1" ht="63" customHeight="1" thickBot="1" x14ac:dyDescent="0.35">
      <c r="J139" s="170" t="s">
        <v>40</v>
      </c>
      <c r="K139" s="1631"/>
      <c r="L139" s="1632"/>
      <c r="M139" s="1635" t="s">
        <v>41</v>
      </c>
      <c r="N139" s="1636"/>
      <c r="O139" s="1636"/>
      <c r="P139" s="1636"/>
      <c r="Q139" s="1636"/>
      <c r="R139" s="1636"/>
      <c r="S139" s="1636"/>
      <c r="T139" s="1637"/>
    </row>
    <row r="140" spans="1:30" s="171" customFormat="1" ht="54" customHeight="1" thickBot="1" x14ac:dyDescent="0.35">
      <c r="B140" s="1638" t="s">
        <v>42</v>
      </c>
      <c r="C140" s="1639"/>
      <c r="D140" s="173" t="s">
        <v>10</v>
      </c>
      <c r="E140" s="174" t="s">
        <v>43</v>
      </c>
      <c r="F140" s="174" t="s">
        <v>44</v>
      </c>
      <c r="G140" s="174" t="s">
        <v>45</v>
      </c>
      <c r="H140" s="175" t="s">
        <v>46</v>
      </c>
      <c r="I140" s="176"/>
      <c r="J140" s="51"/>
      <c r="K140" s="1633"/>
      <c r="L140" s="1634"/>
      <c r="M140" s="177" t="s">
        <v>47</v>
      </c>
      <c r="N140" s="178" t="s">
        <v>48</v>
      </c>
      <c r="O140" s="172" t="s">
        <v>47</v>
      </c>
      <c r="P140" s="178" t="s">
        <v>48</v>
      </c>
      <c r="Q140" s="172" t="s">
        <v>47</v>
      </c>
      <c r="R140" s="178" t="s">
        <v>48</v>
      </c>
      <c r="S140" s="172" t="s">
        <v>47</v>
      </c>
      <c r="T140" s="178" t="s">
        <v>48</v>
      </c>
      <c r="U140" s="179"/>
      <c r="V140" s="179"/>
      <c r="W140" s="179"/>
      <c r="X140" s="179"/>
      <c r="Y140" s="179"/>
      <c r="Z140" s="179"/>
      <c r="AA140" s="179"/>
      <c r="AB140" s="179"/>
      <c r="AC140" s="179"/>
      <c r="AD140" s="179"/>
    </row>
    <row r="141" spans="1:30" s="115" customFormat="1" ht="16" x14ac:dyDescent="0.2">
      <c r="B141" s="180"/>
      <c r="C141" s="181" t="s">
        <v>161</v>
      </c>
      <c r="D141" s="182">
        <f>+B49</f>
        <v>32726.047499999982</v>
      </c>
      <c r="E141" s="183">
        <f>+D141/$D$153</f>
        <v>0.11304551283324372</v>
      </c>
      <c r="F141" s="182">
        <f>+C49</f>
        <v>3630255.7699999958</v>
      </c>
      <c r="G141" s="184">
        <f>IF(F141=0,0,+F141/D141)</f>
        <v>110.92863475187457</v>
      </c>
      <c r="H141" s="185"/>
      <c r="I141" s="186"/>
      <c r="J141" s="48"/>
      <c r="K141" s="1640"/>
      <c r="L141" s="1641"/>
      <c r="M141" s="1642">
        <v>2007</v>
      </c>
      <c r="N141" s="1643"/>
      <c r="O141" s="1642">
        <v>2010</v>
      </c>
      <c r="P141" s="1643"/>
      <c r="Q141" s="1642">
        <v>2015</v>
      </c>
      <c r="R141" s="1643"/>
      <c r="S141" s="1642">
        <v>2020</v>
      </c>
      <c r="T141" s="1643"/>
    </row>
    <row r="142" spans="1:30" s="115" customFormat="1" ht="17" thickBot="1" x14ac:dyDescent="0.25">
      <c r="B142" s="410"/>
      <c r="C142" s="187" t="s">
        <v>162</v>
      </c>
      <c r="D142" s="188">
        <f>+D49</f>
        <v>105147.18099999987</v>
      </c>
      <c r="E142" s="189">
        <f>+D142/$D$153</f>
        <v>0.36320967263507431</v>
      </c>
      <c r="F142" s="188">
        <f>+E49</f>
        <v>12127329.527999995</v>
      </c>
      <c r="G142" s="190">
        <f>IF(F142=0,0,+F142/D142)</f>
        <v>115.33670624988045</v>
      </c>
      <c r="H142" s="191"/>
      <c r="I142" s="186"/>
      <c r="J142" s="48"/>
      <c r="K142" s="1646" t="s">
        <v>163</v>
      </c>
      <c r="L142" s="1647"/>
      <c r="M142" s="412" t="e">
        <f>$F$143/#REF!</f>
        <v>#REF!</v>
      </c>
      <c r="N142" s="413" t="e">
        <f>M142/M145</f>
        <v>#REF!</v>
      </c>
      <c r="O142" s="412" t="e">
        <f>$F143/#REF!</f>
        <v>#REF!</v>
      </c>
      <c r="P142" s="413" t="e">
        <f>O142/O145</f>
        <v>#REF!</v>
      </c>
      <c r="Q142" s="412" t="e">
        <f>$F143/#REF!</f>
        <v>#REF!</v>
      </c>
      <c r="R142" s="413" t="e">
        <f>Q142/Q145</f>
        <v>#REF!</v>
      </c>
      <c r="S142" s="412" t="e">
        <f>$F143/#REF!</f>
        <v>#REF!</v>
      </c>
      <c r="T142" s="413" t="e">
        <f>S142/S145</f>
        <v>#REF!</v>
      </c>
    </row>
    <row r="143" spans="1:30" s="115" customFormat="1" ht="18" thickTop="1" thickBot="1" x14ac:dyDescent="0.25">
      <c r="B143" s="1644" t="s">
        <v>163</v>
      </c>
      <c r="C143" s="1645"/>
      <c r="D143" s="192">
        <f>+D142+D141</f>
        <v>137873.22849999985</v>
      </c>
      <c r="E143" s="193">
        <f>+D143/$D$153</f>
        <v>0.47625518546831802</v>
      </c>
      <c r="F143" s="192">
        <f>+F141+F142</f>
        <v>15757585.297999991</v>
      </c>
      <c r="G143" s="194">
        <f>IF(F143=0,0,+F143/D143)</f>
        <v>114.29039175651137</v>
      </c>
      <c r="H143" s="195">
        <f>F143/F153</f>
        <v>0.66842924773992651</v>
      </c>
      <c r="I143" s="196"/>
      <c r="J143" s="48"/>
      <c r="K143" s="1646" t="s">
        <v>166</v>
      </c>
      <c r="L143" s="1647"/>
      <c r="M143" s="412" t="e">
        <f>$F$147/#REF!</f>
        <v>#REF!</v>
      </c>
      <c r="N143" s="413" t="e">
        <f>M143/M145</f>
        <v>#REF!</v>
      </c>
      <c r="O143" s="412" t="e">
        <f>$F147/#REF!</f>
        <v>#REF!</v>
      </c>
      <c r="P143" s="413" t="e">
        <f>O143/O145</f>
        <v>#REF!</v>
      </c>
      <c r="Q143" s="412" t="e">
        <f>$F147/#REF!</f>
        <v>#REF!</v>
      </c>
      <c r="R143" s="413" t="e">
        <f>Q143/Q145</f>
        <v>#REF!</v>
      </c>
      <c r="S143" s="412" t="e">
        <f>$F147/#REF!</f>
        <v>#REF!</v>
      </c>
      <c r="T143" s="413" t="e">
        <f>S143/S145</f>
        <v>#REF!</v>
      </c>
    </row>
    <row r="144" spans="1:30" s="115" customFormat="1" ht="17" thickBot="1" x14ac:dyDescent="0.25">
      <c r="B144" s="197"/>
      <c r="C144" s="198"/>
      <c r="D144" s="199"/>
      <c r="E144" s="200"/>
      <c r="F144" s="199"/>
      <c r="G144" s="201"/>
      <c r="H144" s="202"/>
      <c r="I144" s="196"/>
      <c r="J144" s="48"/>
      <c r="K144" s="1648" t="s">
        <v>169</v>
      </c>
      <c r="L144" s="1649"/>
      <c r="M144" s="203">
        <v>0</v>
      </c>
      <c r="N144" s="414">
        <v>0</v>
      </c>
      <c r="O144" s="203">
        <v>0</v>
      </c>
      <c r="P144" s="414">
        <v>0</v>
      </c>
      <c r="Q144" s="203">
        <v>0</v>
      </c>
      <c r="R144" s="414">
        <v>0</v>
      </c>
      <c r="S144" s="203">
        <v>0</v>
      </c>
      <c r="T144" s="414">
        <v>0</v>
      </c>
    </row>
    <row r="145" spans="2:30" s="115" customFormat="1" ht="17" thickBot="1" x14ac:dyDescent="0.25">
      <c r="B145" s="204"/>
      <c r="C145" s="411" t="s">
        <v>164</v>
      </c>
      <c r="D145" s="192">
        <f>+L49</f>
        <v>43665.595499999908</v>
      </c>
      <c r="E145" s="193">
        <f>+D145/$D$153</f>
        <v>0.15083396907208155</v>
      </c>
      <c r="F145" s="192">
        <f>+M49</f>
        <v>3504237.7709999941</v>
      </c>
      <c r="G145" s="194">
        <f>IF(F145=0,0,+F145/D145)</f>
        <v>80.251688563367964</v>
      </c>
      <c r="H145" s="205"/>
      <c r="I145" s="186"/>
      <c r="J145" s="48"/>
      <c r="K145" s="1650" t="s">
        <v>49</v>
      </c>
      <c r="L145" s="1651"/>
      <c r="M145" s="206" t="e">
        <f t="shared" ref="M145:T145" si="30">SUM(M142:M144)</f>
        <v>#REF!</v>
      </c>
      <c r="N145" s="207" t="e">
        <f t="shared" si="30"/>
        <v>#REF!</v>
      </c>
      <c r="O145" s="206" t="e">
        <f t="shared" si="30"/>
        <v>#REF!</v>
      </c>
      <c r="P145" s="207" t="e">
        <f t="shared" si="30"/>
        <v>#REF!</v>
      </c>
      <c r="Q145" s="206" t="e">
        <f t="shared" si="30"/>
        <v>#REF!</v>
      </c>
      <c r="R145" s="207" t="e">
        <f t="shared" si="30"/>
        <v>#REF!</v>
      </c>
      <c r="S145" s="206" t="e">
        <f t="shared" si="30"/>
        <v>#REF!</v>
      </c>
      <c r="T145" s="207" t="e">
        <f t="shared" si="30"/>
        <v>#REF!</v>
      </c>
    </row>
    <row r="146" spans="2:30" s="115" customFormat="1" ht="17" thickBot="1" x14ac:dyDescent="0.25">
      <c r="B146" s="410"/>
      <c r="C146" s="187" t="s">
        <v>165</v>
      </c>
      <c r="D146" s="188">
        <f>+N49</f>
        <v>30405.941399999985</v>
      </c>
      <c r="E146" s="189">
        <f>+D146/$D$153</f>
        <v>0.10503117551059463</v>
      </c>
      <c r="F146" s="188">
        <f>+O49</f>
        <v>2198144.7499999986</v>
      </c>
      <c r="G146" s="190">
        <f>IF(F146=0,0,+F146/D146)</f>
        <v>72.293264039507747</v>
      </c>
      <c r="H146" s="191"/>
      <c r="I146" s="186"/>
      <c r="J146" s="48"/>
      <c r="K146" s="1653"/>
      <c r="L146" s="1654"/>
      <c r="M146" s="1642">
        <v>2025</v>
      </c>
      <c r="N146" s="1652"/>
      <c r="O146" s="1642">
        <v>2030</v>
      </c>
      <c r="P146" s="1643"/>
      <c r="Q146" s="1642">
        <v>2035</v>
      </c>
      <c r="R146" s="1643"/>
      <c r="S146" s="1642">
        <v>2040</v>
      </c>
      <c r="T146" s="1643"/>
    </row>
    <row r="147" spans="2:30" s="115" customFormat="1" ht="18" thickTop="1" thickBot="1" x14ac:dyDescent="0.25">
      <c r="B147" s="1644" t="s">
        <v>166</v>
      </c>
      <c r="C147" s="1645"/>
      <c r="D147" s="192">
        <f>+D146+D145</f>
        <v>74071.53689999989</v>
      </c>
      <c r="E147" s="193">
        <f>+D147/$D$153</f>
        <v>0.25586514458267617</v>
      </c>
      <c r="F147" s="192">
        <f>+F146+F145</f>
        <v>5702382.5209999923</v>
      </c>
      <c r="G147" s="194">
        <f>IF(F147=0,0,+F147/D147)</f>
        <v>76.984800905352898</v>
      </c>
      <c r="H147" s="195">
        <f>F147/F153</f>
        <v>0.24189234497249509</v>
      </c>
      <c r="I147" s="196"/>
      <c r="J147" s="48"/>
      <c r="K147" s="1646" t="s">
        <v>163</v>
      </c>
      <c r="L147" s="1647"/>
      <c r="M147" s="412" t="e">
        <f>$F$143/#REF!</f>
        <v>#REF!</v>
      </c>
      <c r="N147" s="413" t="e">
        <f>M147/M150</f>
        <v>#REF!</v>
      </c>
      <c r="O147" s="412" t="e">
        <f>$F$143/#REF!</f>
        <v>#REF!</v>
      </c>
      <c r="P147" s="413" t="e">
        <f>O147/O150</f>
        <v>#REF!</v>
      </c>
      <c r="Q147" s="412" t="e">
        <f>$F$143/#REF!</f>
        <v>#REF!</v>
      </c>
      <c r="R147" s="413" t="e">
        <f>Q147/Q150</f>
        <v>#REF!</v>
      </c>
      <c r="S147" s="412" t="e">
        <f>$F$143/#REF!</f>
        <v>#REF!</v>
      </c>
      <c r="T147" s="413" t="e">
        <f>S147/S150</f>
        <v>#REF!</v>
      </c>
      <c r="U147" s="48"/>
      <c r="V147" s="48"/>
      <c r="W147" s="48"/>
      <c r="X147" s="48"/>
      <c r="Y147" s="48"/>
      <c r="Z147" s="48"/>
      <c r="AA147" s="48"/>
      <c r="AB147" s="48"/>
      <c r="AC147" s="48"/>
      <c r="AD147" s="48"/>
    </row>
    <row r="148" spans="2:30" s="115" customFormat="1" ht="17" thickBot="1" x14ac:dyDescent="0.25">
      <c r="B148" s="197"/>
      <c r="C148" s="198"/>
      <c r="D148" s="199"/>
      <c r="E148" s="200"/>
      <c r="F148" s="199"/>
      <c r="G148" s="201"/>
      <c r="H148" s="202"/>
      <c r="I148" s="196"/>
      <c r="J148" s="48"/>
      <c r="K148" s="1646" t="s">
        <v>166</v>
      </c>
      <c r="L148" s="1647"/>
      <c r="M148" s="412" t="e">
        <f>$F$147/#REF!</f>
        <v>#REF!</v>
      </c>
      <c r="N148" s="413" t="e">
        <f>M148/M150</f>
        <v>#REF!</v>
      </c>
      <c r="O148" s="412" t="e">
        <f>$F$147/#REF!</f>
        <v>#REF!</v>
      </c>
      <c r="P148" s="413" t="e">
        <f>O148/O150</f>
        <v>#REF!</v>
      </c>
      <c r="Q148" s="412" t="e">
        <f>$F$147/#REF!</f>
        <v>#REF!</v>
      </c>
      <c r="R148" s="413" t="e">
        <f>Q148/Q150</f>
        <v>#REF!</v>
      </c>
      <c r="S148" s="412" t="e">
        <f>$F$147/#REF!</f>
        <v>#REF!</v>
      </c>
      <c r="T148" s="413" t="e">
        <f>S148/S150</f>
        <v>#REF!</v>
      </c>
      <c r="U148" s="48"/>
      <c r="V148" s="48"/>
      <c r="W148" s="48"/>
      <c r="X148" s="48"/>
      <c r="Y148" s="48"/>
      <c r="Z148" s="48"/>
      <c r="AA148" s="48"/>
      <c r="AB148" s="48"/>
      <c r="AC148" s="48"/>
      <c r="AD148" s="48"/>
    </row>
    <row r="149" spans="2:30" s="115" customFormat="1" ht="17" thickBot="1" x14ac:dyDescent="0.25">
      <c r="B149" s="204"/>
      <c r="C149" s="411" t="s">
        <v>167</v>
      </c>
      <c r="D149" s="192">
        <f>+V49</f>
        <v>29850.964499999998</v>
      </c>
      <c r="E149" s="193">
        <f>+D149/$D$153</f>
        <v>0.10311412004365801</v>
      </c>
      <c r="F149" s="192">
        <f>+W49</f>
        <v>844213.30735720019</v>
      </c>
      <c r="G149" s="194">
        <f>IF(F149=0,0,+F149/D149)</f>
        <v>28.280939041591111</v>
      </c>
      <c r="H149" s="205"/>
      <c r="I149" s="186"/>
      <c r="J149" s="48"/>
      <c r="K149" s="1648" t="s">
        <v>169</v>
      </c>
      <c r="L149" s="1649"/>
      <c r="M149" s="203">
        <v>0</v>
      </c>
      <c r="N149" s="414">
        <v>0</v>
      </c>
      <c r="O149" s="203">
        <v>0</v>
      </c>
      <c r="P149" s="414">
        <v>0</v>
      </c>
      <c r="Q149" s="203">
        <v>0</v>
      </c>
      <c r="R149" s="414">
        <v>0</v>
      </c>
      <c r="S149" s="203">
        <v>0</v>
      </c>
      <c r="T149" s="414">
        <v>0</v>
      </c>
      <c r="U149" s="48"/>
      <c r="V149" s="48"/>
      <c r="W149" s="48"/>
      <c r="X149" s="48"/>
      <c r="Y149" s="48"/>
      <c r="Z149" s="48"/>
      <c r="AA149" s="48"/>
      <c r="AB149" s="48"/>
      <c r="AC149" s="48"/>
      <c r="AD149" s="48"/>
    </row>
    <row r="150" spans="2:30" s="115" customFormat="1" ht="18" thickTop="1" thickBot="1" x14ac:dyDescent="0.25">
      <c r="B150" s="410"/>
      <c r="C150" s="187" t="s">
        <v>168</v>
      </c>
      <c r="D150" s="188">
        <f>+X49</f>
        <v>47698.710699999989</v>
      </c>
      <c r="E150" s="189">
        <f>+D150/$D$153</f>
        <v>0.16476554990534775</v>
      </c>
      <c r="F150" s="208">
        <f>+Y49</f>
        <v>1269870.0559916999</v>
      </c>
      <c r="G150" s="190">
        <f>IF(F150=0,0,+F150/D150)</f>
        <v>26.622733347626944</v>
      </c>
      <c r="H150" s="191"/>
      <c r="I150" s="186"/>
      <c r="J150" s="48"/>
      <c r="K150" s="1650" t="s">
        <v>49</v>
      </c>
      <c r="L150" s="1651"/>
      <c r="M150" s="206" t="e">
        <f>SUM(M147:M149)</f>
        <v>#REF!</v>
      </c>
      <c r="N150" s="207" t="e">
        <f>SUM(N147:N149)</f>
        <v>#REF!</v>
      </c>
      <c r="O150" s="206" t="e">
        <f>SUM(O147:O149)</f>
        <v>#REF!</v>
      </c>
      <c r="P150" s="207" t="e">
        <f>O150/O$150</f>
        <v>#REF!</v>
      </c>
      <c r="Q150" s="206" t="e">
        <f>SUM(Q147:Q149)</f>
        <v>#REF!</v>
      </c>
      <c r="R150" s="207" t="e">
        <f>Q150/Q$150</f>
        <v>#REF!</v>
      </c>
      <c r="S150" s="206" t="e">
        <f>SUM(S147:S149)</f>
        <v>#REF!</v>
      </c>
      <c r="T150" s="207" t="e">
        <f>S150/S$150</f>
        <v>#REF!</v>
      </c>
      <c r="U150" s="48"/>
      <c r="V150" s="48"/>
      <c r="W150" s="48"/>
      <c r="X150" s="48"/>
      <c r="Y150" s="48"/>
      <c r="Z150" s="48"/>
      <c r="AA150" s="48"/>
      <c r="AB150" s="48"/>
      <c r="AC150" s="48"/>
      <c r="AD150" s="48"/>
    </row>
    <row r="151" spans="2:30" s="115" customFormat="1" ht="18" thickTop="1" thickBot="1" x14ac:dyDescent="0.25">
      <c r="B151" s="1644" t="s">
        <v>169</v>
      </c>
      <c r="C151" s="1645"/>
      <c r="D151" s="192">
        <f>+D150+D149</f>
        <v>77549.675199999983</v>
      </c>
      <c r="E151" s="193">
        <f>+D151/$D$153</f>
        <v>0.26787966994900575</v>
      </c>
      <c r="F151" s="192">
        <f>+F149+F150</f>
        <v>2114083.3633489003</v>
      </c>
      <c r="G151" s="194">
        <f>IF(F151=0,0,+F151/D151)</f>
        <v>27.261021505205488</v>
      </c>
      <c r="H151" s="195">
        <f>F151/F153</f>
        <v>8.967840728757831E-2</v>
      </c>
      <c r="I151" s="196"/>
      <c r="J151" s="48"/>
      <c r="K151" s="1653"/>
      <c r="L151" s="1654"/>
      <c r="M151" s="1642">
        <v>2045</v>
      </c>
      <c r="N151" s="1652"/>
      <c r="O151" s="1642">
        <v>2050</v>
      </c>
      <c r="P151" s="1652"/>
      <c r="Q151" s="48"/>
      <c r="R151" s="48"/>
      <c r="S151" s="48"/>
      <c r="T151" s="48"/>
      <c r="U151" s="48"/>
      <c r="V151" s="48"/>
      <c r="W151" s="48"/>
      <c r="X151" s="48"/>
      <c r="Y151" s="48"/>
      <c r="Z151" s="48"/>
      <c r="AA151" s="48"/>
      <c r="AB151" s="48"/>
      <c r="AC151" s="48"/>
      <c r="AD151" s="48"/>
    </row>
    <row r="152" spans="2:30" s="115" customFormat="1" ht="17" thickBot="1" x14ac:dyDescent="0.25">
      <c r="B152" s="197"/>
      <c r="C152" s="198"/>
      <c r="D152" s="199"/>
      <c r="E152" s="200"/>
      <c r="F152" s="199"/>
      <c r="G152" s="201"/>
      <c r="H152" s="202"/>
      <c r="I152" s="196"/>
      <c r="J152" s="48"/>
      <c r="K152" s="1646" t="s">
        <v>163</v>
      </c>
      <c r="L152" s="1647"/>
      <c r="M152" s="412" t="e">
        <f>$F$143/#REF!</f>
        <v>#REF!</v>
      </c>
      <c r="N152" s="413" t="e">
        <f>M152/M155</f>
        <v>#REF!</v>
      </c>
      <c r="O152" s="412" t="e">
        <f>$F$143/#REF!</f>
        <v>#REF!</v>
      </c>
      <c r="P152" s="413" t="e">
        <f>O152/O155</f>
        <v>#REF!</v>
      </c>
      <c r="Q152" s="48"/>
      <c r="R152" s="48"/>
      <c r="S152" s="48"/>
      <c r="T152" s="48"/>
      <c r="U152" s="48"/>
      <c r="V152" s="48"/>
      <c r="W152" s="48"/>
      <c r="X152" s="48"/>
      <c r="Y152" s="48"/>
      <c r="Z152" s="48"/>
      <c r="AA152" s="48"/>
      <c r="AB152" s="48"/>
      <c r="AC152" s="48"/>
      <c r="AD152" s="48"/>
    </row>
    <row r="153" spans="2:30" s="214" customFormat="1" ht="17" thickBot="1" x14ac:dyDescent="0.25">
      <c r="B153" s="1655" t="s">
        <v>49</v>
      </c>
      <c r="C153" s="1656"/>
      <c r="D153" s="209">
        <f>D143+D147+D151</f>
        <v>289494.44059999974</v>
      </c>
      <c r="E153" s="210">
        <f>+D153/$D$153</f>
        <v>1</v>
      </c>
      <c r="F153" s="209">
        <f>F143+F147+F151</f>
        <v>23574051.182348885</v>
      </c>
      <c r="G153" s="211">
        <f>IF(F153=0,0,+F153/D153)</f>
        <v>81.431792380847909</v>
      </c>
      <c r="H153" s="212">
        <f>SUM(H143:H152)</f>
        <v>1</v>
      </c>
      <c r="I153" s="213"/>
      <c r="J153" s="48"/>
      <c r="K153" s="1646" t="s">
        <v>166</v>
      </c>
      <c r="L153" s="1647"/>
      <c r="M153" s="412" t="e">
        <f>$F$147/#REF!</f>
        <v>#REF!</v>
      </c>
      <c r="N153" s="413" t="e">
        <f>M153/M155</f>
        <v>#REF!</v>
      </c>
      <c r="O153" s="412" t="e">
        <f>$F$147/#REF!</f>
        <v>#REF!</v>
      </c>
      <c r="P153" s="413" t="e">
        <f>O153/O155</f>
        <v>#REF!</v>
      </c>
      <c r="Q153" s="48"/>
      <c r="R153" s="48"/>
      <c r="S153" s="48"/>
      <c r="T153" s="48"/>
      <c r="U153" s="48"/>
      <c r="V153" s="48"/>
      <c r="W153" s="48"/>
      <c r="X153" s="48"/>
      <c r="Y153" s="48"/>
      <c r="Z153" s="48"/>
      <c r="AA153" s="48"/>
      <c r="AB153" s="48"/>
      <c r="AC153" s="48"/>
      <c r="AD153" s="48"/>
    </row>
    <row r="154" spans="2:30" s="115" customFormat="1" ht="17" thickBot="1" x14ac:dyDescent="0.25">
      <c r="G154" s="215"/>
      <c r="J154" s="48"/>
      <c r="K154" s="1648" t="s">
        <v>169</v>
      </c>
      <c r="L154" s="1649"/>
      <c r="M154" s="203">
        <v>0</v>
      </c>
      <c r="N154" s="414">
        <v>0</v>
      </c>
      <c r="O154" s="203"/>
      <c r="P154" s="414">
        <v>0</v>
      </c>
      <c r="Q154" s="48"/>
      <c r="R154" s="48"/>
      <c r="S154" s="48"/>
      <c r="T154" s="48"/>
      <c r="U154" s="48"/>
      <c r="V154" s="48"/>
      <c r="W154" s="48"/>
      <c r="X154" s="48"/>
      <c r="Y154" s="48"/>
      <c r="Z154" s="48"/>
      <c r="AA154" s="48"/>
      <c r="AB154" s="48"/>
      <c r="AC154" s="48"/>
      <c r="AD154" s="48"/>
    </row>
    <row r="155" spans="2:30" ht="18" thickTop="1" thickBot="1" x14ac:dyDescent="0.25">
      <c r="K155" s="1650" t="s">
        <v>49</v>
      </c>
      <c r="L155" s="1651"/>
      <c r="M155" s="206" t="e">
        <f>SUM(M152:M154)</f>
        <v>#REF!</v>
      </c>
      <c r="N155" s="207" t="e">
        <f>M155/M$155</f>
        <v>#REF!</v>
      </c>
      <c r="O155" s="206" t="e">
        <f>SUM(O152:O154)</f>
        <v>#REF!</v>
      </c>
      <c r="P155" s="207" t="e">
        <f>O155/O$155</f>
        <v>#REF!</v>
      </c>
    </row>
  </sheetData>
  <mergeCells count="38">
    <mergeCell ref="K154:L154"/>
    <mergeCell ref="K155:L155"/>
    <mergeCell ref="M151:N151"/>
    <mergeCell ref="O151:P151"/>
    <mergeCell ref="K152:L152"/>
    <mergeCell ref="B153:C153"/>
    <mergeCell ref="K153:L153"/>
    <mergeCell ref="K148:L148"/>
    <mergeCell ref="K149:L149"/>
    <mergeCell ref="K150:L150"/>
    <mergeCell ref="B151:C151"/>
    <mergeCell ref="K151:L151"/>
    <mergeCell ref="S146:T146"/>
    <mergeCell ref="B147:C147"/>
    <mergeCell ref="K147:L147"/>
    <mergeCell ref="K142:L142"/>
    <mergeCell ref="B143:C143"/>
    <mergeCell ref="K143:L143"/>
    <mergeCell ref="K144:L144"/>
    <mergeCell ref="K145:L145"/>
    <mergeCell ref="M146:N146"/>
    <mergeCell ref="K146:L146"/>
    <mergeCell ref="Q146:R146"/>
    <mergeCell ref="O146:P146"/>
    <mergeCell ref="K139:L140"/>
    <mergeCell ref="M139:T139"/>
    <mergeCell ref="B140:C140"/>
    <mergeCell ref="K141:L141"/>
    <mergeCell ref="M141:N141"/>
    <mergeCell ref="O141:P141"/>
    <mergeCell ref="Q141:R141"/>
    <mergeCell ref="S141:T141"/>
    <mergeCell ref="V5:Y5"/>
    <mergeCell ref="Z5:AB5"/>
    <mergeCell ref="B5:E5"/>
    <mergeCell ref="L5:O5"/>
    <mergeCell ref="F5:I5"/>
    <mergeCell ref="P5:S5"/>
  </mergeCells>
  <phoneticPr fontId="0" type="noConversion"/>
  <printOptions horizontalCentered="1" verticalCentered="1"/>
  <pageMargins left="0.75" right="0.75" top="1" bottom="1" header="0.5" footer="0.5"/>
  <pageSetup scale="58" fitToWidth="5" fitToHeight="3" pageOrder="overThenDown" orientation="portrait" horizontalDpi="4294967293" verticalDpi="300" r:id="rId1"/>
  <headerFooter alignWithMargins="0">
    <oddFooter>&amp;L_________________________
Laboratory Analytic Team - TAE&amp;R_________________________
&amp;F, &amp;A</oddFooter>
  </headerFooter>
  <rowBreaks count="3" manualBreakCount="3">
    <brk id="52" max="29" man="1"/>
    <brk id="120" max="29" man="1"/>
    <brk id="137" max="29" man="1"/>
  </rowBreaks>
  <colBreaks count="2" manualBreakCount="2">
    <brk id="10" max="155" man="1"/>
    <brk id="20" max="155" man="1"/>
  </colBreak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AdoptDec"/>
  <dimension ref="A1:L97"/>
  <sheetViews>
    <sheetView workbookViewId="0">
      <selection activeCell="E4" sqref="E4"/>
    </sheetView>
  </sheetViews>
  <sheetFormatPr baseColWidth="10" defaultColWidth="9.1640625" defaultRowHeight="15" x14ac:dyDescent="0.2"/>
  <cols>
    <col min="1" max="2" width="9.1640625" style="13"/>
    <col min="3" max="3" width="12.5" style="13" bestFit="1" customWidth="1"/>
    <col min="4" max="4" width="9.33203125" style="13" bestFit="1" customWidth="1"/>
    <col min="5" max="6" width="9.1640625" style="13"/>
    <col min="7" max="7" width="0" style="13" hidden="1" customWidth="1"/>
    <col min="8" max="16384" width="9.1640625" style="13"/>
  </cols>
  <sheetData>
    <row r="1" spans="1:12" x14ac:dyDescent="0.2">
      <c r="A1" s="13" t="s">
        <v>55</v>
      </c>
      <c r="G1" s="14"/>
    </row>
    <row r="2" spans="1:12" ht="32" x14ac:dyDescent="0.2">
      <c r="A2" s="15" t="s">
        <v>56</v>
      </c>
      <c r="B2" s="15" t="s">
        <v>57</v>
      </c>
      <c r="C2" s="15" t="s">
        <v>58</v>
      </c>
    </row>
    <row r="3" spans="1:12" x14ac:dyDescent="0.2">
      <c r="A3" s="13">
        <v>1</v>
      </c>
      <c r="B3" s="16">
        <v>0.16400000000000001</v>
      </c>
      <c r="C3" s="17">
        <f>C4+B3</f>
        <v>1</v>
      </c>
    </row>
    <row r="4" spans="1:12" x14ac:dyDescent="0.2">
      <c r="A4" s="13">
        <v>2</v>
      </c>
      <c r="B4" s="16">
        <v>0.61699999999999999</v>
      </c>
      <c r="C4" s="17">
        <f>C5+B4</f>
        <v>0.83599999999999997</v>
      </c>
    </row>
    <row r="5" spans="1:12" x14ac:dyDescent="0.2">
      <c r="A5" s="13">
        <v>3</v>
      </c>
      <c r="B5" s="16">
        <v>0.155</v>
      </c>
      <c r="C5" s="17">
        <f>C6+B5</f>
        <v>0.219</v>
      </c>
    </row>
    <row r="6" spans="1:12" x14ac:dyDescent="0.2">
      <c r="A6" s="13">
        <v>4</v>
      </c>
      <c r="B6" s="16">
        <v>6.4000000000000001E-2</v>
      </c>
      <c r="C6" s="17">
        <f>B6</f>
        <v>6.4000000000000001E-2</v>
      </c>
    </row>
    <row r="7" spans="1:12" x14ac:dyDescent="0.2">
      <c r="B7" s="16"/>
      <c r="C7" s="17"/>
    </row>
    <row r="8" spans="1:12" x14ac:dyDescent="0.2">
      <c r="B8" s="18"/>
      <c r="D8" s="389">
        <v>12</v>
      </c>
      <c r="E8" s="13">
        <v>6</v>
      </c>
      <c r="F8" s="13">
        <v>0</v>
      </c>
      <c r="G8" s="13">
        <v>3</v>
      </c>
      <c r="H8" s="13" t="s">
        <v>59</v>
      </c>
      <c r="J8" s="19">
        <v>12</v>
      </c>
      <c r="K8" s="13">
        <v>6</v>
      </c>
      <c r="L8" s="13">
        <v>0</v>
      </c>
    </row>
    <row r="9" spans="1:12" x14ac:dyDescent="0.2">
      <c r="B9" s="18"/>
      <c r="D9" s="18">
        <v>2.5</v>
      </c>
      <c r="E9" s="20">
        <v>1.8</v>
      </c>
      <c r="F9" s="20">
        <v>1.8</v>
      </c>
      <c r="G9" s="20">
        <v>1.8</v>
      </c>
      <c r="H9" s="13" t="s">
        <v>60</v>
      </c>
      <c r="J9" s="20">
        <v>2.5</v>
      </c>
      <c r="K9" s="20">
        <v>1.8</v>
      </c>
      <c r="L9" s="20">
        <v>1.8</v>
      </c>
    </row>
    <row r="10" spans="1:12" x14ac:dyDescent="0.2">
      <c r="B10" s="18"/>
      <c r="C10" s="13" t="s">
        <v>61</v>
      </c>
      <c r="D10" s="18">
        <v>2</v>
      </c>
      <c r="E10" s="20">
        <v>2</v>
      </c>
      <c r="F10" s="20">
        <v>1.6</v>
      </c>
      <c r="G10" s="20">
        <v>1.5</v>
      </c>
      <c r="H10" s="13" t="s">
        <v>62</v>
      </c>
      <c r="J10" s="20">
        <v>2</v>
      </c>
      <c r="K10" s="20">
        <v>2</v>
      </c>
      <c r="L10" s="20">
        <v>1.6</v>
      </c>
    </row>
    <row r="11" spans="1:12" x14ac:dyDescent="0.2">
      <c r="B11" s="18" t="s">
        <v>63</v>
      </c>
      <c r="C11" s="391" t="s">
        <v>364</v>
      </c>
      <c r="D11" s="392" t="s">
        <v>110</v>
      </c>
      <c r="E11" s="393" t="s">
        <v>111</v>
      </c>
      <c r="F11" s="393" t="s">
        <v>116</v>
      </c>
      <c r="G11" s="13" t="s">
        <v>64</v>
      </c>
    </row>
    <row r="12" spans="1:12" x14ac:dyDescent="0.2">
      <c r="B12" s="18">
        <v>0</v>
      </c>
      <c r="C12" s="391"/>
      <c r="D12" s="394">
        <f t="shared" ref="D12:G31" si="0">IF($B12&lt;D$8,1,1-WEIBULL(($B12/12)-D$8/12,D$9,D$10,1))</f>
        <v>1</v>
      </c>
      <c r="E12" s="395">
        <f t="shared" si="0"/>
        <v>1</v>
      </c>
      <c r="F12" s="395">
        <f t="shared" si="0"/>
        <v>1</v>
      </c>
      <c r="G12" s="21">
        <f t="shared" si="0"/>
        <v>1</v>
      </c>
    </row>
    <row r="13" spans="1:12" x14ac:dyDescent="0.2">
      <c r="B13" s="18">
        <v>1</v>
      </c>
      <c r="C13" s="391"/>
      <c r="D13" s="394">
        <f t="shared" si="0"/>
        <v>1</v>
      </c>
      <c r="E13" s="395">
        <f t="shared" si="0"/>
        <v>1</v>
      </c>
      <c r="F13" s="395">
        <f t="shared" si="0"/>
        <v>0.99511353784223089</v>
      </c>
      <c r="G13" s="21">
        <f t="shared" si="0"/>
        <v>1</v>
      </c>
    </row>
    <row r="14" spans="1:12" x14ac:dyDescent="0.2">
      <c r="B14" s="18">
        <v>2</v>
      </c>
      <c r="C14" s="391"/>
      <c r="D14" s="394">
        <f t="shared" si="0"/>
        <v>1</v>
      </c>
      <c r="E14" s="395">
        <f t="shared" si="0"/>
        <v>1</v>
      </c>
      <c r="F14" s="395">
        <f t="shared" si="0"/>
        <v>0.98308729447888632</v>
      </c>
      <c r="G14" s="21">
        <f t="shared" si="0"/>
        <v>1</v>
      </c>
    </row>
    <row r="15" spans="1:12" x14ac:dyDescent="0.2">
      <c r="B15" s="18">
        <v>3</v>
      </c>
      <c r="C15" s="391"/>
      <c r="D15" s="394">
        <f t="shared" si="0"/>
        <v>1</v>
      </c>
      <c r="E15" s="395">
        <f t="shared" si="0"/>
        <v>1</v>
      </c>
      <c r="F15" s="395">
        <f t="shared" si="0"/>
        <v>0.96522925875930121</v>
      </c>
      <c r="G15" s="21">
        <f t="shared" si="0"/>
        <v>1</v>
      </c>
    </row>
    <row r="16" spans="1:12" x14ac:dyDescent="0.2">
      <c r="B16" s="18">
        <v>4</v>
      </c>
      <c r="C16" s="391"/>
      <c r="D16" s="394">
        <f t="shared" si="0"/>
        <v>1</v>
      </c>
      <c r="E16" s="395">
        <f t="shared" si="0"/>
        <v>1</v>
      </c>
      <c r="F16" s="395">
        <f t="shared" si="0"/>
        <v>0.94233242615650892</v>
      </c>
      <c r="G16" s="21">
        <f t="shared" si="0"/>
        <v>0.99451324807130903</v>
      </c>
    </row>
    <row r="17" spans="2:7" x14ac:dyDescent="0.2">
      <c r="B17" s="18">
        <v>5</v>
      </c>
      <c r="C17" s="391"/>
      <c r="D17" s="394">
        <f t="shared" si="0"/>
        <v>1</v>
      </c>
      <c r="E17" s="395">
        <f t="shared" si="0"/>
        <v>1</v>
      </c>
      <c r="F17" s="395">
        <f t="shared" si="0"/>
        <v>0.91506768709608055</v>
      </c>
      <c r="G17" s="21">
        <f t="shared" si="0"/>
        <v>0.98102377196290125</v>
      </c>
    </row>
    <row r="18" spans="2:7" x14ac:dyDescent="0.2">
      <c r="B18" s="18">
        <v>6</v>
      </c>
      <c r="C18" s="391"/>
      <c r="D18" s="394">
        <f t="shared" si="0"/>
        <v>1</v>
      </c>
      <c r="E18" s="394">
        <f t="shared" si="0"/>
        <v>1</v>
      </c>
      <c r="F18" s="395">
        <f t="shared" si="0"/>
        <v>0.88405689607151994</v>
      </c>
      <c r="G18" s="21">
        <f t="shared" si="0"/>
        <v>0.9610304919278353</v>
      </c>
    </row>
    <row r="19" spans="2:7" x14ac:dyDescent="0.2">
      <c r="B19" s="18">
        <v>7</v>
      </c>
      <c r="C19" s="391"/>
      <c r="D19" s="394">
        <f t="shared" si="0"/>
        <v>1</v>
      </c>
      <c r="E19" s="395">
        <f t="shared" si="0"/>
        <v>0.99672728540702971</v>
      </c>
      <c r="F19" s="395">
        <f t="shared" si="0"/>
        <v>0.849894901833256</v>
      </c>
      <c r="G19" s="21">
        <f t="shared" si="0"/>
        <v>0.93546263434260146</v>
      </c>
    </row>
    <row r="20" spans="2:7" x14ac:dyDescent="0.2">
      <c r="B20" s="18">
        <v>8</v>
      </c>
      <c r="C20" s="391"/>
      <c r="D20" s="394">
        <f t="shared" si="0"/>
        <v>1</v>
      </c>
      <c r="E20" s="395">
        <f t="shared" si="0"/>
        <v>0.98864996001381644</v>
      </c>
      <c r="F20" s="395">
        <f t="shared" si="0"/>
        <v>0.8131554612767673</v>
      </c>
      <c r="G20" s="21">
        <f t="shared" si="0"/>
        <v>0.90511715028610329</v>
      </c>
    </row>
    <row r="21" spans="2:7" x14ac:dyDescent="0.2">
      <c r="B21" s="18">
        <v>9</v>
      </c>
      <c r="C21" s="391"/>
      <c r="D21" s="394">
        <f t="shared" si="0"/>
        <v>1</v>
      </c>
      <c r="E21" s="395">
        <f t="shared" si="0"/>
        <v>0.97659517170432097</v>
      </c>
      <c r="F21" s="395">
        <f t="shared" si="0"/>
        <v>0.77439085187439527</v>
      </c>
      <c r="G21" s="21">
        <f t="shared" si="0"/>
        <v>0.87073765362737432</v>
      </c>
    </row>
    <row r="22" spans="2:7" x14ac:dyDescent="0.2">
      <c r="B22" s="18">
        <v>10</v>
      </c>
      <c r="C22" s="391"/>
      <c r="D22" s="394">
        <f t="shared" si="0"/>
        <v>1</v>
      </c>
      <c r="E22" s="395">
        <f t="shared" si="0"/>
        <v>0.9610304919278353</v>
      </c>
      <c r="F22" s="395">
        <f t="shared" si="0"/>
        <v>0.73412889005897974</v>
      </c>
      <c r="G22" s="21">
        <f t="shared" si="0"/>
        <v>0.83303645025329565</v>
      </c>
    </row>
    <row r="23" spans="2:7" x14ac:dyDescent="0.2">
      <c r="B23" s="18">
        <v>11</v>
      </c>
      <c r="C23" s="391"/>
      <c r="D23" s="394">
        <f t="shared" si="0"/>
        <v>1</v>
      </c>
      <c r="E23" s="395">
        <f t="shared" si="0"/>
        <v>0.94233242615650892</v>
      </c>
      <c r="F23" s="395">
        <f t="shared" si="0"/>
        <v>0.6928690310460901</v>
      </c>
      <c r="G23" s="21">
        <f t="shared" si="0"/>
        <v>0.79269883747074243</v>
      </c>
    </row>
    <row r="24" spans="2:7" x14ac:dyDescent="0.2">
      <c r="B24" s="18">
        <v>12</v>
      </c>
      <c r="C24" s="396">
        <f>C3</f>
        <v>1</v>
      </c>
      <c r="D24" s="394">
        <f t="shared" si="0"/>
        <v>1</v>
      </c>
      <c r="E24" s="395">
        <f t="shared" si="0"/>
        <v>0.92083975837910714</v>
      </c>
      <c r="F24" s="395">
        <f t="shared" si="0"/>
        <v>0.65107840109915838</v>
      </c>
      <c r="G24" s="21">
        <f t="shared" si="0"/>
        <v>0.7503807093706214</v>
      </c>
    </row>
    <row r="25" spans="2:7" x14ac:dyDescent="0.2">
      <c r="B25" s="18">
        <v>13</v>
      </c>
      <c r="C25" s="391"/>
      <c r="D25" s="394">
        <f t="shared" si="0"/>
        <v>0.99964568058937042</v>
      </c>
      <c r="E25" s="395">
        <f t="shared" si="0"/>
        <v>0.89687217424956167</v>
      </c>
      <c r="F25" s="395">
        <f t="shared" si="0"/>
        <v>0.60918822454710841</v>
      </c>
      <c r="G25" s="21">
        <f t="shared" si="0"/>
        <v>0.70670365308621608</v>
      </c>
    </row>
    <row r="26" spans="2:7" x14ac:dyDescent="0.2">
      <c r="B26" s="18">
        <v>14</v>
      </c>
      <c r="C26" s="391"/>
      <c r="D26" s="394">
        <f t="shared" si="0"/>
        <v>0.99799731961111438</v>
      </c>
      <c r="E26" s="395">
        <f t="shared" si="0"/>
        <v>0.87073765362737421</v>
      </c>
      <c r="F26" s="395">
        <f t="shared" si="0"/>
        <v>0.56759090033085191</v>
      </c>
      <c r="G26" s="21">
        <f t="shared" si="0"/>
        <v>0.66224943157372418</v>
      </c>
    </row>
    <row r="27" spans="2:7" x14ac:dyDescent="0.2">
      <c r="B27" s="18">
        <v>15</v>
      </c>
      <c r="C27" s="391"/>
      <c r="D27" s="394">
        <f t="shared" si="0"/>
        <v>0.99449095900190587</v>
      </c>
      <c r="E27" s="395">
        <f t="shared" si="0"/>
        <v>0.84273521299425513</v>
      </c>
      <c r="F27" s="395">
        <f t="shared" si="0"/>
        <v>0.52663785977915145</v>
      </c>
      <c r="G27" s="21">
        <f t="shared" si="0"/>
        <v>0.61755480964169096</v>
      </c>
    </row>
    <row r="28" spans="2:7" x14ac:dyDescent="0.2">
      <c r="B28" s="18">
        <v>16</v>
      </c>
      <c r="C28" s="391"/>
      <c r="D28" s="394">
        <f t="shared" si="0"/>
        <v>0.9887238277478988</v>
      </c>
      <c r="E28" s="395">
        <f t="shared" si="0"/>
        <v>0.8131554612767673</v>
      </c>
      <c r="F28" s="395">
        <f t="shared" si="0"/>
        <v>0.48663825796023608</v>
      </c>
      <c r="G28" s="21">
        <f t="shared" si="0"/>
        <v>0.57310722900849687</v>
      </c>
    </row>
    <row r="29" spans="2:7" x14ac:dyDescent="0.2">
      <c r="B29" s="18">
        <v>17</v>
      </c>
      <c r="C29" s="391"/>
      <c r="D29" s="394">
        <f t="shared" si="0"/>
        <v>0.9803843728316719</v>
      </c>
      <c r="E29" s="395">
        <f t="shared" si="0"/>
        <v>0.78228006940691508</v>
      </c>
      <c r="F29" s="395">
        <f t="shared" si="0"/>
        <v>0.44785849671753875</v>
      </c>
      <c r="G29" s="21">
        <f t="shared" si="0"/>
        <v>0.52934159132599801</v>
      </c>
    </row>
    <row r="30" spans="2:7" x14ac:dyDescent="0.2">
      <c r="B30" s="18">
        <v>18</v>
      </c>
      <c r="C30" s="391"/>
      <c r="D30" s="394">
        <f t="shared" si="0"/>
        <v>0.96923323447634413</v>
      </c>
      <c r="E30" s="394">
        <f t="shared" si="0"/>
        <v>0.7503807093706214</v>
      </c>
      <c r="F30" s="395">
        <f t="shared" si="0"/>
        <v>0.41052253926958016</v>
      </c>
      <c r="G30" s="21">
        <f t="shared" si="0"/>
        <v>0.48663825796023596</v>
      </c>
    </row>
    <row r="31" spans="2:7" x14ac:dyDescent="0.2">
      <c r="B31" s="18">
        <v>19</v>
      </c>
      <c r="C31" s="391"/>
      <c r="D31" s="394">
        <f t="shared" si="0"/>
        <v>0.95509663904843412</v>
      </c>
      <c r="E31" s="395">
        <f t="shared" si="0"/>
        <v>0.71771776988961988</v>
      </c>
      <c r="F31" s="395">
        <f t="shared" si="0"/>
        <v>0.374812949261631</v>
      </c>
      <c r="G31" s="21">
        <f t="shared" si="0"/>
        <v>0.44532227679677683</v>
      </c>
    </row>
    <row r="32" spans="2:7" x14ac:dyDescent="0.2">
      <c r="B32" s="18">
        <v>20</v>
      </c>
      <c r="C32" s="391"/>
      <c r="D32" s="394">
        <f t="shared" ref="D32:G51" si="1">IF($B32&lt;D$8,1,1-WEIBULL(($B32/12)-D$8/12,D$9,D$10,1))</f>
        <v>0.93786428128134647</v>
      </c>
      <c r="E32" s="395">
        <f t="shared" si="1"/>
        <v>0.68453902988131765</v>
      </c>
      <c r="F32" s="395">
        <f t="shared" si="1"/>
        <v>0.34087256868851834</v>
      </c>
      <c r="G32" s="21">
        <f t="shared" si="1"/>
        <v>0.4056637788810421</v>
      </c>
    </row>
    <row r="33" spans="2:7" x14ac:dyDescent="0.2">
      <c r="B33" s="18">
        <v>21</v>
      </c>
      <c r="C33" s="391"/>
      <c r="D33" s="394">
        <f t="shared" si="1"/>
        <v>0.9174888297657835</v>
      </c>
      <c r="E33" s="395">
        <f t="shared" si="1"/>
        <v>0.65107840109915838</v>
      </c>
      <c r="F33" s="395">
        <f t="shared" si="1"/>
        <v>0.30880673745940412</v>
      </c>
      <c r="G33" s="21">
        <f t="shared" si="1"/>
        <v>0.36787944117144233</v>
      </c>
    </row>
    <row r="34" spans="2:7" x14ac:dyDescent="0.2">
      <c r="B34" s="18">
        <v>22</v>
      </c>
      <c r="C34" s="391"/>
      <c r="D34" s="394">
        <f t="shared" si="1"/>
        <v>0.89398570815371281</v>
      </c>
      <c r="E34" s="395">
        <f t="shared" si="1"/>
        <v>0.61755480964169096</v>
      </c>
      <c r="F34" s="395">
        <f t="shared" si="1"/>
        <v>0.27868595134134</v>
      </c>
      <c r="G34" s="21">
        <f t="shared" si="1"/>
        <v>0.33213488060513152</v>
      </c>
    </row>
    <row r="35" spans="2:7" x14ac:dyDescent="0.2">
      <c r="B35" s="18">
        <v>23</v>
      </c>
      <c r="C35" s="391"/>
      <c r="D35" s="394">
        <f t="shared" si="1"/>
        <v>0.86743240787387288</v>
      </c>
      <c r="E35" s="395">
        <f t="shared" si="1"/>
        <v>0.58417125928962133</v>
      </c>
      <c r="F35" s="395">
        <f t="shared" si="1"/>
        <v>0.25054885364370327</v>
      </c>
      <c r="G35" s="21">
        <f t="shared" si="1"/>
        <v>0.29854782574943706</v>
      </c>
    </row>
    <row r="36" spans="2:7" x14ac:dyDescent="0.2">
      <c r="B36" s="18">
        <v>24</v>
      </c>
      <c r="C36" s="396">
        <f>C4</f>
        <v>0.83599999999999997</v>
      </c>
      <c r="D36" s="394">
        <f t="shared" si="1"/>
        <v>0.83796688557875576</v>
      </c>
      <c r="E36" s="395">
        <f t="shared" si="1"/>
        <v>0.55111410145330775</v>
      </c>
      <c r="F36" s="395">
        <f t="shared" si="1"/>
        <v>0.22440545846436388</v>
      </c>
      <c r="G36" s="21">
        <f t="shared" si="1"/>
        <v>0.26719190325625874</v>
      </c>
    </row>
    <row r="37" spans="2:7" x14ac:dyDescent="0.2">
      <c r="B37" s="18">
        <v>25</v>
      </c>
      <c r="C37" s="391"/>
      <c r="D37" s="394">
        <f t="shared" si="1"/>
        <v>0.80578477749724886</v>
      </c>
      <c r="E37" s="395">
        <f t="shared" si="1"/>
        <v>0.51855252354036319</v>
      </c>
      <c r="F37" s="395">
        <f t="shared" si="1"/>
        <v>0.20024050885898936</v>
      </c>
      <c r="G37" s="21">
        <f t="shared" si="1"/>
        <v>0.23810087536176749</v>
      </c>
    </row>
    <row r="38" spans="2:7" x14ac:dyDescent="0.2">
      <c r="B38" s="18">
        <v>26</v>
      </c>
      <c r="C38" s="391"/>
      <c r="D38" s="394">
        <f t="shared" si="1"/>
        <v>0.77113529134046965</v>
      </c>
      <c r="E38" s="395">
        <f t="shared" si="1"/>
        <v>0.48663825796023608</v>
      </c>
      <c r="F38" s="395">
        <f t="shared" si="1"/>
        <v>0.17801688121859338</v>
      </c>
      <c r="G38" s="21">
        <f t="shared" si="1"/>
        <v>0.21127317023397207</v>
      </c>
    </row>
    <row r="39" spans="2:7" x14ac:dyDescent="0.2">
      <c r="B39" s="18">
        <v>27</v>
      </c>
      <c r="C39" s="391"/>
      <c r="D39" s="394">
        <f t="shared" si="1"/>
        <v>0.73431574119168719</v>
      </c>
      <c r="E39" s="395">
        <f t="shared" si="1"/>
        <v>0.45550550673418788</v>
      </c>
      <c r="F39" s="395">
        <f t="shared" si="1"/>
        <v>0.15767895679748034</v>
      </c>
      <c r="G39" s="21">
        <f t="shared" si="1"/>
        <v>0.18667655766055047</v>
      </c>
    </row>
    <row r="40" spans="2:7" x14ac:dyDescent="0.2">
      <c r="B40" s="18">
        <v>28</v>
      </c>
      <c r="C40" s="391"/>
      <c r="D40" s="394">
        <f t="shared" si="1"/>
        <v>0.69566478229732487</v>
      </c>
      <c r="E40" s="395">
        <f t="shared" si="1"/>
        <v>0.42527107116174789</v>
      </c>
      <c r="F40" s="395">
        <f t="shared" si="1"/>
        <v>0.13915589212694768</v>
      </c>
      <c r="G40" s="21">
        <f t="shared" si="1"/>
        <v>0.1642528370875127</v>
      </c>
    </row>
    <row r="41" spans="2:7" x14ac:dyDescent="0.2">
      <c r="B41" s="18">
        <v>29</v>
      </c>
      <c r="C41" s="391"/>
      <c r="D41" s="394">
        <f t="shared" si="1"/>
        <v>0.65555448400571326</v>
      </c>
      <c r="E41" s="395">
        <f t="shared" si="1"/>
        <v>0.39603467182812513</v>
      </c>
      <c r="F41" s="395">
        <f t="shared" si="1"/>
        <v>0.12236473144151083</v>
      </c>
      <c r="G41" s="21">
        <f t="shared" si="1"/>
        <v>0.143922422166186</v>
      </c>
    </row>
    <row r="42" spans="2:7" x14ac:dyDescent="0.2">
      <c r="B42" s="18">
        <v>30</v>
      </c>
      <c r="C42" s="391"/>
      <c r="D42" s="394">
        <f t="shared" si="1"/>
        <v>0.61438145002028</v>
      </c>
      <c r="E42" s="394">
        <f t="shared" si="1"/>
        <v>0.36787944117144233</v>
      </c>
      <c r="F42" s="395">
        <f t="shared" si="1"/>
        <v>0.10721331576175563</v>
      </c>
      <c r="G42" s="21">
        <f t="shared" si="1"/>
        <v>0.12558872465487203</v>
      </c>
    </row>
    <row r="43" spans="2:7" x14ac:dyDescent="0.2">
      <c r="B43" s="18">
        <v>31</v>
      </c>
      <c r="C43" s="391"/>
      <c r="D43" s="394">
        <f t="shared" si="1"/>
        <v>0.57255725386160194</v>
      </c>
      <c r="E43" s="395">
        <f t="shared" si="1"/>
        <v>0.34087256868851834</v>
      </c>
      <c r="F43" s="395">
        <f t="shared" si="1"/>
        <v>9.3602954519502735E-2</v>
      </c>
      <c r="G43" s="21">
        <f t="shared" si="1"/>
        <v>0.10914225979259551</v>
      </c>
    </row>
    <row r="44" spans="2:7" x14ac:dyDescent="0.2">
      <c r="B44" s="18">
        <v>32</v>
      </c>
      <c r="C44" s="391"/>
      <c r="D44" s="394">
        <f t="shared" si="1"/>
        <v>0.53049850169371948</v>
      </c>
      <c r="E44" s="395">
        <f t="shared" si="1"/>
        <v>0.31506607751012794</v>
      </c>
      <c r="F44" s="395">
        <f t="shared" si="1"/>
        <v>8.1430836248249538E-2</v>
      </c>
      <c r="G44" s="21">
        <f t="shared" si="1"/>
        <v>9.4464414295467924E-2</v>
      </c>
    </row>
    <row r="45" spans="2:7" x14ac:dyDescent="0.2">
      <c r="B45" s="18">
        <v>33</v>
      </c>
      <c r="C45" s="391"/>
      <c r="D45" s="394">
        <f t="shared" si="1"/>
        <v>0.48861686235154222</v>
      </c>
      <c r="E45" s="395">
        <f t="shared" si="1"/>
        <v>0.29049771041246508</v>
      </c>
      <c r="F45" s="395">
        <f t="shared" si="1"/>
        <v>7.0592164639350474E-2</v>
      </c>
      <c r="G45" s="21">
        <f t="shared" si="1"/>
        <v>8.1430836248249538E-2</v>
      </c>
    </row>
    <row r="46" spans="2:7" x14ac:dyDescent="0.2">
      <c r="B46" s="18">
        <v>34</v>
      </c>
      <c r="C46" s="391"/>
      <c r="D46" s="394">
        <f t="shared" si="1"/>
        <v>0.44730941399885382</v>
      </c>
      <c r="E46" s="395">
        <f t="shared" si="1"/>
        <v>0.26719190325625874</v>
      </c>
      <c r="F46" s="395">
        <f t="shared" si="1"/>
        <v>6.0982014997255418E-2</v>
      </c>
      <c r="G46" s="21">
        <f t="shared" si="1"/>
        <v>6.9914422850488989E-2</v>
      </c>
    </row>
    <row r="47" spans="2:7" x14ac:dyDescent="0.2">
      <c r="B47" s="18">
        <v>35</v>
      </c>
      <c r="C47" s="391"/>
      <c r="D47" s="394">
        <f t="shared" si="1"/>
        <v>0.406949647740664</v>
      </c>
      <c r="E47" s="395">
        <f t="shared" si="1"/>
        <v>0.24516082427257391</v>
      </c>
      <c r="F47" s="395">
        <f t="shared" si="1"/>
        <v>5.2496913696447711E-2</v>
      </c>
      <c r="G47" s="21">
        <f t="shared" si="1"/>
        <v>5.9787896848882749E-2</v>
      </c>
    </row>
    <row r="48" spans="2:7" x14ac:dyDescent="0.2">
      <c r="B48" s="18">
        <v>36</v>
      </c>
      <c r="C48" s="396">
        <f>C5</f>
        <v>0.219</v>
      </c>
      <c r="D48" s="394">
        <f t="shared" si="1"/>
        <v>0.36787944117144233</v>
      </c>
      <c r="E48" s="395">
        <f t="shared" si="1"/>
        <v>0.22440545846436388</v>
      </c>
      <c r="F48" s="395">
        <f t="shared" si="1"/>
        <v>4.5036149589259722E-2</v>
      </c>
      <c r="G48" s="21">
        <f t="shared" si="1"/>
        <v>5.0925975301708948E-2</v>
      </c>
    </row>
    <row r="49" spans="2:7" x14ac:dyDescent="0.2">
      <c r="B49" s="18">
        <v>37</v>
      </c>
      <c r="C49" s="391"/>
      <c r="D49" s="394">
        <f t="shared" si="1"/>
        <v>0.33040227085122265</v>
      </c>
      <c r="E49" s="395">
        <f t="shared" si="1"/>
        <v>0.20491671758931851</v>
      </c>
      <c r="F49" s="395">
        <f t="shared" si="1"/>
        <v>3.850283143025035E-2</v>
      </c>
      <c r="G49" s="21">
        <f t="shared" si="1"/>
        <v>4.3207144956392884E-2</v>
      </c>
    </row>
    <row r="50" spans="2:7" x14ac:dyDescent="0.2">
      <c r="B50" s="18">
        <v>38</v>
      </c>
      <c r="C50" s="391"/>
      <c r="D50" s="394">
        <f t="shared" si="1"/>
        <v>0.29477787472512929</v>
      </c>
      <c r="E50" s="395">
        <f t="shared" si="1"/>
        <v>0.18667655766055047</v>
      </c>
      <c r="F50" s="395">
        <f t="shared" si="1"/>
        <v>3.2804709305761293E-2</v>
      </c>
      <c r="G50" s="21">
        <f t="shared" si="1"/>
        <v>3.6515066962736542E-2</v>
      </c>
    </row>
    <row r="51" spans="2:7" x14ac:dyDescent="0.2">
      <c r="B51" s="18">
        <v>39</v>
      </c>
      <c r="C51" s="391"/>
      <c r="D51" s="394">
        <f t="shared" si="1"/>
        <v>0.26121850711209382</v>
      </c>
      <c r="E51" s="395">
        <f t="shared" si="1"/>
        <v>0.16965908757950587</v>
      </c>
      <c r="F51" s="395">
        <f t="shared" si="1"/>
        <v>2.7854780858086459E-2</v>
      </c>
      <c r="G51" s="21">
        <f t="shared" si="1"/>
        <v>3.0739639965612686E-2</v>
      </c>
    </row>
    <row r="52" spans="2:7" x14ac:dyDescent="0.2">
      <c r="B52" s="18">
        <v>40</v>
      </c>
      <c r="C52" s="391"/>
      <c r="D52" s="394">
        <f t="shared" ref="D52:G71" si="2">IF($B52&lt;D$8,1,1-WEIBULL(($B52/12)-D$8/12,D$9,D$10,1))</f>
        <v>0.22988685432773637</v>
      </c>
      <c r="E52" s="395">
        <f t="shared" si="2"/>
        <v>0.1538316543371343</v>
      </c>
      <c r="F52" s="395">
        <f t="shared" si="2"/>
        <v>2.3571704870276933E-2</v>
      </c>
      <c r="G52" s="21">
        <f t="shared" si="2"/>
        <v>2.5777754964941835E-2</v>
      </c>
    </row>
    <row r="53" spans="2:7" x14ac:dyDescent="0.2">
      <c r="B53" s="18">
        <v>41</v>
      </c>
      <c r="C53" s="391"/>
      <c r="D53" s="394">
        <f t="shared" si="2"/>
        <v>0.20089560287817543</v>
      </c>
      <c r="E53" s="395">
        <f t="shared" si="2"/>
        <v>0.13915589212694768</v>
      </c>
      <c r="F53" s="395">
        <f t="shared" si="2"/>
        <v>1.9880045646170408E-2</v>
      </c>
      <c r="G53" s="21">
        <f t="shared" si="2"/>
        <v>2.1533777891509898E-2</v>
      </c>
    </row>
    <row r="54" spans="2:7" x14ac:dyDescent="0.2">
      <c r="B54" s="18">
        <v>42</v>
      </c>
      <c r="C54" s="391"/>
      <c r="D54" s="394">
        <f t="shared" si="2"/>
        <v>0.17430857908883035</v>
      </c>
      <c r="E54" s="395">
        <f t="shared" si="2"/>
        <v>0.12558872465487203</v>
      </c>
      <c r="F54" s="395">
        <f t="shared" si="2"/>
        <v>1.6710371707806315E-2</v>
      </c>
      <c r="G54" s="21">
        <f t="shared" si="2"/>
        <v>1.7919796852235992E-2</v>
      </c>
    </row>
    <row r="55" spans="2:7" x14ac:dyDescent="0.2">
      <c r="B55" s="18">
        <v>43</v>
      </c>
      <c r="C55" s="391"/>
      <c r="D55" s="394">
        <f t="shared" si="2"/>
        <v>0.15014331331304309</v>
      </c>
      <c r="E55" s="395">
        <f t="shared" si="2"/>
        <v>0.11308331185949427</v>
      </c>
      <c r="F55" s="395">
        <f t="shared" si="2"/>
        <v>1.3999231770300269E-2</v>
      </c>
      <c r="G55" s="21">
        <f t="shared" si="2"/>
        <v>1.4855670693437961E-2</v>
      </c>
    </row>
    <row r="56" spans="2:7" x14ac:dyDescent="0.2">
      <c r="B56" s="18">
        <v>44</v>
      </c>
      <c r="C56" s="391"/>
      <c r="D56" s="394">
        <f t="shared" si="2"/>
        <v>0.12837482715790938</v>
      </c>
      <c r="E56" s="395">
        <f t="shared" si="2"/>
        <v>0.10158993413238182</v>
      </c>
      <c r="F56" s="395">
        <f t="shared" si="2"/>
        <v>1.1689029872536283E-2</v>
      </c>
      <c r="G56" s="21">
        <f t="shared" si="2"/>
        <v>1.2268914165479594E-2</v>
      </c>
    </row>
    <row r="57" spans="2:7" x14ac:dyDescent="0.2">
      <c r="B57" s="18">
        <v>45</v>
      </c>
      <c r="C57" s="391"/>
      <c r="D57" s="394">
        <f t="shared" si="2"/>
        <v>0.10894040123194071</v>
      </c>
      <c r="E57" s="395">
        <f t="shared" si="2"/>
        <v>9.1056808917926668E-2</v>
      </c>
      <c r="F57" s="395">
        <f t="shared" si="2"/>
        <v>9.7278200649436597E-3</v>
      </c>
      <c r="G57" s="21">
        <f t="shared" si="2"/>
        <v>1.009445279022525E-2</v>
      </c>
    </row>
    <row r="58" spans="2:7" x14ac:dyDescent="0.2">
      <c r="B58" s="18">
        <v>46</v>
      </c>
      <c r="C58" s="391"/>
      <c r="D58" s="394">
        <f t="shared" si="2"/>
        <v>9.1745055453900104E-2</v>
      </c>
      <c r="E58" s="395">
        <f t="shared" si="2"/>
        <v>8.1430836248249538E-2</v>
      </c>
      <c r="F58" s="395">
        <f t="shared" si="2"/>
        <v>8.0690392981475068E-3</v>
      </c>
      <c r="G58" s="21">
        <f t="shared" si="2"/>
        <v>8.2742777618429741E-3</v>
      </c>
    </row>
    <row r="59" spans="2:7" x14ac:dyDescent="0.2">
      <c r="B59" s="18">
        <v>47</v>
      </c>
      <c r="C59" s="391"/>
      <c r="D59" s="394">
        <f t="shared" si="2"/>
        <v>7.6667464508156202E-2</v>
      </c>
      <c r="E59" s="395">
        <f t="shared" si="2"/>
        <v>7.2658271309812839E-2</v>
      </c>
      <c r="F59" s="395">
        <f t="shared" si="2"/>
        <v>6.6711952216890191E-3</v>
      </c>
      <c r="G59" s="21">
        <f t="shared" si="2"/>
        <v>6.7570280577756714E-3</v>
      </c>
    </row>
    <row r="60" spans="2:7" x14ac:dyDescent="0.2">
      <c r="B60" s="18">
        <v>48</v>
      </c>
      <c r="C60" s="396">
        <f>C6</f>
        <v>6.4000000000000001E-2</v>
      </c>
      <c r="D60" s="394">
        <f t="shared" si="2"/>
        <v>6.3566037004625375E-2</v>
      </c>
      <c r="E60" s="395">
        <f t="shared" si="2"/>
        <v>6.4685323529124261E-2</v>
      </c>
      <c r="F60" s="395">
        <f t="shared" si="2"/>
        <v>5.4975235803325084E-3</v>
      </c>
      <c r="G60" s="21">
        <f t="shared" si="2"/>
        <v>5.4975235803325084E-3</v>
      </c>
    </row>
    <row r="61" spans="2:7" x14ac:dyDescent="0.2">
      <c r="B61" s="18">
        <v>49</v>
      </c>
      <c r="D61" s="390">
        <f t="shared" si="2"/>
        <v>5.22849067021115E-2</v>
      </c>
      <c r="E61" s="21">
        <f t="shared" si="2"/>
        <v>5.7458682895245139E-2</v>
      </c>
      <c r="F61" s="21">
        <f t="shared" si="2"/>
        <v>4.5156278627150881E-3</v>
      </c>
      <c r="G61" s="21">
        <f t="shared" si="2"/>
        <v>4.4562697424368469E-3</v>
      </c>
    </row>
    <row r="62" spans="2:7" x14ac:dyDescent="0.2">
      <c r="B62" s="18">
        <v>50</v>
      </c>
      <c r="D62" s="390">
        <f t="shared" si="2"/>
        <v>4.2659615362509729E-2</v>
      </c>
      <c r="E62" s="21">
        <f t="shared" si="2"/>
        <v>5.0925975301708948E-2</v>
      </c>
      <c r="F62" s="21">
        <f t="shared" si="2"/>
        <v>3.6971118752440191E-3</v>
      </c>
      <c r="G62" s="21">
        <f t="shared" si="2"/>
        <v>3.5989505771300001E-3</v>
      </c>
    </row>
    <row r="63" spans="2:7" x14ac:dyDescent="0.2">
      <c r="B63" s="18">
        <v>51</v>
      </c>
      <c r="D63" s="390">
        <f t="shared" si="2"/>
        <v>3.45223064271728E-2</v>
      </c>
      <c r="E63" s="21">
        <f t="shared" si="2"/>
        <v>4.5036149589259722E-2</v>
      </c>
      <c r="F63" s="21">
        <f t="shared" si="2"/>
        <v>3.0172140316164775E-3</v>
      </c>
      <c r="G63" s="21">
        <f t="shared" si="2"/>
        <v>2.8959242852554246E-3</v>
      </c>
    </row>
    <row r="64" spans="2:7" x14ac:dyDescent="0.2">
      <c r="B64" s="18">
        <v>52</v>
      </c>
      <c r="D64" s="390">
        <f t="shared" si="2"/>
        <v>2.7706293458343301E-2</v>
      </c>
      <c r="E64" s="21">
        <f t="shared" si="2"/>
        <v>3.9739799706733026E-2</v>
      </c>
      <c r="F64" s="21">
        <f t="shared" si="2"/>
        <v>2.4544504009351709E-3</v>
      </c>
      <c r="G64" s="21">
        <f t="shared" si="2"/>
        <v>2.3217322092717874E-3</v>
      </c>
    </row>
    <row r="65" spans="2:7" x14ac:dyDescent="0.2">
      <c r="B65" s="18">
        <v>53</v>
      </c>
      <c r="D65" s="390">
        <f t="shared" si="2"/>
        <v>2.2049913865499482E-2</v>
      </c>
      <c r="E65" s="21">
        <f t="shared" si="2"/>
        <v>3.4989425986837186E-2</v>
      </c>
      <c r="F65" s="21">
        <f t="shared" si="2"/>
        <v>1.9902719695228388E-3</v>
      </c>
      <c r="G65" s="21">
        <f t="shared" si="2"/>
        <v>1.8546295800468959E-3</v>
      </c>
    </row>
    <row r="66" spans="2:7" x14ac:dyDescent="0.2">
      <c r="B66" s="18">
        <v>54</v>
      </c>
      <c r="D66" s="390">
        <f t="shared" si="2"/>
        <v>1.7399623775943063E-2</v>
      </c>
      <c r="E66" s="21">
        <f t="shared" si="2"/>
        <v>3.0739639965612686E-2</v>
      </c>
      <c r="F66" s="21">
        <f t="shared" si="2"/>
        <v>1.6087401576061477E-3</v>
      </c>
      <c r="G66" s="21">
        <f t="shared" si="2"/>
        <v>1.4761440542468973E-3</v>
      </c>
    </row>
    <row r="67" spans="2:7" x14ac:dyDescent="0.2">
      <c r="B67" s="18">
        <v>55</v>
      </c>
      <c r="D67" s="390">
        <f t="shared" si="2"/>
        <v>1.3612331396869903E-2</v>
      </c>
      <c r="E67" s="21">
        <f t="shared" si="2"/>
        <v>2.6947317470043308E-2</v>
      </c>
      <c r="F67" s="21">
        <f t="shared" si="2"/>
        <v>1.2962233980006177E-3</v>
      </c>
      <c r="G67" s="21">
        <f t="shared" si="2"/>
        <v>1.170666052133007E-3</v>
      </c>
    </row>
    <row r="68" spans="2:7" x14ac:dyDescent="0.2">
      <c r="B68" s="18">
        <v>56</v>
      </c>
      <c r="D68" s="390">
        <f t="shared" si="2"/>
        <v>1.055700183503927E-2</v>
      </c>
      <c r="E68" s="21">
        <f t="shared" si="2"/>
        <v>2.3571704870276933E-2</v>
      </c>
      <c r="F68" s="21">
        <f t="shared" si="2"/>
        <v>1.0411165287640411E-3</v>
      </c>
      <c r="G68" s="21">
        <f t="shared" si="2"/>
        <v>9.2507321512669272E-4</v>
      </c>
    </row>
    <row r="69" spans="2:7" x14ac:dyDescent="0.2">
      <c r="B69" s="18">
        <v>57</v>
      </c>
      <c r="D69" s="390">
        <f t="shared" si="2"/>
        <v>8.1155947493921632E-3</v>
      </c>
      <c r="E69" s="21">
        <f t="shared" si="2"/>
        <v>2.0574483454742554E-2</v>
      </c>
      <c r="F69" s="21">
        <f t="shared" si="2"/>
        <v>8.3358386900855841E-4</v>
      </c>
      <c r="G69" s="21">
        <f t="shared" si="2"/>
        <v>7.2838991483914484E-4</v>
      </c>
    </row>
    <row r="70" spans="2:7" x14ac:dyDescent="0.2">
      <c r="B70" s="18">
        <v>58</v>
      </c>
      <c r="D70" s="390">
        <f t="shared" si="2"/>
        <v>6.1834167604025714E-3</v>
      </c>
      <c r="E70" s="21">
        <f t="shared" si="2"/>
        <v>1.7919796852235992E-2</v>
      </c>
      <c r="F70" s="21">
        <f t="shared" si="2"/>
        <v>6.653261260685106E-4</v>
      </c>
      <c r="G70" s="21">
        <f t="shared" si="2"/>
        <v>5.7148163822540177E-4</v>
      </c>
    </row>
    <row r="71" spans="2:7" x14ac:dyDescent="0.2">
      <c r="B71" s="18">
        <v>59</v>
      </c>
      <c r="D71" s="390">
        <f t="shared" si="2"/>
        <v>4.6689832182131852E-3</v>
      </c>
      <c r="E71" s="21">
        <f t="shared" si="2"/>
        <v>1.5574246308966644E-2</v>
      </c>
      <c r="F71" s="21">
        <f t="shared" si="2"/>
        <v>5.2937070953729126E-4</v>
      </c>
      <c r="G71" s="21">
        <f t="shared" si="2"/>
        <v>4.4678321991908909E-4</v>
      </c>
    </row>
    <row r="72" spans="2:7" x14ac:dyDescent="0.2">
      <c r="B72" s="18">
        <v>60</v>
      </c>
      <c r="D72" s="390">
        <f t="shared" ref="D72:G91" si="3">IF($B72&lt;D$8,1,1-WEIBULL(($B72/12)-D$8/12,D$9,D$10,1))</f>
        <v>3.4934892766461667E-3</v>
      </c>
      <c r="E72" s="21">
        <f t="shared" si="3"/>
        <v>1.3506858444565117E-2</v>
      </c>
      <c r="F72" s="21">
        <f t="shared" si="3"/>
        <v>4.1988458802177941E-4</v>
      </c>
      <c r="G72" s="21">
        <f t="shared" si="3"/>
        <v>3.4805926261005649E-4</v>
      </c>
    </row>
    <row r="73" spans="2:7" x14ac:dyDescent="0.2">
      <c r="B73" s="18">
        <v>61</v>
      </c>
      <c r="D73" s="390">
        <f t="shared" si="3"/>
        <v>2.589989187540831E-3</v>
      </c>
      <c r="E73" s="21">
        <f t="shared" si="3"/>
        <v>1.1689029872536283E-2</v>
      </c>
      <c r="F73" s="21">
        <f t="shared" si="3"/>
        <v>3.3200850167025564E-4</v>
      </c>
      <c r="G73" s="21">
        <f t="shared" si="3"/>
        <v>2.7019464849964425E-4</v>
      </c>
    </row>
    <row r="74" spans="2:7" x14ac:dyDescent="0.2">
      <c r="B74" s="18">
        <v>62</v>
      </c>
      <c r="D74" s="390">
        <f t="shared" si="3"/>
        <v>1.9023765504646573E-3</v>
      </c>
      <c r="E74" s="21">
        <f t="shared" si="3"/>
        <v>1.009445279022525E-2</v>
      </c>
      <c r="F74" s="21">
        <f t="shared" si="3"/>
        <v>2.6171112129524943E-4</v>
      </c>
      <c r="G74" s="21">
        <f t="shared" si="3"/>
        <v>2.0901276877349773E-4</v>
      </c>
    </row>
    <row r="75" spans="2:7" x14ac:dyDescent="0.2">
      <c r="B75" s="18">
        <v>63</v>
      </c>
      <c r="D75" s="390">
        <f t="shared" si="3"/>
        <v>1.3842482900661146E-3</v>
      </c>
      <c r="E75" s="21">
        <f t="shared" si="3"/>
        <v>8.699025332679633E-3</v>
      </c>
      <c r="F75" s="21">
        <f t="shared" si="3"/>
        <v>2.0566160738733075E-4</v>
      </c>
      <c r="G75" s="21">
        <f t="shared" si="3"/>
        <v>1.6111895453663205E-4</v>
      </c>
    </row>
    <row r="76" spans="2:7" x14ac:dyDescent="0.2">
      <c r="B76" s="18">
        <v>64</v>
      </c>
      <c r="D76" s="390">
        <f t="shared" si="3"/>
        <v>9.9772275358522844E-4</v>
      </c>
      <c r="E76" s="21">
        <f t="shared" si="3"/>
        <v>7.4807501544102983E-3</v>
      </c>
      <c r="F76" s="21">
        <f t="shared" si="3"/>
        <v>1.6111895453663205E-4</v>
      </c>
      <c r="G76" s="21">
        <f t="shared" si="3"/>
        <v>1.2376655487678079E-4</v>
      </c>
    </row>
    <row r="77" spans="2:7" x14ac:dyDescent="0.2">
      <c r="B77" s="18">
        <v>65</v>
      </c>
      <c r="D77" s="390">
        <f t="shared" si="3"/>
        <v>7.122687876760514E-4</v>
      </c>
      <c r="E77" s="21">
        <f t="shared" si="3"/>
        <v>6.4196243623374505E-3</v>
      </c>
      <c r="F77" s="21">
        <f t="shared" si="3"/>
        <v>1.258364949808799E-4</v>
      </c>
      <c r="G77" s="21">
        <f t="shared" si="3"/>
        <v>9.4743151534348868E-5</v>
      </c>
    </row>
    <row r="78" spans="2:7" x14ac:dyDescent="0.2">
      <c r="B78" s="18">
        <v>66</v>
      </c>
      <c r="D78" s="390">
        <f t="shared" si="3"/>
        <v>5.0358904973690777E-4</v>
      </c>
      <c r="E78" s="21">
        <f t="shared" si="3"/>
        <v>5.4975235803325084E-3</v>
      </c>
      <c r="F78" s="21">
        <f t="shared" si="3"/>
        <v>9.7979966796168938E-5</v>
      </c>
      <c r="G78" s="21">
        <f t="shared" si="3"/>
        <v>7.2274503910452204E-5</v>
      </c>
    </row>
    <row r="79" spans="2:7" x14ac:dyDescent="0.2">
      <c r="B79" s="18">
        <v>67</v>
      </c>
      <c r="D79" s="390">
        <f t="shared" si="3"/>
        <v>3.525879905724727E-4</v>
      </c>
      <c r="E79" s="21">
        <f t="shared" si="3"/>
        <v>4.6980825876707932E-3</v>
      </c>
      <c r="F79" s="21">
        <f t="shared" si="3"/>
        <v>7.6057616771540992E-5</v>
      </c>
      <c r="G79" s="21">
        <f t="shared" si="3"/>
        <v>5.4943964787335098E-5</v>
      </c>
    </row>
    <row r="80" spans="2:7" x14ac:dyDescent="0.2">
      <c r="B80" s="18">
        <v>68</v>
      </c>
      <c r="D80" s="390">
        <f t="shared" si="3"/>
        <v>2.4444352404873193E-4</v>
      </c>
      <c r="E80" s="21">
        <f t="shared" si="3"/>
        <v>4.0065746461579455E-3</v>
      </c>
      <c r="F80" s="21">
        <f t="shared" si="3"/>
        <v>5.8860895872037133E-5</v>
      </c>
      <c r="G80" s="21">
        <f t="shared" si="3"/>
        <v>4.1625281087975807E-5</v>
      </c>
    </row>
    <row r="81" spans="2:7" x14ac:dyDescent="0.2">
      <c r="B81" s="18">
        <v>69</v>
      </c>
      <c r="D81" s="390">
        <f t="shared" si="3"/>
        <v>1.677917494864456E-4</v>
      </c>
      <c r="E81" s="21">
        <f t="shared" si="3"/>
        <v>3.4097913183015471E-3</v>
      </c>
      <c r="F81" s="21">
        <f t="shared" si="3"/>
        <v>4.5414408506361248E-5</v>
      </c>
      <c r="G81" s="21">
        <f t="shared" si="3"/>
        <v>3.1426883004725958E-5</v>
      </c>
    </row>
    <row r="82" spans="2:7" x14ac:dyDescent="0.2">
      <c r="B82" s="18">
        <v>70</v>
      </c>
      <c r="D82" s="390">
        <f t="shared" si="3"/>
        <v>1.1402637597712761E-4</v>
      </c>
      <c r="E82" s="21">
        <f t="shared" si="3"/>
        <v>2.8959242852554246E-3</v>
      </c>
      <c r="F82" s="21">
        <f t="shared" si="3"/>
        <v>3.4933889061616874E-5</v>
      </c>
      <c r="G82" s="21">
        <f t="shared" si="3"/>
        <v>2.3645959206675116E-5</v>
      </c>
    </row>
    <row r="83" spans="2:7" x14ac:dyDescent="0.2">
      <c r="B83" s="18">
        <v>71</v>
      </c>
      <c r="D83" s="390">
        <f t="shared" si="3"/>
        <v>7.6708702562489073E-5</v>
      </c>
      <c r="E83" s="21">
        <f t="shared" si="3"/>
        <v>2.4544504009351709E-3</v>
      </c>
      <c r="F83" s="21">
        <f t="shared" si="3"/>
        <v>2.6791095119715891E-5</v>
      </c>
      <c r="G83" s="21">
        <f t="shared" si="3"/>
        <v>1.7730808173022083E-5</v>
      </c>
    </row>
    <row r="84" spans="2:7" x14ac:dyDescent="0.2">
      <c r="B84" s="18">
        <v>72</v>
      </c>
      <c r="D84" s="390">
        <f t="shared" si="3"/>
        <v>5.1079991764568788E-5</v>
      </c>
      <c r="E84" s="21">
        <f t="shared" si="3"/>
        <v>2.0760209694462572E-3</v>
      </c>
      <c r="F84" s="21">
        <f t="shared" si="3"/>
        <v>2.0484622330063651E-5</v>
      </c>
      <c r="G84" s="21">
        <f t="shared" si="3"/>
        <v>1.325014056063889E-5</v>
      </c>
    </row>
    <row r="85" spans="2:7" x14ac:dyDescent="0.2">
      <c r="B85" s="18">
        <v>73</v>
      </c>
      <c r="D85" s="390">
        <f t="shared" si="3"/>
        <v>3.3665607341304415E-5</v>
      </c>
      <c r="E85" s="21">
        <f t="shared" si="3"/>
        <v>1.7523560077112865E-3</v>
      </c>
      <c r="F85" s="21">
        <f t="shared" si="3"/>
        <v>1.5615758009790426E-5</v>
      </c>
      <c r="G85" s="21">
        <f t="shared" si="3"/>
        <v>9.8681811333545255E-6</v>
      </c>
    </row>
    <row r="86" spans="2:7" x14ac:dyDescent="0.2">
      <c r="B86" s="18">
        <v>74</v>
      </c>
      <c r="D86" s="390">
        <f t="shared" si="3"/>
        <v>2.1959095184986843E-5</v>
      </c>
      <c r="E86" s="21">
        <f t="shared" si="3"/>
        <v>1.4761440542468973E-3</v>
      </c>
      <c r="F86" s="21">
        <f t="shared" si="3"/>
        <v>1.1868596933584108E-5</v>
      </c>
      <c r="G86" s="21">
        <f t="shared" si="3"/>
        <v>7.3245787428621867E-6</v>
      </c>
    </row>
    <row r="87" spans="2:7" x14ac:dyDescent="0.2">
      <c r="B87" s="18">
        <v>75</v>
      </c>
      <c r="D87" s="390">
        <f t="shared" si="3"/>
        <v>1.4174181270143471E-5</v>
      </c>
      <c r="E87" s="21">
        <f t="shared" si="3"/>
        <v>1.2409479081468833E-3</v>
      </c>
      <c r="F87" s="21">
        <f t="shared" si="3"/>
        <v>8.9937419665009344E-6</v>
      </c>
      <c r="G87" s="21">
        <f t="shared" si="3"/>
        <v>5.418277854163378E-6</v>
      </c>
    </row>
    <row r="88" spans="2:7" x14ac:dyDescent="0.2">
      <c r="B88" s="18">
        <v>76</v>
      </c>
      <c r="D88" s="390">
        <f t="shared" si="3"/>
        <v>9.0531678970107166E-6</v>
      </c>
      <c r="E88" s="21">
        <f t="shared" si="3"/>
        <v>1.0411165287640411E-3</v>
      </c>
      <c r="F88" s="21">
        <f t="shared" si="3"/>
        <v>6.7950032648367298E-6</v>
      </c>
      <c r="G88" s="21">
        <f t="shared" si="3"/>
        <v>3.9946347010211269E-6</v>
      </c>
    </row>
    <row r="89" spans="2:7" x14ac:dyDescent="0.2">
      <c r="B89" s="18">
        <v>77</v>
      </c>
      <c r="D89" s="390">
        <f t="shared" si="3"/>
        <v>5.7211851592908758E-6</v>
      </c>
      <c r="E89" s="21">
        <f t="shared" si="3"/>
        <v>8.7170319526963524E-4</v>
      </c>
      <c r="F89" s="21">
        <f t="shared" si="3"/>
        <v>5.1185922865792932E-6</v>
      </c>
      <c r="G89" s="21">
        <f t="shared" si="3"/>
        <v>2.9351755189699347E-6</v>
      </c>
    </row>
    <row r="90" spans="2:7" x14ac:dyDescent="0.2">
      <c r="B90" s="18">
        <v>78</v>
      </c>
      <c r="D90" s="390">
        <f t="shared" si="3"/>
        <v>3.5769950249564531E-6</v>
      </c>
      <c r="E90" s="21">
        <f t="shared" si="3"/>
        <v>7.2838991483914484E-4</v>
      </c>
      <c r="F90" s="21">
        <f t="shared" si="3"/>
        <v>3.8443807318655487E-6</v>
      </c>
      <c r="G90" s="21">
        <f t="shared" si="3"/>
        <v>2.1494940882771374E-6</v>
      </c>
    </row>
    <row r="91" spans="2:7" x14ac:dyDescent="0.2">
      <c r="B91" s="18">
        <v>79</v>
      </c>
      <c r="D91" s="390">
        <f t="shared" si="3"/>
        <v>2.2123911661564577E-6</v>
      </c>
      <c r="E91" s="21">
        <f t="shared" si="3"/>
        <v>6.0741797712760004E-4</v>
      </c>
      <c r="F91" s="21">
        <f t="shared" si="3"/>
        <v>2.8788599886198085E-6</v>
      </c>
      <c r="G91" s="21">
        <f t="shared" si="3"/>
        <v>1.5688719796624895E-6</v>
      </c>
    </row>
    <row r="92" spans="2:7" x14ac:dyDescent="0.2">
      <c r="B92" s="18">
        <v>80</v>
      </c>
      <c r="D92" s="390">
        <f t="shared" ref="D92:G97" si="4">IF($B92&lt;D$8,1,1-WEIBULL(($B92/12)-D$8/12,D$9,D$10,1))</f>
        <v>1.3535719757262754E-6</v>
      </c>
      <c r="E92" s="21">
        <f t="shared" si="4"/>
        <v>5.0552447925789057E-4</v>
      </c>
      <c r="F92" s="21">
        <f t="shared" si="4"/>
        <v>2.1494940882771374E-6</v>
      </c>
      <c r="G92" s="21">
        <f t="shared" si="4"/>
        <v>1.1412785883013754E-6</v>
      </c>
    </row>
    <row r="93" spans="2:7" x14ac:dyDescent="0.2">
      <c r="B93" s="18">
        <v>81</v>
      </c>
      <c r="D93" s="390">
        <f t="shared" si="4"/>
        <v>8.1910867733014925E-7</v>
      </c>
      <c r="E93" s="21">
        <f t="shared" si="4"/>
        <v>4.1988458802177941E-4</v>
      </c>
      <c r="F93" s="21">
        <f t="shared" si="4"/>
        <v>1.600209107888162E-6</v>
      </c>
      <c r="G93" s="21">
        <f t="shared" si="4"/>
        <v>8.2747050522691268E-7</v>
      </c>
    </row>
    <row r="94" spans="2:7" x14ac:dyDescent="0.2">
      <c r="B94" s="18">
        <v>82</v>
      </c>
      <c r="D94" s="390">
        <f t="shared" si="4"/>
        <v>4.9023867043640479E-7</v>
      </c>
      <c r="E94" s="21">
        <f t="shared" si="4"/>
        <v>3.4805926261005649E-4</v>
      </c>
      <c r="F94" s="21">
        <f t="shared" si="4"/>
        <v>1.18780502178506E-6</v>
      </c>
      <c r="G94" s="21">
        <f t="shared" si="4"/>
        <v>5.9796227502850741E-7</v>
      </c>
    </row>
    <row r="95" spans="2:7" x14ac:dyDescent="0.2">
      <c r="B95" s="18">
        <v>83</v>
      </c>
      <c r="D95" s="390">
        <f t="shared" si="4"/>
        <v>2.9016488611866009E-7</v>
      </c>
      <c r="E95" s="21">
        <f t="shared" si="4"/>
        <v>2.8794813021293386E-4</v>
      </c>
      <c r="F95" s="21">
        <f t="shared" si="4"/>
        <v>8.7911285406860884E-7</v>
      </c>
      <c r="G95" s="21">
        <f t="shared" si="4"/>
        <v>4.3068438082549676E-7</v>
      </c>
    </row>
    <row r="96" spans="2:7" x14ac:dyDescent="0.2">
      <c r="B96" s="18">
        <v>84</v>
      </c>
      <c r="D96" s="390">
        <f t="shared" si="4"/>
        <v>1.6983180561869204E-7</v>
      </c>
      <c r="E96" s="21">
        <f t="shared" si="4"/>
        <v>2.3774718659497207E-4</v>
      </c>
      <c r="F96" s="21">
        <f t="shared" si="4"/>
        <v>6.4875128347186006E-7</v>
      </c>
      <c r="G96" s="21">
        <f t="shared" si="4"/>
        <v>3.0918053173234483E-7</v>
      </c>
    </row>
    <row r="97" spans="2:7" x14ac:dyDescent="0.2">
      <c r="B97" s="18">
        <v>85</v>
      </c>
      <c r="D97" s="390">
        <f t="shared" si="4"/>
        <v>9.8286971117467203E-8</v>
      </c>
      <c r="E97" s="21">
        <f t="shared" si="4"/>
        <v>1.9591098265292484E-4</v>
      </c>
      <c r="F97" s="21">
        <f t="shared" si="4"/>
        <v>4.773632539256667E-7</v>
      </c>
      <c r="G97" s="21">
        <f t="shared" si="4"/>
        <v>2.212261152045869E-7</v>
      </c>
    </row>
  </sheetData>
  <phoneticPr fontId="27" type="noConversion"/>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urves"/>
  <dimension ref="A1:AX49"/>
  <sheetViews>
    <sheetView topLeftCell="A4" workbookViewId="0">
      <selection activeCell="B10" sqref="B10"/>
    </sheetView>
  </sheetViews>
  <sheetFormatPr baseColWidth="10" defaultColWidth="9.1640625" defaultRowHeight="15" x14ac:dyDescent="0.2"/>
  <cols>
    <col min="1" max="11" width="9.1640625" style="22"/>
    <col min="12" max="12" width="9.1640625" style="25"/>
    <col min="13" max="24" width="9.1640625" style="22"/>
    <col min="25" max="25" width="9.5" style="25" customWidth="1"/>
    <col min="26" max="35" width="9.1640625" style="22"/>
    <col min="36" max="36" width="8.83203125"/>
    <col min="37" max="37" width="9.33203125" style="1135" customWidth="1"/>
    <col min="38" max="39" width="8.83203125" customWidth="1"/>
    <col min="40" max="40" width="10.5" customWidth="1"/>
    <col min="41" max="49" width="8.83203125" customWidth="1"/>
    <col min="50" max="16384" width="9.1640625" style="22"/>
  </cols>
  <sheetData>
    <row r="1" spans="1:50" x14ac:dyDescent="0.2">
      <c r="A1" s="23" t="s">
        <v>77</v>
      </c>
      <c r="L1" s="24" t="s">
        <v>93</v>
      </c>
      <c r="Y1" s="24" t="s">
        <v>103</v>
      </c>
      <c r="AK1" s="24" t="s">
        <v>103</v>
      </c>
      <c r="AL1" s="22"/>
    </row>
    <row r="2" spans="1:50" x14ac:dyDescent="0.2">
      <c r="A2" s="29" t="s">
        <v>136</v>
      </c>
      <c r="L2" s="25" t="s">
        <v>94</v>
      </c>
      <c r="Y2" s="25" t="s">
        <v>85</v>
      </c>
      <c r="AK2" s="25" t="s">
        <v>85</v>
      </c>
      <c r="AL2" s="22"/>
    </row>
    <row r="3" spans="1:50" x14ac:dyDescent="0.2">
      <c r="A3" s="22" t="s">
        <v>397</v>
      </c>
      <c r="D3" s="22" t="s">
        <v>398</v>
      </c>
      <c r="L3" s="25" t="s">
        <v>85</v>
      </c>
      <c r="Y3" s="25" t="s">
        <v>88</v>
      </c>
      <c r="AD3" s="22" t="s">
        <v>106</v>
      </c>
      <c r="AK3" s="25" t="s">
        <v>88</v>
      </c>
      <c r="AL3" s="22"/>
    </row>
    <row r="4" spans="1:50" x14ac:dyDescent="0.2">
      <c r="L4" s="25" t="s">
        <v>88</v>
      </c>
      <c r="Y4" s="26" t="s">
        <v>78</v>
      </c>
      <c r="Z4" s="27">
        <v>2</v>
      </c>
      <c r="AA4" s="22" t="s">
        <v>86</v>
      </c>
      <c r="AD4" s="28">
        <v>2.8</v>
      </c>
      <c r="AE4" s="485">
        <v>2</v>
      </c>
      <c r="AF4" s="28">
        <v>3</v>
      </c>
      <c r="AK4" s="26" t="s">
        <v>78</v>
      </c>
      <c r="AL4" s="27">
        <v>4</v>
      </c>
    </row>
    <row r="5" spans="1:50" x14ac:dyDescent="0.2">
      <c r="A5" s="22" t="s">
        <v>78</v>
      </c>
      <c r="B5" s="27">
        <v>4</v>
      </c>
      <c r="C5" s="22" t="s">
        <v>395</v>
      </c>
      <c r="F5"/>
      <c r="G5"/>
      <c r="L5" s="25" t="s">
        <v>78</v>
      </c>
      <c r="M5" s="27">
        <v>7</v>
      </c>
      <c r="O5" s="27">
        <v>3</v>
      </c>
      <c r="P5" s="22" t="s">
        <v>86</v>
      </c>
      <c r="Y5" s="26" t="s">
        <v>79</v>
      </c>
      <c r="Z5" s="27">
        <v>0.6</v>
      </c>
      <c r="AA5" s="22" t="s">
        <v>87</v>
      </c>
      <c r="AD5" s="28">
        <v>0.56999999999999995</v>
      </c>
      <c r="AE5" s="486">
        <v>0.6</v>
      </c>
      <c r="AF5" s="28">
        <v>0.7</v>
      </c>
      <c r="AK5" s="26" t="s">
        <v>79</v>
      </c>
      <c r="AL5" s="27">
        <v>0.6</v>
      </c>
    </row>
    <row r="6" spans="1:50" x14ac:dyDescent="0.2">
      <c r="A6" s="22" t="s">
        <v>79</v>
      </c>
      <c r="B6" s="27">
        <v>1</v>
      </c>
      <c r="C6" s="22" t="s">
        <v>396</v>
      </c>
      <c r="F6"/>
      <c r="G6"/>
      <c r="L6" s="25" t="s">
        <v>79</v>
      </c>
      <c r="M6" s="27">
        <v>0.8</v>
      </c>
      <c r="O6" s="27">
        <v>0.56999999999999995</v>
      </c>
      <c r="P6" s="22" t="s">
        <v>87</v>
      </c>
      <c r="Y6" s="26" t="s">
        <v>101</v>
      </c>
      <c r="Z6" s="27">
        <v>1</v>
      </c>
      <c r="AA6" s="22" t="s">
        <v>96</v>
      </c>
      <c r="AD6" s="28">
        <v>1</v>
      </c>
      <c r="AE6" s="486">
        <v>1</v>
      </c>
      <c r="AF6" s="28">
        <v>1</v>
      </c>
      <c r="AK6" s="26" t="s">
        <v>101</v>
      </c>
      <c r="AL6" s="27">
        <v>1</v>
      </c>
    </row>
    <row r="7" spans="1:50" x14ac:dyDescent="0.2">
      <c r="L7" s="25" t="s">
        <v>97</v>
      </c>
      <c r="M7" s="27">
        <v>1</v>
      </c>
      <c r="O7" s="27">
        <v>1</v>
      </c>
      <c r="P7" s="22" t="s">
        <v>96</v>
      </c>
      <c r="AE7" s="29" t="s">
        <v>184</v>
      </c>
      <c r="AK7" s="25"/>
      <c r="AL7" s="22"/>
    </row>
    <row r="8" spans="1:50" s="31" customFormat="1" ht="48" x14ac:dyDescent="0.2">
      <c r="A8" s="30" t="s">
        <v>80</v>
      </c>
      <c r="B8" s="30" t="s">
        <v>400</v>
      </c>
      <c r="C8" s="31" t="s">
        <v>401</v>
      </c>
      <c r="D8" s="31" t="s">
        <v>399</v>
      </c>
      <c r="L8" s="32" t="s">
        <v>90</v>
      </c>
      <c r="M8" s="30" t="s">
        <v>137</v>
      </c>
      <c r="N8" s="30" t="s">
        <v>91</v>
      </c>
      <c r="O8" s="30" t="s">
        <v>89</v>
      </c>
      <c r="Y8" s="32" t="s">
        <v>99</v>
      </c>
      <c r="Z8" s="30" t="s">
        <v>98</v>
      </c>
      <c r="AJ8"/>
      <c r="AK8" s="1354" t="s">
        <v>3</v>
      </c>
      <c r="AL8" s="1352" t="s">
        <v>3</v>
      </c>
      <c r="AM8" s="30" t="s">
        <v>98</v>
      </c>
      <c r="AN8" s="1355" t="s">
        <v>417</v>
      </c>
      <c r="AO8"/>
      <c r="AP8"/>
      <c r="AQ8"/>
      <c r="AR8"/>
      <c r="AS8"/>
      <c r="AT8"/>
      <c r="AU8"/>
      <c r="AV8"/>
      <c r="AW8"/>
      <c r="AX8"/>
    </row>
    <row r="9" spans="1:50" x14ac:dyDescent="0.2">
      <c r="A9" s="22">
        <v>0</v>
      </c>
      <c r="B9" s="22">
        <v>0</v>
      </c>
      <c r="C9" s="22">
        <v>0</v>
      </c>
      <c r="D9" s="22">
        <v>0</v>
      </c>
      <c r="L9" s="25">
        <v>-999999</v>
      </c>
      <c r="M9" s="22">
        <v>1</v>
      </c>
      <c r="N9" s="22">
        <v>-1</v>
      </c>
      <c r="O9" s="22">
        <f t="shared" ref="O9:O47" si="0">O$7*(1-WEIBULL(-N9,$O$5,$O$6,1))</f>
        <v>4.51761025491626E-3</v>
      </c>
      <c r="Y9" s="33">
        <v>0</v>
      </c>
      <c r="Z9" s="34">
        <f t="shared" ref="Z9:Z39" si="1">Z$6*(1-WEIBULL(Y9,Z$4,Z$5,1))</f>
        <v>1</v>
      </c>
      <c r="AK9" s="1135">
        <v>2020</v>
      </c>
      <c r="AN9" s="1356">
        <f>AN10</f>
        <v>2</v>
      </c>
      <c r="AX9"/>
    </row>
    <row r="10" spans="1:50" x14ac:dyDescent="0.2">
      <c r="A10" s="22">
        <v>1</v>
      </c>
      <c r="B10" s="22">
        <f>1/(1+EXP(-($A10-B$5)/B$6))</f>
        <v>4.7425873177566781E-2</v>
      </c>
      <c r="C10" s="22">
        <v>4.7425873177566781E-2</v>
      </c>
      <c r="D10" s="22">
        <v>9.1146632754213197E-4</v>
      </c>
      <c r="L10" s="25">
        <v>2.5000000000000001E-2</v>
      </c>
      <c r="M10" s="22">
        <f t="shared" ref="M10:M48" si="2">M$7*(1-WEIBULL(L10,$M$5,$M$6,1))</f>
        <v>0.99999999997089617</v>
      </c>
      <c r="N10" s="22">
        <f t="shared" ref="N10:N47" si="3">L10-1</f>
        <v>-0.97499999999999998</v>
      </c>
      <c r="O10" s="22">
        <f t="shared" si="0"/>
        <v>6.7054850642854769E-3</v>
      </c>
      <c r="Y10" s="35">
        <v>0.05</v>
      </c>
      <c r="Z10" s="34">
        <f t="shared" si="1"/>
        <v>0.99307961249031607</v>
      </c>
      <c r="AK10" s="1135">
        <v>2021</v>
      </c>
      <c r="AN10" s="1356">
        <f t="shared" ref="AN10:AN22" si="4">AN11</f>
        <v>2</v>
      </c>
      <c r="AX10"/>
    </row>
    <row r="11" spans="1:50" x14ac:dyDescent="0.2">
      <c r="A11" s="22">
        <v>2</v>
      </c>
      <c r="B11" s="22">
        <f t="shared" ref="B11:B34" si="5">1/(1+EXP(-($A11-B$5)/B$6))</f>
        <v>0.11920292202211755</v>
      </c>
      <c r="C11" s="22">
        <v>0.11920292202211755</v>
      </c>
      <c r="D11" s="22">
        <v>2.4756826072475091E-3</v>
      </c>
      <c r="L11" s="25">
        <v>0.05</v>
      </c>
      <c r="M11" s="22">
        <f t="shared" si="2"/>
        <v>0.9999999962747097</v>
      </c>
      <c r="N11" s="22">
        <f t="shared" si="3"/>
        <v>-0.95</v>
      </c>
      <c r="O11" s="22">
        <f t="shared" si="0"/>
        <v>9.7583726452178388E-3</v>
      </c>
      <c r="Y11" s="35">
        <v>0.1</v>
      </c>
      <c r="Z11" s="34">
        <f t="shared" si="1"/>
        <v>0.97260447711634834</v>
      </c>
      <c r="AK11" s="1135">
        <v>2022</v>
      </c>
      <c r="AN11" s="1356">
        <f t="shared" si="4"/>
        <v>2</v>
      </c>
      <c r="AX11"/>
    </row>
    <row r="12" spans="1:50" x14ac:dyDescent="0.2">
      <c r="A12" s="22">
        <v>3</v>
      </c>
      <c r="B12" s="22">
        <f t="shared" si="5"/>
        <v>0.2689414213699951</v>
      </c>
      <c r="C12" s="22">
        <v>0.2689414213699951</v>
      </c>
      <c r="D12" s="22">
        <v>6.715297932158526E-3</v>
      </c>
      <c r="L12" s="25">
        <v>7.4999999999999997E-2</v>
      </c>
      <c r="M12" s="22">
        <f t="shared" si="2"/>
        <v>0.99999993634992479</v>
      </c>
      <c r="N12" s="22">
        <f t="shared" si="3"/>
        <v>-0.92500000000000004</v>
      </c>
      <c r="O12" s="22">
        <f t="shared" si="0"/>
        <v>1.3930612444768342E-2</v>
      </c>
      <c r="Y12" s="35">
        <v>0.15</v>
      </c>
      <c r="Z12" s="34">
        <f t="shared" si="1"/>
        <v>0.93941306281347581</v>
      </c>
      <c r="AK12" s="1135">
        <v>2023</v>
      </c>
      <c r="AN12" s="1356">
        <f t="shared" si="4"/>
        <v>2</v>
      </c>
      <c r="AX12"/>
    </row>
    <row r="13" spans="1:50" x14ac:dyDescent="0.2">
      <c r="A13" s="22">
        <v>4</v>
      </c>
      <c r="B13" s="22">
        <f t="shared" si="5"/>
        <v>0.5</v>
      </c>
      <c r="C13" s="22">
        <v>0.5</v>
      </c>
      <c r="D13" s="22">
        <v>1.8148926938333476E-2</v>
      </c>
      <c r="L13" s="25">
        <v>0.1</v>
      </c>
      <c r="M13" s="22">
        <f t="shared" si="2"/>
        <v>0.99999952316295548</v>
      </c>
      <c r="N13" s="22">
        <f t="shared" si="3"/>
        <v>-0.9</v>
      </c>
      <c r="O13" s="22">
        <f t="shared" si="0"/>
        <v>1.9517693175015394E-2</v>
      </c>
      <c r="Y13" s="35">
        <v>0.2</v>
      </c>
      <c r="Z13" s="34">
        <f t="shared" si="1"/>
        <v>0.89483931681436979</v>
      </c>
      <c r="AK13" s="1135">
        <v>2024</v>
      </c>
      <c r="AN13" s="1356">
        <f t="shared" si="4"/>
        <v>2</v>
      </c>
      <c r="AX13"/>
    </row>
    <row r="14" spans="1:50" x14ac:dyDescent="0.2">
      <c r="A14" s="22">
        <v>5</v>
      </c>
      <c r="B14" s="22">
        <f t="shared" si="5"/>
        <v>0.7310585786300049</v>
      </c>
      <c r="C14" s="22">
        <v>0.7310585786300049</v>
      </c>
      <c r="D14" s="22">
        <v>4.8568007099546562E-2</v>
      </c>
      <c r="L14" s="25">
        <v>0.15</v>
      </c>
      <c r="M14" s="22">
        <f t="shared" si="2"/>
        <v>0.99999185282330572</v>
      </c>
      <c r="N14" s="22">
        <f t="shared" si="3"/>
        <v>-0.85</v>
      </c>
      <c r="O14" s="22">
        <f t="shared" si="0"/>
        <v>3.6292830681643129E-2</v>
      </c>
      <c r="Y14" s="35">
        <v>0.25</v>
      </c>
      <c r="Z14" s="34">
        <f t="shared" si="1"/>
        <v>0.84062374333450529</v>
      </c>
      <c r="AK14" s="1135">
        <v>2025</v>
      </c>
      <c r="AN14" s="1356">
        <f t="shared" si="4"/>
        <v>2</v>
      </c>
      <c r="AX14"/>
    </row>
    <row r="15" spans="1:50" x14ac:dyDescent="0.2">
      <c r="A15" s="22">
        <v>6</v>
      </c>
      <c r="B15" s="22">
        <f t="shared" si="5"/>
        <v>0.88079707797788231</v>
      </c>
      <c r="C15" s="22">
        <v>0.88079707797788231</v>
      </c>
      <c r="D15" s="22">
        <v>0.12657698150688335</v>
      </c>
      <c r="L15" s="25">
        <v>0.17499999999999999</v>
      </c>
      <c r="M15" s="22">
        <f t="shared" si="2"/>
        <v>0.99997603203139052</v>
      </c>
      <c r="N15" s="22">
        <f t="shared" si="3"/>
        <v>-0.82499999999999996</v>
      </c>
      <c r="O15" s="22">
        <f t="shared" si="0"/>
        <v>4.8216382864641583E-2</v>
      </c>
      <c r="Y15" s="35">
        <v>0.3</v>
      </c>
      <c r="Z15" s="34">
        <f t="shared" si="1"/>
        <v>0.77880078307140488</v>
      </c>
      <c r="AK15" s="1135">
        <v>2026</v>
      </c>
      <c r="AN15" s="1356">
        <f t="shared" si="4"/>
        <v>2</v>
      </c>
      <c r="AX15"/>
    </row>
    <row r="16" spans="1:50" x14ac:dyDescent="0.2">
      <c r="A16" s="22">
        <v>7</v>
      </c>
      <c r="B16" s="22">
        <f t="shared" si="5"/>
        <v>0.95257412682243336</v>
      </c>
      <c r="C16" s="22">
        <v>0.95257412682243336</v>
      </c>
      <c r="D16" s="22">
        <v>0.30779937244465361</v>
      </c>
      <c r="L16" s="25">
        <v>0.2</v>
      </c>
      <c r="M16" s="22">
        <f t="shared" si="2"/>
        <v>0.99993896670635729</v>
      </c>
      <c r="N16" s="22">
        <f t="shared" si="3"/>
        <v>-0.8</v>
      </c>
      <c r="O16" s="22">
        <f t="shared" si="0"/>
        <v>6.2996045124450561E-2</v>
      </c>
      <c r="Y16" s="35">
        <v>0.35</v>
      </c>
      <c r="Z16" s="34">
        <f t="shared" si="1"/>
        <v>0.7115726362417969</v>
      </c>
      <c r="AK16" s="1135">
        <v>2027</v>
      </c>
      <c r="AN16" s="1356">
        <f t="shared" si="4"/>
        <v>2</v>
      </c>
      <c r="AX16"/>
    </row>
    <row r="17" spans="1:50" x14ac:dyDescent="0.2">
      <c r="A17" s="22">
        <v>8</v>
      </c>
      <c r="B17" s="22">
        <f t="shared" si="5"/>
        <v>0.98201379003790845</v>
      </c>
      <c r="C17" s="22">
        <v>0.98201379003790845</v>
      </c>
      <c r="D17" s="22">
        <v>0.63212055882855767</v>
      </c>
      <c r="L17" s="25">
        <v>0.22500000000000001</v>
      </c>
      <c r="M17" s="22">
        <f t="shared" si="2"/>
        <v>0.99986080696939306</v>
      </c>
      <c r="N17" s="22">
        <f t="shared" si="3"/>
        <v>-0.77500000000000002</v>
      </c>
      <c r="O17" s="22">
        <f t="shared" si="0"/>
        <v>8.0983523798384471E-2</v>
      </c>
      <c r="Y17" s="35">
        <v>0.4</v>
      </c>
      <c r="Z17" s="34">
        <f t="shared" si="1"/>
        <v>0.64118038842995451</v>
      </c>
      <c r="AK17" s="1135">
        <v>2028</v>
      </c>
      <c r="AN17" s="1356">
        <f t="shared" si="4"/>
        <v>2</v>
      </c>
      <c r="AX17"/>
    </row>
    <row r="18" spans="1:50" x14ac:dyDescent="0.2">
      <c r="A18" s="22">
        <v>9</v>
      </c>
      <c r="B18" s="22">
        <f t="shared" si="5"/>
        <v>0.99330714907571527</v>
      </c>
      <c r="C18" s="22">
        <v>0.99330714907571527</v>
      </c>
      <c r="D18" s="22">
        <v>0.93401196415468746</v>
      </c>
      <c r="L18" s="25">
        <v>0.25</v>
      </c>
      <c r="M18" s="22">
        <f t="shared" si="2"/>
        <v>0.99970900404297169</v>
      </c>
      <c r="N18" s="22">
        <f t="shared" si="3"/>
        <v>-0.75</v>
      </c>
      <c r="O18" s="22">
        <f t="shared" si="0"/>
        <v>0.10248602130851758</v>
      </c>
      <c r="Y18" s="35">
        <v>0.45</v>
      </c>
      <c r="Z18" s="34">
        <f t="shared" si="1"/>
        <v>0.56978282473092301</v>
      </c>
      <c r="AK18" s="1135">
        <v>2029</v>
      </c>
      <c r="AN18" s="1356">
        <f t="shared" si="4"/>
        <v>2</v>
      </c>
      <c r="AX18"/>
    </row>
    <row r="19" spans="1:50" x14ac:dyDescent="0.2">
      <c r="A19" s="22">
        <v>10</v>
      </c>
      <c r="B19" s="22">
        <f t="shared" si="5"/>
        <v>0.99752737684336534</v>
      </c>
      <c r="C19" s="22">
        <v>0.99752737684336534</v>
      </c>
      <c r="D19" s="22">
        <v>0.99938202101066886</v>
      </c>
      <c r="L19" s="25">
        <v>0.27500000000000002</v>
      </c>
      <c r="M19" s="22">
        <f t="shared" si="2"/>
        <v>0.99943300947904423</v>
      </c>
      <c r="N19" s="22">
        <f t="shared" si="3"/>
        <v>-0.72499999999999998</v>
      </c>
      <c r="O19" s="22">
        <f t="shared" si="0"/>
        <v>0.12774297538887924</v>
      </c>
      <c r="Y19" s="35">
        <v>0.5</v>
      </c>
      <c r="Z19" s="34">
        <f t="shared" si="1"/>
        <v>0.4993517885992762</v>
      </c>
      <c r="AK19" s="1135">
        <v>2030</v>
      </c>
      <c r="AN19" s="1356">
        <f t="shared" si="4"/>
        <v>2</v>
      </c>
      <c r="AX19"/>
    </row>
    <row r="20" spans="1:50" x14ac:dyDescent="0.2">
      <c r="A20" s="22">
        <v>11</v>
      </c>
      <c r="B20" s="22">
        <f t="shared" si="5"/>
        <v>0.9990889488055994</v>
      </c>
      <c r="C20" s="22">
        <v>0.9990889488055994</v>
      </c>
      <c r="D20" s="22">
        <v>0.99999999810782125</v>
      </c>
      <c r="L20" s="25">
        <v>0.3</v>
      </c>
      <c r="M20" s="22">
        <f t="shared" si="2"/>
        <v>0.99895770070666057</v>
      </c>
      <c r="N20" s="22">
        <f t="shared" si="3"/>
        <v>-0.7</v>
      </c>
      <c r="O20" s="22">
        <f t="shared" si="0"/>
        <v>0.1569038878395056</v>
      </c>
      <c r="Y20" s="35">
        <v>0.55000000000000004</v>
      </c>
      <c r="Z20" s="34">
        <f t="shared" si="1"/>
        <v>0.43159062049319474</v>
      </c>
      <c r="AK20" s="1135">
        <v>2031</v>
      </c>
      <c r="AN20" s="1356">
        <f t="shared" si="4"/>
        <v>2</v>
      </c>
      <c r="AX20"/>
    </row>
    <row r="21" spans="1:50" x14ac:dyDescent="0.2">
      <c r="A21" s="22">
        <v>12</v>
      </c>
      <c r="B21" s="22">
        <f t="shared" si="5"/>
        <v>0.99966464986953363</v>
      </c>
      <c r="C21" s="22">
        <v>0.99966464986953363</v>
      </c>
      <c r="D21" s="22">
        <v>1</v>
      </c>
      <c r="L21" s="25">
        <v>0.32500000000000001</v>
      </c>
      <c r="M21" s="22">
        <f t="shared" si="2"/>
        <v>0.99817544432894423</v>
      </c>
      <c r="N21" s="22">
        <f t="shared" si="3"/>
        <v>-0.67500000000000004</v>
      </c>
      <c r="O21" s="22">
        <f t="shared" si="0"/>
        <v>0.1900091511231311</v>
      </c>
      <c r="Y21" s="35">
        <v>0.6</v>
      </c>
      <c r="Z21" s="34">
        <f t="shared" si="1"/>
        <v>0.36787944117144233</v>
      </c>
      <c r="AK21" s="1135">
        <v>2032</v>
      </c>
      <c r="AN21" s="1356">
        <f t="shared" si="4"/>
        <v>2</v>
      </c>
      <c r="AX21"/>
    </row>
    <row r="22" spans="1:50" x14ac:dyDescent="0.2">
      <c r="A22" s="22">
        <v>13</v>
      </c>
      <c r="B22" s="22">
        <f t="shared" si="5"/>
        <v>0.99987660542401369</v>
      </c>
      <c r="C22" s="22">
        <v>0.99987660542401369</v>
      </c>
      <c r="D22" s="22">
        <v>1</v>
      </c>
      <c r="L22" s="25">
        <v>0.35</v>
      </c>
      <c r="M22" s="22">
        <f t="shared" si="2"/>
        <v>0.9969367645606777</v>
      </c>
      <c r="N22" s="22">
        <f t="shared" si="3"/>
        <v>-0.65</v>
      </c>
      <c r="O22" s="22">
        <f t="shared" si="0"/>
        <v>0.22697567607520741</v>
      </c>
      <c r="Y22" s="35">
        <v>0.65</v>
      </c>
      <c r="Z22" s="34">
        <f t="shared" si="1"/>
        <v>0.30924819293334371</v>
      </c>
      <c r="AK22" s="1135">
        <v>2033</v>
      </c>
      <c r="AN22" s="1356">
        <f t="shared" si="4"/>
        <v>2</v>
      </c>
      <c r="AX22"/>
    </row>
    <row r="23" spans="1:50" ht="15" customHeight="1" x14ac:dyDescent="0.2">
      <c r="A23" s="22">
        <v>14</v>
      </c>
      <c r="B23" s="22">
        <f t="shared" si="5"/>
        <v>0.99995460213129761</v>
      </c>
      <c r="C23" s="22">
        <v>0.99995460213129761</v>
      </c>
      <c r="D23" s="22">
        <v>1</v>
      </c>
      <c r="E23" s="1349"/>
      <c r="F23" s="1349"/>
      <c r="G23" s="1349"/>
      <c r="H23" s="1349"/>
      <c r="I23" s="1349"/>
      <c r="J23" s="1349"/>
      <c r="L23" s="25">
        <v>0.375</v>
      </c>
      <c r="M23" s="22">
        <f t="shared" si="2"/>
        <v>0.9950396809351163</v>
      </c>
      <c r="N23" s="22">
        <f t="shared" si="3"/>
        <v>-0.625</v>
      </c>
      <c r="O23" s="22">
        <f t="shared" si="0"/>
        <v>0.26758881673355606</v>
      </c>
      <c r="Y23" s="35">
        <v>0.7</v>
      </c>
      <c r="Z23" s="34">
        <f t="shared" si="1"/>
        <v>0.25637575668641222</v>
      </c>
      <c r="AK23" s="1135">
        <v>2034</v>
      </c>
      <c r="AN23" s="1356">
        <f>AN24</f>
        <v>2</v>
      </c>
      <c r="AX23"/>
    </row>
    <row r="24" spans="1:50" x14ac:dyDescent="0.2">
      <c r="A24" s="22">
        <v>15</v>
      </c>
      <c r="B24" s="22">
        <f t="shared" si="5"/>
        <v>0.99998329857815205</v>
      </c>
      <c r="C24" s="22">
        <v>0.99998329857815205</v>
      </c>
      <c r="D24" s="1349">
        <v>1</v>
      </c>
      <c r="E24" s="1349"/>
      <c r="F24" s="1349"/>
      <c r="G24" s="1349"/>
      <c r="H24" s="1349"/>
      <c r="I24" s="1349"/>
      <c r="J24" s="1349"/>
      <c r="L24" s="25">
        <v>0.4</v>
      </c>
      <c r="M24" s="22">
        <f t="shared" si="2"/>
        <v>0.99221793826024351</v>
      </c>
      <c r="N24" s="22">
        <f t="shared" si="3"/>
        <v>-0.6</v>
      </c>
      <c r="O24" s="22">
        <f t="shared" si="0"/>
        <v>0.31150160758012346</v>
      </c>
      <c r="Y24" s="35">
        <v>0.75</v>
      </c>
      <c r="Z24" s="34">
        <f t="shared" si="1"/>
        <v>0.20961138715109784</v>
      </c>
      <c r="AK24" s="1135">
        <v>2035</v>
      </c>
      <c r="AL24" s="1353">
        <f t="shared" ref="AL24:AL39" si="6">(AK24-$AK$24)/15</f>
        <v>0</v>
      </c>
      <c r="AM24" s="34">
        <f t="shared" ref="AM24:AM39" si="7">WEIBULL(AL24,AL$4,AL$5,1)</f>
        <v>0</v>
      </c>
      <c r="AN24" s="1356">
        <f>2-AM24</f>
        <v>2</v>
      </c>
      <c r="AX24"/>
    </row>
    <row r="25" spans="1:50" x14ac:dyDescent="0.2">
      <c r="A25" s="22">
        <v>16</v>
      </c>
      <c r="B25" s="22">
        <f t="shared" si="5"/>
        <v>0.99999385582539779</v>
      </c>
      <c r="C25" s="22">
        <v>0.99999385582539779</v>
      </c>
      <c r="D25" s="22">
        <v>1</v>
      </c>
      <c r="L25" s="25">
        <v>0.42499999999999999</v>
      </c>
      <c r="M25" s="22">
        <f t="shared" si="2"/>
        <v>0.98812860058541385</v>
      </c>
      <c r="N25" s="22">
        <f t="shared" si="3"/>
        <v>-0.57499999999999996</v>
      </c>
      <c r="O25" s="22">
        <f t="shared" si="0"/>
        <v>0.35824172723251291</v>
      </c>
      <c r="Y25" s="35">
        <v>0.8</v>
      </c>
      <c r="Z25" s="34">
        <f t="shared" si="1"/>
        <v>0.16901331540606601</v>
      </c>
      <c r="AK25" s="1135">
        <v>2036</v>
      </c>
      <c r="AL25" s="1353">
        <f t="shared" si="6"/>
        <v>6.6666666666666666E-2</v>
      </c>
      <c r="AM25" s="34">
        <f t="shared" si="7"/>
        <v>1.5240417557940526E-4</v>
      </c>
      <c r="AN25" s="1356">
        <f t="shared" ref="AN25:AN39" si="8">2-AM25</f>
        <v>1.9998475958244206</v>
      </c>
      <c r="AX25"/>
    </row>
    <row r="26" spans="1:50" x14ac:dyDescent="0.2">
      <c r="A26" s="22">
        <v>17</v>
      </c>
      <c r="B26" s="22">
        <f t="shared" si="5"/>
        <v>0.99999773967570205</v>
      </c>
      <c r="C26" s="22">
        <v>0.99999773967570205</v>
      </c>
      <c r="D26" s="22">
        <v>1</v>
      </c>
      <c r="L26" s="25">
        <v>0.45</v>
      </c>
      <c r="M26" s="22">
        <f t="shared" si="2"/>
        <v>0.98233985300209392</v>
      </c>
      <c r="N26" s="22">
        <f t="shared" si="3"/>
        <v>-0.55000000000000004</v>
      </c>
      <c r="O26" s="22">
        <f t="shared" si="0"/>
        <v>0.40722594992410832</v>
      </c>
      <c r="Y26" s="35">
        <v>0.85</v>
      </c>
      <c r="Z26" s="34">
        <f t="shared" si="1"/>
        <v>0.13439871063288245</v>
      </c>
      <c r="AK26" s="1135">
        <v>2037</v>
      </c>
      <c r="AL26" s="1353">
        <f t="shared" si="6"/>
        <v>0.13333333333333333</v>
      </c>
      <c r="AM26" s="34">
        <f t="shared" si="7"/>
        <v>2.4356815467030703E-3</v>
      </c>
      <c r="AN26" s="1356">
        <f t="shared" si="8"/>
        <v>1.997564318453297</v>
      </c>
      <c r="AX26"/>
    </row>
    <row r="27" spans="1:50" x14ac:dyDescent="0.2">
      <c r="A27" s="22">
        <v>18</v>
      </c>
      <c r="B27" s="22">
        <f t="shared" si="5"/>
        <v>0.99999916847197223</v>
      </c>
      <c r="C27" s="22">
        <v>0.99999916847197223</v>
      </c>
      <c r="D27" s="22">
        <v>1</v>
      </c>
      <c r="L27" s="25">
        <v>0.47499999999999998</v>
      </c>
      <c r="M27" s="22">
        <f t="shared" si="2"/>
        <v>0.97432038550085287</v>
      </c>
      <c r="N27" s="22">
        <f t="shared" si="3"/>
        <v>-0.52500000000000002</v>
      </c>
      <c r="O27" s="22">
        <f t="shared" si="0"/>
        <v>0.45778121686063711</v>
      </c>
      <c r="Y27" s="35">
        <v>0.9</v>
      </c>
      <c r="Z27" s="34">
        <f t="shared" si="1"/>
        <v>0.10539922456186435</v>
      </c>
      <c r="AK27" s="1135">
        <v>2038</v>
      </c>
      <c r="AL27" s="1353">
        <f t="shared" si="6"/>
        <v>0.2</v>
      </c>
      <c r="AM27" s="34">
        <f t="shared" si="7"/>
        <v>1.2269783764389463E-2</v>
      </c>
      <c r="AN27" s="1356">
        <f t="shared" si="8"/>
        <v>1.9877302162356105</v>
      </c>
      <c r="AX27"/>
    </row>
    <row r="28" spans="1:50" x14ac:dyDescent="0.2">
      <c r="A28" s="22">
        <v>19</v>
      </c>
      <c r="B28" s="22">
        <f t="shared" si="5"/>
        <v>0.99999969409777301</v>
      </c>
      <c r="C28" s="22">
        <v>0.99999969409777301</v>
      </c>
      <c r="D28" s="22">
        <v>1</v>
      </c>
      <c r="L28" s="25">
        <v>0.5</v>
      </c>
      <c r="M28" s="22">
        <f t="shared" si="2"/>
        <v>0.9634324495939437</v>
      </c>
      <c r="N28" s="22">
        <f t="shared" si="3"/>
        <v>-0.5</v>
      </c>
      <c r="O28" s="22">
        <f t="shared" si="0"/>
        <v>0.50917092352272386</v>
      </c>
      <c r="Y28" s="35">
        <v>0.95</v>
      </c>
      <c r="Z28" s="34">
        <f t="shared" si="1"/>
        <v>8.1516938624689561E-2</v>
      </c>
      <c r="AK28" s="1135">
        <v>2039</v>
      </c>
      <c r="AL28" s="1353">
        <f t="shared" si="6"/>
        <v>0.26666666666666666</v>
      </c>
      <c r="AM28" s="34">
        <f t="shared" si="7"/>
        <v>3.826702759539987E-2</v>
      </c>
      <c r="AN28" s="1356">
        <f t="shared" si="8"/>
        <v>1.9617329724046002</v>
      </c>
      <c r="AX28"/>
    </row>
    <row r="29" spans="1:50" x14ac:dyDescent="0.2">
      <c r="A29" s="22">
        <v>20</v>
      </c>
      <c r="B29" s="22">
        <f t="shared" si="5"/>
        <v>0.99999988746483792</v>
      </c>
      <c r="C29" s="22">
        <v>0.99999988746483792</v>
      </c>
      <c r="D29" s="22">
        <v>1</v>
      </c>
      <c r="L29" s="25">
        <v>0.52500000000000002</v>
      </c>
      <c r="M29" s="22">
        <f t="shared" si="2"/>
        <v>0.94893158415692824</v>
      </c>
      <c r="N29" s="22">
        <f t="shared" si="3"/>
        <v>-0.47499999999999998</v>
      </c>
      <c r="O29" s="22">
        <f t="shared" si="0"/>
        <v>0.56062463136977081</v>
      </c>
      <c r="Y29" s="35">
        <v>1</v>
      </c>
      <c r="Z29" s="34">
        <f t="shared" si="1"/>
        <v>6.2176524022116264E-2</v>
      </c>
      <c r="AK29" s="1135">
        <v>2040</v>
      </c>
      <c r="AL29" s="1353">
        <f t="shared" si="6"/>
        <v>0.33333333333333331</v>
      </c>
      <c r="AM29" s="34">
        <f t="shared" si="7"/>
        <v>9.0863352593165345E-2</v>
      </c>
      <c r="AN29" s="1356">
        <f t="shared" si="8"/>
        <v>1.9091366474068348</v>
      </c>
      <c r="AX29"/>
    </row>
    <row r="30" spans="1:50" x14ac:dyDescent="0.2">
      <c r="A30" s="22">
        <v>21</v>
      </c>
      <c r="B30" s="22">
        <f t="shared" si="5"/>
        <v>0.99999995860062441</v>
      </c>
      <c r="C30" s="22">
        <v>0.99999995860062441</v>
      </c>
      <c r="D30" s="22">
        <v>1</v>
      </c>
      <c r="L30" s="25">
        <v>0.55000000000000004</v>
      </c>
      <c r="M30" s="22">
        <f t="shared" si="2"/>
        <v>0.92997705138372622</v>
      </c>
      <c r="N30" s="22">
        <f t="shared" si="3"/>
        <v>-0.44999999999999996</v>
      </c>
      <c r="O30" s="22">
        <f t="shared" si="0"/>
        <v>0.61136920713398091</v>
      </c>
      <c r="Y30" s="35">
        <v>1.05</v>
      </c>
      <c r="Z30" s="34">
        <f t="shared" si="1"/>
        <v>4.6770622383959015E-2</v>
      </c>
      <c r="AK30" s="1135">
        <v>2041</v>
      </c>
      <c r="AL30" s="1353">
        <f t="shared" si="6"/>
        <v>0.4</v>
      </c>
      <c r="AM30" s="34">
        <f t="shared" si="7"/>
        <v>0.17924519170173203</v>
      </c>
      <c r="AN30" s="1356">
        <f t="shared" si="8"/>
        <v>1.8207548082982679</v>
      </c>
      <c r="AX30"/>
    </row>
    <row r="31" spans="1:50" x14ac:dyDescent="0.2">
      <c r="A31" s="22">
        <v>22</v>
      </c>
      <c r="B31" s="22">
        <f t="shared" si="5"/>
        <v>0.9999999847700205</v>
      </c>
      <c r="C31" s="22">
        <v>0.9999999847700205</v>
      </c>
      <c r="D31" s="22">
        <v>1</v>
      </c>
      <c r="L31" s="25">
        <v>0.57499999999999996</v>
      </c>
      <c r="M31" s="22">
        <f t="shared" si="2"/>
        <v>0.90565805896143126</v>
      </c>
      <c r="N31" s="22">
        <f t="shared" si="3"/>
        <v>-0.42500000000000004</v>
      </c>
      <c r="O31" s="22">
        <f t="shared" si="0"/>
        <v>0.66065937979978262</v>
      </c>
      <c r="Y31" s="35">
        <v>1.1000000000000001</v>
      </c>
      <c r="Z31" s="34">
        <f t="shared" si="1"/>
        <v>3.4696685646156467E-2</v>
      </c>
      <c r="AK31" s="1135">
        <v>2042</v>
      </c>
      <c r="AL31" s="1353">
        <f t="shared" si="6"/>
        <v>0.46666666666666667</v>
      </c>
      <c r="AM31" s="34">
        <f t="shared" si="7"/>
        <v>0.30646273948068542</v>
      </c>
      <c r="AN31" s="1356">
        <f t="shared" si="8"/>
        <v>1.6935372605193146</v>
      </c>
      <c r="AX31"/>
    </row>
    <row r="32" spans="1:50" x14ac:dyDescent="0.2">
      <c r="A32" s="22">
        <v>23</v>
      </c>
      <c r="B32" s="22">
        <f t="shared" si="5"/>
        <v>0.99999999439720355</v>
      </c>
      <c r="C32" s="22">
        <v>0.99999999439720355</v>
      </c>
      <c r="D32" s="22">
        <v>1</v>
      </c>
      <c r="L32" s="25">
        <v>0.6</v>
      </c>
      <c r="M32" s="22">
        <f t="shared" si="2"/>
        <v>0.87504156865492166</v>
      </c>
      <c r="N32" s="22">
        <f t="shared" si="3"/>
        <v>-0.4</v>
      </c>
      <c r="O32" s="22">
        <f t="shared" si="0"/>
        <v>0.7078058710663363</v>
      </c>
      <c r="Y32" s="35">
        <v>1.1499999999999999</v>
      </c>
      <c r="Z32" s="34">
        <f t="shared" si="1"/>
        <v>2.538463749137676E-2</v>
      </c>
      <c r="AK32" s="1135">
        <v>2043</v>
      </c>
      <c r="AL32" s="1353">
        <f t="shared" si="6"/>
        <v>0.53333333333333333</v>
      </c>
      <c r="AM32" s="34">
        <f t="shared" si="7"/>
        <v>0.46436112035159544</v>
      </c>
      <c r="AN32" s="1356">
        <f t="shared" si="8"/>
        <v>1.5356388796484046</v>
      </c>
      <c r="AX32"/>
    </row>
    <row r="33" spans="1:50" x14ac:dyDescent="0.2">
      <c r="A33" s="22">
        <v>24</v>
      </c>
      <c r="B33" s="22">
        <f t="shared" si="5"/>
        <v>0.99999999793884631</v>
      </c>
      <c r="C33" s="22">
        <v>0.99999999793884631</v>
      </c>
      <c r="D33" s="22">
        <v>1</v>
      </c>
      <c r="L33" s="25">
        <v>0.625</v>
      </c>
      <c r="M33" s="22">
        <f t="shared" si="2"/>
        <v>0.83724739060375519</v>
      </c>
      <c r="N33" s="22">
        <f t="shared" si="3"/>
        <v>-0.375</v>
      </c>
      <c r="O33" s="22">
        <f t="shared" si="0"/>
        <v>0.75219956714526204</v>
      </c>
      <c r="Y33" s="35">
        <v>1.2</v>
      </c>
      <c r="Z33" s="34">
        <f t="shared" si="1"/>
        <v>1.831563888873422E-2</v>
      </c>
      <c r="AK33" s="1135">
        <v>2044</v>
      </c>
      <c r="AL33" s="1353">
        <f t="shared" si="6"/>
        <v>0.6</v>
      </c>
      <c r="AM33" s="34">
        <f t="shared" si="7"/>
        <v>0.63212055882855767</v>
      </c>
      <c r="AN33" s="1356">
        <f t="shared" si="8"/>
        <v>1.3678794411714423</v>
      </c>
      <c r="AX33"/>
    </row>
    <row r="34" spans="1:50" x14ac:dyDescent="0.2">
      <c r="A34" s="22">
        <v>25</v>
      </c>
      <c r="B34" s="22">
        <f t="shared" si="5"/>
        <v>0.99999999924174388</v>
      </c>
      <c r="C34" s="22">
        <v>0.99999999924174388</v>
      </c>
      <c r="D34" s="22">
        <v>1</v>
      </c>
      <c r="L34" s="25">
        <v>0.65</v>
      </c>
      <c r="M34" s="22">
        <f t="shared" si="2"/>
        <v>0.79155458216907237</v>
      </c>
      <c r="N34" s="22">
        <f t="shared" si="3"/>
        <v>-0.35</v>
      </c>
      <c r="O34" s="22">
        <f t="shared" si="0"/>
        <v>0.79333061294042917</v>
      </c>
      <c r="Y34" s="35">
        <v>1.25</v>
      </c>
      <c r="Z34" s="34">
        <f t="shared" si="1"/>
        <v>1.3032907448509379E-2</v>
      </c>
      <c r="AK34" s="1135">
        <v>2045</v>
      </c>
      <c r="AL34" s="1353">
        <f t="shared" si="6"/>
        <v>0.66666666666666663</v>
      </c>
      <c r="AM34" s="34">
        <f t="shared" si="7"/>
        <v>0.78219560786090769</v>
      </c>
      <c r="AN34" s="1356">
        <f t="shared" si="8"/>
        <v>1.2178043921390924</v>
      </c>
      <c r="AX34"/>
    </row>
    <row r="35" spans="1:50" x14ac:dyDescent="0.2">
      <c r="L35" s="25">
        <v>0.67500000000000004</v>
      </c>
      <c r="M35" s="22">
        <f t="shared" si="2"/>
        <v>0.73753897394476564</v>
      </c>
      <c r="N35" s="22">
        <f t="shared" si="3"/>
        <v>-0.32499999999999996</v>
      </c>
      <c r="O35" s="22">
        <f t="shared" si="0"/>
        <v>0.83080177321422377</v>
      </c>
      <c r="Y35" s="35">
        <v>1.3</v>
      </c>
      <c r="Z35" s="34">
        <f t="shared" si="1"/>
        <v>9.1459470384278596E-3</v>
      </c>
      <c r="AK35" s="1135">
        <v>2046</v>
      </c>
      <c r="AL35" s="1353">
        <f t="shared" si="6"/>
        <v>0.73333333333333328</v>
      </c>
      <c r="AM35" s="34">
        <f t="shared" si="7"/>
        <v>0.89263484441361618</v>
      </c>
      <c r="AN35" s="1356">
        <f t="shared" si="8"/>
        <v>1.1073651555863839</v>
      </c>
      <c r="AX35"/>
    </row>
    <row r="36" spans="1:50" x14ac:dyDescent="0.2">
      <c r="L36" s="25">
        <v>0.7</v>
      </c>
      <c r="M36" s="22">
        <f t="shared" si="2"/>
        <v>0.67523405249260549</v>
      </c>
      <c r="N36" s="22">
        <f t="shared" si="3"/>
        <v>-0.30000000000000004</v>
      </c>
      <c r="O36" s="22">
        <f t="shared" si="0"/>
        <v>0.86433586981998112</v>
      </c>
      <c r="Y36" s="35">
        <v>1.35</v>
      </c>
      <c r="Z36" s="34">
        <f t="shared" si="1"/>
        <v>6.329715427485727E-3</v>
      </c>
      <c r="AK36" s="1135">
        <v>2047</v>
      </c>
      <c r="AL36" s="1353">
        <f t="shared" si="6"/>
        <v>0.8</v>
      </c>
      <c r="AM36" s="34">
        <f t="shared" si="7"/>
        <v>0.95759520473050741</v>
      </c>
      <c r="AN36" s="1356">
        <f t="shared" si="8"/>
        <v>1.0424047952694926</v>
      </c>
      <c r="AX36"/>
    </row>
    <row r="37" spans="1:50" x14ac:dyDescent="0.2">
      <c r="L37" s="25">
        <v>0.72499999999999998</v>
      </c>
      <c r="M37" s="22">
        <f t="shared" si="2"/>
        <v>0.60529612644814879</v>
      </c>
      <c r="N37" s="22">
        <f t="shared" si="3"/>
        <v>-0.27500000000000002</v>
      </c>
      <c r="O37" s="22">
        <f t="shared" si="0"/>
        <v>0.89377752699959134</v>
      </c>
      <c r="Y37" s="35">
        <v>1.4</v>
      </c>
      <c r="Z37" s="34">
        <f t="shared" si="1"/>
        <v>4.3202394740941008E-3</v>
      </c>
      <c r="AK37" s="1135">
        <v>2048</v>
      </c>
      <c r="AL37" s="1353">
        <f t="shared" si="6"/>
        <v>0.8666666666666667</v>
      </c>
      <c r="AM37" s="34">
        <f t="shared" si="7"/>
        <v>0.98713374628095452</v>
      </c>
      <c r="AN37" s="1356">
        <f t="shared" si="8"/>
        <v>1.0128662537190456</v>
      </c>
      <c r="AX37"/>
    </row>
    <row r="38" spans="1:50" x14ac:dyDescent="0.2">
      <c r="L38" s="25">
        <v>0.75</v>
      </c>
      <c r="M38" s="22">
        <f t="shared" si="2"/>
        <v>0.52914077242073576</v>
      </c>
      <c r="N38" s="22">
        <f t="shared" si="3"/>
        <v>-0.25</v>
      </c>
      <c r="O38" s="22">
        <f t="shared" si="0"/>
        <v>0.91908980640374016</v>
      </c>
      <c r="Y38" s="35">
        <v>1.45</v>
      </c>
      <c r="Z38" s="34">
        <f t="shared" si="1"/>
        <v>2.9080347261855044E-3</v>
      </c>
      <c r="AK38" s="1135">
        <v>2049</v>
      </c>
      <c r="AL38" s="1353">
        <f t="shared" si="6"/>
        <v>0.93333333333333335</v>
      </c>
      <c r="AM38" s="34">
        <f t="shared" si="7"/>
        <v>0.99713505177129269</v>
      </c>
      <c r="AN38" s="1356">
        <f t="shared" si="8"/>
        <v>1.0028649482287073</v>
      </c>
      <c r="AX38"/>
    </row>
    <row r="39" spans="1:50" x14ac:dyDescent="0.2">
      <c r="L39" s="25">
        <v>0.77500000000000002</v>
      </c>
      <c r="M39" s="22">
        <f t="shared" si="2"/>
        <v>0.44900446071673594</v>
      </c>
      <c r="N39" s="22">
        <f t="shared" si="3"/>
        <v>-0.22499999999999998</v>
      </c>
      <c r="O39" s="22">
        <f t="shared" si="0"/>
        <v>0.94034657071919869</v>
      </c>
      <c r="Y39" s="35">
        <v>1.5</v>
      </c>
      <c r="Z39" s="34">
        <f t="shared" si="1"/>
        <v>1.9304541362277217E-3</v>
      </c>
      <c r="AK39" s="1135">
        <v>2050</v>
      </c>
      <c r="AL39" s="1353">
        <f t="shared" si="6"/>
        <v>1</v>
      </c>
      <c r="AM39" s="34">
        <f t="shared" si="7"/>
        <v>0.99955438240440797</v>
      </c>
      <c r="AN39" s="1356">
        <f t="shared" si="8"/>
        <v>1.000445617595592</v>
      </c>
      <c r="AX39"/>
    </row>
    <row r="40" spans="1:50" x14ac:dyDescent="0.2">
      <c r="L40" s="25">
        <v>0.8</v>
      </c>
      <c r="M40" s="22">
        <f t="shared" si="2"/>
        <v>0.36787944117144233</v>
      </c>
      <c r="N40" s="22">
        <f t="shared" si="3"/>
        <v>-0.19999999999999996</v>
      </c>
      <c r="O40" s="22">
        <f t="shared" si="0"/>
        <v>0.95772157283543613</v>
      </c>
      <c r="Z40" s="29"/>
    </row>
    <row r="41" spans="1:50" x14ac:dyDescent="0.2">
      <c r="L41" s="25">
        <v>0.82499999999999996</v>
      </c>
      <c r="M41" s="22">
        <f t="shared" si="2"/>
        <v>0.2892800760938834</v>
      </c>
      <c r="N41" s="22">
        <f t="shared" si="3"/>
        <v>-0.17500000000000004</v>
      </c>
      <c r="O41" s="22">
        <f t="shared" si="0"/>
        <v>0.97147533043809331</v>
      </c>
      <c r="Z41" s="29"/>
    </row>
    <row r="42" spans="1:50" x14ac:dyDescent="0.2">
      <c r="L42" s="25">
        <v>0.85</v>
      </c>
      <c r="M42" s="22">
        <f t="shared" si="2"/>
        <v>0.21683237755298213</v>
      </c>
      <c r="N42" s="22">
        <f t="shared" si="3"/>
        <v>-0.15000000000000002</v>
      </c>
      <c r="O42" s="22">
        <f t="shared" si="0"/>
        <v>0.98194082615872769</v>
      </c>
      <c r="Z42" s="29"/>
    </row>
    <row r="43" spans="1:50" x14ac:dyDescent="0.2">
      <c r="L43" s="25">
        <v>0.875</v>
      </c>
      <c r="M43" s="22">
        <f t="shared" si="2"/>
        <v>0.15373576100167052</v>
      </c>
      <c r="N43" s="22">
        <f t="shared" si="3"/>
        <v>-0.125</v>
      </c>
      <c r="O43" s="22">
        <f t="shared" si="0"/>
        <v>0.98950898865769854</v>
      </c>
      <c r="Z43" s="29"/>
    </row>
    <row r="44" spans="1:50" x14ac:dyDescent="0.2">
      <c r="L44" s="25">
        <v>0.9</v>
      </c>
      <c r="M44" s="22">
        <f t="shared" si="2"/>
        <v>0.10221290412453365</v>
      </c>
      <c r="N44" s="22">
        <f t="shared" si="3"/>
        <v>-9.9999999999999978E-2</v>
      </c>
      <c r="O44" s="22">
        <f t="shared" si="0"/>
        <v>0.99461478043461715</v>
      </c>
      <c r="Z44" s="29"/>
    </row>
    <row r="45" spans="1:50" x14ac:dyDescent="0.2">
      <c r="L45" s="25">
        <v>0.92500000000000004</v>
      </c>
      <c r="M45" s="22">
        <f t="shared" si="2"/>
        <v>6.3109670968522158E-2</v>
      </c>
      <c r="N45" s="22">
        <f t="shared" si="3"/>
        <v>-7.4999999999999956E-2</v>
      </c>
      <c r="O45" s="22">
        <f t="shared" si="0"/>
        <v>0.99772456387142661</v>
      </c>
      <c r="Z45" s="29"/>
    </row>
    <row r="46" spans="1:50" x14ac:dyDescent="0.2">
      <c r="L46" s="25">
        <v>0.95</v>
      </c>
      <c r="M46" s="22">
        <f t="shared" si="2"/>
        <v>3.5795549198594179E-2</v>
      </c>
      <c r="N46" s="22">
        <f t="shared" si="3"/>
        <v>-5.0000000000000044E-2</v>
      </c>
      <c r="O46" s="22">
        <f t="shared" si="0"/>
        <v>0.99932525622582913</v>
      </c>
      <c r="Z46" s="29"/>
    </row>
    <row r="47" spans="1:50" x14ac:dyDescent="0.2">
      <c r="L47" s="25">
        <v>0.97499999999999998</v>
      </c>
      <c r="M47" s="22">
        <f t="shared" si="2"/>
        <v>1.842682212202218E-2</v>
      </c>
      <c r="N47" s="22">
        <f t="shared" si="3"/>
        <v>-2.5000000000000022E-2</v>
      </c>
      <c r="O47" s="22">
        <f t="shared" si="0"/>
        <v>0.99991563211964452</v>
      </c>
      <c r="Z47" s="29"/>
    </row>
    <row r="48" spans="1:50" x14ac:dyDescent="0.2">
      <c r="L48" s="25">
        <v>1</v>
      </c>
      <c r="M48" s="22">
        <f t="shared" si="2"/>
        <v>8.4942010133964851E-3</v>
      </c>
      <c r="N48" s="22">
        <v>1</v>
      </c>
      <c r="O48" s="22">
        <f>O$7</f>
        <v>1</v>
      </c>
      <c r="Z48" s="29"/>
    </row>
    <row r="49" spans="26:26" x14ac:dyDescent="0.2">
      <c r="Z49" s="29"/>
    </row>
  </sheetData>
  <phoneticPr fontId="27" type="noConversion"/>
  <printOptions horizontalCentered="1"/>
  <pageMargins left="0.5" right="0.5" top="1" bottom="1" header="0.5" footer="0.5"/>
  <pageSetup scale="75" fitToWidth="2" orientation="portrait" r:id="rId1"/>
  <headerFooter alignWithMargins="0"/>
  <colBreaks count="1" manualBreakCount="1">
    <brk id="11" max="1048575" man="1"/>
  </colBreaks>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234</vt:i4>
      </vt:variant>
    </vt:vector>
  </HeadingPairs>
  <TitlesOfParts>
    <vt:vector size="255" baseType="lpstr">
      <vt:lpstr>Change log</vt:lpstr>
      <vt:lpstr>User Notes</vt:lpstr>
      <vt:lpstr>Run Model</vt:lpstr>
      <vt:lpstr>Inputs 7&amp;8 Sleep</vt:lpstr>
      <vt:lpstr>Inputs 7&amp;8 Day</vt:lpstr>
      <vt:lpstr>Inputs 7&amp;8 SU</vt:lpstr>
      <vt:lpstr>Fuel Prices</vt:lpstr>
      <vt:lpstr>7&amp;8 Sleep</vt:lpstr>
      <vt:lpstr>7&amp;8 Day</vt:lpstr>
      <vt:lpstr>7&amp;8 SU</vt:lpstr>
      <vt:lpstr>Mkt Pen Veh-Mi</vt:lpstr>
      <vt:lpstr>Market Penetration</vt:lpstr>
      <vt:lpstr>Mkt Pen Veh-Mi (2)</vt:lpstr>
      <vt:lpstr>CentShrbyTech</vt:lpstr>
      <vt:lpstr>Fuel2ShrbyTech</vt:lpstr>
      <vt:lpstr>MPG</vt:lpstr>
      <vt:lpstr>Veh Price</vt:lpstr>
      <vt:lpstr>FuelAvail</vt:lpstr>
      <vt:lpstr>Market Data</vt:lpstr>
      <vt:lpstr>Adoption Decision</vt:lpstr>
      <vt:lpstr>S-curves</vt:lpstr>
      <vt:lpstr>AdoptCols</vt:lpstr>
      <vt:lpstr>AdoptCurve</vt:lpstr>
      <vt:lpstr>AdoptDec</vt:lpstr>
      <vt:lpstr>BaseFuels</vt:lpstr>
      <vt:lpstr>CDRANGE_CLS1</vt:lpstr>
      <vt:lpstr>CDRANGE_CLS2</vt:lpstr>
      <vt:lpstr>CDRANGE_CLS3</vt:lpstr>
      <vt:lpstr>CentShr</vt:lpstr>
      <vt:lpstr>Cls1CentDailyRng</vt:lpstr>
      <vt:lpstr>Cls1CentTruckShr</vt:lpstr>
      <vt:lpstr>Cls1CentVMT</vt:lpstr>
      <vt:lpstr>Cls1CentVMTShr</vt:lpstr>
      <vt:lpstr>Cls1MktShrA</vt:lpstr>
      <vt:lpstr>Cls1MktShrB</vt:lpstr>
      <vt:lpstr>Cls1MktShrC</vt:lpstr>
      <vt:lpstr>Cls1MktShrCentA</vt:lpstr>
      <vt:lpstr>Cls1MktShrCentB</vt:lpstr>
      <vt:lpstr>Cls1MktShrCentC</vt:lpstr>
      <vt:lpstr>Cls1MktShrCentD</vt:lpstr>
      <vt:lpstr>Cls1MktShrCentE</vt:lpstr>
      <vt:lpstr>Cls1MktShrD</vt:lpstr>
      <vt:lpstr>Cls1MktShrE</vt:lpstr>
      <vt:lpstr>Cls1MktShrNCentA</vt:lpstr>
      <vt:lpstr>Cls1MktShrNCentB</vt:lpstr>
      <vt:lpstr>Cls1MktShrNCentC</vt:lpstr>
      <vt:lpstr>Cls1MktShrNCentD</vt:lpstr>
      <vt:lpstr>Cls1MktShrNCentE</vt:lpstr>
      <vt:lpstr>Cls1NCentDailyRng</vt:lpstr>
      <vt:lpstr>Cls1NCentTruckShr</vt:lpstr>
      <vt:lpstr>Cls1NCentVMT</vt:lpstr>
      <vt:lpstr>Cls1NCentVMTShr</vt:lpstr>
      <vt:lpstr>Cls1TechACentShr</vt:lpstr>
      <vt:lpstr>Cls1TechBCentShr</vt:lpstr>
      <vt:lpstr>Cls1TechCCentShr</vt:lpstr>
      <vt:lpstr>Cls1TechDCentShr</vt:lpstr>
      <vt:lpstr>Cls1TechECentShr</vt:lpstr>
      <vt:lpstr>Cls2CentDailyRng</vt:lpstr>
      <vt:lpstr>Cls2CentTruckShr</vt:lpstr>
      <vt:lpstr>Cls2CentVMT</vt:lpstr>
      <vt:lpstr>Cls2CentVMTShr</vt:lpstr>
      <vt:lpstr>Cls2MktShrA</vt:lpstr>
      <vt:lpstr>Cls2MktShrB</vt:lpstr>
      <vt:lpstr>Cls2MktShrC</vt:lpstr>
      <vt:lpstr>Cls2MktShrCentA</vt:lpstr>
      <vt:lpstr>Cls2MktShrCentB</vt:lpstr>
      <vt:lpstr>Cls2MktShrCentC</vt:lpstr>
      <vt:lpstr>Cls2MktShrCentD</vt:lpstr>
      <vt:lpstr>Cls2MktShrCentE</vt:lpstr>
      <vt:lpstr>Cls2MktShrD</vt:lpstr>
      <vt:lpstr>Cls2MktShrE</vt:lpstr>
      <vt:lpstr>Cls2MktShrNCentA</vt:lpstr>
      <vt:lpstr>Cls2MktShrNCentB</vt:lpstr>
      <vt:lpstr>Cls2MktShrNCentC</vt:lpstr>
      <vt:lpstr>Cls2MktShrNCentD</vt:lpstr>
      <vt:lpstr>Cls2MktShrNCentE</vt:lpstr>
      <vt:lpstr>Cls2NCentDailyRng</vt:lpstr>
      <vt:lpstr>Cls2NCentTruckShr</vt:lpstr>
      <vt:lpstr>Cls2NCentVMT</vt:lpstr>
      <vt:lpstr>Cls2NCentVMTShr</vt:lpstr>
      <vt:lpstr>Cls2TechACentShr</vt:lpstr>
      <vt:lpstr>Cls2TechBCentShr</vt:lpstr>
      <vt:lpstr>Cls2TechCCentShr</vt:lpstr>
      <vt:lpstr>Cls2TechDCentShr</vt:lpstr>
      <vt:lpstr>Cls2TechECentShr</vt:lpstr>
      <vt:lpstr>Cls3CentDailyRng</vt:lpstr>
      <vt:lpstr>Cls3CentTruckShr</vt:lpstr>
      <vt:lpstr>Cls3CentVMT</vt:lpstr>
      <vt:lpstr>Cls3CentVMTShr</vt:lpstr>
      <vt:lpstr>Cls3MktShrA</vt:lpstr>
      <vt:lpstr>Cls3MktShrB</vt:lpstr>
      <vt:lpstr>Cls3MktShrC</vt:lpstr>
      <vt:lpstr>Cls3MktShrCentA</vt:lpstr>
      <vt:lpstr>Cls3MktShrCentB</vt:lpstr>
      <vt:lpstr>Cls3MktShrCentC</vt:lpstr>
      <vt:lpstr>Cls3MktShrCentD</vt:lpstr>
      <vt:lpstr>Cls3MktShrCentE</vt:lpstr>
      <vt:lpstr>Cls3MktShrD</vt:lpstr>
      <vt:lpstr>Cls3MktShrE</vt:lpstr>
      <vt:lpstr>Cls3MktShrNCentA</vt:lpstr>
      <vt:lpstr>Cls3MktShrNCentB</vt:lpstr>
      <vt:lpstr>Cls3MktShrNCentC</vt:lpstr>
      <vt:lpstr>Cls3MktShrNCentD</vt:lpstr>
      <vt:lpstr>Cls3MktShrNCentE</vt:lpstr>
      <vt:lpstr>Cls3NCentDailyRng</vt:lpstr>
      <vt:lpstr>Cls3NCentTruckShr</vt:lpstr>
      <vt:lpstr>Cls3NCentVMT</vt:lpstr>
      <vt:lpstr>Cls3NCentVMTShr</vt:lpstr>
      <vt:lpstr>Cls3TechACentShr</vt:lpstr>
      <vt:lpstr>Cls3TechBCentShr</vt:lpstr>
      <vt:lpstr>Cls3TechCCentShr</vt:lpstr>
      <vt:lpstr>Cls3TechDCentShr</vt:lpstr>
      <vt:lpstr>Cls3TechECentShr</vt:lpstr>
      <vt:lpstr>Cohorts</vt:lpstr>
      <vt:lpstr>COST_Cls1</vt:lpstr>
      <vt:lpstr>COST_Cls2</vt:lpstr>
      <vt:lpstr>COST_Cls3</vt:lpstr>
      <vt:lpstr>disc_rate</vt:lpstr>
      <vt:lpstr>FirstCostInd</vt:lpstr>
      <vt:lpstr>FltShr</vt:lpstr>
      <vt:lpstr>fuel_avail</vt:lpstr>
      <vt:lpstr>FUEL1MPG_78SU</vt:lpstr>
      <vt:lpstr>FUEL1MPG_Cls1</vt:lpstr>
      <vt:lpstr>FUEL1MPG_Cls2</vt:lpstr>
      <vt:lpstr>FUEL1MPG_Cls3</vt:lpstr>
      <vt:lpstr>Fuel2HDStock</vt:lpstr>
      <vt:lpstr>FUEL2MPG_Cls1</vt:lpstr>
      <vt:lpstr>FUEL2MPG_Cls2</vt:lpstr>
      <vt:lpstr>FUEL2MPG_Cls3</vt:lpstr>
      <vt:lpstr>Fuel2Shr</vt:lpstr>
      <vt:lpstr>FuelCls1A</vt:lpstr>
      <vt:lpstr>FuelCls1B</vt:lpstr>
      <vt:lpstr>FuelCls1C</vt:lpstr>
      <vt:lpstr>FuelCls1D</vt:lpstr>
      <vt:lpstr>FuelCls1E</vt:lpstr>
      <vt:lpstr>FuelCls2A</vt:lpstr>
      <vt:lpstr>FuelCls2B</vt:lpstr>
      <vt:lpstr>FuelCls2C</vt:lpstr>
      <vt:lpstr>FuelCls2D</vt:lpstr>
      <vt:lpstr>FuelCls2E</vt:lpstr>
      <vt:lpstr>FuelCls3A</vt:lpstr>
      <vt:lpstr>FuelCls3B</vt:lpstr>
      <vt:lpstr>FuelCls3C</vt:lpstr>
      <vt:lpstr>FuelCls3D</vt:lpstr>
      <vt:lpstr>FuelCls3E</vt:lpstr>
      <vt:lpstr>FuelCostInd</vt:lpstr>
      <vt:lpstr>FuelHDStock</vt:lpstr>
      <vt:lpstr>FuelPriceCent</vt:lpstr>
      <vt:lpstr>FuelPriceCols</vt:lpstr>
      <vt:lpstr>FuelPriceIn</vt:lpstr>
      <vt:lpstr>FuelPriceNCent</vt:lpstr>
      <vt:lpstr>Fuels</vt:lpstr>
      <vt:lpstr>Fuels2</vt:lpstr>
      <vt:lpstr>FuelTypes</vt:lpstr>
      <vt:lpstr>HVDiesel</vt:lpstr>
      <vt:lpstr>HVGasoline</vt:lpstr>
      <vt:lpstr>'S-curves'!ICostFactLU</vt:lpstr>
      <vt:lpstr>ICostFactLU</vt:lpstr>
      <vt:lpstr>IncCost_Cls1</vt:lpstr>
      <vt:lpstr>IncCost_Cls2</vt:lpstr>
      <vt:lpstr>IncCost_Cls3</vt:lpstr>
      <vt:lpstr>IncCostCls1A</vt:lpstr>
      <vt:lpstr>IncCostCls1B</vt:lpstr>
      <vt:lpstr>IncCostCls1C</vt:lpstr>
      <vt:lpstr>IncCostCls1D</vt:lpstr>
      <vt:lpstr>IncCostCls1E</vt:lpstr>
      <vt:lpstr>IncCostCls2A</vt:lpstr>
      <vt:lpstr>IncCostCls2B</vt:lpstr>
      <vt:lpstr>IncCostCls2C</vt:lpstr>
      <vt:lpstr>IncCostCls2D</vt:lpstr>
      <vt:lpstr>IncCostCls2E</vt:lpstr>
      <vt:lpstr>IncCostCls3A</vt:lpstr>
      <vt:lpstr>IncCostCls3B</vt:lpstr>
      <vt:lpstr>IncCostCls3C</vt:lpstr>
      <vt:lpstr>IncCostCls3D</vt:lpstr>
      <vt:lpstr>IncCostCls3E</vt:lpstr>
      <vt:lpstr>MktPenMi</vt:lpstr>
      <vt:lpstr>MktPenSales</vt:lpstr>
      <vt:lpstr>MoPayback_Comb</vt:lpstr>
      <vt:lpstr>MoPayback_SU</vt:lpstr>
      <vt:lpstr>MoSavings_Comb</vt:lpstr>
      <vt:lpstr>MoSavings_SU</vt:lpstr>
      <vt:lpstr>MPG</vt:lpstr>
      <vt:lpstr>mpgFbase</vt:lpstr>
      <vt:lpstr>'S-curves'!NPVadjrate</vt:lpstr>
      <vt:lpstr>NPVadjrate</vt:lpstr>
      <vt:lpstr>OPDAYS_Cls1</vt:lpstr>
      <vt:lpstr>OPDAYS_Cls2</vt:lpstr>
      <vt:lpstr>OPDAYS_Cls3</vt:lpstr>
      <vt:lpstr>plugs_per_station</vt:lpstr>
      <vt:lpstr>'Market Data'!Print_Area</vt:lpstr>
      <vt:lpstr>'Market Penetration'!Print_Area</vt:lpstr>
      <vt:lpstr>'Mkt Pen Veh-Mi'!Print_Area</vt:lpstr>
      <vt:lpstr>'Mkt Pen Veh-Mi (2)'!Print_Area</vt:lpstr>
      <vt:lpstr>'7&amp;8 Day'!Print_Titles</vt:lpstr>
      <vt:lpstr>'7&amp;8 Sleep'!Print_Titles</vt:lpstr>
      <vt:lpstr>'Inputs 7&amp;8 Day'!Print_Titles</vt:lpstr>
      <vt:lpstr>'Inputs 7&amp;8 Sleep'!Print_Titles</vt:lpstr>
      <vt:lpstr>RtimeCls1Cent1</vt:lpstr>
      <vt:lpstr>RtimeCls1Cent2</vt:lpstr>
      <vt:lpstr>RtimeCls1NCent1</vt:lpstr>
      <vt:lpstr>RtimeCls1NCent2</vt:lpstr>
      <vt:lpstr>RtimeCls2Cent1</vt:lpstr>
      <vt:lpstr>RtimeCls2Cent2</vt:lpstr>
      <vt:lpstr>RtimeCls2NCent1</vt:lpstr>
      <vt:lpstr>RtimeCls2NCent2</vt:lpstr>
      <vt:lpstr>RtimeCls3Cent1</vt:lpstr>
      <vt:lpstr>RtimeCls3Cent2</vt:lpstr>
      <vt:lpstr>RtimeCls3NCent1</vt:lpstr>
      <vt:lpstr>RtimeCls3NCent2</vt:lpstr>
      <vt:lpstr>'S-curves'!SCdata</vt:lpstr>
      <vt:lpstr>SCdata</vt:lpstr>
      <vt:lpstr>SUBSIDY_Cls1</vt:lpstr>
      <vt:lpstr>SUBSIDY_Cls2</vt:lpstr>
      <vt:lpstr>SUBSIDY_Cls3</vt:lpstr>
      <vt:lpstr>TECH_OPT_COLS_Cls1</vt:lpstr>
      <vt:lpstr>TECH_OPT_COLS_Cls2</vt:lpstr>
      <vt:lpstr>TECH_OPT_COLS_Cls3</vt:lpstr>
      <vt:lpstr>TECH_OPT_DESC_Cls1</vt:lpstr>
      <vt:lpstr>TECH_OPT_DESC_Cls2</vt:lpstr>
      <vt:lpstr>TECH_OPT_DESC_Cls3</vt:lpstr>
      <vt:lpstr>TECH_OPT_FUEL1_Cls1</vt:lpstr>
      <vt:lpstr>TECH_OPT_FUEL1_Cls2</vt:lpstr>
      <vt:lpstr>TECH_OPT_FUEL1_Cls3</vt:lpstr>
      <vt:lpstr>TECH_OPT_FUEL2_Cls1</vt:lpstr>
      <vt:lpstr>TECH_OPT_FUEL2_Cls2</vt:lpstr>
      <vt:lpstr>TECH_OPT_FUEL2_Cls3</vt:lpstr>
      <vt:lpstr>TECH_OPT_PARAMS_Cls1</vt:lpstr>
      <vt:lpstr>TECH_OPT_PARAMS_Cls2</vt:lpstr>
      <vt:lpstr>TECH_OPT_PARAMS_Cls3</vt:lpstr>
      <vt:lpstr>TECH_OPT_ROWS_Cls1</vt:lpstr>
      <vt:lpstr>TECH_OPT_ROWS_Cls2</vt:lpstr>
      <vt:lpstr>TECH_OPT_ROWS_Cls3</vt:lpstr>
      <vt:lpstr>TechACls1</vt:lpstr>
      <vt:lpstr>TechACls2</vt:lpstr>
      <vt:lpstr>TechACls3</vt:lpstr>
      <vt:lpstr>TechBCls1</vt:lpstr>
      <vt:lpstr>TechBCls2</vt:lpstr>
      <vt:lpstr>TechBCls3</vt:lpstr>
      <vt:lpstr>TechCCls1</vt:lpstr>
      <vt:lpstr>TechCCls2</vt:lpstr>
      <vt:lpstr>TechCCls3</vt:lpstr>
      <vt:lpstr>TechDCls1</vt:lpstr>
      <vt:lpstr>TechDCls2</vt:lpstr>
      <vt:lpstr>TechDCls3</vt:lpstr>
      <vt:lpstr>TechECls1</vt:lpstr>
      <vt:lpstr>TechECls2</vt:lpstr>
      <vt:lpstr>TechECls3</vt:lpstr>
      <vt:lpstr>TechHDStock</vt:lpstr>
      <vt:lpstr>TECHOPTS_Cls1</vt:lpstr>
      <vt:lpstr>TECHOPTS_Cls2</vt:lpstr>
      <vt:lpstr>TECHOPTS_Cls3</vt:lpstr>
      <vt:lpstr>TorF</vt:lpstr>
      <vt:lpstr>VehPrice</vt:lpstr>
      <vt:lpstr>Years</vt:lpstr>
    </vt:vector>
  </TitlesOfParts>
  <Company>TAE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Alicia Birky</dc:creator>
  <cp:lastModifiedBy>Microsoft Office User</cp:lastModifiedBy>
  <cp:lastPrinted>2012-07-16T18:43:44Z</cp:lastPrinted>
  <dcterms:created xsi:type="dcterms:W3CDTF">2011-09-16T16:09:37Z</dcterms:created>
  <dcterms:modified xsi:type="dcterms:W3CDTF">2020-08-25T18:04:09Z</dcterms:modified>
</cp:coreProperties>
</file>