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5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6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Yeu D\OneDrive - Nanyang Technological University\PhD\Thesis Report\Thesis\Simulation result\"/>
    </mc:Choice>
  </mc:AlternateContent>
  <xr:revisionPtr revIDLastSave="2198" documentId="8_{5A388255-75BF-4CF1-B843-9CF20E5D4F9C}" xr6:coauthVersionLast="44" xr6:coauthVersionMax="44" xr10:uidLastSave="{C0E84864-439D-4F65-ABC3-B7923A5BFF82}"/>
  <bookViews>
    <workbookView xWindow="-120" yWindow="-120" windowWidth="29040" windowHeight="15840" firstSheet="9" activeTab="11" xr2:uid="{00000000-000D-0000-FFFF-FFFF00000000}"/>
  </bookViews>
  <sheets>
    <sheet name="Overall (0.5-1.0)" sheetId="20" r:id="rId1"/>
    <sheet name="Overall (1.0)" sheetId="19" r:id="rId2"/>
    <sheet name="Overall (0.5)" sheetId="17" r:id="rId3"/>
    <sheet name="Overall (2)" sheetId="18" r:id="rId4"/>
    <sheet name="Overall w heat (final) 050505" sheetId="21" r:id="rId5"/>
    <sheet name="Overall wo heat (final)" sheetId="22" r:id="rId6"/>
    <sheet name="Uncertainty analysis" sheetId="23" r:id="rId7"/>
    <sheet name="Overall w heat (final) 0709 (2)" sheetId="24" r:id="rId8"/>
    <sheet name="Sheet1" sheetId="25" r:id="rId9"/>
    <sheet name="Overall w heat (leak) 0713 (3)" sheetId="26" r:id="rId10"/>
    <sheet name="Overall w heat (leak) 0716 (04)" sheetId="27" r:id="rId11"/>
    <sheet name="Overall w heat 0716 (0.45)" sheetId="28" r:id="rId12"/>
    <sheet name="Uncertainty analysis (2)" sheetId="2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1" i="28" l="1"/>
  <c r="AK72" i="28" s="1"/>
  <c r="AM71" i="28"/>
  <c r="T73" i="28"/>
  <c r="V73" i="28"/>
  <c r="T74" i="28"/>
  <c r="AK68" i="28" l="1"/>
  <c r="AM69" i="28"/>
  <c r="AM72" i="28"/>
  <c r="AN49" i="28" s="1"/>
  <c r="AM44" i="28"/>
  <c r="AN56" i="28" l="1"/>
  <c r="AN55" i="28"/>
  <c r="AN62" i="28"/>
  <c r="AN46" i="28"/>
  <c r="AN69" i="28"/>
  <c r="AN61" i="28"/>
  <c r="AN53" i="28"/>
  <c r="AN45" i="28"/>
  <c r="AN64" i="28"/>
  <c r="AN42" i="28"/>
  <c r="AN70" i="28"/>
  <c r="AN68" i="28"/>
  <c r="AN60" i="28"/>
  <c r="AN52" i="28"/>
  <c r="AN44" i="28"/>
  <c r="AN47" i="28"/>
  <c r="AN67" i="28"/>
  <c r="AN59" i="28"/>
  <c r="AN51" i="28"/>
  <c r="AN43" i="28"/>
  <c r="AN58" i="28"/>
  <c r="AN48" i="28"/>
  <c r="AN63" i="28"/>
  <c r="AN54" i="28"/>
  <c r="AN66" i="28"/>
  <c r="AN50" i="28"/>
  <c r="AN65" i="28"/>
  <c r="AN57" i="28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44" i="29"/>
  <c r="R72" i="29"/>
  <c r="R71" i="29"/>
  <c r="R70" i="29"/>
  <c r="R69" i="29"/>
  <c r="R68" i="29"/>
  <c r="R67" i="29"/>
  <c r="R66" i="29"/>
  <c r="R65" i="29"/>
  <c r="R64" i="29"/>
  <c r="R63" i="29"/>
  <c r="R62" i="29"/>
  <c r="R61" i="29"/>
  <c r="R60" i="29"/>
  <c r="R59" i="29"/>
  <c r="R58" i="29"/>
  <c r="R57" i="29"/>
  <c r="R56" i="29"/>
  <c r="R55" i="29"/>
  <c r="R54" i="29"/>
  <c r="R53" i="29"/>
  <c r="R52" i="29"/>
  <c r="R51" i="29"/>
  <c r="R50" i="29"/>
  <c r="R49" i="29"/>
  <c r="R48" i="29"/>
  <c r="R47" i="29"/>
  <c r="R46" i="29"/>
  <c r="R45" i="29"/>
  <c r="R44" i="29"/>
  <c r="AB31" i="29"/>
  <c r="AG31" i="29" s="1"/>
  <c r="Z31" i="29"/>
  <c r="Y31" i="29"/>
  <c r="W31" i="29"/>
  <c r="V31" i="29" s="1"/>
  <c r="N31" i="29"/>
  <c r="O31" i="29" s="1"/>
  <c r="J31" i="29"/>
  <c r="K31" i="29" s="1"/>
  <c r="L31" i="29" s="1"/>
  <c r="AB30" i="29"/>
  <c r="AG30" i="29" s="1"/>
  <c r="Z30" i="29"/>
  <c r="Y30" i="29"/>
  <c r="W30" i="29"/>
  <c r="V30" i="29" s="1"/>
  <c r="N30" i="29"/>
  <c r="O30" i="29" s="1"/>
  <c r="J30" i="29"/>
  <c r="K30" i="29" s="1"/>
  <c r="L30" i="29" s="1"/>
  <c r="AB29" i="29"/>
  <c r="AG29" i="29" s="1"/>
  <c r="Z29" i="29"/>
  <c r="Y29" i="29"/>
  <c r="W29" i="29"/>
  <c r="V29" i="29"/>
  <c r="Q29" i="29"/>
  <c r="R29" i="29" s="1"/>
  <c r="N29" i="29"/>
  <c r="O29" i="29" s="1"/>
  <c r="J29" i="29"/>
  <c r="K29" i="29" s="1"/>
  <c r="L29" i="29" s="1"/>
  <c r="AB28" i="29"/>
  <c r="AG28" i="29" s="1"/>
  <c r="Z28" i="29"/>
  <c r="Y28" i="29"/>
  <c r="W28" i="29"/>
  <c r="V28" i="29" s="1"/>
  <c r="Q28" i="29"/>
  <c r="R28" i="29" s="1"/>
  <c r="O28" i="29"/>
  <c r="N28" i="29"/>
  <c r="J28" i="29"/>
  <c r="K28" i="29" s="1"/>
  <c r="L28" i="29" s="1"/>
  <c r="AB27" i="29"/>
  <c r="AG27" i="29" s="1"/>
  <c r="Z27" i="29"/>
  <c r="Y27" i="29"/>
  <c r="W27" i="29"/>
  <c r="V27" i="29" s="1"/>
  <c r="Q27" i="29"/>
  <c r="R27" i="29" s="1"/>
  <c r="N27" i="29"/>
  <c r="O27" i="29" s="1"/>
  <c r="K27" i="29"/>
  <c r="L27" i="29" s="1"/>
  <c r="J27" i="29"/>
  <c r="AB26" i="29"/>
  <c r="AD26" i="29" s="1"/>
  <c r="Z26" i="29"/>
  <c r="Y26" i="29"/>
  <c r="W26" i="29"/>
  <c r="V26" i="29" s="1"/>
  <c r="O26" i="29"/>
  <c r="N26" i="29"/>
  <c r="J26" i="29"/>
  <c r="K26" i="29" s="1"/>
  <c r="L26" i="29" s="1"/>
  <c r="AG25" i="29"/>
  <c r="AB25" i="29"/>
  <c r="Z25" i="29"/>
  <c r="Y25" i="29"/>
  <c r="W25" i="29"/>
  <c r="AD25" i="29" s="1"/>
  <c r="Q25" i="29"/>
  <c r="R25" i="29" s="1"/>
  <c r="N25" i="29"/>
  <c r="O25" i="29" s="1"/>
  <c r="J25" i="29"/>
  <c r="AB24" i="29"/>
  <c r="AG24" i="29" s="1"/>
  <c r="Z24" i="29"/>
  <c r="Y24" i="29"/>
  <c r="W24" i="29"/>
  <c r="V24" i="29"/>
  <c r="N24" i="29"/>
  <c r="O24" i="29" s="1"/>
  <c r="J24" i="29"/>
  <c r="Q24" i="29" s="1"/>
  <c r="R24" i="29" s="1"/>
  <c r="AB23" i="29"/>
  <c r="AF23" i="29" s="1"/>
  <c r="Z23" i="29"/>
  <c r="Y23" i="29"/>
  <c r="W23" i="29"/>
  <c r="V23" i="29" s="1"/>
  <c r="N23" i="29"/>
  <c r="O23" i="29" s="1"/>
  <c r="J23" i="29"/>
  <c r="Q23" i="29" s="1"/>
  <c r="R23" i="29" s="1"/>
  <c r="AB22" i="29"/>
  <c r="AG22" i="29" s="1"/>
  <c r="Z22" i="29"/>
  <c r="Y22" i="29"/>
  <c r="W22" i="29"/>
  <c r="V22" i="29"/>
  <c r="N22" i="29"/>
  <c r="O22" i="29" s="1"/>
  <c r="J22" i="29"/>
  <c r="K22" i="29" s="1"/>
  <c r="L22" i="29" s="1"/>
  <c r="AB21" i="29"/>
  <c r="AG21" i="29" s="1"/>
  <c r="Z21" i="29"/>
  <c r="Y21" i="29"/>
  <c r="W21" i="29"/>
  <c r="V21" i="29" s="1"/>
  <c r="N21" i="29"/>
  <c r="O21" i="29" s="1"/>
  <c r="J21" i="29"/>
  <c r="Q21" i="29" s="1"/>
  <c r="R21" i="29" s="1"/>
  <c r="AB20" i="29"/>
  <c r="AG20" i="29" s="1"/>
  <c r="Z20" i="29"/>
  <c r="Y20" i="29"/>
  <c r="W20" i="29"/>
  <c r="V20" i="29"/>
  <c r="O20" i="29"/>
  <c r="N20" i="29"/>
  <c r="J20" i="29"/>
  <c r="K20" i="29" s="1"/>
  <c r="L20" i="29" s="1"/>
  <c r="AG19" i="29"/>
  <c r="AB19" i="29"/>
  <c r="Z19" i="29"/>
  <c r="K19" i="29" s="1"/>
  <c r="L19" i="29" s="1"/>
  <c r="Y19" i="29"/>
  <c r="W19" i="29"/>
  <c r="V19" i="29" s="1"/>
  <c r="AF19" i="29" s="1"/>
  <c r="AH19" i="29" s="1"/>
  <c r="Q19" i="29"/>
  <c r="R19" i="29" s="1"/>
  <c r="N19" i="29"/>
  <c r="O19" i="29" s="1"/>
  <c r="J19" i="29"/>
  <c r="AB18" i="29"/>
  <c r="Z18" i="29"/>
  <c r="Y18" i="29"/>
  <c r="W18" i="29"/>
  <c r="V18" i="29"/>
  <c r="N18" i="29"/>
  <c r="O18" i="29" s="1"/>
  <c r="J18" i="29"/>
  <c r="Q18" i="29" s="1"/>
  <c r="R18" i="29" s="1"/>
  <c r="AB17" i="29"/>
  <c r="Z17" i="29"/>
  <c r="Y17" i="29"/>
  <c r="W17" i="29"/>
  <c r="V17" i="29" s="1"/>
  <c r="N17" i="29"/>
  <c r="O17" i="29" s="1"/>
  <c r="J17" i="29"/>
  <c r="K17" i="29" s="1"/>
  <c r="L17" i="29" s="1"/>
  <c r="AB16" i="29"/>
  <c r="AG16" i="29" s="1"/>
  <c r="Z16" i="29"/>
  <c r="Y16" i="29"/>
  <c r="W16" i="29"/>
  <c r="AD16" i="29" s="1"/>
  <c r="V16" i="29"/>
  <c r="AF16" i="29" s="1"/>
  <c r="AH16" i="29" s="1"/>
  <c r="O16" i="29"/>
  <c r="N16" i="29"/>
  <c r="J16" i="29"/>
  <c r="Q16" i="29" s="1"/>
  <c r="R16" i="29" s="1"/>
  <c r="AG15" i="29"/>
  <c r="AB15" i="29"/>
  <c r="Z15" i="29"/>
  <c r="Y15" i="29"/>
  <c r="W15" i="29"/>
  <c r="V15" i="29" s="1"/>
  <c r="AF15" i="29" s="1"/>
  <c r="AH15" i="29" s="1"/>
  <c r="Q15" i="29"/>
  <c r="R15" i="29" s="1"/>
  <c r="N15" i="29"/>
  <c r="O15" i="29" s="1"/>
  <c r="J15" i="29"/>
  <c r="K15" i="29" s="1"/>
  <c r="L15" i="29" s="1"/>
  <c r="AB14" i="29"/>
  <c r="Z14" i="29"/>
  <c r="Y14" i="29"/>
  <c r="W14" i="29"/>
  <c r="V14" i="29" s="1"/>
  <c r="N14" i="29"/>
  <c r="O14" i="29" s="1"/>
  <c r="J14" i="29"/>
  <c r="AB13" i="29"/>
  <c r="AG13" i="29" s="1"/>
  <c r="Z13" i="29"/>
  <c r="Y13" i="29"/>
  <c r="W13" i="29"/>
  <c r="V13" i="29" s="1"/>
  <c r="N13" i="29"/>
  <c r="O13" i="29" s="1"/>
  <c r="J13" i="29"/>
  <c r="AB12" i="29"/>
  <c r="AG12" i="29" s="1"/>
  <c r="Z12" i="29"/>
  <c r="Y12" i="29"/>
  <c r="W12" i="29"/>
  <c r="V12" i="29" s="1"/>
  <c r="N12" i="29"/>
  <c r="O12" i="29" s="1"/>
  <c r="J12" i="29"/>
  <c r="Q12" i="29" s="1"/>
  <c r="R12" i="29" s="1"/>
  <c r="AB11" i="29"/>
  <c r="AG11" i="29" s="1"/>
  <c r="Z11" i="29"/>
  <c r="K11" i="29" s="1"/>
  <c r="L11" i="29" s="1"/>
  <c r="Y11" i="29"/>
  <c r="W11" i="29"/>
  <c r="V11" i="29" s="1"/>
  <c r="Q11" i="29"/>
  <c r="R11" i="29" s="1"/>
  <c r="N11" i="29"/>
  <c r="O11" i="29" s="1"/>
  <c r="J11" i="29"/>
  <c r="AB10" i="29"/>
  <c r="Z10" i="29"/>
  <c r="Y10" i="29"/>
  <c r="W10" i="29"/>
  <c r="V10" i="29"/>
  <c r="AF10" i="29" s="1"/>
  <c r="N10" i="29"/>
  <c r="O10" i="29" s="1"/>
  <c r="J10" i="29"/>
  <c r="Q10" i="29" s="1"/>
  <c r="R10" i="29" s="1"/>
  <c r="AB9" i="29"/>
  <c r="Z9" i="29"/>
  <c r="Y9" i="29"/>
  <c r="W9" i="29"/>
  <c r="V9" i="29"/>
  <c r="Q9" i="29"/>
  <c r="R9" i="29" s="1"/>
  <c r="O9" i="29"/>
  <c r="N9" i="29"/>
  <c r="J9" i="29"/>
  <c r="K9" i="29" s="1"/>
  <c r="L9" i="29" s="1"/>
  <c r="AB8" i="29"/>
  <c r="AG8" i="29" s="1"/>
  <c r="Z8" i="29"/>
  <c r="Y8" i="29"/>
  <c r="W8" i="29"/>
  <c r="V8" i="29"/>
  <c r="N8" i="29"/>
  <c r="O8" i="29" s="1"/>
  <c r="J8" i="29"/>
  <c r="K8" i="29" s="1"/>
  <c r="L8" i="29" s="1"/>
  <c r="AG7" i="29"/>
  <c r="AB7" i="29"/>
  <c r="Z7" i="29"/>
  <c r="Y7" i="29"/>
  <c r="W7" i="29"/>
  <c r="V7" i="29" s="1"/>
  <c r="Q7" i="29"/>
  <c r="R7" i="29" s="1"/>
  <c r="N7" i="29"/>
  <c r="O7" i="29" s="1"/>
  <c r="J7" i="29"/>
  <c r="K7" i="29" s="1"/>
  <c r="L7" i="29" s="1"/>
  <c r="AG6" i="29"/>
  <c r="AB6" i="29"/>
  <c r="Z6" i="29"/>
  <c r="Y6" i="29"/>
  <c r="W6" i="29"/>
  <c r="AD6" i="29" s="1"/>
  <c r="V6" i="29"/>
  <c r="N6" i="29"/>
  <c r="O6" i="29" s="1"/>
  <c r="J6" i="29"/>
  <c r="K6" i="29" s="1"/>
  <c r="L6" i="29" s="1"/>
  <c r="AB5" i="29"/>
  <c r="AG5" i="29" s="1"/>
  <c r="Z5" i="29"/>
  <c r="Y5" i="29"/>
  <c r="W5" i="29"/>
  <c r="AD5" i="29" s="1"/>
  <c r="V5" i="29"/>
  <c r="N5" i="29"/>
  <c r="O5" i="29" s="1"/>
  <c r="J5" i="29"/>
  <c r="K5" i="29" s="1"/>
  <c r="L5" i="29" s="1"/>
  <c r="AB4" i="29"/>
  <c r="Z4" i="29"/>
  <c r="Y4" i="29"/>
  <c r="W4" i="29"/>
  <c r="V4" i="29" s="1"/>
  <c r="O4" i="29"/>
  <c r="N4" i="29"/>
  <c r="J4" i="29"/>
  <c r="K4" i="29" s="1"/>
  <c r="L4" i="29" s="1"/>
  <c r="AB3" i="29"/>
  <c r="AG3" i="29" s="1"/>
  <c r="Z3" i="29"/>
  <c r="K3" i="29" s="1"/>
  <c r="L3" i="29" s="1"/>
  <c r="Y3" i="29"/>
  <c r="W3" i="29"/>
  <c r="V3" i="29" s="1"/>
  <c r="N3" i="29"/>
  <c r="O3" i="29" s="1"/>
  <c r="J3" i="29"/>
  <c r="Q3" i="29" s="1"/>
  <c r="R3" i="29" s="1"/>
  <c r="X48" i="28"/>
  <c r="X47" i="28"/>
  <c r="F115" i="28"/>
  <c r="D115" i="28"/>
  <c r="F114" i="28"/>
  <c r="D114" i="28"/>
  <c r="AG70" i="28"/>
  <c r="Q70" i="28"/>
  <c r="X70" i="28" s="1"/>
  <c r="D70" i="28"/>
  <c r="B70" i="28"/>
  <c r="C70" i="28" s="1"/>
  <c r="AG69" i="28"/>
  <c r="Q69" i="28"/>
  <c r="Y69" i="28" s="1"/>
  <c r="D69" i="28"/>
  <c r="B69" i="28"/>
  <c r="C69" i="28" s="1"/>
  <c r="AG68" i="28"/>
  <c r="Q68" i="28"/>
  <c r="Y68" i="28" s="1"/>
  <c r="D68" i="28"/>
  <c r="B68" i="28"/>
  <c r="C68" i="28" s="1"/>
  <c r="AG67" i="28"/>
  <c r="Q67" i="28"/>
  <c r="X67" i="28" s="1"/>
  <c r="D67" i="28"/>
  <c r="B67" i="28"/>
  <c r="C67" i="28" s="1"/>
  <c r="AG66" i="28"/>
  <c r="Q66" i="28"/>
  <c r="X66" i="28" s="1"/>
  <c r="D66" i="28"/>
  <c r="B66" i="28"/>
  <c r="C66" i="28" s="1"/>
  <c r="AG65" i="28"/>
  <c r="Q65" i="28"/>
  <c r="I65" i="28"/>
  <c r="D65" i="28"/>
  <c r="C65" i="28"/>
  <c r="AG64" i="28"/>
  <c r="Q64" i="28"/>
  <c r="Y64" i="28" s="1"/>
  <c r="D64" i="28"/>
  <c r="B64" i="28"/>
  <c r="C64" i="28" s="1"/>
  <c r="AG63" i="28"/>
  <c r="Q63" i="28"/>
  <c r="Y63" i="28" s="1"/>
  <c r="D63" i="28"/>
  <c r="B63" i="28"/>
  <c r="C63" i="28" s="1"/>
  <c r="AG62" i="28"/>
  <c r="Q62" i="28"/>
  <c r="Y62" i="28" s="1"/>
  <c r="D62" i="28"/>
  <c r="B62" i="28"/>
  <c r="C62" i="28" s="1"/>
  <c r="AG61" i="28"/>
  <c r="Q61" i="28"/>
  <c r="X61" i="28" s="1"/>
  <c r="D61" i="28"/>
  <c r="B61" i="28"/>
  <c r="C61" i="28" s="1"/>
  <c r="AG60" i="28"/>
  <c r="Q60" i="28"/>
  <c r="X60" i="28" s="1"/>
  <c r="D60" i="28"/>
  <c r="B60" i="28"/>
  <c r="AG59" i="28"/>
  <c r="Q59" i="28"/>
  <c r="Y59" i="28" s="1"/>
  <c r="D59" i="28"/>
  <c r="B59" i="28"/>
  <c r="C59" i="28" s="1"/>
  <c r="AG58" i="28"/>
  <c r="Y58" i="28"/>
  <c r="X58" i="28"/>
  <c r="D58" i="28"/>
  <c r="B58" i="28"/>
  <c r="C58" i="28" s="1"/>
  <c r="M58" i="28" s="1"/>
  <c r="AG57" i="28"/>
  <c r="Y57" i="28"/>
  <c r="X57" i="28"/>
  <c r="D57" i="28"/>
  <c r="B57" i="28"/>
  <c r="C57" i="28" s="1"/>
  <c r="M57" i="28" s="1"/>
  <c r="AG56" i="28"/>
  <c r="Y56" i="28"/>
  <c r="X56" i="28"/>
  <c r="D56" i="28"/>
  <c r="B56" i="28"/>
  <c r="C56" i="28" s="1"/>
  <c r="M56" i="28" s="1"/>
  <c r="AG55" i="28"/>
  <c r="Y55" i="28"/>
  <c r="X55" i="28"/>
  <c r="D55" i="28"/>
  <c r="B55" i="28"/>
  <c r="C55" i="28" s="1"/>
  <c r="M55" i="28" s="1"/>
  <c r="W55" i="28" s="1"/>
  <c r="AG54" i="28"/>
  <c r="Y54" i="28"/>
  <c r="X54" i="28"/>
  <c r="D54" i="28"/>
  <c r="B54" i="28"/>
  <c r="C54" i="28" s="1"/>
  <c r="M54" i="28" s="1"/>
  <c r="V54" i="28" s="1"/>
  <c r="AD54" i="28" s="1"/>
  <c r="AG53" i="28"/>
  <c r="Y53" i="28"/>
  <c r="X53" i="28"/>
  <c r="D53" i="28"/>
  <c r="B53" i="28"/>
  <c r="C53" i="28" s="1"/>
  <c r="M53" i="28" s="1"/>
  <c r="W53" i="28" s="1"/>
  <c r="AG52" i="28"/>
  <c r="Y52" i="28"/>
  <c r="X52" i="28"/>
  <c r="D52" i="28"/>
  <c r="B52" i="28"/>
  <c r="C52" i="28" s="1"/>
  <c r="M52" i="28" s="1"/>
  <c r="AG51" i="28"/>
  <c r="Y51" i="28"/>
  <c r="X51" i="28"/>
  <c r="D51" i="28"/>
  <c r="B51" i="28"/>
  <c r="C51" i="28" s="1"/>
  <c r="M51" i="28" s="1"/>
  <c r="AG50" i="28"/>
  <c r="Y50" i="28"/>
  <c r="X50" i="28"/>
  <c r="D50" i="28"/>
  <c r="B50" i="28"/>
  <c r="C50" i="28" s="1"/>
  <c r="M50" i="28" s="1"/>
  <c r="AG49" i="28"/>
  <c r="Y49" i="28"/>
  <c r="X49" i="28"/>
  <c r="D49" i="28"/>
  <c r="B49" i="28"/>
  <c r="C49" i="28" s="1"/>
  <c r="M49" i="28" s="1"/>
  <c r="W49" i="28" s="1"/>
  <c r="AG48" i="28"/>
  <c r="Y48" i="28"/>
  <c r="D48" i="28"/>
  <c r="B48" i="28"/>
  <c r="C48" i="28" s="1"/>
  <c r="M48" i="28" s="1"/>
  <c r="W48" i="28" s="1"/>
  <c r="AG47" i="28"/>
  <c r="Y47" i="28"/>
  <c r="D47" i="28"/>
  <c r="C47" i="28"/>
  <c r="M47" i="28" s="1"/>
  <c r="V47" i="28" s="1"/>
  <c r="AG46" i="28"/>
  <c r="Y46" i="28"/>
  <c r="X46" i="28"/>
  <c r="D46" i="28"/>
  <c r="B46" i="28"/>
  <c r="C46" i="28" s="1"/>
  <c r="M46" i="28" s="1"/>
  <c r="AG45" i="28"/>
  <c r="Y45" i="28"/>
  <c r="X45" i="28"/>
  <c r="D45" i="28"/>
  <c r="B45" i="28"/>
  <c r="C45" i="28" s="1"/>
  <c r="M45" i="28" s="1"/>
  <c r="W45" i="28" s="1"/>
  <c r="AG44" i="28"/>
  <c r="Y44" i="28"/>
  <c r="X44" i="28"/>
  <c r="D44" i="28"/>
  <c r="B44" i="28"/>
  <c r="C44" i="28" s="1"/>
  <c r="M44" i="28" s="1"/>
  <c r="AG43" i="28"/>
  <c r="Y43" i="28"/>
  <c r="X43" i="28"/>
  <c r="D43" i="28"/>
  <c r="B43" i="28"/>
  <c r="C43" i="28" s="1"/>
  <c r="M43" i="28" s="1"/>
  <c r="AG42" i="28"/>
  <c r="Y42" i="28"/>
  <c r="X42" i="28"/>
  <c r="D42" i="28"/>
  <c r="B42" i="28"/>
  <c r="N35" i="28"/>
  <c r="M35" i="28"/>
  <c r="Q35" i="28" s="1"/>
  <c r="R35" i="28" s="1"/>
  <c r="S35" i="28" s="1"/>
  <c r="G70" i="28" s="1"/>
  <c r="J35" i="28"/>
  <c r="H35" i="28"/>
  <c r="C35" i="28"/>
  <c r="N34" i="28"/>
  <c r="M34" i="28"/>
  <c r="J34" i="28"/>
  <c r="H34" i="28"/>
  <c r="C34" i="28"/>
  <c r="N33" i="28"/>
  <c r="M33" i="28"/>
  <c r="J33" i="28"/>
  <c r="H33" i="28"/>
  <c r="C33" i="28"/>
  <c r="N32" i="28"/>
  <c r="M32" i="28"/>
  <c r="J32" i="28"/>
  <c r="H32" i="28"/>
  <c r="C32" i="28"/>
  <c r="N31" i="28"/>
  <c r="M31" i="28"/>
  <c r="J31" i="28"/>
  <c r="H31" i="28"/>
  <c r="C31" i="28"/>
  <c r="A31" i="28"/>
  <c r="N30" i="28"/>
  <c r="M30" i="28"/>
  <c r="J30" i="28"/>
  <c r="H30" i="28"/>
  <c r="C30" i="28"/>
  <c r="A30" i="28"/>
  <c r="N28" i="28"/>
  <c r="M28" i="28"/>
  <c r="J28" i="28"/>
  <c r="H28" i="28"/>
  <c r="C28" i="28"/>
  <c r="N27" i="28"/>
  <c r="M27" i="28"/>
  <c r="J27" i="28"/>
  <c r="H27" i="28"/>
  <c r="C27" i="28"/>
  <c r="N26" i="28"/>
  <c r="M26" i="28"/>
  <c r="J26" i="28"/>
  <c r="H26" i="28"/>
  <c r="C26" i="28"/>
  <c r="N25" i="28"/>
  <c r="M25" i="28"/>
  <c r="J25" i="28"/>
  <c r="H25" i="28"/>
  <c r="C25" i="28"/>
  <c r="N24" i="28"/>
  <c r="M24" i="28"/>
  <c r="J24" i="28"/>
  <c r="H24" i="28"/>
  <c r="C24" i="28"/>
  <c r="A24" i="28"/>
  <c r="N23" i="28"/>
  <c r="M23" i="28"/>
  <c r="J23" i="28"/>
  <c r="H23" i="28"/>
  <c r="C23" i="28"/>
  <c r="A23" i="28"/>
  <c r="N21" i="28"/>
  <c r="M21" i="28"/>
  <c r="J21" i="28"/>
  <c r="H21" i="28"/>
  <c r="C21" i="28"/>
  <c r="N20" i="28"/>
  <c r="M20" i="28"/>
  <c r="J20" i="28"/>
  <c r="H20" i="28"/>
  <c r="C20" i="28"/>
  <c r="N19" i="28"/>
  <c r="M19" i="28"/>
  <c r="J19" i="28"/>
  <c r="H19" i="28"/>
  <c r="C19" i="28"/>
  <c r="N18" i="28"/>
  <c r="M18" i="28"/>
  <c r="J18" i="28"/>
  <c r="H18" i="28"/>
  <c r="C18" i="28"/>
  <c r="A18" i="28"/>
  <c r="N17" i="28"/>
  <c r="M17" i="28"/>
  <c r="J17" i="28"/>
  <c r="H17" i="28"/>
  <c r="C17" i="28"/>
  <c r="N16" i="28"/>
  <c r="M16" i="28"/>
  <c r="J16" i="28"/>
  <c r="H16" i="28"/>
  <c r="C16" i="28"/>
  <c r="A16" i="28"/>
  <c r="N14" i="28"/>
  <c r="M14" i="28"/>
  <c r="J14" i="28"/>
  <c r="H14" i="28"/>
  <c r="C14" i="28"/>
  <c r="N13" i="28"/>
  <c r="M13" i="28"/>
  <c r="J13" i="28"/>
  <c r="H13" i="28"/>
  <c r="C13" i="28"/>
  <c r="N12" i="28"/>
  <c r="M12" i="28"/>
  <c r="J12" i="28"/>
  <c r="H12" i="28"/>
  <c r="C12" i="28"/>
  <c r="N11" i="28"/>
  <c r="M11" i="28"/>
  <c r="J11" i="28"/>
  <c r="H11" i="28"/>
  <c r="C11" i="28"/>
  <c r="A11" i="28"/>
  <c r="N10" i="28"/>
  <c r="M10" i="28"/>
  <c r="J10" i="28"/>
  <c r="H10" i="28"/>
  <c r="C10" i="28"/>
  <c r="N9" i="28"/>
  <c r="M9" i="28"/>
  <c r="J9" i="28"/>
  <c r="H9" i="28"/>
  <c r="C9" i="28"/>
  <c r="A9" i="28"/>
  <c r="N7" i="28"/>
  <c r="M7" i="28"/>
  <c r="J7" i="28"/>
  <c r="H7" i="28"/>
  <c r="C7" i="28"/>
  <c r="N6" i="28"/>
  <c r="M6" i="28"/>
  <c r="J6" i="28"/>
  <c r="H6" i="28"/>
  <c r="C6" i="28"/>
  <c r="N5" i="28"/>
  <c r="M5" i="28"/>
  <c r="J5" i="28"/>
  <c r="H5" i="28"/>
  <c r="C5" i="28"/>
  <c r="A5" i="28"/>
  <c r="N4" i="28"/>
  <c r="M4" i="28"/>
  <c r="J4" i="28"/>
  <c r="H4" i="28"/>
  <c r="C4" i="28"/>
  <c r="N3" i="28"/>
  <c r="M3" i="28"/>
  <c r="J3" i="28"/>
  <c r="H3" i="28"/>
  <c r="C3" i="28"/>
  <c r="A3" i="28"/>
  <c r="F123" i="27"/>
  <c r="D123" i="27"/>
  <c r="F122" i="27"/>
  <c r="D122" i="27"/>
  <c r="AG78" i="27"/>
  <c r="Q78" i="27"/>
  <c r="Y78" i="27" s="1"/>
  <c r="D78" i="27"/>
  <c r="C78" i="27"/>
  <c r="B78" i="27"/>
  <c r="AG77" i="27"/>
  <c r="Q77" i="27"/>
  <c r="X77" i="27" s="1"/>
  <c r="D77" i="27"/>
  <c r="B77" i="27"/>
  <c r="C77" i="27" s="1"/>
  <c r="M77" i="27" s="1"/>
  <c r="AG76" i="27"/>
  <c r="Q76" i="27"/>
  <c r="Y76" i="27" s="1"/>
  <c r="D76" i="27"/>
  <c r="B76" i="27"/>
  <c r="C76" i="27" s="1"/>
  <c r="M76" i="27" s="1"/>
  <c r="AG75" i="27"/>
  <c r="Y75" i="27"/>
  <c r="X75" i="27"/>
  <c r="Q75" i="27"/>
  <c r="D75" i="27"/>
  <c r="B75" i="27"/>
  <c r="C75" i="27" s="1"/>
  <c r="M75" i="27" s="1"/>
  <c r="AG74" i="27"/>
  <c r="Q74" i="27"/>
  <c r="X74" i="27" s="1"/>
  <c r="D74" i="27"/>
  <c r="B74" i="27"/>
  <c r="C74" i="27" s="1"/>
  <c r="M74" i="27" s="1"/>
  <c r="AG73" i="27"/>
  <c r="Q73" i="27"/>
  <c r="Y73" i="27" s="1"/>
  <c r="I73" i="27"/>
  <c r="D73" i="27"/>
  <c r="C73" i="27"/>
  <c r="M73" i="27" s="1"/>
  <c r="A73" i="27"/>
  <c r="AG70" i="27"/>
  <c r="Y70" i="27"/>
  <c r="Q70" i="27"/>
  <c r="X70" i="27" s="1"/>
  <c r="D70" i="27"/>
  <c r="B70" i="27"/>
  <c r="C70" i="27" s="1"/>
  <c r="M70" i="27" s="1"/>
  <c r="AG69" i="27"/>
  <c r="X69" i="27"/>
  <c r="Q69" i="27"/>
  <c r="Y69" i="27" s="1"/>
  <c r="D69" i="27"/>
  <c r="B69" i="27"/>
  <c r="C69" i="27" s="1"/>
  <c r="M69" i="27" s="1"/>
  <c r="AG68" i="27"/>
  <c r="Q68" i="27"/>
  <c r="Y68" i="27" s="1"/>
  <c r="D68" i="27"/>
  <c r="C68" i="27"/>
  <c r="M68" i="27" s="1"/>
  <c r="B68" i="27"/>
  <c r="AG67" i="27"/>
  <c r="Y67" i="27"/>
  <c r="Q67" i="27"/>
  <c r="X67" i="27" s="1"/>
  <c r="D67" i="27"/>
  <c r="B67" i="27"/>
  <c r="C67" i="27" s="1"/>
  <c r="M67" i="27" s="1"/>
  <c r="AG66" i="27"/>
  <c r="Q66" i="27"/>
  <c r="D66" i="27"/>
  <c r="B66" i="27"/>
  <c r="C66" i="27" s="1"/>
  <c r="AG65" i="27"/>
  <c r="X65" i="27"/>
  <c r="Q65" i="27"/>
  <c r="Y65" i="27" s="1"/>
  <c r="D65" i="27"/>
  <c r="B65" i="27"/>
  <c r="C65" i="27" s="1"/>
  <c r="M65" i="27" s="1"/>
  <c r="A65" i="27"/>
  <c r="AG62" i="27"/>
  <c r="Y62" i="27"/>
  <c r="X62" i="27"/>
  <c r="D62" i="27"/>
  <c r="B62" i="27"/>
  <c r="C62" i="27" s="1"/>
  <c r="M62" i="27" s="1"/>
  <c r="AG61" i="27"/>
  <c r="Y61" i="27"/>
  <c r="X61" i="27"/>
  <c r="D61" i="27"/>
  <c r="B61" i="27"/>
  <c r="C61" i="27" s="1"/>
  <c r="M61" i="27" s="1"/>
  <c r="AG60" i="27"/>
  <c r="Y60" i="27"/>
  <c r="X60" i="27"/>
  <c r="D60" i="27"/>
  <c r="B60" i="27"/>
  <c r="C60" i="27" s="1"/>
  <c r="M60" i="27" s="1"/>
  <c r="AG59" i="27"/>
  <c r="Y59" i="27"/>
  <c r="X59" i="27"/>
  <c r="D59" i="27"/>
  <c r="B59" i="27"/>
  <c r="C59" i="27" s="1"/>
  <c r="M59" i="27" s="1"/>
  <c r="AG58" i="27"/>
  <c r="Y58" i="27"/>
  <c r="X58" i="27"/>
  <c r="D58" i="27"/>
  <c r="B58" i="27"/>
  <c r="C58" i="27" s="1"/>
  <c r="M58" i="27" s="1"/>
  <c r="AG57" i="27"/>
  <c r="Y57" i="27"/>
  <c r="X57" i="27"/>
  <c r="D57" i="27"/>
  <c r="B57" i="27"/>
  <c r="AG54" i="27"/>
  <c r="Y54" i="27"/>
  <c r="X54" i="27"/>
  <c r="D54" i="27"/>
  <c r="B54" i="27"/>
  <c r="C54" i="27" s="1"/>
  <c r="M54" i="27" s="1"/>
  <c r="V54" i="27" s="1"/>
  <c r="AD54" i="27" s="1"/>
  <c r="AG53" i="27"/>
  <c r="Y53" i="27"/>
  <c r="X53" i="27"/>
  <c r="D53" i="27"/>
  <c r="B53" i="27"/>
  <c r="C53" i="27" s="1"/>
  <c r="M53" i="27" s="1"/>
  <c r="AG52" i="27"/>
  <c r="Y52" i="27"/>
  <c r="X52" i="27"/>
  <c r="D52" i="27"/>
  <c r="B52" i="27"/>
  <c r="C52" i="27" s="1"/>
  <c r="M52" i="27" s="1"/>
  <c r="AG51" i="27"/>
  <c r="Y51" i="27"/>
  <c r="X51" i="27"/>
  <c r="D51" i="27"/>
  <c r="B51" i="27"/>
  <c r="C51" i="27" s="1"/>
  <c r="M51" i="27" s="1"/>
  <c r="AG50" i="27"/>
  <c r="Y50" i="27"/>
  <c r="X50" i="27"/>
  <c r="M50" i="27"/>
  <c r="W50" i="27" s="1"/>
  <c r="D50" i="27"/>
  <c r="C50" i="27"/>
  <c r="B50" i="27"/>
  <c r="AG49" i="27"/>
  <c r="Y49" i="27"/>
  <c r="X49" i="27"/>
  <c r="D49" i="27"/>
  <c r="C49" i="27"/>
  <c r="M49" i="27" s="1"/>
  <c r="AG46" i="27"/>
  <c r="Y46" i="27"/>
  <c r="X46" i="27"/>
  <c r="D46" i="27"/>
  <c r="B46" i="27"/>
  <c r="C46" i="27" s="1"/>
  <c r="M46" i="27" s="1"/>
  <c r="AG45" i="27"/>
  <c r="Y45" i="27"/>
  <c r="X45" i="27"/>
  <c r="D45" i="27"/>
  <c r="B45" i="27"/>
  <c r="C45" i="27" s="1"/>
  <c r="M45" i="27" s="1"/>
  <c r="W45" i="27" s="1"/>
  <c r="AG44" i="27"/>
  <c r="Y44" i="27"/>
  <c r="X44" i="27"/>
  <c r="D44" i="27"/>
  <c r="B44" i="27"/>
  <c r="C44" i="27" s="1"/>
  <c r="M44" i="27" s="1"/>
  <c r="V44" i="27" s="1"/>
  <c r="AM44" i="27" s="1"/>
  <c r="AG43" i="27"/>
  <c r="Y43" i="27"/>
  <c r="X43" i="27"/>
  <c r="D43" i="27"/>
  <c r="B43" i="27"/>
  <c r="C43" i="27" s="1"/>
  <c r="M43" i="27" s="1"/>
  <c r="AG42" i="27"/>
  <c r="Y42" i="27"/>
  <c r="X42" i="27"/>
  <c r="D42" i="27"/>
  <c r="B42" i="27"/>
  <c r="N35" i="27"/>
  <c r="M35" i="27"/>
  <c r="J35" i="27"/>
  <c r="H35" i="27"/>
  <c r="C35" i="27"/>
  <c r="N34" i="27"/>
  <c r="M34" i="27"/>
  <c r="J34" i="27"/>
  <c r="H34" i="27"/>
  <c r="C34" i="27"/>
  <c r="N33" i="27"/>
  <c r="M33" i="27"/>
  <c r="J33" i="27"/>
  <c r="H33" i="27"/>
  <c r="C33" i="27"/>
  <c r="N32" i="27"/>
  <c r="M32" i="27"/>
  <c r="J32" i="27"/>
  <c r="H32" i="27"/>
  <c r="C32" i="27"/>
  <c r="N31" i="27"/>
  <c r="M31" i="27"/>
  <c r="J31" i="27"/>
  <c r="H31" i="27"/>
  <c r="C31" i="27"/>
  <c r="A31" i="27"/>
  <c r="N30" i="27"/>
  <c r="Q30" i="27" s="1"/>
  <c r="R30" i="27" s="1"/>
  <c r="S30" i="27" s="1"/>
  <c r="G73" i="27" s="1"/>
  <c r="M30" i="27"/>
  <c r="J30" i="27"/>
  <c r="H30" i="27"/>
  <c r="C30" i="27"/>
  <c r="A30" i="27"/>
  <c r="N28" i="27"/>
  <c r="Q28" i="27" s="1"/>
  <c r="R28" i="27" s="1"/>
  <c r="S28" i="27" s="1"/>
  <c r="G70" i="27" s="1"/>
  <c r="M28" i="27"/>
  <c r="J28" i="27"/>
  <c r="H28" i="27"/>
  <c r="C28" i="27"/>
  <c r="N27" i="27"/>
  <c r="M27" i="27"/>
  <c r="J27" i="27"/>
  <c r="H27" i="27"/>
  <c r="C27" i="27"/>
  <c r="N26" i="27"/>
  <c r="M26" i="27"/>
  <c r="Q26" i="27" s="1"/>
  <c r="R26" i="27" s="1"/>
  <c r="S26" i="27" s="1"/>
  <c r="G68" i="27" s="1"/>
  <c r="J26" i="27"/>
  <c r="H26" i="27"/>
  <c r="C26" i="27"/>
  <c r="N25" i="27"/>
  <c r="Q25" i="27" s="1"/>
  <c r="R25" i="27" s="1"/>
  <c r="S25" i="27" s="1"/>
  <c r="G67" i="27" s="1"/>
  <c r="M25" i="27"/>
  <c r="J25" i="27"/>
  <c r="H25" i="27"/>
  <c r="C25" i="27"/>
  <c r="N24" i="27"/>
  <c r="M24" i="27"/>
  <c r="J24" i="27"/>
  <c r="H24" i="27"/>
  <c r="C24" i="27"/>
  <c r="A24" i="27"/>
  <c r="N23" i="27"/>
  <c r="M23" i="27"/>
  <c r="J23" i="27"/>
  <c r="H23" i="27"/>
  <c r="C23" i="27"/>
  <c r="A23" i="27"/>
  <c r="N21" i="27"/>
  <c r="Q21" i="27" s="1"/>
  <c r="R21" i="27" s="1"/>
  <c r="S21" i="27" s="1"/>
  <c r="G62" i="27" s="1"/>
  <c r="M21" i="27"/>
  <c r="J21" i="27"/>
  <c r="H21" i="27"/>
  <c r="C21" i="27"/>
  <c r="N20" i="27"/>
  <c r="Q20" i="27" s="1"/>
  <c r="R20" i="27" s="1"/>
  <c r="S20" i="27" s="1"/>
  <c r="G61" i="27" s="1"/>
  <c r="M20" i="27"/>
  <c r="J20" i="27"/>
  <c r="H20" i="27"/>
  <c r="C20" i="27"/>
  <c r="N19" i="27"/>
  <c r="M19" i="27"/>
  <c r="J19" i="27"/>
  <c r="H19" i="27"/>
  <c r="C19" i="27"/>
  <c r="N18" i="27"/>
  <c r="Q18" i="27" s="1"/>
  <c r="R18" i="27" s="1"/>
  <c r="S18" i="27" s="1"/>
  <c r="G59" i="27" s="1"/>
  <c r="M18" i="27"/>
  <c r="J18" i="27"/>
  <c r="H18" i="27"/>
  <c r="C18" i="27"/>
  <c r="A18" i="27"/>
  <c r="N17" i="27"/>
  <c r="M17" i="27"/>
  <c r="Q17" i="27" s="1"/>
  <c r="R17" i="27" s="1"/>
  <c r="S17" i="27" s="1"/>
  <c r="G58" i="27" s="1"/>
  <c r="J17" i="27"/>
  <c r="H17" i="27"/>
  <c r="C17" i="27"/>
  <c r="N16" i="27"/>
  <c r="M16" i="27"/>
  <c r="Q16" i="27" s="1"/>
  <c r="R16" i="27" s="1"/>
  <c r="S16" i="27" s="1"/>
  <c r="G57" i="27" s="1"/>
  <c r="J16" i="27"/>
  <c r="H16" i="27"/>
  <c r="C16" i="27"/>
  <c r="A16" i="27"/>
  <c r="N14" i="27"/>
  <c r="M14" i="27"/>
  <c r="J14" i="27"/>
  <c r="H14" i="27"/>
  <c r="C14" i="27"/>
  <c r="N13" i="27"/>
  <c r="M13" i="27"/>
  <c r="J13" i="27"/>
  <c r="H13" i="27"/>
  <c r="C13" i="27"/>
  <c r="N12" i="27"/>
  <c r="Q12" i="27" s="1"/>
  <c r="R12" i="27" s="1"/>
  <c r="S12" i="27" s="1"/>
  <c r="G52" i="27" s="1"/>
  <c r="M12" i="27"/>
  <c r="J12" i="27"/>
  <c r="H12" i="27"/>
  <c r="C12" i="27"/>
  <c r="N11" i="27"/>
  <c r="M11" i="27"/>
  <c r="J11" i="27"/>
  <c r="H11" i="27"/>
  <c r="C11" i="27"/>
  <c r="A11" i="27"/>
  <c r="N10" i="27"/>
  <c r="Q10" i="27" s="1"/>
  <c r="R10" i="27" s="1"/>
  <c r="S10" i="27" s="1"/>
  <c r="G50" i="27" s="1"/>
  <c r="M10" i="27"/>
  <c r="J10" i="27"/>
  <c r="H10" i="27"/>
  <c r="C10" i="27"/>
  <c r="N9" i="27"/>
  <c r="Q9" i="27" s="1"/>
  <c r="R9" i="27" s="1"/>
  <c r="S9" i="27" s="1"/>
  <c r="G49" i="27" s="1"/>
  <c r="M9" i="27"/>
  <c r="J9" i="27"/>
  <c r="H9" i="27"/>
  <c r="C9" i="27"/>
  <c r="A9" i="27"/>
  <c r="N7" i="27"/>
  <c r="M7" i="27"/>
  <c r="J7" i="27"/>
  <c r="H7" i="27"/>
  <c r="C7" i="27"/>
  <c r="N6" i="27"/>
  <c r="M6" i="27"/>
  <c r="J6" i="27"/>
  <c r="H6" i="27"/>
  <c r="C6" i="27"/>
  <c r="N5" i="27"/>
  <c r="M5" i="27"/>
  <c r="J5" i="27"/>
  <c r="H5" i="27"/>
  <c r="C5" i="27"/>
  <c r="A5" i="27"/>
  <c r="N4" i="27"/>
  <c r="M4" i="27"/>
  <c r="Q4" i="27" s="1"/>
  <c r="R4" i="27" s="1"/>
  <c r="S4" i="27" s="1"/>
  <c r="G43" i="27" s="1"/>
  <c r="J4" i="27"/>
  <c r="H4" i="27"/>
  <c r="C4" i="27"/>
  <c r="N3" i="27"/>
  <c r="Q3" i="27" s="1"/>
  <c r="R3" i="27" s="1"/>
  <c r="S3" i="27" s="1"/>
  <c r="G42" i="27" s="1"/>
  <c r="M3" i="27"/>
  <c r="J3" i="27"/>
  <c r="H3" i="27"/>
  <c r="C3" i="27"/>
  <c r="A3" i="27"/>
  <c r="AN71" i="28" l="1"/>
  <c r="AN72" i="28" s="1"/>
  <c r="V48" i="28"/>
  <c r="AF14" i="29"/>
  <c r="AD18" i="29"/>
  <c r="Q19" i="27"/>
  <c r="R19" i="27" s="1"/>
  <c r="S19" i="27" s="1"/>
  <c r="G60" i="27" s="1"/>
  <c r="AF9" i="29"/>
  <c r="AD10" i="29"/>
  <c r="Q31" i="29"/>
  <c r="R31" i="29" s="1"/>
  <c r="AF3" i="29"/>
  <c r="AH3" i="29" s="1"/>
  <c r="AF8" i="29"/>
  <c r="AH8" i="29" s="1"/>
  <c r="AD13" i="29"/>
  <c r="AD14" i="29"/>
  <c r="K21" i="29"/>
  <c r="L21" i="29" s="1"/>
  <c r="AF24" i="29"/>
  <c r="K12" i="29"/>
  <c r="L12" i="29" s="1"/>
  <c r="M78" i="27"/>
  <c r="Q11" i="27"/>
  <c r="R11" i="27" s="1"/>
  <c r="S11" i="27" s="1"/>
  <c r="G51" i="27" s="1"/>
  <c r="T51" i="27" s="1"/>
  <c r="Q14" i="27"/>
  <c r="R14" i="27" s="1"/>
  <c r="S14" i="27" s="1"/>
  <c r="G54" i="27" s="1"/>
  <c r="A58" i="27"/>
  <c r="M69" i="28"/>
  <c r="AD3" i="29"/>
  <c r="Q4" i="29"/>
  <c r="R4" i="29" s="1"/>
  <c r="AD24" i="29"/>
  <c r="V25" i="29"/>
  <c r="AF25" i="29" s="1"/>
  <c r="AH25" i="29" s="1"/>
  <c r="AF27" i="29"/>
  <c r="AH27" i="29" s="1"/>
  <c r="AF31" i="29"/>
  <c r="AF17" i="29"/>
  <c r="Q20" i="29"/>
  <c r="R20" i="29" s="1"/>
  <c r="K23" i="29"/>
  <c r="L23" i="29" s="1"/>
  <c r="AG23" i="29"/>
  <c r="AH23" i="29" s="1"/>
  <c r="Q26" i="29"/>
  <c r="R26" i="29" s="1"/>
  <c r="Q30" i="29"/>
  <c r="R30" i="29" s="1"/>
  <c r="AF30" i="29"/>
  <c r="AH30" i="29" s="1"/>
  <c r="Q13" i="27"/>
  <c r="R13" i="27" s="1"/>
  <c r="S13" i="27" s="1"/>
  <c r="G53" i="27" s="1"/>
  <c r="K13" i="29"/>
  <c r="L13" i="29" s="1"/>
  <c r="AG14" i="29"/>
  <c r="AG17" i="29"/>
  <c r="Q24" i="27"/>
  <c r="R24" i="27" s="1"/>
  <c r="S24" i="27" s="1"/>
  <c r="G66" i="27" s="1"/>
  <c r="Q27" i="27"/>
  <c r="R27" i="27" s="1"/>
  <c r="S27" i="27" s="1"/>
  <c r="G69" i="27" s="1"/>
  <c r="AH69" i="27" s="1"/>
  <c r="X68" i="27"/>
  <c r="Y77" i="27"/>
  <c r="Q11" i="28"/>
  <c r="R11" i="28" s="1"/>
  <c r="S11" i="28" s="1"/>
  <c r="G49" i="28" s="1"/>
  <c r="T49" i="28" s="1"/>
  <c r="AF49" i="28" s="1"/>
  <c r="Q18" i="28"/>
  <c r="R18" i="28" s="1"/>
  <c r="S18" i="28" s="1"/>
  <c r="G55" i="28" s="1"/>
  <c r="Q25" i="28"/>
  <c r="R25" i="28" s="1"/>
  <c r="S25" i="28" s="1"/>
  <c r="G61" i="28" s="1"/>
  <c r="M66" i="28"/>
  <c r="AD8" i="29"/>
  <c r="AF11" i="29"/>
  <c r="AH11" i="29" s="1"/>
  <c r="Q17" i="29"/>
  <c r="R17" i="29" s="1"/>
  <c r="AF18" i="29"/>
  <c r="K25" i="29"/>
  <c r="L25" i="29" s="1"/>
  <c r="AD27" i="29"/>
  <c r="Y74" i="27"/>
  <c r="K14" i="29"/>
  <c r="L14" i="29" s="1"/>
  <c r="A47" i="28"/>
  <c r="AF6" i="29"/>
  <c r="AH6" i="29" s="1"/>
  <c r="AF7" i="29"/>
  <c r="AH7" i="29" s="1"/>
  <c r="Q8" i="29"/>
  <c r="R8" i="29" s="1"/>
  <c r="AD11" i="29"/>
  <c r="AD19" i="29"/>
  <c r="AD22" i="29"/>
  <c r="AF4" i="29"/>
  <c r="AH24" i="29"/>
  <c r="AH31" i="29"/>
  <c r="AG9" i="29"/>
  <c r="AD4" i="29"/>
  <c r="AG10" i="29"/>
  <c r="AH10" i="29" s="1"/>
  <c r="AD12" i="29"/>
  <c r="K16" i="29"/>
  <c r="L16" i="29" s="1"/>
  <c r="AG18" i="29"/>
  <c r="AD20" i="29"/>
  <c r="K24" i="29"/>
  <c r="L24" i="29" s="1"/>
  <c r="AG26" i="29"/>
  <c r="AD28" i="29"/>
  <c r="AF28" i="29"/>
  <c r="AH28" i="29" s="1"/>
  <c r="AD29" i="29"/>
  <c r="AF26" i="29"/>
  <c r="AH26" i="29" s="1"/>
  <c r="Q5" i="29"/>
  <c r="R5" i="29" s="1"/>
  <c r="AF12" i="29"/>
  <c r="AH12" i="29" s="1"/>
  <c r="AF20" i="29"/>
  <c r="AH20" i="29" s="1"/>
  <c r="AG4" i="29"/>
  <c r="AF5" i="29"/>
  <c r="AH5" i="29" s="1"/>
  <c r="Q6" i="29"/>
  <c r="R6" i="29" s="1"/>
  <c r="K10" i="29"/>
  <c r="L10" i="29" s="1"/>
  <c r="AF13" i="29"/>
  <c r="AH13" i="29" s="1"/>
  <c r="Q14" i="29"/>
  <c r="R14" i="29" s="1"/>
  <c r="K18" i="29"/>
  <c r="L18" i="29" s="1"/>
  <c r="AF21" i="29"/>
  <c r="AH21" i="29" s="1"/>
  <c r="Q22" i="29"/>
  <c r="R22" i="29" s="1"/>
  <c r="AF29" i="29"/>
  <c r="AH29" i="29" s="1"/>
  <c r="AD30" i="29"/>
  <c r="Q13" i="29"/>
  <c r="R13" i="29" s="1"/>
  <c r="AD21" i="29"/>
  <c r="AD7" i="29"/>
  <c r="AD15" i="29"/>
  <c r="AF22" i="29"/>
  <c r="AH22" i="29" s="1"/>
  <c r="AD23" i="29"/>
  <c r="AD31" i="29"/>
  <c r="AD9" i="29"/>
  <c r="AD17" i="29"/>
  <c r="M59" i="28"/>
  <c r="W59" i="28" s="1"/>
  <c r="Q34" i="28"/>
  <c r="R34" i="28" s="1"/>
  <c r="S34" i="28" s="1"/>
  <c r="G69" i="28" s="1"/>
  <c r="T69" i="28" s="1"/>
  <c r="Q32" i="28"/>
  <c r="R32" i="28" s="1"/>
  <c r="S32" i="28" s="1"/>
  <c r="G67" i="28" s="1"/>
  <c r="T67" i="28" s="1"/>
  <c r="A43" i="28"/>
  <c r="Q10" i="28"/>
  <c r="R10" i="28" s="1"/>
  <c r="S10" i="28" s="1"/>
  <c r="G48" i="28" s="1"/>
  <c r="Q31" i="28"/>
  <c r="R31" i="28" s="1"/>
  <c r="S31" i="28" s="1"/>
  <c r="G66" i="28" s="1"/>
  <c r="AH66" i="28" s="1"/>
  <c r="M62" i="28"/>
  <c r="Q5" i="28"/>
  <c r="R5" i="28" s="1"/>
  <c r="S5" i="28" s="1"/>
  <c r="G44" i="28" s="1"/>
  <c r="AH44" i="28" s="1"/>
  <c r="Q17" i="28"/>
  <c r="R17" i="28" s="1"/>
  <c r="S17" i="28" s="1"/>
  <c r="G54" i="28" s="1"/>
  <c r="U54" i="28" s="1"/>
  <c r="Q20" i="28"/>
  <c r="R20" i="28" s="1"/>
  <c r="S20" i="28" s="1"/>
  <c r="G57" i="28" s="1"/>
  <c r="T57" i="28" s="1"/>
  <c r="AK57" i="28" s="1"/>
  <c r="Q27" i="28"/>
  <c r="R27" i="28" s="1"/>
  <c r="S27" i="28" s="1"/>
  <c r="G63" i="28" s="1"/>
  <c r="T63" i="28" s="1"/>
  <c r="Y61" i="28"/>
  <c r="X68" i="28"/>
  <c r="Q9" i="28"/>
  <c r="R9" i="28" s="1"/>
  <c r="S9" i="28" s="1"/>
  <c r="G47" i="28" s="1"/>
  <c r="AH47" i="28" s="1"/>
  <c r="AD48" i="28"/>
  <c r="Q14" i="28"/>
  <c r="R14" i="28" s="1"/>
  <c r="S14" i="28" s="1"/>
  <c r="G52" i="28" s="1"/>
  <c r="T52" i="28" s="1"/>
  <c r="M61" i="28"/>
  <c r="W61" i="28" s="1"/>
  <c r="M68" i="28"/>
  <c r="W68" i="28" s="1"/>
  <c r="Q6" i="28"/>
  <c r="R6" i="28" s="1"/>
  <c r="S6" i="28" s="1"/>
  <c r="G45" i="28" s="1"/>
  <c r="AH45" i="28" s="1"/>
  <c r="M63" i="28"/>
  <c r="W63" i="28" s="1"/>
  <c r="M65" i="28"/>
  <c r="W65" i="28" s="1"/>
  <c r="Y66" i="28"/>
  <c r="Y60" i="28"/>
  <c r="Y70" i="28"/>
  <c r="Q16" i="28"/>
  <c r="R16" i="28" s="1"/>
  <c r="S16" i="28" s="1"/>
  <c r="G53" i="28" s="1"/>
  <c r="AH53" i="28" s="1"/>
  <c r="Q19" i="28"/>
  <c r="R19" i="28" s="1"/>
  <c r="S19" i="28" s="1"/>
  <c r="G56" i="28" s="1"/>
  <c r="AH56" i="28" s="1"/>
  <c r="Q23" i="28"/>
  <c r="R23" i="28" s="1"/>
  <c r="S23" i="28" s="1"/>
  <c r="G59" i="28" s="1"/>
  <c r="U59" i="28" s="1"/>
  <c r="Q26" i="28"/>
  <c r="R26" i="28" s="1"/>
  <c r="S26" i="28" s="1"/>
  <c r="G62" i="28" s="1"/>
  <c r="T62" i="28" s="1"/>
  <c r="Q30" i="28"/>
  <c r="R30" i="28" s="1"/>
  <c r="S30" i="28" s="1"/>
  <c r="G65" i="28" s="1"/>
  <c r="T65" i="28" s="1"/>
  <c r="Q33" i="28"/>
  <c r="R33" i="28" s="1"/>
  <c r="S33" i="28" s="1"/>
  <c r="G68" i="28" s="1"/>
  <c r="T68" i="28" s="1"/>
  <c r="X59" i="28"/>
  <c r="X63" i="28"/>
  <c r="Y67" i="28"/>
  <c r="Q12" i="28"/>
  <c r="R12" i="28" s="1"/>
  <c r="S12" i="28" s="1"/>
  <c r="G50" i="28" s="1"/>
  <c r="U50" i="28" s="1"/>
  <c r="X64" i="28"/>
  <c r="Q3" i="28"/>
  <c r="R3" i="28" s="1"/>
  <c r="S3" i="28" s="1"/>
  <c r="G42" i="28" s="1"/>
  <c r="Q21" i="28"/>
  <c r="R21" i="28" s="1"/>
  <c r="S21" i="28" s="1"/>
  <c r="G58" i="28" s="1"/>
  <c r="AH58" i="28" s="1"/>
  <c r="Q28" i="28"/>
  <c r="R28" i="28" s="1"/>
  <c r="S28" i="28" s="1"/>
  <c r="G64" i="28" s="1"/>
  <c r="AH64" i="28" s="1"/>
  <c r="Q24" i="28"/>
  <c r="R24" i="28" s="1"/>
  <c r="S24" i="28" s="1"/>
  <c r="G60" i="28" s="1"/>
  <c r="AH60" i="28" s="1"/>
  <c r="M64" i="28"/>
  <c r="W64" i="28" s="1"/>
  <c r="Q4" i="28"/>
  <c r="R4" i="28" s="1"/>
  <c r="S4" i="28" s="1"/>
  <c r="G43" i="28" s="1"/>
  <c r="T43" i="28" s="1"/>
  <c r="Q7" i="28"/>
  <c r="R7" i="28" s="1"/>
  <c r="S7" i="28" s="1"/>
  <c r="G46" i="28" s="1"/>
  <c r="AH46" i="28" s="1"/>
  <c r="Q13" i="28"/>
  <c r="R13" i="28" s="1"/>
  <c r="S13" i="28" s="1"/>
  <c r="G51" i="28" s="1"/>
  <c r="AH51" i="28" s="1"/>
  <c r="M67" i="28"/>
  <c r="V67" i="28" s="1"/>
  <c r="M70" i="28"/>
  <c r="W70" i="28" s="1"/>
  <c r="W62" i="28"/>
  <c r="V62" i="28"/>
  <c r="AH69" i="28"/>
  <c r="U69" i="28"/>
  <c r="AH48" i="28"/>
  <c r="U48" i="28"/>
  <c r="T48" i="28"/>
  <c r="AH54" i="28"/>
  <c r="AH55" i="28"/>
  <c r="U55" i="28"/>
  <c r="T55" i="28"/>
  <c r="U61" i="28"/>
  <c r="AH61" i="28"/>
  <c r="W44" i="28"/>
  <c r="V44" i="28"/>
  <c r="W46" i="28"/>
  <c r="V46" i="28"/>
  <c r="AM54" i="28"/>
  <c r="W56" i="28"/>
  <c r="V56" i="28"/>
  <c r="W58" i="28"/>
  <c r="V58" i="28"/>
  <c r="AM58" i="28" s="1"/>
  <c r="T61" i="28"/>
  <c r="W66" i="28"/>
  <c r="V66" i="28"/>
  <c r="AH70" i="28"/>
  <c r="U70" i="28"/>
  <c r="T70" i="28"/>
  <c r="AM48" i="28"/>
  <c r="AH49" i="28"/>
  <c r="A53" i="28"/>
  <c r="V55" i="28"/>
  <c r="W69" i="28"/>
  <c r="V69" i="28"/>
  <c r="AK49" i="28"/>
  <c r="W52" i="28"/>
  <c r="V52" i="28"/>
  <c r="W54" i="28"/>
  <c r="T53" i="28"/>
  <c r="AH62" i="28"/>
  <c r="U62" i="28"/>
  <c r="W47" i="28"/>
  <c r="V50" i="28"/>
  <c r="W50" i="28"/>
  <c r="A59" i="28"/>
  <c r="C60" i="28"/>
  <c r="M60" i="28" s="1"/>
  <c r="Y65" i="28"/>
  <c r="X65" i="28"/>
  <c r="U49" i="28"/>
  <c r="U63" i="28"/>
  <c r="T58" i="28"/>
  <c r="AK58" i="28" s="1"/>
  <c r="W43" i="28"/>
  <c r="V43" i="28"/>
  <c r="V49" i="28"/>
  <c r="W51" i="28"/>
  <c r="V51" i="28"/>
  <c r="W57" i="28"/>
  <c r="V57" i="28"/>
  <c r="C42" i="28"/>
  <c r="M42" i="28" s="1"/>
  <c r="V45" i="28"/>
  <c r="V53" i="28"/>
  <c r="X69" i="28"/>
  <c r="A65" i="28"/>
  <c r="V59" i="28"/>
  <c r="X62" i="28"/>
  <c r="V63" i="28"/>
  <c r="AD44" i="27"/>
  <c r="AH50" i="27"/>
  <c r="U50" i="27"/>
  <c r="T50" i="27"/>
  <c r="AH67" i="27"/>
  <c r="U67" i="27"/>
  <c r="T67" i="27"/>
  <c r="AH59" i="27"/>
  <c r="U59" i="27"/>
  <c r="T59" i="27"/>
  <c r="AH73" i="27"/>
  <c r="U73" i="27"/>
  <c r="T73" i="27"/>
  <c r="AH61" i="27"/>
  <c r="U61" i="27"/>
  <c r="T61" i="27"/>
  <c r="AH52" i="27"/>
  <c r="U52" i="27"/>
  <c r="T52" i="27"/>
  <c r="AH54" i="27"/>
  <c r="U54" i="27"/>
  <c r="T54" i="27"/>
  <c r="AH62" i="27"/>
  <c r="U62" i="27"/>
  <c r="T62" i="27"/>
  <c r="AH58" i="27"/>
  <c r="U58" i="27"/>
  <c r="T58" i="27"/>
  <c r="W43" i="27"/>
  <c r="V43" i="27"/>
  <c r="AH53" i="27"/>
  <c r="U53" i="27"/>
  <c r="T53" i="27"/>
  <c r="T49" i="27"/>
  <c r="U49" i="27"/>
  <c r="AH49" i="27"/>
  <c r="U69" i="27"/>
  <c r="T69" i="27"/>
  <c r="AH57" i="27"/>
  <c r="U57" i="27"/>
  <c r="T57" i="27"/>
  <c r="AH60" i="27"/>
  <c r="U60" i="27"/>
  <c r="T60" i="27"/>
  <c r="T66" i="27"/>
  <c r="AH66" i="27"/>
  <c r="U66" i="27"/>
  <c r="AH43" i="27"/>
  <c r="U43" i="27"/>
  <c r="T43" i="27"/>
  <c r="T42" i="27"/>
  <c r="U42" i="27"/>
  <c r="AH42" i="27"/>
  <c r="AH68" i="27"/>
  <c r="U68" i="27"/>
  <c r="T68" i="27"/>
  <c r="Y66" i="27"/>
  <c r="X66" i="27"/>
  <c r="A50" i="27"/>
  <c r="W54" i="27"/>
  <c r="Q33" i="27"/>
  <c r="R33" i="27" s="1"/>
  <c r="S33" i="27" s="1"/>
  <c r="G76" i="27" s="1"/>
  <c r="W46" i="27"/>
  <c r="V46" i="27"/>
  <c r="W53" i="27"/>
  <c r="V53" i="27"/>
  <c r="W61" i="27"/>
  <c r="V61" i="27"/>
  <c r="W67" i="27"/>
  <c r="V67" i="27"/>
  <c r="W73" i="27"/>
  <c r="V73" i="27"/>
  <c r="Q34" i="27"/>
  <c r="R34" i="27" s="1"/>
  <c r="S34" i="27" s="1"/>
  <c r="G77" i="27" s="1"/>
  <c r="W74" i="27"/>
  <c r="V74" i="27"/>
  <c r="W49" i="27"/>
  <c r="V49" i="27"/>
  <c r="W51" i="27"/>
  <c r="V51" i="27"/>
  <c r="W60" i="27"/>
  <c r="V60" i="27"/>
  <c r="W70" i="27"/>
  <c r="V70" i="27"/>
  <c r="Q23" i="27"/>
  <c r="R23" i="27" s="1"/>
  <c r="S23" i="27" s="1"/>
  <c r="G65" i="27" s="1"/>
  <c r="Q32" i="27"/>
  <c r="R32" i="27" s="1"/>
  <c r="S32" i="27" s="1"/>
  <c r="G75" i="27" s="1"/>
  <c r="W44" i="27"/>
  <c r="V45" i="27"/>
  <c r="W52" i="27"/>
  <c r="V52" i="27"/>
  <c r="W78" i="27"/>
  <c r="V78" i="27"/>
  <c r="A43" i="27"/>
  <c r="C42" i="27"/>
  <c r="M42" i="27" s="1"/>
  <c r="W77" i="27"/>
  <c r="V77" i="27"/>
  <c r="Q7" i="27"/>
  <c r="R7" i="27" s="1"/>
  <c r="S7" i="27" s="1"/>
  <c r="G46" i="27" s="1"/>
  <c r="V50" i="27"/>
  <c r="AM54" i="27"/>
  <c r="W58" i="27"/>
  <c r="V58" i="27"/>
  <c r="M66" i="27"/>
  <c r="W76" i="27"/>
  <c r="V76" i="27"/>
  <c r="W62" i="27"/>
  <c r="V62" i="27"/>
  <c r="T70" i="27"/>
  <c r="AH70" i="27"/>
  <c r="U70" i="27"/>
  <c r="W68" i="27"/>
  <c r="V68" i="27"/>
  <c r="Q6" i="27"/>
  <c r="R6" i="27" s="1"/>
  <c r="S6" i="27" s="1"/>
  <c r="G45" i="27" s="1"/>
  <c r="Q5" i="27"/>
  <c r="R5" i="27" s="1"/>
  <c r="S5" i="27" s="1"/>
  <c r="G44" i="27" s="1"/>
  <c r="Q31" i="27"/>
  <c r="R31" i="27" s="1"/>
  <c r="S31" i="27" s="1"/>
  <c r="G74" i="27" s="1"/>
  <c r="Q35" i="27"/>
  <c r="R35" i="27" s="1"/>
  <c r="S35" i="27" s="1"/>
  <c r="G78" i="27" s="1"/>
  <c r="W59" i="27"/>
  <c r="V59" i="27"/>
  <c r="V65" i="27"/>
  <c r="W65" i="27"/>
  <c r="V69" i="27"/>
  <c r="W69" i="27"/>
  <c r="W75" i="27"/>
  <c r="V75" i="27"/>
  <c r="C57" i="27"/>
  <c r="M57" i="27" s="1"/>
  <c r="X78" i="27"/>
  <c r="X76" i="27"/>
  <c r="X73" i="27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" i="23"/>
  <c r="N3" i="23"/>
  <c r="O3" i="23" s="1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" i="23"/>
  <c r="W4" i="23"/>
  <c r="V4" i="23" s="1"/>
  <c r="W5" i="23"/>
  <c r="V5" i="23" s="1"/>
  <c r="W6" i="23"/>
  <c r="V6" i="23" s="1"/>
  <c r="W7" i="23"/>
  <c r="V7" i="23" s="1"/>
  <c r="W8" i="23"/>
  <c r="V8" i="23" s="1"/>
  <c r="W9" i="23"/>
  <c r="V9" i="23" s="1"/>
  <c r="W10" i="23"/>
  <c r="V10" i="23" s="1"/>
  <c r="W11" i="23"/>
  <c r="V11" i="23" s="1"/>
  <c r="W12" i="23"/>
  <c r="V12" i="23" s="1"/>
  <c r="W13" i="23"/>
  <c r="V13" i="23" s="1"/>
  <c r="W14" i="23"/>
  <c r="V14" i="23" s="1"/>
  <c r="W15" i="23"/>
  <c r="V15" i="23" s="1"/>
  <c r="W16" i="23"/>
  <c r="V16" i="23" s="1"/>
  <c r="W17" i="23"/>
  <c r="V17" i="23" s="1"/>
  <c r="W18" i="23"/>
  <c r="V18" i="23" s="1"/>
  <c r="W19" i="23"/>
  <c r="V19" i="23" s="1"/>
  <c r="W20" i="23"/>
  <c r="V20" i="23" s="1"/>
  <c r="W21" i="23"/>
  <c r="V21" i="23" s="1"/>
  <c r="W22" i="23"/>
  <c r="V22" i="23" s="1"/>
  <c r="W23" i="23"/>
  <c r="V23" i="23" s="1"/>
  <c r="W24" i="23"/>
  <c r="V24" i="23" s="1"/>
  <c r="W25" i="23"/>
  <c r="V25" i="23" s="1"/>
  <c r="W26" i="23"/>
  <c r="V26" i="23" s="1"/>
  <c r="W27" i="23"/>
  <c r="V27" i="23" s="1"/>
  <c r="W28" i="23"/>
  <c r="V28" i="23" s="1"/>
  <c r="W29" i="23"/>
  <c r="V29" i="23" s="1"/>
  <c r="W30" i="23"/>
  <c r="V30" i="23" s="1"/>
  <c r="W31" i="23"/>
  <c r="V31" i="23" s="1"/>
  <c r="W3" i="23"/>
  <c r="N27" i="23"/>
  <c r="O27" i="23" s="1"/>
  <c r="N28" i="23"/>
  <c r="O28" i="23" s="1"/>
  <c r="N29" i="23"/>
  <c r="O29" i="23" s="1"/>
  <c r="N30" i="23"/>
  <c r="O30" i="23" s="1"/>
  <c r="N31" i="23"/>
  <c r="O31" i="23" s="1"/>
  <c r="N21" i="23"/>
  <c r="O21" i="23" s="1"/>
  <c r="N22" i="23"/>
  <c r="O22" i="23" s="1"/>
  <c r="N23" i="23"/>
  <c r="O23" i="23" s="1"/>
  <c r="N24" i="23"/>
  <c r="O24" i="23" s="1"/>
  <c r="N25" i="23"/>
  <c r="O25" i="23" s="1"/>
  <c r="N15" i="23"/>
  <c r="O15" i="23" s="1"/>
  <c r="N16" i="23"/>
  <c r="O16" i="23" s="1"/>
  <c r="N17" i="23"/>
  <c r="O17" i="23" s="1"/>
  <c r="N18" i="23"/>
  <c r="O18" i="23" s="1"/>
  <c r="N19" i="23"/>
  <c r="O19" i="23" s="1"/>
  <c r="N9" i="23"/>
  <c r="O9" i="23" s="1"/>
  <c r="N10" i="23"/>
  <c r="O10" i="23" s="1"/>
  <c r="N11" i="23"/>
  <c r="O11" i="23" s="1"/>
  <c r="N12" i="23"/>
  <c r="O12" i="23" s="1"/>
  <c r="N13" i="23"/>
  <c r="O13" i="23" s="1"/>
  <c r="N4" i="23"/>
  <c r="O4" i="23" s="1"/>
  <c r="N5" i="23"/>
  <c r="O5" i="23" s="1"/>
  <c r="N6" i="23"/>
  <c r="O6" i="23" s="1"/>
  <c r="N7" i="23"/>
  <c r="O7" i="23" s="1"/>
  <c r="AH63" i="28" l="1"/>
  <c r="AH51" i="27"/>
  <c r="U67" i="28"/>
  <c r="AH18" i="29"/>
  <c r="U51" i="27"/>
  <c r="V68" i="28"/>
  <c r="AH67" i="28"/>
  <c r="L32" i="29"/>
  <c r="T45" i="28"/>
  <c r="U45" i="28"/>
  <c r="AD33" i="29"/>
  <c r="T47" i="28"/>
  <c r="V61" i="28"/>
  <c r="T59" i="28"/>
  <c r="AH9" i="29"/>
  <c r="AH17" i="29"/>
  <c r="AH14" i="29"/>
  <c r="AH59" i="28"/>
  <c r="AH42" i="28"/>
  <c r="T42" i="28"/>
  <c r="AF42" i="28" s="1"/>
  <c r="AH4" i="29"/>
  <c r="U47" i="28"/>
  <c r="U52" i="28"/>
  <c r="T66" i="28"/>
  <c r="AK66" i="28" s="1"/>
  <c r="U66" i="28"/>
  <c r="AH57" i="28"/>
  <c r="U43" i="28"/>
  <c r="U44" i="28"/>
  <c r="AH52" i="28"/>
  <c r="U53" i="28"/>
  <c r="T44" i="28"/>
  <c r="AK44" i="28" s="1"/>
  <c r="AF57" i="28"/>
  <c r="V64" i="28"/>
  <c r="AM64" i="28" s="1"/>
  <c r="AH43" i="28"/>
  <c r="T54" i="28"/>
  <c r="AF54" i="28" s="1"/>
  <c r="U57" i="28"/>
  <c r="U58" i="28"/>
  <c r="T60" i="28"/>
  <c r="U65" i="28"/>
  <c r="U60" i="28"/>
  <c r="V65" i="28"/>
  <c r="AD65" i="28" s="1"/>
  <c r="T50" i="28"/>
  <c r="AF50" i="28" s="1"/>
  <c r="U51" i="28"/>
  <c r="U42" i="28"/>
  <c r="AH50" i="28"/>
  <c r="AH65" i="28"/>
  <c r="W67" i="28"/>
  <c r="T51" i="28"/>
  <c r="AK51" i="28" s="1"/>
  <c r="T64" i="28"/>
  <c r="AF64" i="28" s="1"/>
  <c r="T56" i="28"/>
  <c r="U56" i="28"/>
  <c r="V70" i="28"/>
  <c r="AM70" i="28" s="1"/>
  <c r="U64" i="28"/>
  <c r="T46" i="28"/>
  <c r="U68" i="28"/>
  <c r="U46" i="28"/>
  <c r="AH68" i="28"/>
  <c r="W42" i="28"/>
  <c r="V42" i="28"/>
  <c r="AF58" i="28"/>
  <c r="AD69" i="28"/>
  <c r="AF61" i="28"/>
  <c r="AK61" i="28"/>
  <c r="AD44" i="28"/>
  <c r="AK43" i="28"/>
  <c r="AF43" i="28"/>
  <c r="AM55" i="28"/>
  <c r="AD55" i="28"/>
  <c r="AM63" i="28"/>
  <c r="AD63" i="28"/>
  <c r="AM49" i="28"/>
  <c r="AD49" i="28"/>
  <c r="AD61" i="28"/>
  <c r="AM61" i="28"/>
  <c r="AD58" i="28"/>
  <c r="AK42" i="28"/>
  <c r="AK65" i="28"/>
  <c r="AF65" i="28"/>
  <c r="AD43" i="28"/>
  <c r="AM43" i="28"/>
  <c r="AM59" i="28"/>
  <c r="AD59" i="28"/>
  <c r="W60" i="28"/>
  <c r="V60" i="28"/>
  <c r="AF62" i="28"/>
  <c r="AK62" i="28"/>
  <c r="AM52" i="28"/>
  <c r="AD52" i="28"/>
  <c r="AK70" i="28"/>
  <c r="AF70" i="28"/>
  <c r="AD56" i="28"/>
  <c r="AM56" i="28"/>
  <c r="AK67" i="28"/>
  <c r="AF67" i="28"/>
  <c r="AF45" i="28"/>
  <c r="AK45" i="28"/>
  <c r="AD67" i="28"/>
  <c r="AM67" i="28"/>
  <c r="AK64" i="28"/>
  <c r="AM68" i="28"/>
  <c r="AD68" i="28"/>
  <c r="AK59" i="28"/>
  <c r="AF59" i="28"/>
  <c r="AF55" i="28"/>
  <c r="AK55" i="28"/>
  <c r="AK69" i="28"/>
  <c r="AF69" i="28"/>
  <c r="AF52" i="28"/>
  <c r="AK52" i="28"/>
  <c r="AD57" i="28"/>
  <c r="AM57" i="28"/>
  <c r="AK63" i="28"/>
  <c r="AF63" i="28"/>
  <c r="AK46" i="28"/>
  <c r="AF46" i="28"/>
  <c r="AM62" i="28"/>
  <c r="AD62" i="28"/>
  <c r="AM53" i="28"/>
  <c r="AD53" i="28"/>
  <c r="AD50" i="28"/>
  <c r="AM50" i="28"/>
  <c r="AF60" i="28"/>
  <c r="AK60" i="28"/>
  <c r="AM66" i="28"/>
  <c r="AD66" i="28"/>
  <c r="AM46" i="28"/>
  <c r="AD46" i="28"/>
  <c r="AF48" i="28"/>
  <c r="AK48" i="28"/>
  <c r="AK47" i="28"/>
  <c r="AF47" i="28"/>
  <c r="AF66" i="28"/>
  <c r="AM45" i="28"/>
  <c r="AD45" i="28"/>
  <c r="AD51" i="28"/>
  <c r="AM51" i="28"/>
  <c r="AM47" i="28"/>
  <c r="AD47" i="28"/>
  <c r="AF53" i="28"/>
  <c r="AK53" i="28"/>
  <c r="AF68" i="28"/>
  <c r="AK66" i="27"/>
  <c r="AF66" i="27"/>
  <c r="AK54" i="27"/>
  <c r="AF54" i="27"/>
  <c r="W42" i="27"/>
  <c r="V42" i="27"/>
  <c r="V82" i="27" s="1"/>
  <c r="AD49" i="27"/>
  <c r="AM49" i="27"/>
  <c r="AF60" i="27"/>
  <c r="AK60" i="27"/>
  <c r="AK73" i="27"/>
  <c r="AF73" i="27"/>
  <c r="AD59" i="27"/>
  <c r="AM59" i="27"/>
  <c r="AD58" i="27"/>
  <c r="AM58" i="27"/>
  <c r="T65" i="27"/>
  <c r="U65" i="27"/>
  <c r="AH65" i="27"/>
  <c r="AD61" i="27"/>
  <c r="AM61" i="27"/>
  <c r="AF42" i="27"/>
  <c r="AK42" i="27"/>
  <c r="AF58" i="27"/>
  <c r="AK58" i="27"/>
  <c r="AF50" i="27"/>
  <c r="AK50" i="27"/>
  <c r="AM43" i="27"/>
  <c r="AD43" i="27"/>
  <c r="AH75" i="27"/>
  <c r="U75" i="27"/>
  <c r="T75" i="27"/>
  <c r="W57" i="27"/>
  <c r="V57" i="27"/>
  <c r="AM78" i="27"/>
  <c r="AD78" i="27"/>
  <c r="AD70" i="27"/>
  <c r="AM70" i="27"/>
  <c r="AM74" i="27"/>
  <c r="AD74" i="27"/>
  <c r="AK43" i="27"/>
  <c r="AF43" i="27"/>
  <c r="AK52" i="27"/>
  <c r="AF52" i="27"/>
  <c r="AD65" i="27"/>
  <c r="AM65" i="27"/>
  <c r="AH78" i="27"/>
  <c r="U78" i="27"/>
  <c r="T78" i="27"/>
  <c r="AF70" i="27"/>
  <c r="AK70" i="27"/>
  <c r="AM53" i="27"/>
  <c r="AD53" i="27"/>
  <c r="AF57" i="27"/>
  <c r="AK57" i="27"/>
  <c r="AK49" i="27"/>
  <c r="AF49" i="27"/>
  <c r="AK59" i="27"/>
  <c r="AF59" i="27"/>
  <c r="AH76" i="27"/>
  <c r="U76" i="27"/>
  <c r="T76" i="27"/>
  <c r="W66" i="27"/>
  <c r="V66" i="27"/>
  <c r="AD75" i="27"/>
  <c r="AM75" i="27"/>
  <c r="AH74" i="27"/>
  <c r="U74" i="27"/>
  <c r="T74" i="27"/>
  <c r="AM62" i="27"/>
  <c r="AD62" i="27"/>
  <c r="AD50" i="27"/>
  <c r="AM50" i="27"/>
  <c r="AD52" i="27"/>
  <c r="AM52" i="27"/>
  <c r="AM60" i="27"/>
  <c r="AD60" i="27"/>
  <c r="AH77" i="27"/>
  <c r="U77" i="27"/>
  <c r="T77" i="27"/>
  <c r="AK68" i="27"/>
  <c r="AF68" i="27"/>
  <c r="AK53" i="27"/>
  <c r="AF53" i="27"/>
  <c r="AK62" i="27"/>
  <c r="AF62" i="27"/>
  <c r="AM68" i="27"/>
  <c r="AD68" i="27"/>
  <c r="AD67" i="27"/>
  <c r="AM67" i="27"/>
  <c r="AH44" i="27"/>
  <c r="U44" i="27"/>
  <c r="T44" i="27"/>
  <c r="T46" i="27"/>
  <c r="AH46" i="27"/>
  <c r="U46" i="27"/>
  <c r="AM73" i="27"/>
  <c r="AD73" i="27"/>
  <c r="AD46" i="27"/>
  <c r="AM46" i="27"/>
  <c r="AK61" i="27"/>
  <c r="AF61" i="27"/>
  <c r="AD69" i="27"/>
  <c r="AM69" i="27"/>
  <c r="AH45" i="27"/>
  <c r="U45" i="27"/>
  <c r="T45" i="27"/>
  <c r="AD76" i="27"/>
  <c r="AM76" i="27"/>
  <c r="AM77" i="27"/>
  <c r="AD77" i="27"/>
  <c r="AD45" i="27"/>
  <c r="AM45" i="27"/>
  <c r="AM51" i="27"/>
  <c r="AD51" i="27"/>
  <c r="AK69" i="27"/>
  <c r="AF69" i="27"/>
  <c r="AK67" i="27"/>
  <c r="AF67" i="27"/>
  <c r="AK51" i="27"/>
  <c r="AF51" i="27"/>
  <c r="K3" i="23"/>
  <c r="L3" i="23" s="1"/>
  <c r="K12" i="23"/>
  <c r="K4" i="23"/>
  <c r="K30" i="23"/>
  <c r="K13" i="23"/>
  <c r="K5" i="23"/>
  <c r="K24" i="23"/>
  <c r="K16" i="23"/>
  <c r="K23" i="23"/>
  <c r="K17" i="23"/>
  <c r="K29" i="23"/>
  <c r="K7" i="23"/>
  <c r="K9" i="23"/>
  <c r="K28" i="23"/>
  <c r="K22" i="23"/>
  <c r="K6" i="23"/>
  <c r="K11" i="23"/>
  <c r="K18" i="23"/>
  <c r="K10" i="23"/>
  <c r="K8" i="23"/>
  <c r="K27" i="23"/>
  <c r="K21" i="23"/>
  <c r="K15" i="23"/>
  <c r="K26" i="23"/>
  <c r="K20" i="23"/>
  <c r="K14" i="23"/>
  <c r="K31" i="23"/>
  <c r="K25" i="23"/>
  <c r="K19" i="23"/>
  <c r="V3" i="23"/>
  <c r="AF51" i="28" l="1"/>
  <c r="AH33" i="29"/>
  <c r="AK54" i="28"/>
  <c r="AM65" i="28"/>
  <c r="AD64" i="28"/>
  <c r="AF44" i="28"/>
  <c r="AK50" i="28"/>
  <c r="AK56" i="28"/>
  <c r="AF56" i="28"/>
  <c r="AD70" i="28"/>
  <c r="AM60" i="28"/>
  <c r="AD60" i="28"/>
  <c r="AM42" i="28"/>
  <c r="AD42" i="28"/>
  <c r="V74" i="28"/>
  <c r="AD66" i="27"/>
  <c r="AM66" i="27"/>
  <c r="AK46" i="27"/>
  <c r="AF46" i="27"/>
  <c r="AF76" i="27"/>
  <c r="AK76" i="27"/>
  <c r="AM42" i="27"/>
  <c r="AM79" i="27" s="1"/>
  <c r="AM80" i="27" s="1"/>
  <c r="AD42" i="27"/>
  <c r="AK44" i="27"/>
  <c r="AF44" i="27"/>
  <c r="AK74" i="27"/>
  <c r="AF74" i="27"/>
  <c r="AF75" i="27"/>
  <c r="AK75" i="27"/>
  <c r="AK77" i="27"/>
  <c r="AF77" i="27"/>
  <c r="AF45" i="27"/>
  <c r="AK45" i="27"/>
  <c r="AM57" i="27"/>
  <c r="AD57" i="27"/>
  <c r="AK78" i="27"/>
  <c r="AF78" i="27"/>
  <c r="AK65" i="27"/>
  <c r="AF65" i="27"/>
  <c r="A30" i="26"/>
  <c r="A23" i="26"/>
  <c r="A16" i="26"/>
  <c r="A9" i="26"/>
  <c r="A3" i="26"/>
  <c r="AK79" i="27" l="1"/>
  <c r="AK80" i="27" s="1"/>
  <c r="F123" i="26" l="1"/>
  <c r="D123" i="26"/>
  <c r="F122" i="26"/>
  <c r="D122" i="26"/>
  <c r="AG78" i="26"/>
  <c r="Q78" i="26"/>
  <c r="Y78" i="26" s="1"/>
  <c r="D78" i="26"/>
  <c r="B78" i="26"/>
  <c r="AG77" i="26"/>
  <c r="Q77" i="26"/>
  <c r="Y77" i="26" s="1"/>
  <c r="D77" i="26"/>
  <c r="C77" i="26"/>
  <c r="M77" i="26" s="1"/>
  <c r="V77" i="26" s="1"/>
  <c r="B77" i="26"/>
  <c r="AG76" i="26"/>
  <c r="Y76" i="26"/>
  <c r="X76" i="26"/>
  <c r="Q76" i="26"/>
  <c r="D76" i="26"/>
  <c r="B76" i="26"/>
  <c r="C76" i="26" s="1"/>
  <c r="M76" i="26" s="1"/>
  <c r="AG75" i="26"/>
  <c r="X75" i="26"/>
  <c r="Q75" i="26"/>
  <c r="Y75" i="26" s="1"/>
  <c r="D75" i="26"/>
  <c r="B75" i="26"/>
  <c r="C75" i="26" s="1"/>
  <c r="M75" i="26" s="1"/>
  <c r="AG74" i="26"/>
  <c r="Q74" i="26"/>
  <c r="D74" i="26"/>
  <c r="B74" i="26"/>
  <c r="C74" i="26" s="1"/>
  <c r="M74" i="26" s="1"/>
  <c r="AG73" i="26"/>
  <c r="Q73" i="26"/>
  <c r="I73" i="26"/>
  <c r="D73" i="26"/>
  <c r="C73" i="26"/>
  <c r="AG70" i="26"/>
  <c r="Q70" i="26"/>
  <c r="Y70" i="26" s="1"/>
  <c r="D70" i="26"/>
  <c r="B70" i="26"/>
  <c r="C70" i="26" s="1"/>
  <c r="M70" i="26" s="1"/>
  <c r="AG69" i="26"/>
  <c r="Q69" i="26"/>
  <c r="X69" i="26" s="1"/>
  <c r="D69" i="26"/>
  <c r="B69" i="26"/>
  <c r="C69" i="26" s="1"/>
  <c r="M69" i="26" s="1"/>
  <c r="AG68" i="26"/>
  <c r="Q68" i="26"/>
  <c r="X68" i="26" s="1"/>
  <c r="D68" i="26"/>
  <c r="B68" i="26"/>
  <c r="C68" i="26" s="1"/>
  <c r="M68" i="26" s="1"/>
  <c r="AG67" i="26"/>
  <c r="Q67" i="26"/>
  <c r="X67" i="26" s="1"/>
  <c r="D67" i="26"/>
  <c r="C67" i="26"/>
  <c r="B67" i="26"/>
  <c r="AG66" i="26"/>
  <c r="Q66" i="26"/>
  <c r="D66" i="26"/>
  <c r="B66" i="26"/>
  <c r="C66" i="26" s="1"/>
  <c r="AG65" i="26"/>
  <c r="Q65" i="26"/>
  <c r="D65" i="26"/>
  <c r="B65" i="26"/>
  <c r="C65" i="26" s="1"/>
  <c r="AG62" i="26"/>
  <c r="Y62" i="26"/>
  <c r="X62" i="26"/>
  <c r="D62" i="26"/>
  <c r="B62" i="26"/>
  <c r="C62" i="26" s="1"/>
  <c r="M62" i="26" s="1"/>
  <c r="V62" i="26" s="1"/>
  <c r="AG61" i="26"/>
  <c r="Y61" i="26"/>
  <c r="X61" i="26"/>
  <c r="D61" i="26"/>
  <c r="B61" i="26"/>
  <c r="C61" i="26" s="1"/>
  <c r="M61" i="26" s="1"/>
  <c r="AG60" i="26"/>
  <c r="Y60" i="26"/>
  <c r="X60" i="26"/>
  <c r="D60" i="26"/>
  <c r="B60" i="26"/>
  <c r="C60" i="26" s="1"/>
  <c r="M60" i="26" s="1"/>
  <c r="AG59" i="26"/>
  <c r="Y59" i="26"/>
  <c r="X59" i="26"/>
  <c r="D59" i="26"/>
  <c r="B59" i="26"/>
  <c r="C59" i="26" s="1"/>
  <c r="M59" i="26" s="1"/>
  <c r="AG58" i="26"/>
  <c r="Y58" i="26"/>
  <c r="X58" i="26"/>
  <c r="D58" i="26"/>
  <c r="B58" i="26"/>
  <c r="C58" i="26" s="1"/>
  <c r="M58" i="26" s="1"/>
  <c r="AG57" i="26"/>
  <c r="Y57" i="26"/>
  <c r="X57" i="26"/>
  <c r="D57" i="26"/>
  <c r="B57" i="26"/>
  <c r="A58" i="26" s="1"/>
  <c r="AG54" i="26"/>
  <c r="Y54" i="26"/>
  <c r="X54" i="26"/>
  <c r="D54" i="26"/>
  <c r="B54" i="26"/>
  <c r="C54" i="26" s="1"/>
  <c r="M54" i="26" s="1"/>
  <c r="AG53" i="26"/>
  <c r="Y53" i="26"/>
  <c r="X53" i="26"/>
  <c r="D53" i="26"/>
  <c r="B53" i="26"/>
  <c r="C53" i="26" s="1"/>
  <c r="M53" i="26" s="1"/>
  <c r="AG52" i="26"/>
  <c r="Y52" i="26"/>
  <c r="X52" i="26"/>
  <c r="D52" i="26"/>
  <c r="C52" i="26"/>
  <c r="M52" i="26" s="1"/>
  <c r="B52" i="26"/>
  <c r="AG51" i="26"/>
  <c r="Y51" i="26"/>
  <c r="X51" i="26"/>
  <c r="D51" i="26"/>
  <c r="C51" i="26"/>
  <c r="M51" i="26" s="1"/>
  <c r="B51" i="26"/>
  <c r="AG50" i="26"/>
  <c r="Y50" i="26"/>
  <c r="X50" i="26"/>
  <c r="D50" i="26"/>
  <c r="B50" i="26"/>
  <c r="C50" i="26" s="1"/>
  <c r="M50" i="26" s="1"/>
  <c r="AG49" i="26"/>
  <c r="Y49" i="26"/>
  <c r="X49" i="26"/>
  <c r="D49" i="26"/>
  <c r="C49" i="26"/>
  <c r="M49" i="26" s="1"/>
  <c r="AG46" i="26"/>
  <c r="Y46" i="26"/>
  <c r="X46" i="26"/>
  <c r="D46" i="26"/>
  <c r="B46" i="26"/>
  <c r="C46" i="26" s="1"/>
  <c r="M46" i="26" s="1"/>
  <c r="AG45" i="26"/>
  <c r="Y45" i="26"/>
  <c r="X45" i="26"/>
  <c r="D45" i="26"/>
  <c r="B45" i="26"/>
  <c r="C45" i="26" s="1"/>
  <c r="M45" i="26" s="1"/>
  <c r="W45" i="26" s="1"/>
  <c r="AG44" i="26"/>
  <c r="Y44" i="26"/>
  <c r="X44" i="26"/>
  <c r="D44" i="26"/>
  <c r="B44" i="26"/>
  <c r="C44" i="26" s="1"/>
  <c r="M44" i="26" s="1"/>
  <c r="AG43" i="26"/>
  <c r="Y43" i="26"/>
  <c r="X43" i="26"/>
  <c r="M43" i="26"/>
  <c r="W43" i="26" s="1"/>
  <c r="D43" i="26"/>
  <c r="B43" i="26"/>
  <c r="C43" i="26" s="1"/>
  <c r="AG42" i="26"/>
  <c r="Y42" i="26"/>
  <c r="X42" i="26"/>
  <c r="D42" i="26"/>
  <c r="B42" i="26"/>
  <c r="C42" i="26" s="1"/>
  <c r="M42" i="26" s="1"/>
  <c r="N35" i="26"/>
  <c r="Q35" i="26" s="1"/>
  <c r="R35" i="26" s="1"/>
  <c r="S35" i="26" s="1"/>
  <c r="G78" i="26" s="1"/>
  <c r="M35" i="26"/>
  <c r="J35" i="26"/>
  <c r="H35" i="26"/>
  <c r="C35" i="26"/>
  <c r="N34" i="26"/>
  <c r="Q34" i="26" s="1"/>
  <c r="R34" i="26" s="1"/>
  <c r="S34" i="26" s="1"/>
  <c r="G77" i="26" s="1"/>
  <c r="M34" i="26"/>
  <c r="J34" i="26"/>
  <c r="H34" i="26"/>
  <c r="C34" i="26"/>
  <c r="N33" i="26"/>
  <c r="Q33" i="26" s="1"/>
  <c r="R33" i="26" s="1"/>
  <c r="S33" i="26" s="1"/>
  <c r="G76" i="26" s="1"/>
  <c r="M33" i="26"/>
  <c r="J33" i="26"/>
  <c r="H33" i="26"/>
  <c r="C33" i="26"/>
  <c r="N32" i="26"/>
  <c r="M32" i="26"/>
  <c r="Q32" i="26" s="1"/>
  <c r="R32" i="26" s="1"/>
  <c r="S32" i="26" s="1"/>
  <c r="G75" i="26" s="1"/>
  <c r="J32" i="26"/>
  <c r="H32" i="26"/>
  <c r="C32" i="26"/>
  <c r="N31" i="26"/>
  <c r="M31" i="26"/>
  <c r="Q31" i="26" s="1"/>
  <c r="R31" i="26" s="1"/>
  <c r="S31" i="26" s="1"/>
  <c r="G74" i="26" s="1"/>
  <c r="J31" i="26"/>
  <c r="H31" i="26"/>
  <c r="C31" i="26"/>
  <c r="A31" i="26"/>
  <c r="N30" i="26"/>
  <c r="M30" i="26"/>
  <c r="J30" i="26"/>
  <c r="H30" i="26"/>
  <c r="C30" i="26"/>
  <c r="N28" i="26"/>
  <c r="M28" i="26"/>
  <c r="J28" i="26"/>
  <c r="H28" i="26"/>
  <c r="C28" i="26"/>
  <c r="N27" i="26"/>
  <c r="Q27" i="26" s="1"/>
  <c r="R27" i="26" s="1"/>
  <c r="S27" i="26" s="1"/>
  <c r="G69" i="26" s="1"/>
  <c r="M27" i="26"/>
  <c r="J27" i="26"/>
  <c r="H27" i="26"/>
  <c r="C27" i="26"/>
  <c r="N26" i="26"/>
  <c r="M26" i="26"/>
  <c r="J26" i="26"/>
  <c r="H26" i="26"/>
  <c r="C26" i="26"/>
  <c r="N25" i="26"/>
  <c r="M25" i="26"/>
  <c r="J25" i="26"/>
  <c r="H25" i="26"/>
  <c r="C25" i="26"/>
  <c r="N24" i="26"/>
  <c r="M24" i="26"/>
  <c r="J24" i="26"/>
  <c r="H24" i="26"/>
  <c r="C24" i="26"/>
  <c r="A24" i="26"/>
  <c r="N23" i="26"/>
  <c r="Q23" i="26" s="1"/>
  <c r="R23" i="26" s="1"/>
  <c r="S23" i="26" s="1"/>
  <c r="G65" i="26" s="1"/>
  <c r="U65" i="26" s="1"/>
  <c r="M23" i="26"/>
  <c r="J23" i="26"/>
  <c r="H23" i="26"/>
  <c r="C23" i="26"/>
  <c r="N21" i="26"/>
  <c r="M21" i="26"/>
  <c r="J21" i="26"/>
  <c r="H21" i="26"/>
  <c r="C21" i="26"/>
  <c r="N20" i="26"/>
  <c r="M20" i="26"/>
  <c r="J20" i="26"/>
  <c r="H20" i="26"/>
  <c r="C20" i="26"/>
  <c r="N19" i="26"/>
  <c r="M19" i="26"/>
  <c r="J19" i="26"/>
  <c r="H19" i="26"/>
  <c r="C19" i="26"/>
  <c r="N18" i="26"/>
  <c r="M18" i="26"/>
  <c r="Q18" i="26" s="1"/>
  <c r="R18" i="26" s="1"/>
  <c r="S18" i="26" s="1"/>
  <c r="G59" i="26" s="1"/>
  <c r="J18" i="26"/>
  <c r="H18" i="26"/>
  <c r="C18" i="26"/>
  <c r="A18" i="26"/>
  <c r="N17" i="26"/>
  <c r="M17" i="26"/>
  <c r="Q17" i="26" s="1"/>
  <c r="R17" i="26" s="1"/>
  <c r="S17" i="26" s="1"/>
  <c r="G58" i="26" s="1"/>
  <c r="J17" i="26"/>
  <c r="H17" i="26"/>
  <c r="C17" i="26"/>
  <c r="N16" i="26"/>
  <c r="Q16" i="26" s="1"/>
  <c r="R16" i="26" s="1"/>
  <c r="S16" i="26" s="1"/>
  <c r="G57" i="26" s="1"/>
  <c r="M16" i="26"/>
  <c r="J16" i="26"/>
  <c r="H16" i="26"/>
  <c r="C16" i="26"/>
  <c r="N14" i="26"/>
  <c r="M14" i="26"/>
  <c r="Q14" i="26" s="1"/>
  <c r="R14" i="26" s="1"/>
  <c r="S14" i="26" s="1"/>
  <c r="G54" i="26" s="1"/>
  <c r="J14" i="26"/>
  <c r="H14" i="26"/>
  <c r="C14" i="26"/>
  <c r="Q13" i="26"/>
  <c r="R13" i="26" s="1"/>
  <c r="S13" i="26" s="1"/>
  <c r="G53" i="26" s="1"/>
  <c r="N13" i="26"/>
  <c r="M13" i="26"/>
  <c r="J13" i="26"/>
  <c r="H13" i="26"/>
  <c r="C13" i="26"/>
  <c r="N12" i="26"/>
  <c r="Q12" i="26" s="1"/>
  <c r="R12" i="26" s="1"/>
  <c r="S12" i="26" s="1"/>
  <c r="G52" i="26" s="1"/>
  <c r="M12" i="26"/>
  <c r="J12" i="26"/>
  <c r="H12" i="26"/>
  <c r="C12" i="26"/>
  <c r="N11" i="26"/>
  <c r="Q11" i="26" s="1"/>
  <c r="R11" i="26" s="1"/>
  <c r="S11" i="26" s="1"/>
  <c r="G51" i="26" s="1"/>
  <c r="M11" i="26"/>
  <c r="J11" i="26"/>
  <c r="H11" i="26"/>
  <c r="C11" i="26"/>
  <c r="A11" i="26"/>
  <c r="N10" i="26"/>
  <c r="M10" i="26"/>
  <c r="J10" i="26"/>
  <c r="H10" i="26"/>
  <c r="C10" i="26"/>
  <c r="N9" i="26"/>
  <c r="M9" i="26"/>
  <c r="J9" i="26"/>
  <c r="H9" i="26"/>
  <c r="C9" i="26"/>
  <c r="N7" i="26"/>
  <c r="Q7" i="26" s="1"/>
  <c r="R7" i="26" s="1"/>
  <c r="S7" i="26" s="1"/>
  <c r="G46" i="26" s="1"/>
  <c r="M7" i="26"/>
  <c r="J7" i="26"/>
  <c r="H7" i="26"/>
  <c r="C7" i="26"/>
  <c r="N6" i="26"/>
  <c r="Q6" i="26" s="1"/>
  <c r="R6" i="26" s="1"/>
  <c r="S6" i="26" s="1"/>
  <c r="G45" i="26" s="1"/>
  <c r="M6" i="26"/>
  <c r="J6" i="26"/>
  <c r="H6" i="26"/>
  <c r="C6" i="26"/>
  <c r="Q5" i="26"/>
  <c r="R5" i="26" s="1"/>
  <c r="S5" i="26" s="1"/>
  <c r="G44" i="26" s="1"/>
  <c r="N5" i="26"/>
  <c r="M5" i="26"/>
  <c r="J5" i="26"/>
  <c r="H5" i="26"/>
  <c r="C5" i="26"/>
  <c r="A5" i="26"/>
  <c r="N4" i="26"/>
  <c r="M4" i="26"/>
  <c r="J4" i="26"/>
  <c r="H4" i="26"/>
  <c r="C4" i="26"/>
  <c r="N3" i="26"/>
  <c r="M3" i="26"/>
  <c r="J3" i="26"/>
  <c r="H3" i="26"/>
  <c r="C3" i="26"/>
  <c r="AD62" i="26" l="1"/>
  <c r="AM62" i="26"/>
  <c r="W49" i="26"/>
  <c r="V49" i="26"/>
  <c r="V70" i="26"/>
  <c r="W70" i="26"/>
  <c r="V61" i="26"/>
  <c r="W61" i="26"/>
  <c r="V60" i="26"/>
  <c r="AM60" i="26" s="1"/>
  <c r="W60" i="26"/>
  <c r="V69" i="26"/>
  <c r="W69" i="26"/>
  <c r="Q19" i="26"/>
  <c r="R19" i="26" s="1"/>
  <c r="S19" i="26" s="1"/>
  <c r="G60" i="26" s="1"/>
  <c r="V43" i="26"/>
  <c r="X78" i="26"/>
  <c r="X70" i="26"/>
  <c r="Q10" i="26"/>
  <c r="R10" i="26" s="1"/>
  <c r="S10" i="26" s="1"/>
  <c r="G50" i="26" s="1"/>
  <c r="Q21" i="26"/>
  <c r="R21" i="26" s="1"/>
  <c r="S21" i="26" s="1"/>
  <c r="G62" i="26" s="1"/>
  <c r="M66" i="26"/>
  <c r="Y67" i="26"/>
  <c r="Y68" i="26"/>
  <c r="Y69" i="26"/>
  <c r="X77" i="26"/>
  <c r="A50" i="26"/>
  <c r="C57" i="26"/>
  <c r="M57" i="26" s="1"/>
  <c r="V57" i="26" s="1"/>
  <c r="Q4" i="26"/>
  <c r="R4" i="26" s="1"/>
  <c r="S4" i="26" s="1"/>
  <c r="G43" i="26" s="1"/>
  <c r="Q9" i="26"/>
  <c r="R9" i="26" s="1"/>
  <c r="S9" i="26" s="1"/>
  <c r="G49" i="26" s="1"/>
  <c r="Q20" i="26"/>
  <c r="R20" i="26" s="1"/>
  <c r="S20" i="26" s="1"/>
  <c r="G61" i="26" s="1"/>
  <c r="A65" i="26"/>
  <c r="A73" i="26"/>
  <c r="Q3" i="26"/>
  <c r="R3" i="26" s="1"/>
  <c r="S3" i="26" s="1"/>
  <c r="G42" i="26" s="1"/>
  <c r="AH42" i="26" s="1"/>
  <c r="Q30" i="26"/>
  <c r="R30" i="26" s="1"/>
  <c r="S30" i="26" s="1"/>
  <c r="G73" i="26" s="1"/>
  <c r="U73" i="26" s="1"/>
  <c r="M65" i="26"/>
  <c r="AH65" i="26"/>
  <c r="AD77" i="26"/>
  <c r="AM77" i="26"/>
  <c r="AD61" i="26"/>
  <c r="AM61" i="26"/>
  <c r="AD60" i="26"/>
  <c r="AH57" i="26"/>
  <c r="U57" i="26"/>
  <c r="T57" i="26"/>
  <c r="T50" i="26"/>
  <c r="AH50" i="26"/>
  <c r="U50" i="26"/>
  <c r="U51" i="26"/>
  <c r="T51" i="26"/>
  <c r="AH51" i="26"/>
  <c r="W66" i="26"/>
  <c r="V66" i="26"/>
  <c r="AH54" i="26"/>
  <c r="U54" i="26"/>
  <c r="T54" i="26"/>
  <c r="W58" i="26"/>
  <c r="V58" i="26"/>
  <c r="U53" i="26"/>
  <c r="T53" i="26"/>
  <c r="AK53" i="26" s="1"/>
  <c r="AH53" i="26"/>
  <c r="AH45" i="26"/>
  <c r="T45" i="26"/>
  <c r="U45" i="26"/>
  <c r="U44" i="26"/>
  <c r="AH44" i="26"/>
  <c r="T44" i="26"/>
  <c r="AH76" i="26"/>
  <c r="U76" i="26"/>
  <c r="T76" i="26"/>
  <c r="AK76" i="26" s="1"/>
  <c r="AH61" i="26"/>
  <c r="U61" i="26"/>
  <c r="T61" i="26"/>
  <c r="AK61" i="26" s="1"/>
  <c r="AH46" i="26"/>
  <c r="T46" i="26"/>
  <c r="AK46" i="26" s="1"/>
  <c r="U46" i="26"/>
  <c r="AH69" i="26"/>
  <c r="U69" i="26"/>
  <c r="T69" i="26"/>
  <c r="AK69" i="26" s="1"/>
  <c r="V44" i="26"/>
  <c r="W44" i="26"/>
  <c r="AH60" i="26"/>
  <c r="U60" i="26"/>
  <c r="T60" i="26"/>
  <c r="AK60" i="26" s="1"/>
  <c r="AH62" i="26"/>
  <c r="U62" i="26"/>
  <c r="T62" i="26"/>
  <c r="W46" i="26"/>
  <c r="V46" i="26"/>
  <c r="U43" i="26"/>
  <c r="T43" i="26"/>
  <c r="AH43" i="26"/>
  <c r="AH59" i="26"/>
  <c r="U59" i="26"/>
  <c r="T59" i="26"/>
  <c r="AK59" i="26" s="1"/>
  <c r="W42" i="26"/>
  <c r="V42" i="26"/>
  <c r="V59" i="26"/>
  <c r="W59" i="26"/>
  <c r="T42" i="26"/>
  <c r="T52" i="26"/>
  <c r="AH52" i="26"/>
  <c r="U52" i="26"/>
  <c r="AH49" i="26"/>
  <c r="T49" i="26"/>
  <c r="U49" i="26"/>
  <c r="AH58" i="26"/>
  <c r="U58" i="26"/>
  <c r="T58" i="26"/>
  <c r="AK58" i="26" s="1"/>
  <c r="W52" i="26"/>
  <c r="V52" i="26"/>
  <c r="Q26" i="26"/>
  <c r="R26" i="26" s="1"/>
  <c r="S26" i="26" s="1"/>
  <c r="G68" i="26" s="1"/>
  <c r="V65" i="26"/>
  <c r="W65" i="26"/>
  <c r="V54" i="26"/>
  <c r="W54" i="26"/>
  <c r="T75" i="26"/>
  <c r="AK75" i="26" s="1"/>
  <c r="AH75" i="26"/>
  <c r="U75" i="26"/>
  <c r="Q25" i="26"/>
  <c r="R25" i="26" s="1"/>
  <c r="S25" i="26" s="1"/>
  <c r="G67" i="26" s="1"/>
  <c r="W51" i="26"/>
  <c r="V51" i="26"/>
  <c r="Y65" i="26"/>
  <c r="X65" i="26"/>
  <c r="Y73" i="26"/>
  <c r="X73" i="26"/>
  <c r="M73" i="26"/>
  <c r="X74" i="26"/>
  <c r="Y74" i="26"/>
  <c r="W75" i="26"/>
  <c r="V75" i="26"/>
  <c r="W57" i="26"/>
  <c r="W62" i="26"/>
  <c r="W74" i="26"/>
  <c r="V74" i="26"/>
  <c r="V76" i="26"/>
  <c r="W76" i="26"/>
  <c r="A43" i="26"/>
  <c r="V45" i="26"/>
  <c r="T65" i="26"/>
  <c r="Y66" i="26"/>
  <c r="X66" i="26"/>
  <c r="C78" i="26"/>
  <c r="M78" i="26" s="1"/>
  <c r="Q24" i="26"/>
  <c r="R24" i="26" s="1"/>
  <c r="S24" i="26" s="1"/>
  <c r="G66" i="26" s="1"/>
  <c r="Q28" i="26"/>
  <c r="R28" i="26" s="1"/>
  <c r="S28" i="26" s="1"/>
  <c r="G70" i="26" s="1"/>
  <c r="V53" i="26"/>
  <c r="W53" i="26"/>
  <c r="M67" i="26"/>
  <c r="W77" i="26"/>
  <c r="W50" i="26"/>
  <c r="V50" i="26"/>
  <c r="U74" i="26"/>
  <c r="T74" i="26"/>
  <c r="AK74" i="26" s="1"/>
  <c r="AH74" i="26"/>
  <c r="AH77" i="26"/>
  <c r="U77" i="26"/>
  <c r="T77" i="26"/>
  <c r="AK77" i="26" s="1"/>
  <c r="T78" i="26"/>
  <c r="AK78" i="26" s="1"/>
  <c r="AH78" i="26"/>
  <c r="U78" i="26"/>
  <c r="W68" i="26"/>
  <c r="V68" i="26"/>
  <c r="AD50" i="26" l="1"/>
  <c r="AM50" i="26"/>
  <c r="AD52" i="26"/>
  <c r="AM52" i="26"/>
  <c r="AD44" i="26"/>
  <c r="AM44" i="26"/>
  <c r="AD43" i="26"/>
  <c r="AM43" i="26"/>
  <c r="AF42" i="26"/>
  <c r="AK42" i="26"/>
  <c r="AD66" i="26"/>
  <c r="AM66" i="26"/>
  <c r="T73" i="26"/>
  <c r="AF73" i="26" s="1"/>
  <c r="AD70" i="26"/>
  <c r="AM70" i="26"/>
  <c r="AD45" i="26"/>
  <c r="AM45" i="26"/>
  <c r="AD54" i="26"/>
  <c r="AM54" i="26"/>
  <c r="U42" i="26"/>
  <c r="AH73" i="26"/>
  <c r="AD49" i="26"/>
  <c r="AM49" i="26"/>
  <c r="AD68" i="26"/>
  <c r="AM68" i="26"/>
  <c r="AD53" i="26"/>
  <c r="AM53" i="26"/>
  <c r="AD51" i="26"/>
  <c r="AM51" i="26"/>
  <c r="AD69" i="26"/>
  <c r="AM69" i="26"/>
  <c r="AD65" i="26"/>
  <c r="AM65" i="26"/>
  <c r="AD42" i="26"/>
  <c r="AM42" i="26"/>
  <c r="AD46" i="26"/>
  <c r="AM46" i="26"/>
  <c r="AD57" i="26"/>
  <c r="AM57" i="26"/>
  <c r="AD75" i="26"/>
  <c r="AM75" i="26"/>
  <c r="AD74" i="26"/>
  <c r="AM74" i="26"/>
  <c r="AD59" i="26"/>
  <c r="AM59" i="26"/>
  <c r="AD58" i="26"/>
  <c r="AM58" i="26"/>
  <c r="AD76" i="26"/>
  <c r="AM76" i="26"/>
  <c r="AF59" i="26"/>
  <c r="AF45" i="26"/>
  <c r="AK45" i="26"/>
  <c r="AK65" i="26"/>
  <c r="AF65" i="26"/>
  <c r="AF76" i="26"/>
  <c r="AF74" i="26"/>
  <c r="AH70" i="26"/>
  <c r="U70" i="26"/>
  <c r="T70" i="26"/>
  <c r="AK70" i="26" s="1"/>
  <c r="AF49" i="26"/>
  <c r="AK49" i="26"/>
  <c r="AF43" i="26"/>
  <c r="AK43" i="26"/>
  <c r="AF46" i="26"/>
  <c r="AK44" i="26"/>
  <c r="AF44" i="26"/>
  <c r="AK52" i="26"/>
  <c r="AF52" i="26"/>
  <c r="AF69" i="26"/>
  <c r="AK50" i="26"/>
  <c r="AF50" i="26"/>
  <c r="AF60" i="26"/>
  <c r="AF53" i="26"/>
  <c r="AH67" i="26"/>
  <c r="T67" i="26"/>
  <c r="AK67" i="26" s="1"/>
  <c r="U67" i="26"/>
  <c r="AH68" i="26"/>
  <c r="U68" i="26"/>
  <c r="T68" i="26"/>
  <c r="AK68" i="26" s="1"/>
  <c r="AK51" i="26"/>
  <c r="AF51" i="26"/>
  <c r="AK57" i="26"/>
  <c r="AF57" i="26"/>
  <c r="AF77" i="26"/>
  <c r="AF58" i="26"/>
  <c r="AK62" i="26"/>
  <c r="AF62" i="26"/>
  <c r="W67" i="26"/>
  <c r="V67" i="26"/>
  <c r="AK73" i="26"/>
  <c r="U66" i="26"/>
  <c r="AH66" i="26"/>
  <c r="T66" i="26"/>
  <c r="AK66" i="26" s="1"/>
  <c r="W78" i="26"/>
  <c r="V78" i="26"/>
  <c r="V73" i="26"/>
  <c r="W73" i="26"/>
  <c r="AF61" i="26"/>
  <c r="AF75" i="26"/>
  <c r="AF78" i="26"/>
  <c r="AK54" i="26"/>
  <c r="AF54" i="26"/>
  <c r="F123" i="24"/>
  <c r="F122" i="24"/>
  <c r="D122" i="24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" i="23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2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" i="25"/>
  <c r="G4" i="25"/>
  <c r="G5" i="25"/>
  <c r="G6" i="25"/>
  <c r="G2" i="25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" i="23"/>
  <c r="AG43" i="24"/>
  <c r="AG44" i="24"/>
  <c r="AG45" i="24"/>
  <c r="AG46" i="24"/>
  <c r="AG49" i="24"/>
  <c r="AG50" i="24"/>
  <c r="AG51" i="24"/>
  <c r="AG52" i="24"/>
  <c r="AG53" i="24"/>
  <c r="AG54" i="24"/>
  <c r="AG57" i="24"/>
  <c r="AG58" i="24"/>
  <c r="AG59" i="24"/>
  <c r="AG60" i="24"/>
  <c r="AG61" i="24"/>
  <c r="AG62" i="24"/>
  <c r="AG65" i="24"/>
  <c r="AG66" i="24"/>
  <c r="AG67" i="24"/>
  <c r="AG68" i="24"/>
  <c r="AG69" i="24"/>
  <c r="AG70" i="24"/>
  <c r="AG73" i="24"/>
  <c r="AG74" i="24"/>
  <c r="AG75" i="24"/>
  <c r="AG76" i="24"/>
  <c r="AG77" i="24"/>
  <c r="AG78" i="24"/>
  <c r="AG42" i="24"/>
  <c r="AD67" i="26" l="1"/>
  <c r="AM67" i="26"/>
  <c r="V82" i="26"/>
  <c r="AD4" i="23"/>
  <c r="AG4" i="23"/>
  <c r="AF4" i="23"/>
  <c r="AD19" i="23"/>
  <c r="AG19" i="23"/>
  <c r="AF19" i="23"/>
  <c r="AG18" i="23"/>
  <c r="AD18" i="23"/>
  <c r="AF18" i="23"/>
  <c r="AG28" i="23"/>
  <c r="AF28" i="23"/>
  <c r="AD28" i="23"/>
  <c r="AG26" i="23"/>
  <c r="AD26" i="23"/>
  <c r="AF26" i="23"/>
  <c r="AG10" i="23"/>
  <c r="AD10" i="23"/>
  <c r="AF10" i="23"/>
  <c r="AD25" i="23"/>
  <c r="AG25" i="23"/>
  <c r="AF25" i="23"/>
  <c r="AG17" i="23"/>
  <c r="AD17" i="23"/>
  <c r="AF17" i="23"/>
  <c r="AG9" i="23"/>
  <c r="AD9" i="23"/>
  <c r="AF9" i="23"/>
  <c r="AG27" i="23"/>
  <c r="AD27" i="23"/>
  <c r="AF27" i="23"/>
  <c r="AF3" i="23"/>
  <c r="AG3" i="23"/>
  <c r="AD3" i="23"/>
  <c r="AD8" i="23"/>
  <c r="AG8" i="23"/>
  <c r="AF8" i="23"/>
  <c r="AG31" i="23"/>
  <c r="AD31" i="23"/>
  <c r="AF31" i="23"/>
  <c r="AG23" i="23"/>
  <c r="AD23" i="23"/>
  <c r="AF23" i="23"/>
  <c r="AG15" i="23"/>
  <c r="AD15" i="23"/>
  <c r="AF15" i="23"/>
  <c r="AD7" i="23"/>
  <c r="AG7" i="23"/>
  <c r="AF7" i="23"/>
  <c r="AG20" i="23"/>
  <c r="AD20" i="23"/>
  <c r="AF20" i="23"/>
  <c r="AG16" i="23"/>
  <c r="AD16" i="23"/>
  <c r="AF16" i="23"/>
  <c r="AG30" i="23"/>
  <c r="AD30" i="23"/>
  <c r="AF30" i="23"/>
  <c r="AG22" i="23"/>
  <c r="AF22" i="23"/>
  <c r="AD22" i="23"/>
  <c r="AG14" i="23"/>
  <c r="AD14" i="23"/>
  <c r="AF14" i="23"/>
  <c r="AG6" i="23"/>
  <c r="AD6" i="23"/>
  <c r="AF6" i="23"/>
  <c r="AG12" i="23"/>
  <c r="AD12" i="23"/>
  <c r="AF12" i="23"/>
  <c r="AG11" i="23"/>
  <c r="AD11" i="23"/>
  <c r="AF11" i="23"/>
  <c r="AD24" i="23"/>
  <c r="AG24" i="23"/>
  <c r="AF24" i="23"/>
  <c r="AG29" i="23"/>
  <c r="AD29" i="23"/>
  <c r="AF29" i="23"/>
  <c r="AG21" i="23"/>
  <c r="AF21" i="23"/>
  <c r="AD21" i="23"/>
  <c r="AD13" i="23"/>
  <c r="AG13" i="23"/>
  <c r="AF13" i="23"/>
  <c r="AD5" i="23"/>
  <c r="AG5" i="23"/>
  <c r="AF5" i="23"/>
  <c r="AK79" i="26"/>
  <c r="AD78" i="26"/>
  <c r="AM78" i="26"/>
  <c r="AD73" i="26"/>
  <c r="AM73" i="26"/>
  <c r="AF68" i="26"/>
  <c r="AF67" i="26"/>
  <c r="AF66" i="26"/>
  <c r="AF70" i="26"/>
  <c r="D123" i="24"/>
  <c r="Q78" i="24"/>
  <c r="Y78" i="24" s="1"/>
  <c r="D78" i="24"/>
  <c r="B78" i="24"/>
  <c r="C78" i="24" s="1"/>
  <c r="Q77" i="24"/>
  <c r="Y77" i="24" s="1"/>
  <c r="D77" i="24"/>
  <c r="B77" i="24"/>
  <c r="C77" i="24" s="1"/>
  <c r="Q76" i="24"/>
  <c r="X76" i="24" s="1"/>
  <c r="D76" i="24"/>
  <c r="B76" i="24"/>
  <c r="C76" i="24" s="1"/>
  <c r="Q75" i="24"/>
  <c r="Y75" i="24" s="1"/>
  <c r="D75" i="24"/>
  <c r="B75" i="24"/>
  <c r="C75" i="24" s="1"/>
  <c r="Q74" i="24"/>
  <c r="X74" i="24" s="1"/>
  <c r="D74" i="24"/>
  <c r="B74" i="24"/>
  <c r="C74" i="24" s="1"/>
  <c r="Q73" i="24"/>
  <c r="Y73" i="24" s="1"/>
  <c r="I73" i="24"/>
  <c r="D73" i="24"/>
  <c r="C73" i="24"/>
  <c r="Q70" i="24"/>
  <c r="Y70" i="24" s="1"/>
  <c r="D70" i="24"/>
  <c r="B70" i="24"/>
  <c r="C70" i="24" s="1"/>
  <c r="Q69" i="24"/>
  <c r="X69" i="24" s="1"/>
  <c r="D69" i="24"/>
  <c r="B69" i="24"/>
  <c r="C69" i="24" s="1"/>
  <c r="Q68" i="24"/>
  <c r="Y68" i="24" s="1"/>
  <c r="D68" i="24"/>
  <c r="B68" i="24"/>
  <c r="Q67" i="24"/>
  <c r="X67" i="24" s="1"/>
  <c r="D67" i="24"/>
  <c r="C67" i="24"/>
  <c r="B67" i="24"/>
  <c r="Q66" i="24"/>
  <c r="Y66" i="24" s="1"/>
  <c r="D66" i="24"/>
  <c r="B66" i="24"/>
  <c r="C66" i="24" s="1"/>
  <c r="Q65" i="24"/>
  <c r="Y65" i="24" s="1"/>
  <c r="D65" i="24"/>
  <c r="B65" i="24"/>
  <c r="C65" i="24" s="1"/>
  <c r="Y62" i="24"/>
  <c r="X62" i="24"/>
  <c r="D62" i="24"/>
  <c r="B62" i="24"/>
  <c r="C62" i="24" s="1"/>
  <c r="M62" i="24" s="1"/>
  <c r="Y61" i="24"/>
  <c r="X61" i="24"/>
  <c r="D61" i="24"/>
  <c r="B61" i="24"/>
  <c r="C61" i="24" s="1"/>
  <c r="M61" i="24" s="1"/>
  <c r="Y60" i="24"/>
  <c r="X60" i="24"/>
  <c r="D60" i="24"/>
  <c r="B60" i="24"/>
  <c r="C60" i="24" s="1"/>
  <c r="M60" i="24" s="1"/>
  <c r="Y59" i="24"/>
  <c r="X59" i="24"/>
  <c r="D59" i="24"/>
  <c r="B59" i="24"/>
  <c r="C59" i="24" s="1"/>
  <c r="M59" i="24" s="1"/>
  <c r="Y58" i="24"/>
  <c r="X58" i="24"/>
  <c r="D58" i="24"/>
  <c r="B58" i="24"/>
  <c r="C58" i="24" s="1"/>
  <c r="M58" i="24" s="1"/>
  <c r="Y57" i="24"/>
  <c r="X57" i="24"/>
  <c r="D57" i="24"/>
  <c r="B57" i="24"/>
  <c r="C57" i="24" s="1"/>
  <c r="M57" i="24" s="1"/>
  <c r="Y54" i="24"/>
  <c r="X54" i="24"/>
  <c r="D54" i="24"/>
  <c r="B54" i="24"/>
  <c r="C54" i="24" s="1"/>
  <c r="M54" i="24" s="1"/>
  <c r="Y53" i="24"/>
  <c r="X53" i="24"/>
  <c r="D53" i="24"/>
  <c r="B53" i="24"/>
  <c r="C53" i="24" s="1"/>
  <c r="M53" i="24" s="1"/>
  <c r="Y52" i="24"/>
  <c r="X52" i="24"/>
  <c r="D52" i="24"/>
  <c r="B52" i="24"/>
  <c r="C52" i="24" s="1"/>
  <c r="M52" i="24" s="1"/>
  <c r="Y51" i="24"/>
  <c r="X51" i="24"/>
  <c r="D51" i="24"/>
  <c r="B51" i="24"/>
  <c r="C51" i="24" s="1"/>
  <c r="M51" i="24" s="1"/>
  <c r="W51" i="24" s="1"/>
  <c r="Y50" i="24"/>
  <c r="X50" i="24"/>
  <c r="D50" i="24"/>
  <c r="B50" i="24"/>
  <c r="Y49" i="24"/>
  <c r="X49" i="24"/>
  <c r="D49" i="24"/>
  <c r="C49" i="24"/>
  <c r="M49" i="24" s="1"/>
  <c r="Y46" i="24"/>
  <c r="X46" i="24"/>
  <c r="D46" i="24"/>
  <c r="B46" i="24"/>
  <c r="C46" i="24" s="1"/>
  <c r="M46" i="24" s="1"/>
  <c r="Y45" i="24"/>
  <c r="X45" i="24"/>
  <c r="D45" i="24"/>
  <c r="B45" i="24"/>
  <c r="C45" i="24" s="1"/>
  <c r="M45" i="24" s="1"/>
  <c r="W45" i="24" s="1"/>
  <c r="Y44" i="24"/>
  <c r="X44" i="24"/>
  <c r="D44" i="24"/>
  <c r="B44" i="24"/>
  <c r="C44" i="24" s="1"/>
  <c r="M44" i="24" s="1"/>
  <c r="Y43" i="24"/>
  <c r="X43" i="24"/>
  <c r="D43" i="24"/>
  <c r="B43" i="24"/>
  <c r="C43" i="24" s="1"/>
  <c r="M43" i="24" s="1"/>
  <c r="Y42" i="24"/>
  <c r="X42" i="24"/>
  <c r="D42" i="24"/>
  <c r="B42" i="24"/>
  <c r="C42" i="24" s="1"/>
  <c r="M42" i="24" s="1"/>
  <c r="N35" i="24"/>
  <c r="M35" i="24"/>
  <c r="J35" i="24"/>
  <c r="H35" i="24"/>
  <c r="C35" i="24"/>
  <c r="N34" i="24"/>
  <c r="M34" i="24"/>
  <c r="J34" i="24"/>
  <c r="H34" i="24"/>
  <c r="C34" i="24"/>
  <c r="N33" i="24"/>
  <c r="M33" i="24"/>
  <c r="J33" i="24"/>
  <c r="H33" i="24"/>
  <c r="C33" i="24"/>
  <c r="N32" i="24"/>
  <c r="M32" i="24"/>
  <c r="J32" i="24"/>
  <c r="H32" i="24"/>
  <c r="C32" i="24"/>
  <c r="N31" i="24"/>
  <c r="M31" i="24"/>
  <c r="J31" i="24"/>
  <c r="H31" i="24"/>
  <c r="C31" i="24"/>
  <c r="A31" i="24"/>
  <c r="N30" i="24"/>
  <c r="M30" i="24"/>
  <c r="J30" i="24"/>
  <c r="H30" i="24"/>
  <c r="C30" i="24"/>
  <c r="A30" i="24"/>
  <c r="N28" i="24"/>
  <c r="M28" i="24"/>
  <c r="J28" i="24"/>
  <c r="H28" i="24"/>
  <c r="C28" i="24"/>
  <c r="N27" i="24"/>
  <c r="M27" i="24"/>
  <c r="J27" i="24"/>
  <c r="H27" i="24"/>
  <c r="C27" i="24"/>
  <c r="N26" i="24"/>
  <c r="M26" i="24"/>
  <c r="J26" i="24"/>
  <c r="H26" i="24"/>
  <c r="C26" i="24"/>
  <c r="N25" i="24"/>
  <c r="M25" i="24"/>
  <c r="J25" i="24"/>
  <c r="H25" i="24"/>
  <c r="C25" i="24"/>
  <c r="N24" i="24"/>
  <c r="M24" i="24"/>
  <c r="J24" i="24"/>
  <c r="H24" i="24"/>
  <c r="C24" i="24"/>
  <c r="A24" i="24"/>
  <c r="N23" i="24"/>
  <c r="M23" i="24"/>
  <c r="J23" i="24"/>
  <c r="H23" i="24"/>
  <c r="C23" i="24"/>
  <c r="A23" i="24"/>
  <c r="N21" i="24"/>
  <c r="M21" i="24"/>
  <c r="J21" i="24"/>
  <c r="H21" i="24"/>
  <c r="C21" i="24"/>
  <c r="N20" i="24"/>
  <c r="M20" i="24"/>
  <c r="J20" i="24"/>
  <c r="H20" i="24"/>
  <c r="C20" i="24"/>
  <c r="N19" i="24"/>
  <c r="M19" i="24"/>
  <c r="J19" i="24"/>
  <c r="H19" i="24"/>
  <c r="C19" i="24"/>
  <c r="N18" i="24"/>
  <c r="M18" i="24"/>
  <c r="J18" i="24"/>
  <c r="H18" i="24"/>
  <c r="C18" i="24"/>
  <c r="A18" i="24"/>
  <c r="N17" i="24"/>
  <c r="M17" i="24"/>
  <c r="J17" i="24"/>
  <c r="H17" i="24"/>
  <c r="C17" i="24"/>
  <c r="N16" i="24"/>
  <c r="M16" i="24"/>
  <c r="J16" i="24"/>
  <c r="H16" i="24"/>
  <c r="C16" i="24"/>
  <c r="A16" i="24"/>
  <c r="N14" i="24"/>
  <c r="M14" i="24"/>
  <c r="J14" i="24"/>
  <c r="H14" i="24"/>
  <c r="C14" i="24"/>
  <c r="N13" i="24"/>
  <c r="M13" i="24"/>
  <c r="J13" i="24"/>
  <c r="H13" i="24"/>
  <c r="C13" i="24"/>
  <c r="N12" i="24"/>
  <c r="M12" i="24"/>
  <c r="J12" i="24"/>
  <c r="H12" i="24"/>
  <c r="C12" i="24"/>
  <c r="N11" i="24"/>
  <c r="M11" i="24"/>
  <c r="J11" i="24"/>
  <c r="H11" i="24"/>
  <c r="C11" i="24"/>
  <c r="A11" i="24"/>
  <c r="N10" i="24"/>
  <c r="M10" i="24"/>
  <c r="Q10" i="24" s="1"/>
  <c r="R10" i="24" s="1"/>
  <c r="S10" i="24" s="1"/>
  <c r="G50" i="24" s="1"/>
  <c r="J10" i="24"/>
  <c r="H10" i="24"/>
  <c r="C10" i="24"/>
  <c r="N9" i="24"/>
  <c r="M9" i="24"/>
  <c r="J9" i="24"/>
  <c r="H9" i="24"/>
  <c r="C9" i="24"/>
  <c r="A9" i="24"/>
  <c r="N7" i="24"/>
  <c r="M7" i="24"/>
  <c r="J7" i="24"/>
  <c r="H7" i="24"/>
  <c r="C7" i="24"/>
  <c r="N6" i="24"/>
  <c r="M6" i="24"/>
  <c r="J6" i="24"/>
  <c r="H6" i="24"/>
  <c r="C6" i="24"/>
  <c r="N5" i="24"/>
  <c r="M5" i="24"/>
  <c r="J5" i="24"/>
  <c r="H5" i="24"/>
  <c r="C5" i="24"/>
  <c r="A5" i="24"/>
  <c r="N4" i="24"/>
  <c r="M4" i="24"/>
  <c r="J4" i="24"/>
  <c r="H4" i="24"/>
  <c r="C4" i="24"/>
  <c r="N3" i="24"/>
  <c r="M3" i="24"/>
  <c r="Q3" i="24" s="1"/>
  <c r="R3" i="24" s="1"/>
  <c r="S3" i="24" s="1"/>
  <c r="G42" i="24" s="1"/>
  <c r="J3" i="24"/>
  <c r="H3" i="24"/>
  <c r="C3" i="24"/>
  <c r="A3" i="24"/>
  <c r="M75" i="24" l="1"/>
  <c r="AM79" i="26"/>
  <c r="AM80" i="26" s="1"/>
  <c r="U3" i="29"/>
  <c r="U3" i="23"/>
  <c r="AH42" i="24"/>
  <c r="U9" i="29"/>
  <c r="U9" i="23"/>
  <c r="AH21" i="23"/>
  <c r="AH29" i="23"/>
  <c r="AH16" i="23"/>
  <c r="AH27" i="23"/>
  <c r="AH19" i="23"/>
  <c r="AH28" i="23"/>
  <c r="AH4" i="23"/>
  <c r="AH24" i="23"/>
  <c r="AH22" i="23"/>
  <c r="AH7" i="23"/>
  <c r="AH12" i="23"/>
  <c r="AH15" i="23"/>
  <c r="AH25" i="23"/>
  <c r="AH30" i="23"/>
  <c r="AD33" i="23"/>
  <c r="AH18" i="23"/>
  <c r="AH11" i="23"/>
  <c r="AH17" i="23"/>
  <c r="AH5" i="23"/>
  <c r="AH14" i="23"/>
  <c r="AH31" i="23"/>
  <c r="AH3" i="23"/>
  <c r="AH26" i="23"/>
  <c r="AH13" i="23"/>
  <c r="AH8" i="23"/>
  <c r="AH20" i="23"/>
  <c r="AH9" i="23"/>
  <c r="AH6" i="23"/>
  <c r="AH23" i="23"/>
  <c r="AH10" i="23"/>
  <c r="AK80" i="26"/>
  <c r="M78" i="24"/>
  <c r="Q9" i="24"/>
  <c r="R9" i="24" s="1"/>
  <c r="S9" i="24" s="1"/>
  <c r="G49" i="24" s="1"/>
  <c r="M67" i="24"/>
  <c r="M65" i="24"/>
  <c r="M77" i="24"/>
  <c r="Q26" i="24"/>
  <c r="R26" i="24" s="1"/>
  <c r="S26" i="24" s="1"/>
  <c r="G68" i="24" s="1"/>
  <c r="Q19" i="24"/>
  <c r="R19" i="24" s="1"/>
  <c r="S19" i="24" s="1"/>
  <c r="G60" i="24" s="1"/>
  <c r="U60" i="24" s="1"/>
  <c r="Q12" i="24"/>
  <c r="R12" i="24" s="1"/>
  <c r="S12" i="24" s="1"/>
  <c r="G52" i="24" s="1"/>
  <c r="W43" i="24"/>
  <c r="V43" i="24"/>
  <c r="AD43" i="24" s="1"/>
  <c r="A50" i="24"/>
  <c r="M70" i="24"/>
  <c r="X73" i="24"/>
  <c r="Q11" i="24"/>
  <c r="R11" i="24" s="1"/>
  <c r="S11" i="24" s="1"/>
  <c r="G51" i="24" s="1"/>
  <c r="Q18" i="24"/>
  <c r="R18" i="24" s="1"/>
  <c r="S18" i="24" s="1"/>
  <c r="G59" i="24" s="1"/>
  <c r="Q25" i="24"/>
  <c r="R25" i="24" s="1"/>
  <c r="S25" i="24" s="1"/>
  <c r="G67" i="24" s="1"/>
  <c r="Y67" i="24"/>
  <c r="M74" i="24"/>
  <c r="Q13" i="24"/>
  <c r="R13" i="24" s="1"/>
  <c r="S13" i="24" s="1"/>
  <c r="G53" i="24" s="1"/>
  <c r="Q20" i="24"/>
  <c r="R20" i="24" s="1"/>
  <c r="S20" i="24" s="1"/>
  <c r="G61" i="24" s="1"/>
  <c r="Q27" i="24"/>
  <c r="R27" i="24" s="1"/>
  <c r="S27" i="24" s="1"/>
  <c r="G69" i="24" s="1"/>
  <c r="X70" i="24"/>
  <c r="Q24" i="24"/>
  <c r="R24" i="24" s="1"/>
  <c r="S24" i="24" s="1"/>
  <c r="G66" i="24" s="1"/>
  <c r="M73" i="24"/>
  <c r="W73" i="24" s="1"/>
  <c r="M76" i="24"/>
  <c r="W76" i="24" s="1"/>
  <c r="A65" i="24"/>
  <c r="M69" i="24"/>
  <c r="C50" i="24"/>
  <c r="M50" i="24" s="1"/>
  <c r="Q14" i="24"/>
  <c r="R14" i="24" s="1"/>
  <c r="S14" i="24" s="1"/>
  <c r="G54" i="24" s="1"/>
  <c r="Q21" i="24"/>
  <c r="R21" i="24" s="1"/>
  <c r="S21" i="24" s="1"/>
  <c r="G62" i="24" s="1"/>
  <c r="Q28" i="24"/>
  <c r="R28" i="24" s="1"/>
  <c r="S28" i="24" s="1"/>
  <c r="G70" i="24" s="1"/>
  <c r="Q32" i="24"/>
  <c r="R32" i="24" s="1"/>
  <c r="S32" i="24" s="1"/>
  <c r="G75" i="24" s="1"/>
  <c r="Q34" i="24"/>
  <c r="R34" i="24" s="1"/>
  <c r="S34" i="24" s="1"/>
  <c r="G77" i="24" s="1"/>
  <c r="X66" i="24"/>
  <c r="Y69" i="24"/>
  <c r="Y74" i="24"/>
  <c r="X77" i="24"/>
  <c r="Q6" i="24"/>
  <c r="R6" i="24" s="1"/>
  <c r="S6" i="24" s="1"/>
  <c r="G45" i="24" s="1"/>
  <c r="Q5" i="24"/>
  <c r="R5" i="24" s="1"/>
  <c r="S5" i="24" s="1"/>
  <c r="G44" i="24" s="1"/>
  <c r="Q17" i="24"/>
  <c r="R17" i="24" s="1"/>
  <c r="S17" i="24" s="1"/>
  <c r="G58" i="24" s="1"/>
  <c r="Q33" i="24"/>
  <c r="R33" i="24" s="1"/>
  <c r="S33" i="24" s="1"/>
  <c r="G76" i="24" s="1"/>
  <c r="A43" i="24"/>
  <c r="X68" i="24"/>
  <c r="Q4" i="24"/>
  <c r="R4" i="24" s="1"/>
  <c r="S4" i="24" s="1"/>
  <c r="G43" i="24" s="1"/>
  <c r="Q7" i="24"/>
  <c r="R7" i="24" s="1"/>
  <c r="S7" i="24" s="1"/>
  <c r="G46" i="24" s="1"/>
  <c r="Q16" i="24"/>
  <c r="R16" i="24" s="1"/>
  <c r="S16" i="24" s="1"/>
  <c r="G57" i="24" s="1"/>
  <c r="Q23" i="24"/>
  <c r="R23" i="24" s="1"/>
  <c r="S23" i="24" s="1"/>
  <c r="G65" i="24" s="1"/>
  <c r="Q30" i="24"/>
  <c r="R30" i="24" s="1"/>
  <c r="S30" i="24" s="1"/>
  <c r="G73" i="24" s="1"/>
  <c r="Q31" i="24"/>
  <c r="R31" i="24" s="1"/>
  <c r="S31" i="24" s="1"/>
  <c r="G74" i="24" s="1"/>
  <c r="Q35" i="24"/>
  <c r="R35" i="24" s="1"/>
  <c r="S35" i="24" s="1"/>
  <c r="G78" i="24" s="1"/>
  <c r="M66" i="24"/>
  <c r="V66" i="24" s="1"/>
  <c r="AD66" i="24" s="1"/>
  <c r="Y76" i="24"/>
  <c r="AH78" i="24"/>
  <c r="T42" i="24"/>
  <c r="U42" i="24"/>
  <c r="U43" i="24"/>
  <c r="AH43" i="24"/>
  <c r="T43" i="24"/>
  <c r="T68" i="24"/>
  <c r="W54" i="24"/>
  <c r="V54" i="24"/>
  <c r="AD54" i="24" s="1"/>
  <c r="W58" i="24"/>
  <c r="V58" i="24"/>
  <c r="AD58" i="24" s="1"/>
  <c r="V60" i="24"/>
  <c r="AD60" i="24" s="1"/>
  <c r="W60" i="24"/>
  <c r="W62" i="24"/>
  <c r="V62" i="24"/>
  <c r="AD62" i="24" s="1"/>
  <c r="W66" i="24"/>
  <c r="V69" i="24"/>
  <c r="AD69" i="24" s="1"/>
  <c r="W69" i="24"/>
  <c r="W74" i="24"/>
  <c r="V74" i="24"/>
  <c r="AD74" i="24" s="1"/>
  <c r="U54" i="24"/>
  <c r="AH70" i="24"/>
  <c r="W44" i="24"/>
  <c r="V44" i="24"/>
  <c r="AD44" i="24" s="1"/>
  <c r="W75" i="24"/>
  <c r="V75" i="24"/>
  <c r="AD75" i="24" s="1"/>
  <c r="W50" i="24"/>
  <c r="V50" i="24"/>
  <c r="AD50" i="24" s="1"/>
  <c r="V53" i="24"/>
  <c r="AD53" i="24" s="1"/>
  <c r="W53" i="24"/>
  <c r="V78" i="24"/>
  <c r="AD78" i="24" s="1"/>
  <c r="W78" i="24"/>
  <c r="U53" i="24"/>
  <c r="T53" i="24"/>
  <c r="U69" i="24"/>
  <c r="AH69" i="24"/>
  <c r="T69" i="24"/>
  <c r="W42" i="24"/>
  <c r="V42" i="24"/>
  <c r="V49" i="24"/>
  <c r="AD49" i="24" s="1"/>
  <c r="W49" i="24"/>
  <c r="W57" i="24"/>
  <c r="V57" i="24"/>
  <c r="AD57" i="24" s="1"/>
  <c r="W59" i="24"/>
  <c r="V59" i="24"/>
  <c r="AD59" i="24" s="1"/>
  <c r="W61" i="24"/>
  <c r="V61" i="24"/>
  <c r="AD61" i="24" s="1"/>
  <c r="W70" i="24"/>
  <c r="V70" i="24"/>
  <c r="AD70" i="24" s="1"/>
  <c r="U50" i="24"/>
  <c r="AH50" i="24"/>
  <c r="T50" i="24"/>
  <c r="U61" i="24"/>
  <c r="AH61" i="24"/>
  <c r="T61" i="24"/>
  <c r="V52" i="24"/>
  <c r="AD52" i="24" s="1"/>
  <c r="W52" i="24"/>
  <c r="W65" i="24"/>
  <c r="V65" i="24"/>
  <c r="AD65" i="24" s="1"/>
  <c r="W77" i="24"/>
  <c r="V77" i="24"/>
  <c r="AD77" i="24" s="1"/>
  <c r="U49" i="24"/>
  <c r="AH49" i="24"/>
  <c r="T49" i="24"/>
  <c r="V46" i="24"/>
  <c r="AD46" i="24" s="1"/>
  <c r="W46" i="24"/>
  <c r="W67" i="24"/>
  <c r="V67" i="24"/>
  <c r="AD67" i="24" s="1"/>
  <c r="C68" i="24"/>
  <c r="M68" i="24" s="1"/>
  <c r="X78" i="24"/>
  <c r="A58" i="24"/>
  <c r="V45" i="24"/>
  <c r="AD45" i="24" s="1"/>
  <c r="V51" i="24"/>
  <c r="AD51" i="24" s="1"/>
  <c r="X65" i="24"/>
  <c r="A73" i="24"/>
  <c r="X75" i="24"/>
  <c r="U44" i="24" l="1"/>
  <c r="U5" i="29"/>
  <c r="U5" i="23"/>
  <c r="AF50" i="24"/>
  <c r="AK50" i="24"/>
  <c r="AF49" i="24"/>
  <c r="AK49" i="24"/>
  <c r="AF43" i="24"/>
  <c r="AK43" i="24"/>
  <c r="U78" i="24"/>
  <c r="U31" i="29"/>
  <c r="U31" i="23"/>
  <c r="U8" i="29"/>
  <c r="U8" i="23"/>
  <c r="AF61" i="24"/>
  <c r="AK61" i="24"/>
  <c r="AH74" i="24"/>
  <c r="U27" i="29"/>
  <c r="U27" i="23"/>
  <c r="T76" i="24"/>
  <c r="U29" i="29"/>
  <c r="U29" i="23"/>
  <c r="AH77" i="24"/>
  <c r="U30" i="29"/>
  <c r="U30" i="23"/>
  <c r="AH75" i="24"/>
  <c r="U28" i="29"/>
  <c r="U28" i="23"/>
  <c r="AH66" i="24"/>
  <c r="U21" i="29"/>
  <c r="U21" i="23"/>
  <c r="U58" i="24"/>
  <c r="U15" i="29"/>
  <c r="U15" i="23"/>
  <c r="AF69" i="24"/>
  <c r="AK69" i="24"/>
  <c r="AF68" i="24"/>
  <c r="AK68" i="24"/>
  <c r="AH59" i="24"/>
  <c r="U16" i="29"/>
  <c r="U16" i="23"/>
  <c r="AF42" i="24"/>
  <c r="AK42" i="24"/>
  <c r="U14" i="29"/>
  <c r="AH57" i="24"/>
  <c r="AH45" i="24"/>
  <c r="U6" i="29"/>
  <c r="U6" i="23"/>
  <c r="U62" i="24"/>
  <c r="U19" i="29"/>
  <c r="U19" i="23"/>
  <c r="AH51" i="24"/>
  <c r="U10" i="29"/>
  <c r="U10" i="23"/>
  <c r="U68" i="24"/>
  <c r="U23" i="29"/>
  <c r="U11" i="29"/>
  <c r="AH52" i="24"/>
  <c r="U11" i="23"/>
  <c r="T70" i="24"/>
  <c r="U25" i="29"/>
  <c r="U25" i="23"/>
  <c r="T60" i="24"/>
  <c r="AH60" i="24"/>
  <c r="U46" i="24"/>
  <c r="U7" i="29"/>
  <c r="U7" i="23"/>
  <c r="T54" i="24"/>
  <c r="U13" i="29"/>
  <c r="U13" i="23"/>
  <c r="U24" i="29"/>
  <c r="U24" i="23"/>
  <c r="AH67" i="24"/>
  <c r="U22" i="29"/>
  <c r="U22" i="23"/>
  <c r="AH65" i="24"/>
  <c r="U20" i="29"/>
  <c r="U20" i="23"/>
  <c r="T65" i="24"/>
  <c r="AF53" i="24"/>
  <c r="AK53" i="24"/>
  <c r="U59" i="24"/>
  <c r="U4" i="29"/>
  <c r="U4" i="23"/>
  <c r="U18" i="29"/>
  <c r="U18" i="23"/>
  <c r="T73" i="24"/>
  <c r="U26" i="29"/>
  <c r="U26" i="23"/>
  <c r="U17" i="29"/>
  <c r="U17" i="23"/>
  <c r="U70" i="24"/>
  <c r="U65" i="24"/>
  <c r="U52" i="24"/>
  <c r="AH53" i="24"/>
  <c r="U12" i="29"/>
  <c r="U12" i="23"/>
  <c r="AH33" i="23"/>
  <c r="T57" i="24"/>
  <c r="U14" i="23"/>
  <c r="AH68" i="24"/>
  <c r="U23" i="23"/>
  <c r="AH58" i="24"/>
  <c r="U67" i="24"/>
  <c r="T67" i="24"/>
  <c r="U57" i="24"/>
  <c r="T44" i="24"/>
  <c r="V73" i="24"/>
  <c r="AD73" i="24" s="1"/>
  <c r="U51" i="24"/>
  <c r="AH44" i="24"/>
  <c r="T52" i="24"/>
  <c r="U75" i="24"/>
  <c r="U73" i="24"/>
  <c r="V76" i="24"/>
  <c r="AD76" i="24" s="1"/>
  <c r="AH73" i="24"/>
  <c r="U76" i="24"/>
  <c r="AH76" i="24"/>
  <c r="T77" i="24"/>
  <c r="U77" i="24"/>
  <c r="T59" i="24"/>
  <c r="T51" i="24"/>
  <c r="T45" i="24"/>
  <c r="U45" i="24"/>
  <c r="T74" i="24"/>
  <c r="T46" i="24"/>
  <c r="AH62" i="24"/>
  <c r="U74" i="24"/>
  <c r="T62" i="24"/>
  <c r="U66" i="24"/>
  <c r="AH46" i="24"/>
  <c r="T66" i="24"/>
  <c r="AH54" i="24"/>
  <c r="T78" i="24"/>
  <c r="T75" i="24"/>
  <c r="T58" i="24"/>
  <c r="AD42" i="24"/>
  <c r="V68" i="24"/>
  <c r="AD68" i="24" s="1"/>
  <c r="W68" i="24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" i="23"/>
  <c r="AF62" i="24" l="1"/>
  <c r="AK62" i="24"/>
  <c r="AF59" i="24"/>
  <c r="AK59" i="24"/>
  <c r="AF45" i="24"/>
  <c r="AK45" i="24"/>
  <c r="AK79" i="24" s="1"/>
  <c r="AK80" i="24" s="1"/>
  <c r="AF58" i="24"/>
  <c r="AK58" i="24"/>
  <c r="AF52" i="24"/>
  <c r="AK52" i="24"/>
  <c r="AF73" i="24"/>
  <c r="AK73" i="24"/>
  <c r="AF65" i="24"/>
  <c r="AK65" i="24"/>
  <c r="AF60" i="24"/>
  <c r="AK60" i="24"/>
  <c r="AF46" i="24"/>
  <c r="AK46" i="24"/>
  <c r="AF74" i="24"/>
  <c r="AK74" i="24"/>
  <c r="AF54" i="24"/>
  <c r="AK54" i="24"/>
  <c r="AF70" i="24"/>
  <c r="AK70" i="24"/>
  <c r="AF76" i="24"/>
  <c r="AK76" i="24"/>
  <c r="AF75" i="24"/>
  <c r="AK75" i="24"/>
  <c r="AF78" i="24"/>
  <c r="AK78" i="24"/>
  <c r="AF66" i="24"/>
  <c r="AK66" i="24"/>
  <c r="AF44" i="24"/>
  <c r="AK44" i="24"/>
  <c r="AK57" i="24"/>
  <c r="AF57" i="24"/>
  <c r="AF77" i="24"/>
  <c r="AK77" i="24"/>
  <c r="AF51" i="24"/>
  <c r="AK51" i="24"/>
  <c r="AF67" i="24"/>
  <c r="AK67" i="24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" i="23"/>
  <c r="N8" i="23"/>
  <c r="N14" i="23"/>
  <c r="N20" i="23"/>
  <c r="N26" i="23"/>
  <c r="O8" i="23" l="1"/>
  <c r="O14" i="23"/>
  <c r="O20" i="23"/>
  <c r="O26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 l="1"/>
  <c r="D127" i="21"/>
  <c r="U60" i="22"/>
  <c r="Q82" i="22"/>
  <c r="Y82" i="22" s="1"/>
  <c r="D82" i="22"/>
  <c r="B82" i="22"/>
  <c r="C82" i="22" s="1"/>
  <c r="M82" i="22" s="1"/>
  <c r="Q81" i="22"/>
  <c r="Y81" i="22" s="1"/>
  <c r="D81" i="22"/>
  <c r="B81" i="22"/>
  <c r="C81" i="22" s="1"/>
  <c r="M81" i="22" s="1"/>
  <c r="W81" i="22" s="1"/>
  <c r="Y80" i="22"/>
  <c r="X80" i="22"/>
  <c r="Q80" i="22"/>
  <c r="D80" i="22"/>
  <c r="B80" i="22"/>
  <c r="C80" i="22" s="1"/>
  <c r="Q79" i="22"/>
  <c r="Y79" i="22" s="1"/>
  <c r="D79" i="22"/>
  <c r="C79" i="22"/>
  <c r="M79" i="22" s="1"/>
  <c r="W79" i="22" s="1"/>
  <c r="B79" i="22"/>
  <c r="Y78" i="22"/>
  <c r="Q78" i="22"/>
  <c r="X78" i="22" s="1"/>
  <c r="D78" i="22"/>
  <c r="B78" i="22"/>
  <c r="C78" i="22" s="1"/>
  <c r="M78" i="22" s="1"/>
  <c r="Q77" i="22"/>
  <c r="Y77" i="22" s="1"/>
  <c r="D77" i="22"/>
  <c r="B77" i="22"/>
  <c r="C77" i="22" s="1"/>
  <c r="M77" i="22" s="1"/>
  <c r="W77" i="22" s="1"/>
  <c r="Q76" i="22"/>
  <c r="Y76" i="22" s="1"/>
  <c r="D76" i="22"/>
  <c r="B76" i="22"/>
  <c r="C76" i="22" s="1"/>
  <c r="X75" i="22"/>
  <c r="Q75" i="22"/>
  <c r="Y75" i="22" s="1"/>
  <c r="I75" i="22"/>
  <c r="D75" i="22"/>
  <c r="C75" i="22"/>
  <c r="M75" i="22" s="1"/>
  <c r="W75" i="22" s="1"/>
  <c r="A75" i="22"/>
  <c r="Q72" i="22"/>
  <c r="X72" i="22" s="1"/>
  <c r="D72" i="22"/>
  <c r="C72" i="22"/>
  <c r="M72" i="22" s="1"/>
  <c r="W72" i="22" s="1"/>
  <c r="B72" i="22"/>
  <c r="Q71" i="22"/>
  <c r="Y71" i="22" s="1"/>
  <c r="D71" i="22"/>
  <c r="B71" i="22"/>
  <c r="C71" i="22" s="1"/>
  <c r="Y70" i="22"/>
  <c r="Q70" i="22"/>
  <c r="X70" i="22" s="1"/>
  <c r="D70" i="22"/>
  <c r="B70" i="22"/>
  <c r="C70" i="22" s="1"/>
  <c r="M70" i="22" s="1"/>
  <c r="W70" i="22" s="1"/>
  <c r="Q69" i="22"/>
  <c r="Y69" i="22" s="1"/>
  <c r="D69" i="22"/>
  <c r="B69" i="22"/>
  <c r="C69" i="22" s="1"/>
  <c r="Y68" i="22"/>
  <c r="Q68" i="22"/>
  <c r="X68" i="22" s="1"/>
  <c r="D68" i="22"/>
  <c r="B68" i="22"/>
  <c r="C68" i="22" s="1"/>
  <c r="M68" i="22" s="1"/>
  <c r="W68" i="22" s="1"/>
  <c r="Q67" i="22"/>
  <c r="Y67" i="22" s="1"/>
  <c r="D67" i="22"/>
  <c r="B67" i="22"/>
  <c r="C67" i="22" s="1"/>
  <c r="Y64" i="22"/>
  <c r="X64" i="22"/>
  <c r="D64" i="22"/>
  <c r="C64" i="22"/>
  <c r="M64" i="22" s="1"/>
  <c r="W64" i="22" s="1"/>
  <c r="B64" i="22"/>
  <c r="Y63" i="22"/>
  <c r="X63" i="22"/>
  <c r="D63" i="22"/>
  <c r="B63" i="22"/>
  <c r="C63" i="22" s="1"/>
  <c r="M63" i="22" s="1"/>
  <c r="Y62" i="22"/>
  <c r="X62" i="22"/>
  <c r="D62" i="22"/>
  <c r="C62" i="22"/>
  <c r="M62" i="22" s="1"/>
  <c r="B62" i="22"/>
  <c r="Y61" i="22"/>
  <c r="X61" i="22"/>
  <c r="D61" i="22"/>
  <c r="B61" i="22"/>
  <c r="C61" i="22" s="1"/>
  <c r="M61" i="22" s="1"/>
  <c r="Y60" i="22"/>
  <c r="X60" i="22"/>
  <c r="D60" i="22"/>
  <c r="B60" i="22"/>
  <c r="C60" i="22" s="1"/>
  <c r="M60" i="22" s="1"/>
  <c r="Y59" i="22"/>
  <c r="X59" i="22"/>
  <c r="D59" i="22"/>
  <c r="B59" i="22"/>
  <c r="C59" i="22" s="1"/>
  <c r="M59" i="22" s="1"/>
  <c r="W59" i="22" s="1"/>
  <c r="Y56" i="22"/>
  <c r="X56" i="22"/>
  <c r="D56" i="22"/>
  <c r="B56" i="22"/>
  <c r="C56" i="22" s="1"/>
  <c r="M56" i="22" s="1"/>
  <c r="Y55" i="22"/>
  <c r="X55" i="22"/>
  <c r="D55" i="22"/>
  <c r="B55" i="22"/>
  <c r="C55" i="22" s="1"/>
  <c r="M55" i="22" s="1"/>
  <c r="Y54" i="22"/>
  <c r="X54" i="22"/>
  <c r="D54" i="22"/>
  <c r="B54" i="22"/>
  <c r="C54" i="22" s="1"/>
  <c r="M54" i="22" s="1"/>
  <c r="Y53" i="22"/>
  <c r="X53" i="22"/>
  <c r="D53" i="22"/>
  <c r="B53" i="22"/>
  <c r="C53" i="22" s="1"/>
  <c r="M53" i="22" s="1"/>
  <c r="Y52" i="22"/>
  <c r="X52" i="22"/>
  <c r="D52" i="22"/>
  <c r="B52" i="22"/>
  <c r="C52" i="22" s="1"/>
  <c r="M52" i="22" s="1"/>
  <c r="Y51" i="22"/>
  <c r="X51" i="22"/>
  <c r="M51" i="22"/>
  <c r="V51" i="22" s="1"/>
  <c r="D51" i="22"/>
  <c r="C51" i="22"/>
  <c r="Y48" i="22"/>
  <c r="X48" i="22"/>
  <c r="D48" i="22"/>
  <c r="B48" i="22"/>
  <c r="Y47" i="22"/>
  <c r="X47" i="22"/>
  <c r="D47" i="22"/>
  <c r="C47" i="22"/>
  <c r="M47" i="22" s="1"/>
  <c r="B47" i="22"/>
  <c r="Y46" i="22"/>
  <c r="X46" i="22"/>
  <c r="D46" i="22"/>
  <c r="B46" i="22"/>
  <c r="C46" i="22" s="1"/>
  <c r="M46" i="22" s="1"/>
  <c r="V46" i="22" s="1"/>
  <c r="Y45" i="22"/>
  <c r="X45" i="22"/>
  <c r="D45" i="22"/>
  <c r="C45" i="22"/>
  <c r="M45" i="22" s="1"/>
  <c r="B45" i="22"/>
  <c r="Y44" i="22"/>
  <c r="X44" i="22"/>
  <c r="D44" i="22"/>
  <c r="B44" i="22"/>
  <c r="C44" i="22" s="1"/>
  <c r="M44" i="22" s="1"/>
  <c r="N37" i="22"/>
  <c r="Q37" i="22" s="1"/>
  <c r="R37" i="22" s="1"/>
  <c r="S37" i="22" s="1"/>
  <c r="G82" i="22" s="1"/>
  <c r="U82" i="22" s="1"/>
  <c r="M37" i="22"/>
  <c r="J37" i="22"/>
  <c r="H37" i="22"/>
  <c r="C37" i="22"/>
  <c r="Q36" i="22"/>
  <c r="R36" i="22" s="1"/>
  <c r="S36" i="22" s="1"/>
  <c r="G81" i="22" s="1"/>
  <c r="U81" i="22" s="1"/>
  <c r="N36" i="22"/>
  <c r="M36" i="22"/>
  <c r="J36" i="22"/>
  <c r="H36" i="22"/>
  <c r="C36" i="22"/>
  <c r="N35" i="22"/>
  <c r="Q35" i="22" s="1"/>
  <c r="R35" i="22" s="1"/>
  <c r="S35" i="22" s="1"/>
  <c r="G80" i="22" s="1"/>
  <c r="U80" i="22" s="1"/>
  <c r="M35" i="22"/>
  <c r="J35" i="22"/>
  <c r="H35" i="22"/>
  <c r="C35" i="22"/>
  <c r="N34" i="22"/>
  <c r="M34" i="22"/>
  <c r="Q34" i="22" s="1"/>
  <c r="R34" i="22" s="1"/>
  <c r="S34" i="22" s="1"/>
  <c r="G79" i="22" s="1"/>
  <c r="U79" i="22" s="1"/>
  <c r="J34" i="22"/>
  <c r="H34" i="22"/>
  <c r="C34" i="22"/>
  <c r="N33" i="22"/>
  <c r="Q33" i="22" s="1"/>
  <c r="R33" i="22" s="1"/>
  <c r="S33" i="22" s="1"/>
  <c r="G78" i="22" s="1"/>
  <c r="U78" i="22" s="1"/>
  <c r="M33" i="22"/>
  <c r="J33" i="22"/>
  <c r="H33" i="22"/>
  <c r="C33" i="22"/>
  <c r="Q32" i="22"/>
  <c r="R32" i="22" s="1"/>
  <c r="S32" i="22" s="1"/>
  <c r="G77" i="22" s="1"/>
  <c r="U77" i="22" s="1"/>
  <c r="N32" i="22"/>
  <c r="M32" i="22"/>
  <c r="J32" i="22"/>
  <c r="H32" i="22"/>
  <c r="C32" i="22"/>
  <c r="N31" i="22"/>
  <c r="Q31" i="22" s="1"/>
  <c r="R31" i="22" s="1"/>
  <c r="S31" i="22" s="1"/>
  <c r="G76" i="22" s="1"/>
  <c r="U76" i="22" s="1"/>
  <c r="M31" i="22"/>
  <c r="J31" i="22"/>
  <c r="H31" i="22"/>
  <c r="C31" i="22"/>
  <c r="A31" i="22"/>
  <c r="N30" i="22"/>
  <c r="M30" i="22"/>
  <c r="J30" i="22"/>
  <c r="H30" i="22"/>
  <c r="C30" i="22"/>
  <c r="A30" i="22"/>
  <c r="N28" i="22"/>
  <c r="Q28" i="22" s="1"/>
  <c r="R28" i="22" s="1"/>
  <c r="S28" i="22" s="1"/>
  <c r="G72" i="22" s="1"/>
  <c r="U72" i="22" s="1"/>
  <c r="M28" i="22"/>
  <c r="J28" i="22"/>
  <c r="H28" i="22"/>
  <c r="C28" i="22"/>
  <c r="Q27" i="22"/>
  <c r="R27" i="22" s="1"/>
  <c r="S27" i="22" s="1"/>
  <c r="G71" i="22" s="1"/>
  <c r="U71" i="22" s="1"/>
  <c r="N27" i="22"/>
  <c r="M27" i="22"/>
  <c r="J27" i="22"/>
  <c r="H27" i="22"/>
  <c r="C27" i="22"/>
  <c r="N26" i="22"/>
  <c r="Q26" i="22" s="1"/>
  <c r="R26" i="22" s="1"/>
  <c r="S26" i="22" s="1"/>
  <c r="G70" i="22" s="1"/>
  <c r="U70" i="22" s="1"/>
  <c r="M26" i="22"/>
  <c r="J26" i="22"/>
  <c r="H26" i="22"/>
  <c r="C26" i="22"/>
  <c r="N25" i="22"/>
  <c r="Q25" i="22" s="1"/>
  <c r="R25" i="22" s="1"/>
  <c r="S25" i="22" s="1"/>
  <c r="G69" i="22" s="1"/>
  <c r="U69" i="22" s="1"/>
  <c r="M25" i="22"/>
  <c r="J25" i="22"/>
  <c r="H25" i="22"/>
  <c r="C25" i="22"/>
  <c r="N24" i="22"/>
  <c r="Q24" i="22" s="1"/>
  <c r="R24" i="22" s="1"/>
  <c r="S24" i="22" s="1"/>
  <c r="G68" i="22" s="1"/>
  <c r="U68" i="22" s="1"/>
  <c r="M24" i="22"/>
  <c r="J24" i="22"/>
  <c r="H24" i="22"/>
  <c r="C24" i="22"/>
  <c r="A24" i="22"/>
  <c r="N23" i="22"/>
  <c r="M23" i="22"/>
  <c r="J23" i="22"/>
  <c r="H23" i="22"/>
  <c r="C23" i="22"/>
  <c r="A23" i="22"/>
  <c r="N21" i="22"/>
  <c r="Q21" i="22" s="1"/>
  <c r="R21" i="22" s="1"/>
  <c r="S21" i="22" s="1"/>
  <c r="G64" i="22" s="1"/>
  <c r="U64" i="22" s="1"/>
  <c r="M21" i="22"/>
  <c r="J21" i="22"/>
  <c r="H21" i="22"/>
  <c r="C21" i="22"/>
  <c r="N20" i="22"/>
  <c r="M20" i="22"/>
  <c r="J20" i="22"/>
  <c r="H20" i="22"/>
  <c r="C20" i="22"/>
  <c r="N19" i="22"/>
  <c r="Q19" i="22" s="1"/>
  <c r="R19" i="22" s="1"/>
  <c r="S19" i="22" s="1"/>
  <c r="G62" i="22" s="1"/>
  <c r="U62" i="22" s="1"/>
  <c r="M19" i="22"/>
  <c r="J19" i="22"/>
  <c r="H19" i="22"/>
  <c r="C19" i="22"/>
  <c r="N18" i="22"/>
  <c r="M18" i="22"/>
  <c r="J18" i="22"/>
  <c r="H18" i="22"/>
  <c r="C18" i="22"/>
  <c r="A18" i="22"/>
  <c r="N17" i="22"/>
  <c r="M17" i="22"/>
  <c r="Q17" i="22" s="1"/>
  <c r="R17" i="22" s="1"/>
  <c r="S17" i="22" s="1"/>
  <c r="G60" i="22" s="1"/>
  <c r="J17" i="22"/>
  <c r="H17" i="22"/>
  <c r="C17" i="22"/>
  <c r="N16" i="22"/>
  <c r="M16" i="22"/>
  <c r="J16" i="22"/>
  <c r="H16" i="22"/>
  <c r="C16" i="22"/>
  <c r="A16" i="22"/>
  <c r="N14" i="22"/>
  <c r="Q14" i="22" s="1"/>
  <c r="R14" i="22" s="1"/>
  <c r="S14" i="22" s="1"/>
  <c r="G56" i="22" s="1"/>
  <c r="U56" i="22" s="1"/>
  <c r="M14" i="22"/>
  <c r="J14" i="22"/>
  <c r="H14" i="22"/>
  <c r="C14" i="22"/>
  <c r="N13" i="22"/>
  <c r="M13" i="22"/>
  <c r="J13" i="22"/>
  <c r="H13" i="22"/>
  <c r="C13" i="22"/>
  <c r="N12" i="22"/>
  <c r="Q12" i="22" s="1"/>
  <c r="R12" i="22" s="1"/>
  <c r="S12" i="22" s="1"/>
  <c r="G54" i="22" s="1"/>
  <c r="U54" i="22" s="1"/>
  <c r="M12" i="22"/>
  <c r="J12" i="22"/>
  <c r="H12" i="22"/>
  <c r="C12" i="22"/>
  <c r="N11" i="22"/>
  <c r="M11" i="22"/>
  <c r="J11" i="22"/>
  <c r="H11" i="22"/>
  <c r="C11" i="22"/>
  <c r="A11" i="22"/>
  <c r="N10" i="22"/>
  <c r="M10" i="22"/>
  <c r="J10" i="22"/>
  <c r="H10" i="22"/>
  <c r="C10" i="22"/>
  <c r="N9" i="22"/>
  <c r="Q9" i="22" s="1"/>
  <c r="R9" i="22" s="1"/>
  <c r="S9" i="22" s="1"/>
  <c r="G51" i="22" s="1"/>
  <c r="U51" i="22" s="1"/>
  <c r="M9" i="22"/>
  <c r="J9" i="22"/>
  <c r="H9" i="22"/>
  <c r="C9" i="22"/>
  <c r="A9" i="22"/>
  <c r="Q7" i="22"/>
  <c r="R7" i="22" s="1"/>
  <c r="S7" i="22" s="1"/>
  <c r="G48" i="22" s="1"/>
  <c r="U48" i="22" s="1"/>
  <c r="N7" i="22"/>
  <c r="M7" i="22"/>
  <c r="J7" i="22"/>
  <c r="H7" i="22"/>
  <c r="C7" i="22"/>
  <c r="N6" i="22"/>
  <c r="Q6" i="22" s="1"/>
  <c r="R6" i="22" s="1"/>
  <c r="S6" i="22" s="1"/>
  <c r="G47" i="22" s="1"/>
  <c r="U47" i="22" s="1"/>
  <c r="M6" i="22"/>
  <c r="J6" i="22"/>
  <c r="H6" i="22"/>
  <c r="C6" i="22"/>
  <c r="N5" i="22"/>
  <c r="M5" i="22"/>
  <c r="Q5" i="22" s="1"/>
  <c r="R5" i="22" s="1"/>
  <c r="S5" i="22" s="1"/>
  <c r="G46" i="22" s="1"/>
  <c r="U46" i="22" s="1"/>
  <c r="J5" i="22"/>
  <c r="H5" i="22"/>
  <c r="C5" i="22"/>
  <c r="A5" i="22"/>
  <c r="N4" i="22"/>
  <c r="M4" i="22"/>
  <c r="J4" i="22"/>
  <c r="H4" i="22"/>
  <c r="C4" i="22"/>
  <c r="N3" i="22"/>
  <c r="Q3" i="22" s="1"/>
  <c r="R3" i="22" s="1"/>
  <c r="S3" i="22" s="1"/>
  <c r="G44" i="22" s="1"/>
  <c r="U44" i="22" s="1"/>
  <c r="M3" i="22"/>
  <c r="J3" i="22"/>
  <c r="H3" i="22"/>
  <c r="C3" i="22"/>
  <c r="A3" i="22"/>
  <c r="W63" i="22" l="1"/>
  <c r="V63" i="22"/>
  <c r="W56" i="22"/>
  <c r="V56" i="22"/>
  <c r="Q11" i="22"/>
  <c r="R11" i="22" s="1"/>
  <c r="S11" i="22" s="1"/>
  <c r="G53" i="22" s="1"/>
  <c r="U53" i="22" s="1"/>
  <c r="Q18" i="22"/>
  <c r="R18" i="22" s="1"/>
  <c r="S18" i="22" s="1"/>
  <c r="G61" i="22" s="1"/>
  <c r="U61" i="22" s="1"/>
  <c r="M69" i="22"/>
  <c r="M71" i="22"/>
  <c r="W71" i="22" s="1"/>
  <c r="Y72" i="22"/>
  <c r="M76" i="22"/>
  <c r="X81" i="22"/>
  <c r="X77" i="22"/>
  <c r="Q10" i="22"/>
  <c r="R10" i="22" s="1"/>
  <c r="S10" i="22" s="1"/>
  <c r="G52" i="22" s="1"/>
  <c r="U52" i="22" s="1"/>
  <c r="Q13" i="22"/>
  <c r="R13" i="22" s="1"/>
  <c r="S13" i="22" s="1"/>
  <c r="G55" i="22" s="1"/>
  <c r="U55" i="22" s="1"/>
  <c r="Q20" i="22"/>
  <c r="R20" i="22" s="1"/>
  <c r="S20" i="22" s="1"/>
  <c r="G63" i="22" s="1"/>
  <c r="U63" i="22" s="1"/>
  <c r="Q30" i="22"/>
  <c r="R30" i="22" s="1"/>
  <c r="S30" i="22" s="1"/>
  <c r="G75" i="22" s="1"/>
  <c r="U75" i="22" s="1"/>
  <c r="A45" i="22"/>
  <c r="X76" i="22"/>
  <c r="A60" i="22"/>
  <c r="X82" i="22"/>
  <c r="Q4" i="22"/>
  <c r="R4" i="22" s="1"/>
  <c r="S4" i="22" s="1"/>
  <c r="G45" i="22" s="1"/>
  <c r="U45" i="22" s="1"/>
  <c r="U84" i="22" s="1"/>
  <c r="Q16" i="22"/>
  <c r="R16" i="22" s="1"/>
  <c r="S16" i="22" s="1"/>
  <c r="G59" i="22" s="1"/>
  <c r="U59" i="22" s="1"/>
  <c r="Q23" i="22"/>
  <c r="R23" i="22" s="1"/>
  <c r="S23" i="22" s="1"/>
  <c r="G67" i="22" s="1"/>
  <c r="U67" i="22" s="1"/>
  <c r="A67" i="22"/>
  <c r="X79" i="22"/>
  <c r="M67" i="22"/>
  <c r="M80" i="22"/>
  <c r="V80" i="22" s="1"/>
  <c r="T62" i="22"/>
  <c r="T82" i="22"/>
  <c r="W67" i="22"/>
  <c r="V67" i="22"/>
  <c r="W80" i="22"/>
  <c r="W44" i="22"/>
  <c r="V44" i="22"/>
  <c r="T56" i="22"/>
  <c r="T77" i="22"/>
  <c r="W76" i="22"/>
  <c r="V76" i="22"/>
  <c r="T70" i="22"/>
  <c r="W55" i="22"/>
  <c r="V55" i="22"/>
  <c r="W82" i="22"/>
  <c r="V82" i="22"/>
  <c r="T51" i="22"/>
  <c r="T71" i="22"/>
  <c r="W47" i="22"/>
  <c r="V47" i="22"/>
  <c r="T44" i="22"/>
  <c r="T48" i="22"/>
  <c r="T64" i="22"/>
  <c r="T81" i="22"/>
  <c r="W53" i="22"/>
  <c r="V53" i="22"/>
  <c r="T47" i="22"/>
  <c r="T60" i="22"/>
  <c r="T76" i="22"/>
  <c r="T80" i="22"/>
  <c r="Y84" i="22"/>
  <c r="T78" i="22"/>
  <c r="W61" i="22"/>
  <c r="V61" i="22"/>
  <c r="T75" i="22"/>
  <c r="W60" i="22"/>
  <c r="V60" i="22"/>
  <c r="W78" i="22"/>
  <c r="V78" i="22"/>
  <c r="T46" i="22"/>
  <c r="T79" i="22"/>
  <c r="W45" i="22"/>
  <c r="V45" i="22"/>
  <c r="W52" i="22"/>
  <c r="V52" i="22"/>
  <c r="W54" i="22"/>
  <c r="V54" i="22"/>
  <c r="W62" i="22"/>
  <c r="V62" i="22"/>
  <c r="T54" i="22"/>
  <c r="V69" i="22"/>
  <c r="W69" i="22"/>
  <c r="T63" i="22"/>
  <c r="T69" i="22"/>
  <c r="T67" i="22"/>
  <c r="T68" i="22"/>
  <c r="T72" i="22"/>
  <c r="W46" i="22"/>
  <c r="W51" i="22"/>
  <c r="V75" i="22"/>
  <c r="V77" i="22"/>
  <c r="V79" i="22"/>
  <c r="V81" i="22"/>
  <c r="C48" i="22"/>
  <c r="M48" i="22" s="1"/>
  <c r="X67" i="22"/>
  <c r="X84" i="22" s="1"/>
  <c r="X71" i="22"/>
  <c r="X69" i="22"/>
  <c r="V59" i="22"/>
  <c r="V64" i="22"/>
  <c r="A52" i="22"/>
  <c r="V68" i="22"/>
  <c r="V70" i="22"/>
  <c r="V72" i="22"/>
  <c r="Q82" i="21"/>
  <c r="Y82" i="21" s="1"/>
  <c r="D82" i="21"/>
  <c r="B82" i="21"/>
  <c r="C82" i="21" s="1"/>
  <c r="Q81" i="21"/>
  <c r="X81" i="21" s="1"/>
  <c r="D81" i="21"/>
  <c r="B81" i="21"/>
  <c r="C81" i="21" s="1"/>
  <c r="Q80" i="21"/>
  <c r="Y80" i="21" s="1"/>
  <c r="D80" i="21"/>
  <c r="B80" i="21"/>
  <c r="C80" i="21" s="1"/>
  <c r="Q79" i="21"/>
  <c r="Y79" i="21" s="1"/>
  <c r="D79" i="21"/>
  <c r="B79" i="21"/>
  <c r="C79" i="21" s="1"/>
  <c r="Q78" i="21"/>
  <c r="Y78" i="21" s="1"/>
  <c r="D78" i="21"/>
  <c r="B78" i="21"/>
  <c r="C78" i="21" s="1"/>
  <c r="Q77" i="21"/>
  <c r="Y77" i="21" s="1"/>
  <c r="D77" i="21"/>
  <c r="B77" i="21"/>
  <c r="C77" i="21" s="1"/>
  <c r="Q76" i="21"/>
  <c r="X76" i="21" s="1"/>
  <c r="D76" i="21"/>
  <c r="B76" i="21"/>
  <c r="C76" i="21" s="1"/>
  <c r="Q75" i="21"/>
  <c r="Y75" i="21" s="1"/>
  <c r="I75" i="21"/>
  <c r="D75" i="21"/>
  <c r="C75" i="21"/>
  <c r="Q72" i="21"/>
  <c r="X72" i="21" s="1"/>
  <c r="D72" i="21"/>
  <c r="B72" i="21"/>
  <c r="C72" i="21" s="1"/>
  <c r="M72" i="21" s="1"/>
  <c r="W72" i="21" s="1"/>
  <c r="Q71" i="21"/>
  <c r="X71" i="21" s="1"/>
  <c r="D71" i="21"/>
  <c r="B71" i="21"/>
  <c r="C71" i="21" s="1"/>
  <c r="Q70" i="21"/>
  <c r="X70" i="21" s="1"/>
  <c r="D70" i="21"/>
  <c r="B70" i="21"/>
  <c r="C70" i="21" s="1"/>
  <c r="Q69" i="21"/>
  <c r="X69" i="21" s="1"/>
  <c r="D69" i="21"/>
  <c r="B69" i="21"/>
  <c r="C69" i="21" s="1"/>
  <c r="Q68" i="21"/>
  <c r="Y68" i="21" s="1"/>
  <c r="D68" i="21"/>
  <c r="B68" i="21"/>
  <c r="C68" i="21" s="1"/>
  <c r="Q67" i="21"/>
  <c r="Y67" i="21" s="1"/>
  <c r="D67" i="21"/>
  <c r="B67" i="21"/>
  <c r="C67" i="21" s="1"/>
  <c r="Y64" i="21"/>
  <c r="X64" i="21"/>
  <c r="D64" i="21"/>
  <c r="B64" i="21"/>
  <c r="C64" i="21" s="1"/>
  <c r="M64" i="21" s="1"/>
  <c r="Y63" i="21"/>
  <c r="X63" i="21"/>
  <c r="D63" i="21"/>
  <c r="B63" i="21"/>
  <c r="C63" i="21" s="1"/>
  <c r="M63" i="21" s="1"/>
  <c r="V63" i="21" s="1"/>
  <c r="AD63" i="21" s="1"/>
  <c r="Y62" i="21"/>
  <c r="X62" i="21"/>
  <c r="D62" i="21"/>
  <c r="B62" i="21"/>
  <c r="C62" i="21" s="1"/>
  <c r="M62" i="21" s="1"/>
  <c r="Y61" i="21"/>
  <c r="X61" i="21"/>
  <c r="D61" i="21"/>
  <c r="B61" i="21"/>
  <c r="C61" i="21" s="1"/>
  <c r="M61" i="21" s="1"/>
  <c r="Y60" i="21"/>
  <c r="X60" i="21"/>
  <c r="D60" i="21"/>
  <c r="B60" i="21"/>
  <c r="C60" i="21" s="1"/>
  <c r="M60" i="21" s="1"/>
  <c r="Y59" i="21"/>
  <c r="X59" i="21"/>
  <c r="D59" i="21"/>
  <c r="C59" i="21"/>
  <c r="M59" i="21" s="1"/>
  <c r="B59" i="21"/>
  <c r="Y56" i="21"/>
  <c r="X56" i="21"/>
  <c r="D56" i="21"/>
  <c r="B56" i="21"/>
  <c r="C56" i="21" s="1"/>
  <c r="M56" i="21" s="1"/>
  <c r="V56" i="21" s="1"/>
  <c r="AD56" i="21" s="1"/>
  <c r="Y55" i="21"/>
  <c r="X55" i="21"/>
  <c r="D55" i="21"/>
  <c r="B55" i="21"/>
  <c r="C55" i="21" s="1"/>
  <c r="M55" i="21" s="1"/>
  <c r="Y54" i="21"/>
  <c r="X54" i="21"/>
  <c r="D54" i="21"/>
  <c r="B54" i="21"/>
  <c r="C54" i="21" s="1"/>
  <c r="M54" i="21" s="1"/>
  <c r="Y53" i="21"/>
  <c r="X53" i="21"/>
  <c r="D53" i="21"/>
  <c r="B53" i="21"/>
  <c r="C53" i="21" s="1"/>
  <c r="M53" i="21" s="1"/>
  <c r="V53" i="21" s="1"/>
  <c r="AD53" i="21" s="1"/>
  <c r="Y52" i="21"/>
  <c r="X52" i="21"/>
  <c r="D52" i="21"/>
  <c r="B52" i="21"/>
  <c r="C52" i="21" s="1"/>
  <c r="M52" i="21" s="1"/>
  <c r="Y51" i="21"/>
  <c r="X51" i="21"/>
  <c r="D51" i="21"/>
  <c r="C51" i="21"/>
  <c r="M51" i="21" s="1"/>
  <c r="V51" i="21" s="1"/>
  <c r="AD51" i="21" s="1"/>
  <c r="Y48" i="21"/>
  <c r="X48" i="21"/>
  <c r="D48" i="21"/>
  <c r="B48" i="21"/>
  <c r="C48" i="21" s="1"/>
  <c r="M48" i="21" s="1"/>
  <c r="Y47" i="21"/>
  <c r="X47" i="21"/>
  <c r="D47" i="21"/>
  <c r="B47" i="21"/>
  <c r="C47" i="21" s="1"/>
  <c r="M47" i="21" s="1"/>
  <c r="Y46" i="21"/>
  <c r="X46" i="21"/>
  <c r="D46" i="21"/>
  <c r="B46" i="21"/>
  <c r="C46" i="21" s="1"/>
  <c r="M46" i="21" s="1"/>
  <c r="V46" i="21" s="1"/>
  <c r="AD46" i="21" s="1"/>
  <c r="Y45" i="21"/>
  <c r="X45" i="21"/>
  <c r="D45" i="21"/>
  <c r="B45" i="21"/>
  <c r="C45" i="21" s="1"/>
  <c r="M45" i="21" s="1"/>
  <c r="Y44" i="21"/>
  <c r="X44" i="21"/>
  <c r="D44" i="21"/>
  <c r="B44" i="21"/>
  <c r="C44" i="21" s="1"/>
  <c r="M44" i="21" s="1"/>
  <c r="N37" i="21"/>
  <c r="M37" i="21"/>
  <c r="J37" i="21"/>
  <c r="H37" i="21"/>
  <c r="C37" i="21"/>
  <c r="N36" i="21"/>
  <c r="M36" i="21"/>
  <c r="J36" i="21"/>
  <c r="H36" i="21"/>
  <c r="C36" i="21"/>
  <c r="N35" i="21"/>
  <c r="M35" i="21"/>
  <c r="J35" i="21"/>
  <c r="H35" i="21"/>
  <c r="C35" i="21"/>
  <c r="N34" i="21"/>
  <c r="M34" i="21"/>
  <c r="J34" i="21"/>
  <c r="H34" i="21"/>
  <c r="C34" i="21"/>
  <c r="N33" i="21"/>
  <c r="M33" i="21"/>
  <c r="J33" i="21"/>
  <c r="H33" i="21"/>
  <c r="C33" i="21"/>
  <c r="A31" i="21"/>
  <c r="N32" i="21"/>
  <c r="M32" i="21"/>
  <c r="J32" i="21"/>
  <c r="H32" i="21"/>
  <c r="C32" i="21"/>
  <c r="N31" i="21"/>
  <c r="M31" i="21"/>
  <c r="J31" i="21"/>
  <c r="H31" i="21"/>
  <c r="C31" i="21"/>
  <c r="N30" i="21"/>
  <c r="M30" i="21"/>
  <c r="J30" i="21"/>
  <c r="H30" i="21"/>
  <c r="C30" i="21"/>
  <c r="A30" i="21"/>
  <c r="N28" i="21"/>
  <c r="M28" i="21"/>
  <c r="J28" i="21"/>
  <c r="H28" i="21"/>
  <c r="C28" i="21"/>
  <c r="N27" i="21"/>
  <c r="M27" i="21"/>
  <c r="J27" i="21"/>
  <c r="H27" i="21"/>
  <c r="C27" i="21"/>
  <c r="N26" i="21"/>
  <c r="M26" i="21"/>
  <c r="J26" i="21"/>
  <c r="H26" i="21"/>
  <c r="C26" i="21"/>
  <c r="N25" i="21"/>
  <c r="M25" i="21"/>
  <c r="J25" i="21"/>
  <c r="H25" i="21"/>
  <c r="C25" i="21"/>
  <c r="N24" i="21"/>
  <c r="M24" i="21"/>
  <c r="J24" i="21"/>
  <c r="H24" i="21"/>
  <c r="C24" i="21"/>
  <c r="A24" i="21"/>
  <c r="N23" i="21"/>
  <c r="M23" i="21"/>
  <c r="J23" i="21"/>
  <c r="H23" i="21"/>
  <c r="C23" i="21"/>
  <c r="A23" i="21"/>
  <c r="N21" i="21"/>
  <c r="M21" i="21"/>
  <c r="J21" i="21"/>
  <c r="H21" i="21"/>
  <c r="C21" i="21"/>
  <c r="N20" i="21"/>
  <c r="M20" i="21"/>
  <c r="J20" i="21"/>
  <c r="H20" i="21"/>
  <c r="C20" i="21"/>
  <c r="N19" i="21"/>
  <c r="M19" i="21"/>
  <c r="J19" i="21"/>
  <c r="H19" i="21"/>
  <c r="C19" i="21"/>
  <c r="N18" i="21"/>
  <c r="M18" i="21"/>
  <c r="J18" i="21"/>
  <c r="H18" i="21"/>
  <c r="C18" i="21"/>
  <c r="A18" i="21"/>
  <c r="N17" i="21"/>
  <c r="M17" i="21"/>
  <c r="J17" i="21"/>
  <c r="H17" i="21"/>
  <c r="C17" i="21"/>
  <c r="N16" i="21"/>
  <c r="M16" i="21"/>
  <c r="J16" i="21"/>
  <c r="H16" i="21"/>
  <c r="C16" i="21"/>
  <c r="A16" i="21"/>
  <c r="N14" i="21"/>
  <c r="M14" i="21"/>
  <c r="J14" i="21"/>
  <c r="H14" i="21"/>
  <c r="C14" i="21"/>
  <c r="N13" i="21"/>
  <c r="M13" i="21"/>
  <c r="J13" i="21"/>
  <c r="H13" i="21"/>
  <c r="C13" i="21"/>
  <c r="N12" i="21"/>
  <c r="M12" i="21"/>
  <c r="J12" i="21"/>
  <c r="H12" i="21"/>
  <c r="C12" i="21"/>
  <c r="N11" i="21"/>
  <c r="M11" i="21"/>
  <c r="J11" i="21"/>
  <c r="H11" i="21"/>
  <c r="C11" i="21"/>
  <c r="A11" i="21"/>
  <c r="N10" i="21"/>
  <c r="M10" i="21"/>
  <c r="J10" i="21"/>
  <c r="H10" i="21"/>
  <c r="C10" i="21"/>
  <c r="N9" i="21"/>
  <c r="M9" i="21"/>
  <c r="J9" i="21"/>
  <c r="H9" i="21"/>
  <c r="C9" i="21"/>
  <c r="A9" i="21"/>
  <c r="N7" i="21"/>
  <c r="M7" i="21"/>
  <c r="J7" i="21"/>
  <c r="H7" i="21"/>
  <c r="C7" i="21"/>
  <c r="N6" i="21"/>
  <c r="M6" i="21"/>
  <c r="J6" i="21"/>
  <c r="H6" i="21"/>
  <c r="C6" i="21"/>
  <c r="N5" i="21"/>
  <c r="M5" i="21"/>
  <c r="J5" i="21"/>
  <c r="H5" i="21"/>
  <c r="C5" i="21"/>
  <c r="A5" i="21"/>
  <c r="N4" i="21"/>
  <c r="M4" i="21"/>
  <c r="J4" i="21"/>
  <c r="H4" i="21"/>
  <c r="C4" i="21"/>
  <c r="N3" i="21"/>
  <c r="M3" i="21"/>
  <c r="J3" i="21"/>
  <c r="H3" i="21"/>
  <c r="C3" i="21"/>
  <c r="A3" i="21"/>
  <c r="T61" i="22" l="1"/>
  <c r="Q3" i="21"/>
  <c r="T52" i="22"/>
  <c r="T55" i="22"/>
  <c r="T59" i="22"/>
  <c r="T53" i="22"/>
  <c r="T84" i="22" s="1"/>
  <c r="M82" i="21"/>
  <c r="T45" i="22"/>
  <c r="V71" i="22"/>
  <c r="V48" i="22"/>
  <c r="V84" i="22" s="1"/>
  <c r="W48" i="22"/>
  <c r="W84" i="22" s="1"/>
  <c r="Q28" i="21"/>
  <c r="R28" i="21" s="1"/>
  <c r="S28" i="21" s="1"/>
  <c r="G72" i="21" s="1"/>
  <c r="AH72" i="21" s="1"/>
  <c r="A75" i="21"/>
  <c r="Q9" i="21"/>
  <c r="R9" i="21" s="1"/>
  <c r="S9" i="21" s="1"/>
  <c r="G51" i="21" s="1"/>
  <c r="M70" i="21"/>
  <c r="M78" i="21"/>
  <c r="Q10" i="21"/>
  <c r="R10" i="21" s="1"/>
  <c r="S10" i="21" s="1"/>
  <c r="G52" i="21" s="1"/>
  <c r="X78" i="21"/>
  <c r="M69" i="21"/>
  <c r="V69" i="21" s="1"/>
  <c r="AD69" i="21" s="1"/>
  <c r="Q23" i="21"/>
  <c r="R23" i="21" s="1"/>
  <c r="S23" i="21" s="1"/>
  <c r="G67" i="21" s="1"/>
  <c r="Q32" i="21"/>
  <c r="R32" i="21" s="1"/>
  <c r="S32" i="21" s="1"/>
  <c r="G77" i="21" s="1"/>
  <c r="AH77" i="21" s="1"/>
  <c r="Q36" i="21"/>
  <c r="R36" i="21" s="1"/>
  <c r="S36" i="21" s="1"/>
  <c r="G81" i="21" s="1"/>
  <c r="Q14" i="21"/>
  <c r="R14" i="21" s="1"/>
  <c r="S14" i="21" s="1"/>
  <c r="G56" i="21" s="1"/>
  <c r="Q21" i="21"/>
  <c r="R21" i="21" s="1"/>
  <c r="S21" i="21" s="1"/>
  <c r="G64" i="21" s="1"/>
  <c r="Q25" i="21"/>
  <c r="R25" i="21" s="1"/>
  <c r="S25" i="21" s="1"/>
  <c r="G69" i="21" s="1"/>
  <c r="Q35" i="21"/>
  <c r="R35" i="21" s="1"/>
  <c r="S35" i="21" s="1"/>
  <c r="G80" i="21" s="1"/>
  <c r="M76" i="21"/>
  <c r="W76" i="21" s="1"/>
  <c r="Q37" i="21"/>
  <c r="R37" i="21" s="1"/>
  <c r="S37" i="21" s="1"/>
  <c r="G82" i="21" s="1"/>
  <c r="M75" i="21"/>
  <c r="V75" i="21" s="1"/>
  <c r="AD75" i="21" s="1"/>
  <c r="Q27" i="21"/>
  <c r="R27" i="21" s="1"/>
  <c r="S27" i="21" s="1"/>
  <c r="G71" i="21" s="1"/>
  <c r="Q31" i="21"/>
  <c r="R31" i="21" s="1"/>
  <c r="S31" i="21" s="1"/>
  <c r="G76" i="21" s="1"/>
  <c r="X77" i="21"/>
  <c r="Q24" i="21"/>
  <c r="R24" i="21" s="1"/>
  <c r="S24" i="21" s="1"/>
  <c r="G68" i="21" s="1"/>
  <c r="Q26" i="21"/>
  <c r="R26" i="21" s="1"/>
  <c r="S26" i="21" s="1"/>
  <c r="A45" i="21"/>
  <c r="Q13" i="21"/>
  <c r="R13" i="21" s="1"/>
  <c r="S13" i="21" s="1"/>
  <c r="G55" i="21" s="1"/>
  <c r="Q17" i="21"/>
  <c r="R17" i="21" s="1"/>
  <c r="S17" i="21" s="1"/>
  <c r="G60" i="21" s="1"/>
  <c r="Q20" i="21"/>
  <c r="R20" i="21" s="1"/>
  <c r="S20" i="21" s="1"/>
  <c r="G63" i="21" s="1"/>
  <c r="Y72" i="21"/>
  <c r="Y76" i="21"/>
  <c r="M71" i="21"/>
  <c r="V71" i="21" s="1"/>
  <c r="AD71" i="21" s="1"/>
  <c r="M77" i="21"/>
  <c r="W77" i="21" s="1"/>
  <c r="W45" i="21"/>
  <c r="V45" i="21"/>
  <c r="AD45" i="21" s="1"/>
  <c r="W55" i="21"/>
  <c r="V55" i="21"/>
  <c r="AD55" i="21" s="1"/>
  <c r="W62" i="21"/>
  <c r="V62" i="21"/>
  <c r="AD62" i="21" s="1"/>
  <c r="X79" i="21"/>
  <c r="Q4" i="21"/>
  <c r="R4" i="21" s="1"/>
  <c r="S4" i="21" s="1"/>
  <c r="G45" i="21" s="1"/>
  <c r="Q7" i="21"/>
  <c r="R7" i="21" s="1"/>
  <c r="S7" i="21" s="1"/>
  <c r="G48" i="21" s="1"/>
  <c r="T48" i="21" s="1"/>
  <c r="AF48" i="21" s="1"/>
  <c r="Q12" i="21"/>
  <c r="R12" i="21" s="1"/>
  <c r="S12" i="21" s="1"/>
  <c r="G54" i="21" s="1"/>
  <c r="Q16" i="21"/>
  <c r="R16" i="21" s="1"/>
  <c r="S16" i="21" s="1"/>
  <c r="G59" i="21" s="1"/>
  <c r="Q19" i="21"/>
  <c r="R19" i="21" s="1"/>
  <c r="S19" i="21" s="1"/>
  <c r="G62" i="21" s="1"/>
  <c r="Q30" i="21"/>
  <c r="R30" i="21" s="1"/>
  <c r="S30" i="21" s="1"/>
  <c r="G75" i="21" s="1"/>
  <c r="Y70" i="21"/>
  <c r="X75" i="21"/>
  <c r="M80" i="21"/>
  <c r="W80" i="21" s="1"/>
  <c r="Y81" i="21"/>
  <c r="Q5" i="21"/>
  <c r="R5" i="21" s="1"/>
  <c r="S5" i="21" s="1"/>
  <c r="G46" i="21" s="1"/>
  <c r="Q34" i="21"/>
  <c r="R34" i="21" s="1"/>
  <c r="S34" i="21" s="1"/>
  <c r="G79" i="21" s="1"/>
  <c r="Q6" i="21"/>
  <c r="R6" i="21" s="1"/>
  <c r="S6" i="21" s="1"/>
  <c r="G47" i="21" s="1"/>
  <c r="M67" i="21"/>
  <c r="W67" i="21" s="1"/>
  <c r="M68" i="21"/>
  <c r="V68" i="21" s="1"/>
  <c r="AD68" i="21" s="1"/>
  <c r="Y69" i="21"/>
  <c r="M79" i="21"/>
  <c r="W79" i="21" s="1"/>
  <c r="X80" i="21"/>
  <c r="R3" i="21"/>
  <c r="S3" i="21" s="1"/>
  <c r="G44" i="21" s="1"/>
  <c r="Q11" i="21"/>
  <c r="R11" i="21" s="1"/>
  <c r="S11" i="21" s="1"/>
  <c r="G53" i="21" s="1"/>
  <c r="Q18" i="21"/>
  <c r="R18" i="21" s="1"/>
  <c r="S18" i="21" s="1"/>
  <c r="G61" i="21" s="1"/>
  <c r="Q33" i="21"/>
  <c r="R33" i="21" s="1"/>
  <c r="S33" i="21" s="1"/>
  <c r="G78" i="21" s="1"/>
  <c r="M81" i="21"/>
  <c r="W81" i="21" s="1"/>
  <c r="X82" i="21"/>
  <c r="W53" i="21"/>
  <c r="W70" i="21"/>
  <c r="V70" i="21"/>
  <c r="AD70" i="21" s="1"/>
  <c r="W64" i="21"/>
  <c r="V64" i="21"/>
  <c r="AD64" i="21" s="1"/>
  <c r="W60" i="21"/>
  <c r="V60" i="21"/>
  <c r="AD60" i="21" s="1"/>
  <c r="U77" i="21"/>
  <c r="T77" i="21"/>
  <c r="AF77" i="21" s="1"/>
  <c r="W44" i="21"/>
  <c r="V44" i="21"/>
  <c r="V48" i="21"/>
  <c r="AD48" i="21" s="1"/>
  <c r="W48" i="21"/>
  <c r="W78" i="21"/>
  <c r="V78" i="21"/>
  <c r="AD78" i="21" s="1"/>
  <c r="V52" i="21"/>
  <c r="AD52" i="21" s="1"/>
  <c r="W52" i="21"/>
  <c r="W54" i="21"/>
  <c r="V54" i="21"/>
  <c r="AD54" i="21" s="1"/>
  <c r="W68" i="21"/>
  <c r="W82" i="21"/>
  <c r="V82" i="21"/>
  <c r="AD82" i="21" s="1"/>
  <c r="T52" i="21"/>
  <c r="AF52" i="21" s="1"/>
  <c r="W47" i="21"/>
  <c r="V47" i="21"/>
  <c r="AD47" i="21" s="1"/>
  <c r="W59" i="21"/>
  <c r="V59" i="21"/>
  <c r="W61" i="21"/>
  <c r="V61" i="21"/>
  <c r="AD61" i="21" s="1"/>
  <c r="T80" i="21"/>
  <c r="AF80" i="21" s="1"/>
  <c r="A60" i="21"/>
  <c r="A67" i="21"/>
  <c r="W46" i="21"/>
  <c r="W51" i="21"/>
  <c r="W56" i="21"/>
  <c r="W63" i="21"/>
  <c r="X67" i="21"/>
  <c r="X68" i="21"/>
  <c r="Y71" i="21"/>
  <c r="A52" i="21"/>
  <c r="V72" i="21"/>
  <c r="AD72" i="21" s="1"/>
  <c r="Q88" i="20"/>
  <c r="X88" i="20" s="1"/>
  <c r="D88" i="20"/>
  <c r="B88" i="20"/>
  <c r="C88" i="20" s="1"/>
  <c r="M88" i="20" s="1"/>
  <c r="Y87" i="20"/>
  <c r="X87" i="20"/>
  <c r="Q87" i="20"/>
  <c r="D87" i="20"/>
  <c r="B87" i="20"/>
  <c r="C87" i="20" s="1"/>
  <c r="M87" i="20" s="1"/>
  <c r="W87" i="20" s="1"/>
  <c r="Q86" i="20"/>
  <c r="X86" i="20" s="1"/>
  <c r="M86" i="20"/>
  <c r="D86" i="20"/>
  <c r="C86" i="20"/>
  <c r="B86" i="20"/>
  <c r="Q85" i="20"/>
  <c r="Y85" i="20" s="1"/>
  <c r="D85" i="20"/>
  <c r="B85" i="20"/>
  <c r="C85" i="20" s="1"/>
  <c r="Y84" i="20"/>
  <c r="Q84" i="20"/>
  <c r="X84" i="20" s="1"/>
  <c r="D84" i="20"/>
  <c r="B84" i="20"/>
  <c r="C84" i="20" s="1"/>
  <c r="M84" i="20" s="1"/>
  <c r="Y83" i="20"/>
  <c r="Q83" i="20"/>
  <c r="X83" i="20" s="1"/>
  <c r="D83" i="20"/>
  <c r="B83" i="20"/>
  <c r="C83" i="20" s="1"/>
  <c r="Q82" i="20"/>
  <c r="X82" i="20" s="1"/>
  <c r="D82" i="20"/>
  <c r="B82" i="20"/>
  <c r="C82" i="20" s="1"/>
  <c r="M82" i="20" s="1"/>
  <c r="Q81" i="20"/>
  <c r="Y81" i="20" s="1"/>
  <c r="D81" i="20"/>
  <c r="B81" i="20"/>
  <c r="Y80" i="20"/>
  <c r="Q80" i="20"/>
  <c r="X80" i="20" s="1"/>
  <c r="I80" i="20"/>
  <c r="D80" i="20"/>
  <c r="J80" i="20" s="1"/>
  <c r="B80" i="20"/>
  <c r="C80" i="20" s="1"/>
  <c r="M80" i="20" s="1"/>
  <c r="Y77" i="20"/>
  <c r="Q77" i="20"/>
  <c r="X77" i="20" s="1"/>
  <c r="D77" i="20"/>
  <c r="B77" i="20"/>
  <c r="C77" i="20" s="1"/>
  <c r="Q76" i="20"/>
  <c r="Y76" i="20" s="1"/>
  <c r="D76" i="20"/>
  <c r="B76" i="20"/>
  <c r="C76" i="20" s="1"/>
  <c r="Y75" i="20"/>
  <c r="Q75" i="20"/>
  <c r="X75" i="20" s="1"/>
  <c r="D75" i="20"/>
  <c r="B75" i="20"/>
  <c r="C75" i="20" s="1"/>
  <c r="Y74" i="20"/>
  <c r="X74" i="20"/>
  <c r="Q74" i="20"/>
  <c r="D74" i="20"/>
  <c r="B74" i="20"/>
  <c r="C74" i="20" s="1"/>
  <c r="Y73" i="20"/>
  <c r="Q73" i="20"/>
  <c r="X73" i="20" s="1"/>
  <c r="D73" i="20"/>
  <c r="B73" i="20"/>
  <c r="C73" i="20" s="1"/>
  <c r="M73" i="20" s="1"/>
  <c r="Y72" i="20"/>
  <c r="X72" i="20"/>
  <c r="Q72" i="20"/>
  <c r="D72" i="20"/>
  <c r="B72" i="20"/>
  <c r="C72" i="20" s="1"/>
  <c r="M72" i="20" s="1"/>
  <c r="Q71" i="20"/>
  <c r="X71" i="20" s="1"/>
  <c r="D71" i="20"/>
  <c r="B71" i="20"/>
  <c r="C71" i="20" s="1"/>
  <c r="X70" i="20"/>
  <c r="Q70" i="20"/>
  <c r="Y70" i="20" s="1"/>
  <c r="D70" i="20"/>
  <c r="B70" i="20"/>
  <c r="C70" i="20" s="1"/>
  <c r="M70" i="20" s="1"/>
  <c r="A70" i="20"/>
  <c r="Y67" i="20"/>
  <c r="X67" i="20"/>
  <c r="D67" i="20"/>
  <c r="B67" i="20"/>
  <c r="C67" i="20" s="1"/>
  <c r="M67" i="20" s="1"/>
  <c r="Y66" i="20"/>
  <c r="X66" i="20"/>
  <c r="D66" i="20"/>
  <c r="C66" i="20"/>
  <c r="M66" i="20" s="1"/>
  <c r="B66" i="20"/>
  <c r="Y65" i="20"/>
  <c r="X65" i="20"/>
  <c r="D65" i="20"/>
  <c r="B65" i="20"/>
  <c r="C65" i="20" s="1"/>
  <c r="M65" i="20" s="1"/>
  <c r="Y64" i="20"/>
  <c r="X64" i="20"/>
  <c r="D64" i="20"/>
  <c r="B64" i="20"/>
  <c r="C64" i="20" s="1"/>
  <c r="M64" i="20" s="1"/>
  <c r="Y63" i="20"/>
  <c r="X63" i="20"/>
  <c r="D63" i="20"/>
  <c r="B63" i="20"/>
  <c r="C63" i="20" s="1"/>
  <c r="M63" i="20" s="1"/>
  <c r="W63" i="20" s="1"/>
  <c r="A63" i="20"/>
  <c r="Y62" i="20"/>
  <c r="X62" i="20"/>
  <c r="D62" i="20"/>
  <c r="B62" i="20"/>
  <c r="C62" i="20" s="1"/>
  <c r="M62" i="20" s="1"/>
  <c r="Y59" i="20"/>
  <c r="X59" i="20"/>
  <c r="D59" i="20"/>
  <c r="C59" i="20"/>
  <c r="M59" i="20" s="1"/>
  <c r="B59" i="20"/>
  <c r="Y58" i="20"/>
  <c r="X58" i="20"/>
  <c r="D58" i="20"/>
  <c r="B58" i="20"/>
  <c r="C58" i="20" s="1"/>
  <c r="M58" i="20" s="1"/>
  <c r="Y57" i="20"/>
  <c r="X57" i="20"/>
  <c r="M57" i="20"/>
  <c r="D57" i="20"/>
  <c r="B57" i="20"/>
  <c r="C57" i="20" s="1"/>
  <c r="Y56" i="20"/>
  <c r="X56" i="20"/>
  <c r="D56" i="20"/>
  <c r="B56" i="20"/>
  <c r="Y55" i="20"/>
  <c r="X55" i="20"/>
  <c r="D55" i="20"/>
  <c r="C55" i="20"/>
  <c r="M55" i="20" s="1"/>
  <c r="B55" i="20"/>
  <c r="Y54" i="20"/>
  <c r="X54" i="20"/>
  <c r="D54" i="20"/>
  <c r="C54" i="20"/>
  <c r="M54" i="20" s="1"/>
  <c r="Y51" i="20"/>
  <c r="X51" i="20"/>
  <c r="W51" i="20"/>
  <c r="D51" i="20"/>
  <c r="B51" i="20"/>
  <c r="C51" i="20" s="1"/>
  <c r="M51" i="20" s="1"/>
  <c r="V51" i="20" s="1"/>
  <c r="Y50" i="20"/>
  <c r="X50" i="20"/>
  <c r="D50" i="20"/>
  <c r="B50" i="20"/>
  <c r="C50" i="20" s="1"/>
  <c r="M50" i="20" s="1"/>
  <c r="Y49" i="20"/>
  <c r="X49" i="20"/>
  <c r="D49" i="20"/>
  <c r="C49" i="20"/>
  <c r="M49" i="20" s="1"/>
  <c r="B49" i="20"/>
  <c r="Y48" i="20"/>
  <c r="X48" i="20"/>
  <c r="D48" i="20"/>
  <c r="B48" i="20"/>
  <c r="C48" i="20" s="1"/>
  <c r="M48" i="20" s="1"/>
  <c r="Y47" i="20"/>
  <c r="X47" i="20"/>
  <c r="D47" i="20"/>
  <c r="B47" i="20"/>
  <c r="A48" i="20" s="1"/>
  <c r="N40" i="20"/>
  <c r="Q40" i="20" s="1"/>
  <c r="R40" i="20" s="1"/>
  <c r="S40" i="20" s="1"/>
  <c r="G88" i="20" s="1"/>
  <c r="M40" i="20"/>
  <c r="J40" i="20"/>
  <c r="H40" i="20"/>
  <c r="C40" i="20"/>
  <c r="N39" i="20"/>
  <c r="Q39" i="20" s="1"/>
  <c r="R39" i="20" s="1"/>
  <c r="S39" i="20" s="1"/>
  <c r="G87" i="20" s="1"/>
  <c r="M39" i="20"/>
  <c r="J39" i="20"/>
  <c r="H39" i="20"/>
  <c r="C39" i="20"/>
  <c r="N38" i="20"/>
  <c r="M38" i="20"/>
  <c r="Q38" i="20" s="1"/>
  <c r="R38" i="20" s="1"/>
  <c r="S38" i="20" s="1"/>
  <c r="G86" i="20" s="1"/>
  <c r="J38" i="20"/>
  <c r="H38" i="20"/>
  <c r="C38" i="20"/>
  <c r="N37" i="20"/>
  <c r="M37" i="20"/>
  <c r="J37" i="20"/>
  <c r="H37" i="20"/>
  <c r="C37" i="20"/>
  <c r="Q36" i="20"/>
  <c r="R36" i="20" s="1"/>
  <c r="S36" i="20" s="1"/>
  <c r="G84" i="20" s="1"/>
  <c r="N36" i="20"/>
  <c r="M36" i="20"/>
  <c r="J36" i="20"/>
  <c r="H36" i="20"/>
  <c r="C36" i="20"/>
  <c r="N35" i="20"/>
  <c r="Q35" i="20" s="1"/>
  <c r="R35" i="20" s="1"/>
  <c r="S35" i="20" s="1"/>
  <c r="G83" i="20" s="1"/>
  <c r="M35" i="20"/>
  <c r="J35" i="20"/>
  <c r="H35" i="20"/>
  <c r="C35" i="20"/>
  <c r="A35" i="20"/>
  <c r="N34" i="20"/>
  <c r="M34" i="20"/>
  <c r="Q34" i="20" s="1"/>
  <c r="R34" i="20" s="1"/>
  <c r="S34" i="20" s="1"/>
  <c r="G82" i="20" s="1"/>
  <c r="J34" i="20"/>
  <c r="H34" i="20"/>
  <c r="C34" i="20"/>
  <c r="Q33" i="20"/>
  <c r="R33" i="20" s="1"/>
  <c r="S33" i="20" s="1"/>
  <c r="G81" i="20" s="1"/>
  <c r="N33" i="20"/>
  <c r="M33" i="20"/>
  <c r="J33" i="20"/>
  <c r="H33" i="20"/>
  <c r="C33" i="20"/>
  <c r="N32" i="20"/>
  <c r="Q32" i="20" s="1"/>
  <c r="R32" i="20" s="1"/>
  <c r="S32" i="20" s="1"/>
  <c r="G80" i="20" s="1"/>
  <c r="M32" i="20"/>
  <c r="J32" i="20"/>
  <c r="H32" i="20"/>
  <c r="C32" i="20"/>
  <c r="A32" i="20"/>
  <c r="N30" i="20"/>
  <c r="Q30" i="20" s="1"/>
  <c r="R30" i="20" s="1"/>
  <c r="S30" i="20" s="1"/>
  <c r="G77" i="20" s="1"/>
  <c r="M30" i="20"/>
  <c r="J30" i="20"/>
  <c r="H30" i="20"/>
  <c r="C30" i="20"/>
  <c r="N29" i="20"/>
  <c r="Q29" i="20" s="1"/>
  <c r="R29" i="20" s="1"/>
  <c r="S29" i="20" s="1"/>
  <c r="G76" i="20" s="1"/>
  <c r="M29" i="20"/>
  <c r="J29" i="20"/>
  <c r="H29" i="20"/>
  <c r="C29" i="20"/>
  <c r="N28" i="20"/>
  <c r="M28" i="20"/>
  <c r="J28" i="20"/>
  <c r="H28" i="20"/>
  <c r="C28" i="20"/>
  <c r="N27" i="20"/>
  <c r="Q27" i="20" s="1"/>
  <c r="R27" i="20" s="1"/>
  <c r="S27" i="20" s="1"/>
  <c r="G74" i="20" s="1"/>
  <c r="M27" i="20"/>
  <c r="J27" i="20"/>
  <c r="H27" i="20"/>
  <c r="C27" i="20"/>
  <c r="N26" i="20"/>
  <c r="Q26" i="20" s="1"/>
  <c r="R26" i="20" s="1"/>
  <c r="S26" i="20" s="1"/>
  <c r="G73" i="20" s="1"/>
  <c r="M26" i="20"/>
  <c r="J26" i="20"/>
  <c r="H26" i="20"/>
  <c r="C26" i="20"/>
  <c r="N25" i="20"/>
  <c r="M25" i="20"/>
  <c r="J25" i="20"/>
  <c r="H25" i="20"/>
  <c r="C25" i="20"/>
  <c r="A25" i="20"/>
  <c r="N24" i="20"/>
  <c r="M24" i="20"/>
  <c r="Q24" i="20" s="1"/>
  <c r="R24" i="20" s="1"/>
  <c r="S24" i="20" s="1"/>
  <c r="G71" i="20" s="1"/>
  <c r="J24" i="20"/>
  <c r="H24" i="20"/>
  <c r="C24" i="20"/>
  <c r="N23" i="20"/>
  <c r="M23" i="20"/>
  <c r="Q23" i="20" s="1"/>
  <c r="R23" i="20" s="1"/>
  <c r="S23" i="20" s="1"/>
  <c r="G70" i="20" s="1"/>
  <c r="J23" i="20"/>
  <c r="H23" i="20"/>
  <c r="C23" i="20"/>
  <c r="A23" i="20"/>
  <c r="N21" i="20"/>
  <c r="M21" i="20"/>
  <c r="J21" i="20"/>
  <c r="H21" i="20"/>
  <c r="C21" i="20"/>
  <c r="N20" i="20"/>
  <c r="M20" i="20"/>
  <c r="J20" i="20"/>
  <c r="H20" i="20"/>
  <c r="C20" i="20"/>
  <c r="N19" i="20"/>
  <c r="M19" i="20"/>
  <c r="J19" i="20"/>
  <c r="H19" i="20"/>
  <c r="C19" i="20"/>
  <c r="N18" i="20"/>
  <c r="Q18" i="20" s="1"/>
  <c r="R18" i="20" s="1"/>
  <c r="S18" i="20" s="1"/>
  <c r="G64" i="20" s="1"/>
  <c r="M18" i="20"/>
  <c r="J18" i="20"/>
  <c r="H18" i="20"/>
  <c r="C18" i="20"/>
  <c r="A18" i="20"/>
  <c r="N17" i="20"/>
  <c r="M17" i="20"/>
  <c r="Q17" i="20" s="1"/>
  <c r="R17" i="20" s="1"/>
  <c r="S17" i="20" s="1"/>
  <c r="G63" i="20" s="1"/>
  <c r="J17" i="20"/>
  <c r="H17" i="20"/>
  <c r="C17" i="20"/>
  <c r="N16" i="20"/>
  <c r="M16" i="20"/>
  <c r="Q16" i="20" s="1"/>
  <c r="R16" i="20" s="1"/>
  <c r="S16" i="20" s="1"/>
  <c r="G62" i="20" s="1"/>
  <c r="J16" i="20"/>
  <c r="H16" i="20"/>
  <c r="C16" i="20"/>
  <c r="A16" i="20"/>
  <c r="N14" i="20"/>
  <c r="M14" i="20"/>
  <c r="J14" i="20"/>
  <c r="H14" i="20"/>
  <c r="C14" i="20"/>
  <c r="N13" i="20"/>
  <c r="M13" i="20"/>
  <c r="J13" i="20"/>
  <c r="H13" i="20"/>
  <c r="C13" i="20"/>
  <c r="N12" i="20"/>
  <c r="M12" i="20"/>
  <c r="J12" i="20"/>
  <c r="H12" i="20"/>
  <c r="C12" i="20"/>
  <c r="N11" i="20"/>
  <c r="M11" i="20"/>
  <c r="J11" i="20"/>
  <c r="H11" i="20"/>
  <c r="C11" i="20"/>
  <c r="A11" i="20"/>
  <c r="N10" i="20"/>
  <c r="M10" i="20"/>
  <c r="J10" i="20"/>
  <c r="H10" i="20"/>
  <c r="C10" i="20"/>
  <c r="N9" i="20"/>
  <c r="M9" i="20"/>
  <c r="J9" i="20"/>
  <c r="H9" i="20"/>
  <c r="C9" i="20"/>
  <c r="A9" i="20"/>
  <c r="N7" i="20"/>
  <c r="M7" i="20"/>
  <c r="J7" i="20"/>
  <c r="H7" i="20"/>
  <c r="C7" i="20"/>
  <c r="N6" i="20"/>
  <c r="Q6" i="20" s="1"/>
  <c r="R6" i="20" s="1"/>
  <c r="S6" i="20" s="1"/>
  <c r="G50" i="20" s="1"/>
  <c r="M6" i="20"/>
  <c r="J6" i="20"/>
  <c r="H6" i="20"/>
  <c r="C6" i="20"/>
  <c r="N5" i="20"/>
  <c r="M5" i="20"/>
  <c r="Q5" i="20" s="1"/>
  <c r="R5" i="20" s="1"/>
  <c r="S5" i="20" s="1"/>
  <c r="G49" i="20" s="1"/>
  <c r="J5" i="20"/>
  <c r="H5" i="20"/>
  <c r="C5" i="20"/>
  <c r="A5" i="20"/>
  <c r="N4" i="20"/>
  <c r="M4" i="20"/>
  <c r="Q4" i="20" s="1"/>
  <c r="R4" i="20" s="1"/>
  <c r="S4" i="20" s="1"/>
  <c r="G48" i="20" s="1"/>
  <c r="J4" i="20"/>
  <c r="H4" i="20"/>
  <c r="C4" i="20"/>
  <c r="Q3" i="20"/>
  <c r="R3" i="20" s="1"/>
  <c r="S3" i="20" s="1"/>
  <c r="G47" i="20" s="1"/>
  <c r="N3" i="20"/>
  <c r="M3" i="20"/>
  <c r="J3" i="20"/>
  <c r="H3" i="20"/>
  <c r="C3" i="20"/>
  <c r="A3" i="20"/>
  <c r="Q88" i="19"/>
  <c r="Y88" i="19" s="1"/>
  <c r="D88" i="19"/>
  <c r="B88" i="19"/>
  <c r="C88" i="19" s="1"/>
  <c r="M88" i="19" s="1"/>
  <c r="Q87" i="19"/>
  <c r="Y87" i="19" s="1"/>
  <c r="D87" i="19"/>
  <c r="B87" i="19"/>
  <c r="C87" i="19" s="1"/>
  <c r="Q86" i="19"/>
  <c r="Y86" i="19" s="1"/>
  <c r="D86" i="19"/>
  <c r="B86" i="19"/>
  <c r="C86" i="19" s="1"/>
  <c r="M86" i="19" s="1"/>
  <c r="Q85" i="19"/>
  <c r="Y85" i="19" s="1"/>
  <c r="D85" i="19"/>
  <c r="B85" i="19"/>
  <c r="C85" i="19" s="1"/>
  <c r="Q84" i="19"/>
  <c r="Y84" i="19" s="1"/>
  <c r="D84" i="19"/>
  <c r="B84" i="19"/>
  <c r="C84" i="19" s="1"/>
  <c r="M84" i="19" s="1"/>
  <c r="Y83" i="19"/>
  <c r="Q83" i="19"/>
  <c r="X83" i="19" s="1"/>
  <c r="D83" i="19"/>
  <c r="B83" i="19"/>
  <c r="C83" i="19" s="1"/>
  <c r="Q82" i="19"/>
  <c r="Y82" i="19" s="1"/>
  <c r="D82" i="19"/>
  <c r="B82" i="19"/>
  <c r="C82" i="19" s="1"/>
  <c r="Q81" i="19"/>
  <c r="Y81" i="19" s="1"/>
  <c r="D81" i="19"/>
  <c r="B81" i="19"/>
  <c r="C81" i="19" s="1"/>
  <c r="Q80" i="19"/>
  <c r="Y80" i="19" s="1"/>
  <c r="I80" i="19"/>
  <c r="D80" i="19"/>
  <c r="J80" i="19" s="1"/>
  <c r="B80" i="19"/>
  <c r="Q77" i="19"/>
  <c r="Y77" i="19" s="1"/>
  <c r="D77" i="19"/>
  <c r="B77" i="19"/>
  <c r="C77" i="19" s="1"/>
  <c r="Q76" i="19"/>
  <c r="D76" i="19"/>
  <c r="B76" i="19"/>
  <c r="C76" i="19" s="1"/>
  <c r="Q75" i="19"/>
  <c r="Y75" i="19" s="1"/>
  <c r="D75" i="19"/>
  <c r="B75" i="19"/>
  <c r="C75" i="19" s="1"/>
  <c r="M75" i="19" s="1"/>
  <c r="Q74" i="19"/>
  <c r="D74" i="19"/>
  <c r="B74" i="19"/>
  <c r="C74" i="19" s="1"/>
  <c r="X73" i="19"/>
  <c r="Q73" i="19"/>
  <c r="Y73" i="19" s="1"/>
  <c r="D73" i="19"/>
  <c r="B73" i="19"/>
  <c r="C73" i="19" s="1"/>
  <c r="M73" i="19" s="1"/>
  <c r="Q72" i="19"/>
  <c r="D72" i="19"/>
  <c r="B72" i="19"/>
  <c r="C72" i="19" s="1"/>
  <c r="Q71" i="19"/>
  <c r="Y71" i="19" s="1"/>
  <c r="D71" i="19"/>
  <c r="B71" i="19"/>
  <c r="Q70" i="19"/>
  <c r="D70" i="19"/>
  <c r="B70" i="19"/>
  <c r="C70" i="19" s="1"/>
  <c r="Y67" i="19"/>
  <c r="X67" i="19"/>
  <c r="D67" i="19"/>
  <c r="B67" i="19"/>
  <c r="C67" i="19" s="1"/>
  <c r="M67" i="19" s="1"/>
  <c r="Y66" i="19"/>
  <c r="X66" i="19"/>
  <c r="D66" i="19"/>
  <c r="B66" i="19"/>
  <c r="C66" i="19" s="1"/>
  <c r="M66" i="19" s="1"/>
  <c r="Y65" i="19"/>
  <c r="X65" i="19"/>
  <c r="D65" i="19"/>
  <c r="B65" i="19"/>
  <c r="C65" i="19" s="1"/>
  <c r="M65" i="19" s="1"/>
  <c r="Y64" i="19"/>
  <c r="X64" i="19"/>
  <c r="D64" i="19"/>
  <c r="B64" i="19"/>
  <c r="C64" i="19" s="1"/>
  <c r="M64" i="19" s="1"/>
  <c r="Y63" i="19"/>
  <c r="X63" i="19"/>
  <c r="D63" i="19"/>
  <c r="C63" i="19"/>
  <c r="M63" i="19" s="1"/>
  <c r="W63" i="19" s="1"/>
  <c r="B63" i="19"/>
  <c r="Y62" i="19"/>
  <c r="X62" i="19"/>
  <c r="D62" i="19"/>
  <c r="B62" i="19"/>
  <c r="Y59" i="19"/>
  <c r="X59" i="19"/>
  <c r="D59" i="19"/>
  <c r="B59" i="19"/>
  <c r="C59" i="19" s="1"/>
  <c r="M59" i="19" s="1"/>
  <c r="Y58" i="19"/>
  <c r="X58" i="19"/>
  <c r="D58" i="19"/>
  <c r="B58" i="19"/>
  <c r="C58" i="19" s="1"/>
  <c r="M58" i="19" s="1"/>
  <c r="W58" i="19" s="1"/>
  <c r="Y57" i="19"/>
  <c r="X57" i="19"/>
  <c r="D57" i="19"/>
  <c r="B57" i="19"/>
  <c r="C57" i="19" s="1"/>
  <c r="M57" i="19" s="1"/>
  <c r="Y56" i="19"/>
  <c r="X56" i="19"/>
  <c r="D56" i="19"/>
  <c r="B56" i="19"/>
  <c r="C56" i="19" s="1"/>
  <c r="M56" i="19" s="1"/>
  <c r="W56" i="19" s="1"/>
  <c r="Y55" i="19"/>
  <c r="X55" i="19"/>
  <c r="D55" i="19"/>
  <c r="B55" i="19"/>
  <c r="Y54" i="19"/>
  <c r="X54" i="19"/>
  <c r="D54" i="19"/>
  <c r="C54" i="19"/>
  <c r="M54" i="19" s="1"/>
  <c r="Y51" i="19"/>
  <c r="X51" i="19"/>
  <c r="D51" i="19"/>
  <c r="B51" i="19"/>
  <c r="C51" i="19" s="1"/>
  <c r="M51" i="19" s="1"/>
  <c r="Y50" i="19"/>
  <c r="X50" i="19"/>
  <c r="D50" i="19"/>
  <c r="B50" i="19"/>
  <c r="C50" i="19" s="1"/>
  <c r="M50" i="19" s="1"/>
  <c r="Y49" i="19"/>
  <c r="X49" i="19"/>
  <c r="D49" i="19"/>
  <c r="C49" i="19"/>
  <c r="M49" i="19" s="1"/>
  <c r="B49" i="19"/>
  <c r="Y48" i="19"/>
  <c r="X48" i="19"/>
  <c r="D48" i="19"/>
  <c r="B48" i="19"/>
  <c r="C48" i="19" s="1"/>
  <c r="M48" i="19" s="1"/>
  <c r="W48" i="19" s="1"/>
  <c r="Y47" i="19"/>
  <c r="X47" i="19"/>
  <c r="D47" i="19"/>
  <c r="B47" i="19"/>
  <c r="C47" i="19" s="1"/>
  <c r="M47" i="19" s="1"/>
  <c r="N40" i="19"/>
  <c r="Q40" i="19" s="1"/>
  <c r="R40" i="19" s="1"/>
  <c r="S40" i="19" s="1"/>
  <c r="G88" i="19" s="1"/>
  <c r="M40" i="19"/>
  <c r="J40" i="19"/>
  <c r="H40" i="19"/>
  <c r="C40" i="19"/>
  <c r="N39" i="19"/>
  <c r="M39" i="19"/>
  <c r="J39" i="19"/>
  <c r="H39" i="19"/>
  <c r="C39" i="19"/>
  <c r="N38" i="19"/>
  <c r="M38" i="19"/>
  <c r="J38" i="19"/>
  <c r="H38" i="19"/>
  <c r="C38" i="19"/>
  <c r="N37" i="19"/>
  <c r="M37" i="19"/>
  <c r="J37" i="19"/>
  <c r="H37" i="19"/>
  <c r="C37" i="19"/>
  <c r="N36" i="19"/>
  <c r="M36" i="19"/>
  <c r="J36" i="19"/>
  <c r="H36" i="19"/>
  <c r="C36" i="19"/>
  <c r="N35" i="19"/>
  <c r="M35" i="19"/>
  <c r="J35" i="19"/>
  <c r="H35" i="19"/>
  <c r="C35" i="19"/>
  <c r="A35" i="19"/>
  <c r="N34" i="19"/>
  <c r="M34" i="19"/>
  <c r="J34" i="19"/>
  <c r="H34" i="19"/>
  <c r="C34" i="19"/>
  <c r="N33" i="19"/>
  <c r="Q33" i="19" s="1"/>
  <c r="R33" i="19" s="1"/>
  <c r="S33" i="19" s="1"/>
  <c r="G81" i="19" s="1"/>
  <c r="M33" i="19"/>
  <c r="J33" i="19"/>
  <c r="H33" i="19"/>
  <c r="C33" i="19"/>
  <c r="N32" i="19"/>
  <c r="M32" i="19"/>
  <c r="J32" i="19"/>
  <c r="H32" i="19"/>
  <c r="C32" i="19"/>
  <c r="A32" i="19"/>
  <c r="N30" i="19"/>
  <c r="M30" i="19"/>
  <c r="J30" i="19"/>
  <c r="H30" i="19"/>
  <c r="C30" i="19"/>
  <c r="N29" i="19"/>
  <c r="Q29" i="19" s="1"/>
  <c r="R29" i="19" s="1"/>
  <c r="S29" i="19" s="1"/>
  <c r="G76" i="19" s="1"/>
  <c r="M29" i="19"/>
  <c r="J29" i="19"/>
  <c r="H29" i="19"/>
  <c r="C29" i="19"/>
  <c r="N28" i="19"/>
  <c r="M28" i="19"/>
  <c r="J28" i="19"/>
  <c r="H28" i="19"/>
  <c r="C28" i="19"/>
  <c r="N27" i="19"/>
  <c r="M27" i="19"/>
  <c r="J27" i="19"/>
  <c r="H27" i="19"/>
  <c r="C27" i="19"/>
  <c r="N26" i="19"/>
  <c r="M26" i="19"/>
  <c r="J26" i="19"/>
  <c r="H26" i="19"/>
  <c r="C26" i="19"/>
  <c r="N25" i="19"/>
  <c r="Q25" i="19" s="1"/>
  <c r="R25" i="19" s="1"/>
  <c r="S25" i="19" s="1"/>
  <c r="G72" i="19" s="1"/>
  <c r="M25" i="19"/>
  <c r="J25" i="19"/>
  <c r="H25" i="19"/>
  <c r="C25" i="19"/>
  <c r="A25" i="19"/>
  <c r="N24" i="19"/>
  <c r="M24" i="19"/>
  <c r="J24" i="19"/>
  <c r="H24" i="19"/>
  <c r="C24" i="19"/>
  <c r="N23" i="19"/>
  <c r="Q23" i="19" s="1"/>
  <c r="R23" i="19" s="1"/>
  <c r="S23" i="19" s="1"/>
  <c r="G70" i="19" s="1"/>
  <c r="M23" i="19"/>
  <c r="J23" i="19"/>
  <c r="H23" i="19"/>
  <c r="C23" i="19"/>
  <c r="A23" i="19"/>
  <c r="N21" i="19"/>
  <c r="M21" i="19"/>
  <c r="J21" i="19"/>
  <c r="H21" i="19"/>
  <c r="C21" i="19"/>
  <c r="N20" i="19"/>
  <c r="M20" i="19"/>
  <c r="J20" i="19"/>
  <c r="H20" i="19"/>
  <c r="C20" i="19"/>
  <c r="N19" i="19"/>
  <c r="M19" i="19"/>
  <c r="J19" i="19"/>
  <c r="H19" i="19"/>
  <c r="C19" i="19"/>
  <c r="N18" i="19"/>
  <c r="M18" i="19"/>
  <c r="J18" i="19"/>
  <c r="H18" i="19"/>
  <c r="C18" i="19"/>
  <c r="A18" i="19"/>
  <c r="N17" i="19"/>
  <c r="M17" i="19"/>
  <c r="J17" i="19"/>
  <c r="H17" i="19"/>
  <c r="C17" i="19"/>
  <c r="Q16" i="19"/>
  <c r="R16" i="19" s="1"/>
  <c r="S16" i="19" s="1"/>
  <c r="G62" i="19" s="1"/>
  <c r="N16" i="19"/>
  <c r="M16" i="19"/>
  <c r="J16" i="19"/>
  <c r="H16" i="19"/>
  <c r="C16" i="19"/>
  <c r="A16" i="19"/>
  <c r="N14" i="19"/>
  <c r="Q14" i="19" s="1"/>
  <c r="R14" i="19" s="1"/>
  <c r="S14" i="19" s="1"/>
  <c r="G59" i="19" s="1"/>
  <c r="M14" i="19"/>
  <c r="J14" i="19"/>
  <c r="H14" i="19"/>
  <c r="C14" i="19"/>
  <c r="N13" i="19"/>
  <c r="Q13" i="19" s="1"/>
  <c r="R13" i="19" s="1"/>
  <c r="S13" i="19" s="1"/>
  <c r="G58" i="19" s="1"/>
  <c r="M13" i="19"/>
  <c r="J13" i="19"/>
  <c r="H13" i="19"/>
  <c r="C13" i="19"/>
  <c r="N12" i="19"/>
  <c r="M12" i="19"/>
  <c r="J12" i="19"/>
  <c r="H12" i="19"/>
  <c r="C12" i="19"/>
  <c r="N11" i="19"/>
  <c r="M11" i="19"/>
  <c r="J11" i="19"/>
  <c r="H11" i="19"/>
  <c r="C11" i="19"/>
  <c r="A11" i="19"/>
  <c r="N10" i="19"/>
  <c r="M10" i="19"/>
  <c r="J10" i="19"/>
  <c r="H10" i="19"/>
  <c r="C10" i="19"/>
  <c r="N9" i="19"/>
  <c r="M9" i="19"/>
  <c r="Q9" i="19" s="1"/>
  <c r="R9" i="19" s="1"/>
  <c r="S9" i="19" s="1"/>
  <c r="G54" i="19" s="1"/>
  <c r="J9" i="19"/>
  <c r="H9" i="19"/>
  <c r="C9" i="19"/>
  <c r="A9" i="19"/>
  <c r="N7" i="19"/>
  <c r="M7" i="19"/>
  <c r="J7" i="19"/>
  <c r="H7" i="19"/>
  <c r="C7" i="19"/>
  <c r="N6" i="19"/>
  <c r="M6" i="19"/>
  <c r="J6" i="19"/>
  <c r="H6" i="19"/>
  <c r="C6" i="19"/>
  <c r="N5" i="19"/>
  <c r="M5" i="19"/>
  <c r="J5" i="19"/>
  <c r="H5" i="19"/>
  <c r="C5" i="19"/>
  <c r="A5" i="19"/>
  <c r="N4" i="19"/>
  <c r="M4" i="19"/>
  <c r="J4" i="19"/>
  <c r="H4" i="19"/>
  <c r="C4" i="19"/>
  <c r="N3" i="19"/>
  <c r="M3" i="19"/>
  <c r="J3" i="19"/>
  <c r="H3" i="19"/>
  <c r="C3" i="19"/>
  <c r="A3" i="19"/>
  <c r="V48" i="20" l="1"/>
  <c r="W48" i="20"/>
  <c r="AH54" i="21"/>
  <c r="U54" i="21"/>
  <c r="X80" i="19"/>
  <c r="Q21" i="19"/>
  <c r="R21" i="19" s="1"/>
  <c r="S21" i="19" s="1"/>
  <c r="G67" i="19" s="1"/>
  <c r="U67" i="19" s="1"/>
  <c r="M71" i="20"/>
  <c r="AH61" i="21"/>
  <c r="U61" i="21"/>
  <c r="AH47" i="21"/>
  <c r="U47" i="21"/>
  <c r="T62" i="21"/>
  <c r="AF62" i="21" s="1"/>
  <c r="AH62" i="21"/>
  <c r="U62" i="21"/>
  <c r="T63" i="21"/>
  <c r="AF63" i="21" s="1"/>
  <c r="AH63" i="21"/>
  <c r="U63" i="21"/>
  <c r="T71" i="21"/>
  <c r="AF71" i="21" s="1"/>
  <c r="AH71" i="21"/>
  <c r="U81" i="21"/>
  <c r="AH81" i="21"/>
  <c r="AH51" i="21"/>
  <c r="U51" i="21"/>
  <c r="T46" i="21"/>
  <c r="AF46" i="21" s="1"/>
  <c r="AH46" i="21"/>
  <c r="U46" i="21"/>
  <c r="Q28" i="20"/>
  <c r="R28" i="20" s="1"/>
  <c r="S28" i="20" s="1"/>
  <c r="G75" i="20" s="1"/>
  <c r="T72" i="21"/>
  <c r="AF72" i="21" s="1"/>
  <c r="Q18" i="19"/>
  <c r="R18" i="19" s="1"/>
  <c r="S18" i="19" s="1"/>
  <c r="G64" i="19" s="1"/>
  <c r="Q28" i="19"/>
  <c r="R28" i="19" s="1"/>
  <c r="S28" i="19" s="1"/>
  <c r="G75" i="19" s="1"/>
  <c r="U75" i="19" s="1"/>
  <c r="V48" i="19"/>
  <c r="A63" i="19"/>
  <c r="Q7" i="20"/>
  <c r="R7" i="20" s="1"/>
  <c r="S7" i="20" s="1"/>
  <c r="G51" i="20" s="1"/>
  <c r="Q14" i="20"/>
  <c r="R14" i="20" s="1"/>
  <c r="S14" i="20" s="1"/>
  <c r="G59" i="20" s="1"/>
  <c r="T59" i="20" s="1"/>
  <c r="Q21" i="20"/>
  <c r="R21" i="20" s="1"/>
  <c r="S21" i="20" s="1"/>
  <c r="G67" i="20" s="1"/>
  <c r="M76" i="20"/>
  <c r="M85" i="20"/>
  <c r="AH53" i="21"/>
  <c r="U53" i="21"/>
  <c r="U79" i="21"/>
  <c r="AH79" i="21"/>
  <c r="T59" i="21"/>
  <c r="AF59" i="21" s="1"/>
  <c r="AH59" i="21"/>
  <c r="U59" i="21"/>
  <c r="AH60" i="21"/>
  <c r="U60" i="21"/>
  <c r="T82" i="21"/>
  <c r="AF82" i="21" s="1"/>
  <c r="AH82" i="21"/>
  <c r="Q12" i="19"/>
  <c r="R12" i="19" s="1"/>
  <c r="S12" i="19" s="1"/>
  <c r="G57" i="19" s="1"/>
  <c r="Q24" i="19"/>
  <c r="R24" i="19" s="1"/>
  <c r="S24" i="19" s="1"/>
  <c r="G71" i="19" s="1"/>
  <c r="Q27" i="19"/>
  <c r="R27" i="19" s="1"/>
  <c r="S27" i="19" s="1"/>
  <c r="G74" i="19" s="1"/>
  <c r="M77" i="19"/>
  <c r="M83" i="19"/>
  <c r="M85" i="19"/>
  <c r="W85" i="19" s="1"/>
  <c r="Q10" i="20"/>
  <c r="R10" i="20" s="1"/>
  <c r="S10" i="20" s="1"/>
  <c r="G55" i="20" s="1"/>
  <c r="Q13" i="20"/>
  <c r="R13" i="20" s="1"/>
  <c r="S13" i="20" s="1"/>
  <c r="G58" i="20" s="1"/>
  <c r="Q20" i="20"/>
  <c r="R20" i="20" s="1"/>
  <c r="S20" i="20" s="1"/>
  <c r="G66" i="20" s="1"/>
  <c r="T66" i="20" s="1"/>
  <c r="A55" i="20"/>
  <c r="Y71" i="20"/>
  <c r="M75" i="20"/>
  <c r="X76" i="20"/>
  <c r="Y86" i="20"/>
  <c r="U72" i="21"/>
  <c r="AH45" i="21"/>
  <c r="U45" i="21"/>
  <c r="U80" i="21"/>
  <c r="AH80" i="21"/>
  <c r="T67" i="21"/>
  <c r="AF67" i="21" s="1"/>
  <c r="AH67" i="21"/>
  <c r="Q17" i="19"/>
  <c r="R17" i="19" s="1"/>
  <c r="S17" i="19" s="1"/>
  <c r="G63" i="19" s="1"/>
  <c r="U63" i="19" s="1"/>
  <c r="Q30" i="19"/>
  <c r="R30" i="19" s="1"/>
  <c r="S30" i="19" s="1"/>
  <c r="G77" i="19" s="1"/>
  <c r="AH48" i="21"/>
  <c r="U48" i="21"/>
  <c r="M81" i="19"/>
  <c r="V63" i="20"/>
  <c r="Y82" i="20"/>
  <c r="X85" i="20"/>
  <c r="T51" i="21"/>
  <c r="AF51" i="21" s="1"/>
  <c r="T68" i="21"/>
  <c r="AF68" i="21" s="1"/>
  <c r="AH68" i="21"/>
  <c r="U69" i="21"/>
  <c r="AH69" i="21"/>
  <c r="AH52" i="21"/>
  <c r="U52" i="21"/>
  <c r="Q25" i="20"/>
  <c r="R25" i="20" s="1"/>
  <c r="S25" i="20" s="1"/>
  <c r="G72" i="20" s="1"/>
  <c r="T72" i="20" s="1"/>
  <c r="M77" i="20"/>
  <c r="V77" i="20" s="1"/>
  <c r="X81" i="20"/>
  <c r="M83" i="20"/>
  <c r="W83" i="20" s="1"/>
  <c r="T64" i="21"/>
  <c r="AF64" i="21" s="1"/>
  <c r="AH64" i="21"/>
  <c r="U64" i="21"/>
  <c r="AH55" i="21"/>
  <c r="U55" i="21"/>
  <c r="Q11" i="19"/>
  <c r="R11" i="19" s="1"/>
  <c r="S11" i="19" s="1"/>
  <c r="G56" i="19" s="1"/>
  <c r="U56" i="19" s="1"/>
  <c r="Q26" i="19"/>
  <c r="R26" i="19" s="1"/>
  <c r="S26" i="19" s="1"/>
  <c r="G73" i="19" s="1"/>
  <c r="Q9" i="20"/>
  <c r="R9" i="20" s="1"/>
  <c r="S9" i="20" s="1"/>
  <c r="G54" i="20" s="1"/>
  <c r="T54" i="20" s="1"/>
  <c r="Q19" i="20"/>
  <c r="R19" i="20" s="1"/>
  <c r="S19" i="20" s="1"/>
  <c r="G65" i="20" s="1"/>
  <c r="Q37" i="20"/>
  <c r="R37" i="20" s="1"/>
  <c r="S37" i="20" s="1"/>
  <c r="G85" i="20" s="1"/>
  <c r="M74" i="20"/>
  <c r="Y88" i="20"/>
  <c r="AD44" i="21"/>
  <c r="T78" i="21"/>
  <c r="AF78" i="21" s="1"/>
  <c r="AH78" i="21"/>
  <c r="U75" i="21"/>
  <c r="AH75" i="21"/>
  <c r="T75" i="21"/>
  <c r="AF75" i="21" s="1"/>
  <c r="U76" i="21"/>
  <c r="AH76" i="21"/>
  <c r="T56" i="21"/>
  <c r="AF56" i="21" s="1"/>
  <c r="AH56" i="21"/>
  <c r="U56" i="21"/>
  <c r="AH44" i="21"/>
  <c r="U44" i="21"/>
  <c r="AD59" i="21"/>
  <c r="T55" i="21"/>
  <c r="AF55" i="21" s="1"/>
  <c r="U71" i="21"/>
  <c r="W69" i="21"/>
  <c r="U67" i="21"/>
  <c r="V79" i="21"/>
  <c r="AD79" i="21" s="1"/>
  <c r="T60" i="21"/>
  <c r="AF60" i="21" s="1"/>
  <c r="T44" i="21"/>
  <c r="AF44" i="21" s="1"/>
  <c r="T81" i="21"/>
  <c r="AF81" i="21" s="1"/>
  <c r="U82" i="21"/>
  <c r="T79" i="21"/>
  <c r="AF79" i="21" s="1"/>
  <c r="T47" i="21"/>
  <c r="AF47" i="21" s="1"/>
  <c r="T76" i="21"/>
  <c r="AF76" i="21" s="1"/>
  <c r="T53" i="21"/>
  <c r="AF53" i="21" s="1"/>
  <c r="V67" i="21"/>
  <c r="AD67" i="21" s="1"/>
  <c r="U68" i="21"/>
  <c r="T69" i="21"/>
  <c r="AF69" i="21" s="1"/>
  <c r="U78" i="21"/>
  <c r="G70" i="21"/>
  <c r="V77" i="21"/>
  <c r="AD77" i="21" s="1"/>
  <c r="T61" i="21"/>
  <c r="AF61" i="21" s="1"/>
  <c r="V76" i="21"/>
  <c r="AD76" i="21" s="1"/>
  <c r="W75" i="21"/>
  <c r="T54" i="21"/>
  <c r="AF54" i="21" s="1"/>
  <c r="W71" i="21"/>
  <c r="V80" i="21"/>
  <c r="AD80" i="21" s="1"/>
  <c r="T45" i="21"/>
  <c r="AF45" i="21" s="1"/>
  <c r="V81" i="21"/>
  <c r="AD81" i="21" s="1"/>
  <c r="U51" i="20"/>
  <c r="T51" i="20"/>
  <c r="U67" i="20"/>
  <c r="T67" i="20"/>
  <c r="T73" i="20"/>
  <c r="U73" i="20"/>
  <c r="T76" i="20"/>
  <c r="U76" i="20"/>
  <c r="U77" i="20"/>
  <c r="T77" i="20"/>
  <c r="U75" i="20"/>
  <c r="T75" i="20"/>
  <c r="V64" i="20"/>
  <c r="W64" i="20"/>
  <c r="U50" i="20"/>
  <c r="T50" i="20"/>
  <c r="U49" i="20"/>
  <c r="T49" i="20"/>
  <c r="T71" i="20"/>
  <c r="U71" i="20"/>
  <c r="U82" i="20"/>
  <c r="T82" i="20"/>
  <c r="W58" i="20"/>
  <c r="V58" i="20"/>
  <c r="U48" i="20"/>
  <c r="T48" i="20"/>
  <c r="U62" i="20"/>
  <c r="T62" i="20"/>
  <c r="T70" i="20"/>
  <c r="U70" i="20"/>
  <c r="T74" i="20"/>
  <c r="U74" i="20"/>
  <c r="U47" i="20"/>
  <c r="T47" i="20"/>
  <c r="U85" i="20"/>
  <c r="T85" i="20"/>
  <c r="U83" i="20"/>
  <c r="T83" i="20"/>
  <c r="W70" i="20"/>
  <c r="V70" i="20"/>
  <c r="W74" i="20"/>
  <c r="V74" i="20"/>
  <c r="C81" i="20"/>
  <c r="M81" i="20" s="1"/>
  <c r="A80" i="20"/>
  <c r="Q12" i="20"/>
  <c r="R12" i="20" s="1"/>
  <c r="S12" i="20" s="1"/>
  <c r="G57" i="20" s="1"/>
  <c r="U65" i="20"/>
  <c r="T65" i="20"/>
  <c r="V57" i="20"/>
  <c r="W57" i="20"/>
  <c r="W82" i="20"/>
  <c r="V82" i="20"/>
  <c r="W86" i="20"/>
  <c r="V86" i="20"/>
  <c r="U87" i="20"/>
  <c r="T87" i="20"/>
  <c r="W65" i="20"/>
  <c r="V65" i="20"/>
  <c r="U81" i="20"/>
  <c r="T81" i="20"/>
  <c r="U86" i="20"/>
  <c r="T86" i="20"/>
  <c r="W50" i="20"/>
  <c r="V50" i="20"/>
  <c r="W59" i="20"/>
  <c r="V59" i="20"/>
  <c r="W67" i="20"/>
  <c r="V67" i="20"/>
  <c r="W73" i="20"/>
  <c r="V73" i="20"/>
  <c r="Q11" i="20"/>
  <c r="R11" i="20" s="1"/>
  <c r="S11" i="20" s="1"/>
  <c r="G56" i="20" s="1"/>
  <c r="U64" i="20"/>
  <c r="T64" i="20"/>
  <c r="W49" i="20"/>
  <c r="V49" i="20"/>
  <c r="W55" i="20"/>
  <c r="V55" i="20"/>
  <c r="U59" i="20"/>
  <c r="W72" i="20"/>
  <c r="V72" i="20"/>
  <c r="W76" i="20"/>
  <c r="V76" i="20"/>
  <c r="U63" i="20"/>
  <c r="T63" i="20"/>
  <c r="W54" i="20"/>
  <c r="V54" i="20"/>
  <c r="W66" i="20"/>
  <c r="V66" i="20"/>
  <c r="W80" i="20"/>
  <c r="V80" i="20"/>
  <c r="W84" i="20"/>
  <c r="V84" i="20"/>
  <c r="W88" i="20"/>
  <c r="V88" i="20"/>
  <c r="U80" i="20"/>
  <c r="T80" i="20"/>
  <c r="U55" i="20"/>
  <c r="T55" i="20"/>
  <c r="U58" i="20"/>
  <c r="T58" i="20"/>
  <c r="U84" i="20"/>
  <c r="T84" i="20"/>
  <c r="U88" i="20"/>
  <c r="T88" i="20"/>
  <c r="W71" i="20"/>
  <c r="V71" i="20"/>
  <c r="W75" i="20"/>
  <c r="V75" i="20"/>
  <c r="W62" i="20"/>
  <c r="V62" i="20"/>
  <c r="U66" i="20"/>
  <c r="V87" i="20"/>
  <c r="C56" i="20"/>
  <c r="M56" i="20" s="1"/>
  <c r="C47" i="20"/>
  <c r="M47" i="20" s="1"/>
  <c r="Q19" i="19"/>
  <c r="R19" i="19" s="1"/>
  <c r="S19" i="19" s="1"/>
  <c r="G65" i="19" s="1"/>
  <c r="U65" i="19" s="1"/>
  <c r="Q34" i="19"/>
  <c r="R34" i="19" s="1"/>
  <c r="S34" i="19" s="1"/>
  <c r="G82" i="19" s="1"/>
  <c r="T82" i="19" s="1"/>
  <c r="Q37" i="19"/>
  <c r="R37" i="19" s="1"/>
  <c r="S37" i="19" s="1"/>
  <c r="G85" i="19" s="1"/>
  <c r="C62" i="19"/>
  <c r="M62" i="19" s="1"/>
  <c r="X75" i="19"/>
  <c r="X82" i="19"/>
  <c r="M70" i="19"/>
  <c r="W70" i="19" s="1"/>
  <c r="X77" i="19"/>
  <c r="Q10" i="19"/>
  <c r="R10" i="19" s="1"/>
  <c r="S10" i="19" s="1"/>
  <c r="G55" i="19" s="1"/>
  <c r="A70" i="19"/>
  <c r="M72" i="19"/>
  <c r="A80" i="19"/>
  <c r="X84" i="19"/>
  <c r="C71" i="19"/>
  <c r="M71" i="19" s="1"/>
  <c r="M74" i="19"/>
  <c r="W74" i="19" s="1"/>
  <c r="C80" i="19"/>
  <c r="M80" i="19" s="1"/>
  <c r="W80" i="19" s="1"/>
  <c r="X86" i="19"/>
  <c r="Q4" i="19"/>
  <c r="R4" i="19" s="1"/>
  <c r="S4" i="19" s="1"/>
  <c r="G48" i="19" s="1"/>
  <c r="U48" i="19" s="1"/>
  <c r="A48" i="19"/>
  <c r="M76" i="19"/>
  <c r="X88" i="19"/>
  <c r="M82" i="19"/>
  <c r="V82" i="19" s="1"/>
  <c r="M87" i="19"/>
  <c r="W87" i="19" s="1"/>
  <c r="Q5" i="19"/>
  <c r="R5" i="19" s="1"/>
  <c r="S5" i="19" s="1"/>
  <c r="G49" i="19" s="1"/>
  <c r="T49" i="19" s="1"/>
  <c r="Q20" i="19"/>
  <c r="R20" i="19" s="1"/>
  <c r="S20" i="19" s="1"/>
  <c r="G66" i="19" s="1"/>
  <c r="T66" i="19" s="1"/>
  <c r="Q32" i="19"/>
  <c r="R32" i="19" s="1"/>
  <c r="S32" i="19" s="1"/>
  <c r="G80" i="19" s="1"/>
  <c r="T80" i="19" s="1"/>
  <c r="X71" i="19"/>
  <c r="U64" i="19"/>
  <c r="T64" i="19"/>
  <c r="Q3" i="19"/>
  <c r="R3" i="19" s="1"/>
  <c r="S3" i="19" s="1"/>
  <c r="G47" i="19" s="1"/>
  <c r="W59" i="19"/>
  <c r="V59" i="19"/>
  <c r="V73" i="19"/>
  <c r="W73" i="19"/>
  <c r="W76" i="19"/>
  <c r="V76" i="19"/>
  <c r="V85" i="19"/>
  <c r="T76" i="19"/>
  <c r="U76" i="19"/>
  <c r="Q39" i="19"/>
  <c r="R39" i="19" s="1"/>
  <c r="S39" i="19" s="1"/>
  <c r="G87" i="19" s="1"/>
  <c r="W50" i="19"/>
  <c r="V50" i="19"/>
  <c r="V75" i="19"/>
  <c r="W75" i="19"/>
  <c r="W82" i="19"/>
  <c r="U54" i="19"/>
  <c r="T54" i="19"/>
  <c r="U71" i="19"/>
  <c r="T71" i="19"/>
  <c r="U81" i="19"/>
  <c r="T81" i="19"/>
  <c r="Q36" i="19"/>
  <c r="R36" i="19" s="1"/>
  <c r="S36" i="19" s="1"/>
  <c r="G84" i="19" s="1"/>
  <c r="V58" i="19"/>
  <c r="W66" i="19"/>
  <c r="V66" i="19"/>
  <c r="V77" i="19"/>
  <c r="W77" i="19"/>
  <c r="T67" i="19"/>
  <c r="T70" i="19"/>
  <c r="U70" i="19"/>
  <c r="W65" i="19"/>
  <c r="V65" i="19"/>
  <c r="W84" i="19"/>
  <c r="V84" i="19"/>
  <c r="U62" i="19"/>
  <c r="T62" i="19"/>
  <c r="W54" i="19"/>
  <c r="V54" i="19"/>
  <c r="W57" i="19"/>
  <c r="V57" i="19"/>
  <c r="W62" i="19"/>
  <c r="V62" i="19"/>
  <c r="W86" i="19"/>
  <c r="V86" i="19"/>
  <c r="T48" i="19"/>
  <c r="Q7" i="19"/>
  <c r="R7" i="19" s="1"/>
  <c r="U59" i="19"/>
  <c r="T59" i="19"/>
  <c r="T74" i="19"/>
  <c r="U74" i="19"/>
  <c r="U80" i="19"/>
  <c r="Q35" i="19"/>
  <c r="R35" i="19" s="1"/>
  <c r="S35" i="19" s="1"/>
  <c r="G83" i="19" s="1"/>
  <c r="W49" i="19"/>
  <c r="V49" i="19"/>
  <c r="V51" i="19"/>
  <c r="W51" i="19"/>
  <c r="W81" i="19"/>
  <c r="V81" i="19"/>
  <c r="W88" i="19"/>
  <c r="V88" i="19"/>
  <c r="Q38" i="19"/>
  <c r="R38" i="19" s="1"/>
  <c r="S38" i="19" s="1"/>
  <c r="G86" i="19" s="1"/>
  <c r="U58" i="19"/>
  <c r="T58" i="19"/>
  <c r="U88" i="19"/>
  <c r="T88" i="19"/>
  <c r="W67" i="19"/>
  <c r="V67" i="19"/>
  <c r="W72" i="19"/>
  <c r="V72" i="19"/>
  <c r="W83" i="19"/>
  <c r="V83" i="19"/>
  <c r="U55" i="19"/>
  <c r="T55" i="19"/>
  <c r="U57" i="19"/>
  <c r="T57" i="19"/>
  <c r="T65" i="19"/>
  <c r="U73" i="19"/>
  <c r="T73" i="19"/>
  <c r="U77" i="19"/>
  <c r="T77" i="19"/>
  <c r="U82" i="19"/>
  <c r="U85" i="19"/>
  <c r="T85" i="19"/>
  <c r="W47" i="19"/>
  <c r="V47" i="19"/>
  <c r="A55" i="19"/>
  <c r="C55" i="19"/>
  <c r="M55" i="19" s="1"/>
  <c r="W64" i="19"/>
  <c r="V64" i="19"/>
  <c r="V71" i="19"/>
  <c r="W71" i="19"/>
  <c r="Q6" i="19"/>
  <c r="R6" i="19" s="1"/>
  <c r="S6" i="19" s="1"/>
  <c r="G50" i="19" s="1"/>
  <c r="T56" i="19"/>
  <c r="T72" i="19"/>
  <c r="U72" i="19"/>
  <c r="V56" i="19"/>
  <c r="V63" i="19"/>
  <c r="X81" i="19"/>
  <c r="X85" i="19"/>
  <c r="X87" i="19"/>
  <c r="X70" i="19"/>
  <c r="X72" i="19"/>
  <c r="X74" i="19"/>
  <c r="X76" i="19"/>
  <c r="Y70" i="19"/>
  <c r="Y72" i="19"/>
  <c r="Y74" i="19"/>
  <c r="Y76" i="19"/>
  <c r="I83" i="18"/>
  <c r="I84" i="18"/>
  <c r="I85" i="18"/>
  <c r="I86" i="18"/>
  <c r="I87" i="18"/>
  <c r="I88" i="18"/>
  <c r="I89" i="18"/>
  <c r="W77" i="20" l="1"/>
  <c r="U70" i="21"/>
  <c r="AH70" i="21"/>
  <c r="V85" i="21"/>
  <c r="W85" i="20"/>
  <c r="V85" i="20"/>
  <c r="V80" i="19"/>
  <c r="U54" i="20"/>
  <c r="U66" i="19"/>
  <c r="V83" i="20"/>
  <c r="T75" i="19"/>
  <c r="T63" i="19"/>
  <c r="U72" i="20"/>
  <c r="T70" i="21"/>
  <c r="AF70" i="21" s="1"/>
  <c r="W56" i="20"/>
  <c r="V56" i="20"/>
  <c r="W81" i="20"/>
  <c r="V81" i="20"/>
  <c r="T56" i="20"/>
  <c r="U56" i="20"/>
  <c r="W47" i="20"/>
  <c r="V47" i="20"/>
  <c r="U57" i="20"/>
  <c r="T57" i="20"/>
  <c r="G51" i="19"/>
  <c r="S7" i="19"/>
  <c r="V74" i="19"/>
  <c r="V70" i="19"/>
  <c r="U49" i="19"/>
  <c r="V87" i="19"/>
  <c r="U87" i="19"/>
  <c r="T87" i="19"/>
  <c r="U50" i="19"/>
  <c r="T50" i="19"/>
  <c r="V55" i="19"/>
  <c r="W55" i="19"/>
  <c r="T51" i="19"/>
  <c r="U51" i="19"/>
  <c r="U47" i="19"/>
  <c r="T47" i="19"/>
  <c r="U83" i="19"/>
  <c r="T83" i="19"/>
  <c r="U86" i="19"/>
  <c r="T86" i="19"/>
  <c r="U84" i="19"/>
  <c r="T84" i="19"/>
  <c r="Q90" i="18" l="1"/>
  <c r="Y90" i="18" s="1"/>
  <c r="D90" i="18"/>
  <c r="B90" i="18"/>
  <c r="C90" i="18" s="1"/>
  <c r="M90" i="18" s="1"/>
  <c r="Q89" i="18"/>
  <c r="Y89" i="18" s="1"/>
  <c r="D89" i="18"/>
  <c r="B89" i="18"/>
  <c r="C89" i="18" s="1"/>
  <c r="M89" i="18" s="1"/>
  <c r="Q88" i="18"/>
  <c r="Y88" i="18" s="1"/>
  <c r="D88" i="18"/>
  <c r="B88" i="18"/>
  <c r="C88" i="18" s="1"/>
  <c r="M88" i="18" s="1"/>
  <c r="Q87" i="18"/>
  <c r="Y87" i="18" s="1"/>
  <c r="D87" i="18"/>
  <c r="B87" i="18"/>
  <c r="C87" i="18" s="1"/>
  <c r="M87" i="18" s="1"/>
  <c r="Q86" i="18"/>
  <c r="D86" i="18"/>
  <c r="B86" i="18"/>
  <c r="C86" i="18" s="1"/>
  <c r="Y85" i="18"/>
  <c r="Q85" i="18"/>
  <c r="X85" i="18" s="1"/>
  <c r="D85" i="18"/>
  <c r="B85" i="18"/>
  <c r="C85" i="18" s="1"/>
  <c r="M85" i="18" s="1"/>
  <c r="Q84" i="18"/>
  <c r="Y84" i="18" s="1"/>
  <c r="D84" i="18"/>
  <c r="B84" i="18"/>
  <c r="C84" i="18" s="1"/>
  <c r="M84" i="18" s="1"/>
  <c r="Q83" i="18"/>
  <c r="D83" i="18"/>
  <c r="B83" i="18"/>
  <c r="C83" i="18" s="1"/>
  <c r="Y82" i="18"/>
  <c r="M82" i="18"/>
  <c r="W82" i="18" s="1"/>
  <c r="I82" i="18"/>
  <c r="D82" i="18"/>
  <c r="C82" i="18"/>
  <c r="B82" i="18"/>
  <c r="X79" i="18"/>
  <c r="Q79" i="18"/>
  <c r="Y79" i="18" s="1"/>
  <c r="D79" i="18"/>
  <c r="B79" i="18"/>
  <c r="C79" i="18" s="1"/>
  <c r="M79" i="18" s="1"/>
  <c r="W79" i="18" s="1"/>
  <c r="X78" i="18"/>
  <c r="Q78" i="18"/>
  <c r="Y78" i="18" s="1"/>
  <c r="D78" i="18"/>
  <c r="B78" i="18"/>
  <c r="C78" i="18" s="1"/>
  <c r="M78" i="18" s="1"/>
  <c r="Y77" i="18"/>
  <c r="X77" i="18"/>
  <c r="Q77" i="18"/>
  <c r="D77" i="18"/>
  <c r="B77" i="18"/>
  <c r="C77" i="18" s="1"/>
  <c r="M77" i="18" s="1"/>
  <c r="W77" i="18" s="1"/>
  <c r="Q76" i="18"/>
  <c r="Y76" i="18" s="1"/>
  <c r="D76" i="18"/>
  <c r="B76" i="18"/>
  <c r="C76" i="18" s="1"/>
  <c r="Y75" i="18"/>
  <c r="X75" i="18"/>
  <c r="Q75" i="18"/>
  <c r="D75" i="18"/>
  <c r="C75" i="18"/>
  <c r="M75" i="18" s="1"/>
  <c r="W75" i="18" s="1"/>
  <c r="B75" i="18"/>
  <c r="Q74" i="18"/>
  <c r="Y74" i="18" s="1"/>
  <c r="D74" i="18"/>
  <c r="B74" i="18"/>
  <c r="C74" i="18" s="1"/>
  <c r="Q73" i="18"/>
  <c r="Y73" i="18" s="1"/>
  <c r="D73" i="18"/>
  <c r="C73" i="18"/>
  <c r="M73" i="18" s="1"/>
  <c r="W73" i="18" s="1"/>
  <c r="B73" i="18"/>
  <c r="Q72" i="18"/>
  <c r="Y72" i="18" s="1"/>
  <c r="D72" i="18"/>
  <c r="B72" i="18"/>
  <c r="A71" i="18" s="1"/>
  <c r="Y71" i="18"/>
  <c r="X71" i="18"/>
  <c r="D71" i="18"/>
  <c r="C71" i="18"/>
  <c r="M71" i="18" s="1"/>
  <c r="Y68" i="18"/>
  <c r="X68" i="18"/>
  <c r="D68" i="18"/>
  <c r="B68" i="18"/>
  <c r="C68" i="18" s="1"/>
  <c r="M68" i="18" s="1"/>
  <c r="Y67" i="18"/>
  <c r="X67" i="18"/>
  <c r="D67" i="18"/>
  <c r="B67" i="18"/>
  <c r="C67" i="18" s="1"/>
  <c r="M67" i="18" s="1"/>
  <c r="Y66" i="18"/>
  <c r="X66" i="18"/>
  <c r="M66" i="18"/>
  <c r="W66" i="18" s="1"/>
  <c r="D66" i="18"/>
  <c r="C66" i="18"/>
  <c r="B66" i="18"/>
  <c r="Y65" i="18"/>
  <c r="X65" i="18"/>
  <c r="D65" i="18"/>
  <c r="C65" i="18"/>
  <c r="M65" i="18" s="1"/>
  <c r="B65" i="18"/>
  <c r="Y64" i="18"/>
  <c r="X64" i="18"/>
  <c r="D64" i="18"/>
  <c r="B64" i="18"/>
  <c r="C64" i="18" s="1"/>
  <c r="M64" i="18" s="1"/>
  <c r="Y63" i="18"/>
  <c r="X63" i="18"/>
  <c r="D63" i="18"/>
  <c r="B63" i="18"/>
  <c r="Y60" i="18"/>
  <c r="X60" i="18"/>
  <c r="D60" i="18"/>
  <c r="B60" i="18"/>
  <c r="C60" i="18" s="1"/>
  <c r="M60" i="18" s="1"/>
  <c r="Y59" i="18"/>
  <c r="X59" i="18"/>
  <c r="D59" i="18"/>
  <c r="C59" i="18"/>
  <c r="M59" i="18" s="1"/>
  <c r="W59" i="18" s="1"/>
  <c r="B59" i="18"/>
  <c r="Y58" i="18"/>
  <c r="X58" i="18"/>
  <c r="D58" i="18"/>
  <c r="B58" i="18"/>
  <c r="C58" i="18" s="1"/>
  <c r="M58" i="18" s="1"/>
  <c r="Y57" i="18"/>
  <c r="X57" i="18"/>
  <c r="D57" i="18"/>
  <c r="B57" i="18"/>
  <c r="Y56" i="18"/>
  <c r="X56" i="18"/>
  <c r="D56" i="18"/>
  <c r="B56" i="18"/>
  <c r="C56" i="18" s="1"/>
  <c r="M56" i="18" s="1"/>
  <c r="V56" i="18" s="1"/>
  <c r="Y55" i="18"/>
  <c r="X55" i="18"/>
  <c r="D55" i="18"/>
  <c r="C55" i="18"/>
  <c r="M55" i="18" s="1"/>
  <c r="Y52" i="18"/>
  <c r="X52" i="18"/>
  <c r="D52" i="18"/>
  <c r="C52" i="18"/>
  <c r="M52" i="18" s="1"/>
  <c r="B52" i="18"/>
  <c r="Y51" i="18"/>
  <c r="X51" i="18"/>
  <c r="D51" i="18"/>
  <c r="B51" i="18"/>
  <c r="C51" i="18" s="1"/>
  <c r="M51" i="18" s="1"/>
  <c r="Y50" i="18"/>
  <c r="X50" i="18"/>
  <c r="D50" i="18"/>
  <c r="B50" i="18"/>
  <c r="C50" i="18" s="1"/>
  <c r="M50" i="18" s="1"/>
  <c r="Y49" i="18"/>
  <c r="X49" i="18"/>
  <c r="D49" i="18"/>
  <c r="B49" i="18"/>
  <c r="C49" i="18" s="1"/>
  <c r="M49" i="18" s="1"/>
  <c r="Y48" i="18"/>
  <c r="X48" i="18"/>
  <c r="D48" i="18"/>
  <c r="B48" i="18"/>
  <c r="A49" i="18" s="1"/>
  <c r="N41" i="18"/>
  <c r="M41" i="18"/>
  <c r="J41" i="18"/>
  <c r="H41" i="18"/>
  <c r="C41" i="18"/>
  <c r="N40" i="18"/>
  <c r="M40" i="18"/>
  <c r="J40" i="18"/>
  <c r="H40" i="18"/>
  <c r="C40" i="18"/>
  <c r="N39" i="18"/>
  <c r="Q39" i="18" s="1"/>
  <c r="R39" i="18" s="1"/>
  <c r="S39" i="18" s="1"/>
  <c r="G88" i="18" s="1"/>
  <c r="M39" i="18"/>
  <c r="J39" i="18"/>
  <c r="H39" i="18"/>
  <c r="C39" i="18"/>
  <c r="N38" i="18"/>
  <c r="Q38" i="18" s="1"/>
  <c r="R38" i="18" s="1"/>
  <c r="S38" i="18" s="1"/>
  <c r="G87" i="18" s="1"/>
  <c r="M38" i="18"/>
  <c r="J38" i="18"/>
  <c r="H38" i="18"/>
  <c r="C38" i="18"/>
  <c r="N37" i="18"/>
  <c r="Q37" i="18" s="1"/>
  <c r="R37" i="18" s="1"/>
  <c r="S37" i="18" s="1"/>
  <c r="G86" i="18" s="1"/>
  <c r="M37" i="18"/>
  <c r="J37" i="18"/>
  <c r="H37" i="18"/>
  <c r="C37" i="18"/>
  <c r="N36" i="18"/>
  <c r="M36" i="18"/>
  <c r="J36" i="18"/>
  <c r="H36" i="18"/>
  <c r="C36" i="18"/>
  <c r="A36" i="18"/>
  <c r="N35" i="18"/>
  <c r="M35" i="18"/>
  <c r="J35" i="18"/>
  <c r="H35" i="18"/>
  <c r="C35" i="18"/>
  <c r="N34" i="18"/>
  <c r="M34" i="18"/>
  <c r="J34" i="18"/>
  <c r="H34" i="18"/>
  <c r="C34" i="18"/>
  <c r="N33" i="18"/>
  <c r="M33" i="18"/>
  <c r="Q33" i="18" s="1"/>
  <c r="R33" i="18" s="1"/>
  <c r="S33" i="18" s="1"/>
  <c r="G82" i="18" s="1"/>
  <c r="J33" i="18"/>
  <c r="H33" i="18"/>
  <c r="C33" i="18"/>
  <c r="A33" i="18"/>
  <c r="N31" i="18"/>
  <c r="Q31" i="18" s="1"/>
  <c r="R31" i="18" s="1"/>
  <c r="S31" i="18" s="1"/>
  <c r="G79" i="18" s="1"/>
  <c r="M31" i="18"/>
  <c r="J31" i="18"/>
  <c r="H31" i="18"/>
  <c r="C31" i="18"/>
  <c r="N30" i="18"/>
  <c r="Q30" i="18" s="1"/>
  <c r="R30" i="18" s="1"/>
  <c r="S30" i="18" s="1"/>
  <c r="G78" i="18" s="1"/>
  <c r="M30" i="18"/>
  <c r="J30" i="18"/>
  <c r="H30" i="18"/>
  <c r="C30" i="18"/>
  <c r="N29" i="18"/>
  <c r="M29" i="18"/>
  <c r="J29" i="18"/>
  <c r="H29" i="18"/>
  <c r="C29" i="18"/>
  <c r="N28" i="18"/>
  <c r="Q28" i="18" s="1"/>
  <c r="R28" i="18" s="1"/>
  <c r="S28" i="18" s="1"/>
  <c r="G76" i="18" s="1"/>
  <c r="M28" i="18"/>
  <c r="J28" i="18"/>
  <c r="H28" i="18"/>
  <c r="C28" i="18"/>
  <c r="N27" i="18"/>
  <c r="M27" i="18"/>
  <c r="J27" i="18"/>
  <c r="H27" i="18"/>
  <c r="C27" i="18"/>
  <c r="N26" i="18"/>
  <c r="M26" i="18"/>
  <c r="J26" i="18"/>
  <c r="H26" i="18"/>
  <c r="C26" i="18"/>
  <c r="A26" i="18"/>
  <c r="Q25" i="18"/>
  <c r="R25" i="18" s="1"/>
  <c r="S25" i="18" s="1"/>
  <c r="G73" i="18" s="1"/>
  <c r="N25" i="18"/>
  <c r="M25" i="18"/>
  <c r="J25" i="18"/>
  <c r="H25" i="18"/>
  <c r="C25" i="18"/>
  <c r="N24" i="18"/>
  <c r="M24" i="18"/>
  <c r="Q24" i="18" s="1"/>
  <c r="R24" i="18" s="1"/>
  <c r="S24" i="18" s="1"/>
  <c r="G72" i="18" s="1"/>
  <c r="J24" i="18"/>
  <c r="H24" i="18"/>
  <c r="C24" i="18"/>
  <c r="N23" i="18"/>
  <c r="M23" i="18"/>
  <c r="Q23" i="18" s="1"/>
  <c r="R23" i="18" s="1"/>
  <c r="S23" i="18" s="1"/>
  <c r="G71" i="18" s="1"/>
  <c r="J23" i="18"/>
  <c r="H23" i="18"/>
  <c r="C23" i="18"/>
  <c r="A23" i="18"/>
  <c r="N21" i="18"/>
  <c r="M21" i="18"/>
  <c r="J21" i="18"/>
  <c r="H21" i="18"/>
  <c r="C21" i="18"/>
  <c r="N20" i="18"/>
  <c r="Q20" i="18" s="1"/>
  <c r="R20" i="18" s="1"/>
  <c r="S20" i="18" s="1"/>
  <c r="G67" i="18" s="1"/>
  <c r="M20" i="18"/>
  <c r="J20" i="18"/>
  <c r="H20" i="18"/>
  <c r="C20" i="18"/>
  <c r="N19" i="18"/>
  <c r="M19" i="18"/>
  <c r="J19" i="18"/>
  <c r="H19" i="18"/>
  <c r="C19" i="18"/>
  <c r="N18" i="18"/>
  <c r="M18" i="18"/>
  <c r="J18" i="18"/>
  <c r="H18" i="18"/>
  <c r="C18" i="18"/>
  <c r="A18" i="18"/>
  <c r="N17" i="18"/>
  <c r="Q17" i="18" s="1"/>
  <c r="R17" i="18" s="1"/>
  <c r="S17" i="18" s="1"/>
  <c r="G64" i="18" s="1"/>
  <c r="M17" i="18"/>
  <c r="J17" i="18"/>
  <c r="H17" i="18"/>
  <c r="C17" i="18"/>
  <c r="N16" i="18"/>
  <c r="M16" i="18"/>
  <c r="J16" i="18"/>
  <c r="H16" i="18"/>
  <c r="C16" i="18"/>
  <c r="A16" i="18"/>
  <c r="N14" i="18"/>
  <c r="M14" i="18"/>
  <c r="J14" i="18"/>
  <c r="H14" i="18"/>
  <c r="C14" i="18"/>
  <c r="N13" i="18"/>
  <c r="Q13" i="18" s="1"/>
  <c r="R13" i="18" s="1"/>
  <c r="S13" i="18" s="1"/>
  <c r="G59" i="18" s="1"/>
  <c r="M13" i="18"/>
  <c r="J13" i="18"/>
  <c r="H13" i="18"/>
  <c r="C13" i="18"/>
  <c r="N12" i="18"/>
  <c r="M12" i="18"/>
  <c r="J12" i="18"/>
  <c r="H12" i="18"/>
  <c r="C12" i="18"/>
  <c r="N11" i="18"/>
  <c r="M11" i="18"/>
  <c r="J11" i="18"/>
  <c r="H11" i="18"/>
  <c r="C11" i="18"/>
  <c r="A11" i="18"/>
  <c r="Q10" i="18"/>
  <c r="R10" i="18" s="1"/>
  <c r="S10" i="18" s="1"/>
  <c r="G56" i="18" s="1"/>
  <c r="N10" i="18"/>
  <c r="M10" i="18"/>
  <c r="J10" i="18"/>
  <c r="H10" i="18"/>
  <c r="C10" i="18"/>
  <c r="N9" i="18"/>
  <c r="M9" i="18"/>
  <c r="Q9" i="18" s="1"/>
  <c r="R9" i="18" s="1"/>
  <c r="S9" i="18" s="1"/>
  <c r="G55" i="18" s="1"/>
  <c r="J9" i="18"/>
  <c r="H9" i="18"/>
  <c r="C9" i="18"/>
  <c r="A9" i="18"/>
  <c r="N7" i="18"/>
  <c r="M7" i="18"/>
  <c r="J7" i="18"/>
  <c r="H7" i="18"/>
  <c r="C7" i="18"/>
  <c r="N6" i="18"/>
  <c r="M6" i="18"/>
  <c r="J6" i="18"/>
  <c r="H6" i="18"/>
  <c r="C6" i="18"/>
  <c r="N5" i="18"/>
  <c r="M5" i="18"/>
  <c r="J5" i="18"/>
  <c r="H5" i="18"/>
  <c r="C5" i="18"/>
  <c r="A5" i="18"/>
  <c r="N4" i="18"/>
  <c r="M4" i="18"/>
  <c r="Q4" i="18" s="1"/>
  <c r="R4" i="18" s="1"/>
  <c r="S4" i="18" s="1"/>
  <c r="G49" i="18" s="1"/>
  <c r="J4" i="18"/>
  <c r="H4" i="18"/>
  <c r="C4" i="18"/>
  <c r="N3" i="18"/>
  <c r="M3" i="18"/>
  <c r="Q3" i="18" s="1"/>
  <c r="R3" i="18" s="1"/>
  <c r="S3" i="18" s="1"/>
  <c r="G48" i="18" s="1"/>
  <c r="J3" i="18"/>
  <c r="H3" i="18"/>
  <c r="C3" i="18"/>
  <c r="A3" i="18"/>
  <c r="Q80" i="17"/>
  <c r="I80" i="17"/>
  <c r="Q5" i="18" l="1"/>
  <c r="R5" i="18" s="1"/>
  <c r="S5" i="18" s="1"/>
  <c r="G50" i="18" s="1"/>
  <c r="Q34" i="18"/>
  <c r="R34" i="18" s="1"/>
  <c r="S34" i="18" s="1"/>
  <c r="G83" i="18" s="1"/>
  <c r="Q40" i="18"/>
  <c r="R40" i="18" s="1"/>
  <c r="S40" i="18" s="1"/>
  <c r="G89" i="18" s="1"/>
  <c r="A64" i="18"/>
  <c r="X73" i="18"/>
  <c r="X76" i="18"/>
  <c r="Q7" i="18"/>
  <c r="R7" i="18" s="1"/>
  <c r="S7" i="18" s="1"/>
  <c r="G52" i="18" s="1"/>
  <c r="U52" i="18" s="1"/>
  <c r="Q12" i="18"/>
  <c r="R12" i="18" s="1"/>
  <c r="S12" i="18" s="1"/>
  <c r="G58" i="18" s="1"/>
  <c r="U58" i="18" s="1"/>
  <c r="Q16" i="18"/>
  <c r="R16" i="18" s="1"/>
  <c r="S16" i="18" s="1"/>
  <c r="G63" i="18" s="1"/>
  <c r="Q19" i="18"/>
  <c r="R19" i="18" s="1"/>
  <c r="S19" i="18" s="1"/>
  <c r="G66" i="18" s="1"/>
  <c r="Q27" i="18"/>
  <c r="R27" i="18" s="1"/>
  <c r="S27" i="18" s="1"/>
  <c r="G75" i="18" s="1"/>
  <c r="X72" i="18"/>
  <c r="M74" i="18"/>
  <c r="V74" i="18" s="1"/>
  <c r="X87" i="18"/>
  <c r="X89" i="18"/>
  <c r="X83" i="18"/>
  <c r="M83" i="18"/>
  <c r="Q14" i="18"/>
  <c r="R14" i="18" s="1"/>
  <c r="S14" i="18" s="1"/>
  <c r="G60" i="18" s="1"/>
  <c r="Q29" i="18"/>
  <c r="R29" i="18" s="1"/>
  <c r="S29" i="18" s="1"/>
  <c r="G77" i="18" s="1"/>
  <c r="Q36" i="18"/>
  <c r="R36" i="18" s="1"/>
  <c r="S36" i="18" s="1"/>
  <c r="G85" i="18" s="1"/>
  <c r="X80" i="17"/>
  <c r="Y80" i="17"/>
  <c r="Q21" i="18"/>
  <c r="R21" i="18" s="1"/>
  <c r="S21" i="18" s="1"/>
  <c r="G68" i="18" s="1"/>
  <c r="T68" i="18" s="1"/>
  <c r="Q6" i="18"/>
  <c r="R6" i="18" s="1"/>
  <c r="S6" i="18" s="1"/>
  <c r="G51" i="18" s="1"/>
  <c r="T51" i="18" s="1"/>
  <c r="Q11" i="18"/>
  <c r="R11" i="18" s="1"/>
  <c r="S11" i="18" s="1"/>
  <c r="G57" i="18" s="1"/>
  <c r="Q18" i="18"/>
  <c r="R18" i="18" s="1"/>
  <c r="S18" i="18" s="1"/>
  <c r="G65" i="18" s="1"/>
  <c r="Q26" i="18"/>
  <c r="R26" i="18" s="1"/>
  <c r="S26" i="18" s="1"/>
  <c r="G74" i="18" s="1"/>
  <c r="Q35" i="18"/>
  <c r="R35" i="18" s="1"/>
  <c r="S35" i="18" s="1"/>
  <c r="G84" i="18" s="1"/>
  <c r="Q41" i="18"/>
  <c r="R41" i="18" s="1"/>
  <c r="S41" i="18" s="1"/>
  <c r="G90" i="18" s="1"/>
  <c r="T90" i="18" s="1"/>
  <c r="A56" i="18"/>
  <c r="X74" i="18"/>
  <c r="M76" i="18"/>
  <c r="W76" i="18" s="1"/>
  <c r="Y86" i="18"/>
  <c r="M86" i="18"/>
  <c r="Y83" i="18"/>
  <c r="U55" i="18"/>
  <c r="T55" i="18"/>
  <c r="T72" i="18"/>
  <c r="U72" i="18"/>
  <c r="T78" i="18"/>
  <c r="U78" i="18"/>
  <c r="U86" i="18"/>
  <c r="T86" i="18"/>
  <c r="W65" i="18"/>
  <c r="V65" i="18"/>
  <c r="V83" i="18"/>
  <c r="W83" i="18"/>
  <c r="W85" i="18"/>
  <c r="V85" i="18"/>
  <c r="V87" i="18"/>
  <c r="W87" i="18"/>
  <c r="V89" i="18"/>
  <c r="W89" i="18"/>
  <c r="U50" i="18"/>
  <c r="T50" i="18"/>
  <c r="T52" i="18"/>
  <c r="U63" i="18"/>
  <c r="T63" i="18"/>
  <c r="U66" i="18"/>
  <c r="T66" i="18"/>
  <c r="U75" i="18"/>
  <c r="T75" i="18"/>
  <c r="W49" i="18"/>
  <c r="V49" i="18"/>
  <c r="W51" i="18"/>
  <c r="V51" i="18"/>
  <c r="W58" i="18"/>
  <c r="V58" i="18"/>
  <c r="W74" i="18"/>
  <c r="U49" i="18"/>
  <c r="T49" i="18"/>
  <c r="U71" i="18"/>
  <c r="T71" i="18"/>
  <c r="U82" i="18"/>
  <c r="T82" i="18"/>
  <c r="U88" i="18"/>
  <c r="T88" i="18"/>
  <c r="V55" i="18"/>
  <c r="W55" i="18"/>
  <c r="W67" i="18"/>
  <c r="V67" i="18"/>
  <c r="W71" i="18"/>
  <c r="V71" i="18"/>
  <c r="U68" i="18"/>
  <c r="U85" i="18"/>
  <c r="T85" i="18"/>
  <c r="W60" i="18"/>
  <c r="V60" i="18"/>
  <c r="V64" i="18"/>
  <c r="W64" i="18"/>
  <c r="U77" i="18"/>
  <c r="T77" i="18"/>
  <c r="T65" i="18"/>
  <c r="U65" i="18"/>
  <c r="T74" i="18"/>
  <c r="U74" i="18"/>
  <c r="U84" i="18"/>
  <c r="T84" i="18"/>
  <c r="U90" i="18"/>
  <c r="T48" i="18"/>
  <c r="U48" i="18"/>
  <c r="U57" i="18"/>
  <c r="T57" i="18"/>
  <c r="U79" i="18"/>
  <c r="T79" i="18"/>
  <c r="U87" i="18"/>
  <c r="T87" i="18"/>
  <c r="W50" i="18"/>
  <c r="V50" i="18"/>
  <c r="W84" i="18"/>
  <c r="V84" i="18"/>
  <c r="W86" i="18"/>
  <c r="V86" i="18"/>
  <c r="W88" i="18"/>
  <c r="V88" i="18"/>
  <c r="W90" i="18"/>
  <c r="V90" i="18"/>
  <c r="U60" i="18"/>
  <c r="T60" i="18"/>
  <c r="U56" i="18"/>
  <c r="T56" i="18"/>
  <c r="U59" i="18"/>
  <c r="T59" i="18"/>
  <c r="U64" i="18"/>
  <c r="T64" i="18"/>
  <c r="U67" i="18"/>
  <c r="T67" i="18"/>
  <c r="U73" i="18"/>
  <c r="T73" i="18"/>
  <c r="T76" i="18"/>
  <c r="U76" i="18"/>
  <c r="W52" i="18"/>
  <c r="V52" i="18"/>
  <c r="W68" i="18"/>
  <c r="V68" i="18"/>
  <c r="U83" i="18"/>
  <c r="T83" i="18"/>
  <c r="U89" i="18"/>
  <c r="T89" i="18"/>
  <c r="W78" i="18"/>
  <c r="V78" i="18"/>
  <c r="C57" i="18"/>
  <c r="M57" i="18" s="1"/>
  <c r="A82" i="18"/>
  <c r="C48" i="18"/>
  <c r="M48" i="18" s="1"/>
  <c r="C72" i="18"/>
  <c r="M72" i="18" s="1"/>
  <c r="V82" i="18"/>
  <c r="W56" i="18"/>
  <c r="V59" i="18"/>
  <c r="C63" i="18"/>
  <c r="M63" i="18" s="1"/>
  <c r="V66" i="18"/>
  <c r="V73" i="18"/>
  <c r="V75" i="18"/>
  <c r="V77" i="18"/>
  <c r="V79" i="18"/>
  <c r="X82" i="18"/>
  <c r="X84" i="18"/>
  <c r="X86" i="18"/>
  <c r="X88" i="18"/>
  <c r="X90" i="18"/>
  <c r="C23" i="17"/>
  <c r="H23" i="17"/>
  <c r="J23" i="17"/>
  <c r="M23" i="17"/>
  <c r="N23" i="17"/>
  <c r="C54" i="17"/>
  <c r="M54" i="17" s="1"/>
  <c r="Y54" i="17"/>
  <c r="X54" i="17"/>
  <c r="X55" i="17"/>
  <c r="Y55" i="17"/>
  <c r="X56" i="17"/>
  <c r="Y56" i="17"/>
  <c r="X57" i="17"/>
  <c r="Y57" i="17"/>
  <c r="X58" i="17"/>
  <c r="Y58" i="17"/>
  <c r="X59" i="17"/>
  <c r="U51" i="18" l="1"/>
  <c r="V76" i="18"/>
  <c r="T58" i="18"/>
  <c r="W72" i="18"/>
  <c r="V72" i="18"/>
  <c r="V48" i="18"/>
  <c r="W48" i="18"/>
  <c r="AD48" i="18" s="1"/>
  <c r="W63" i="18"/>
  <c r="V63" i="18"/>
  <c r="V57" i="18"/>
  <c r="W57" i="18"/>
  <c r="Q23" i="17"/>
  <c r="R23" i="17" s="1"/>
  <c r="S23" i="17" s="1"/>
  <c r="V54" i="17"/>
  <c r="W54" i="17"/>
  <c r="A32" i="17" l="1"/>
  <c r="Q81" i="17" l="1"/>
  <c r="Q82" i="17"/>
  <c r="X82" i="17" s="1"/>
  <c r="Q84" i="17"/>
  <c r="Q85" i="17"/>
  <c r="Q86" i="17"/>
  <c r="Q87" i="17"/>
  <c r="Q88" i="17"/>
  <c r="Q83" i="17"/>
  <c r="X83" i="17" s="1"/>
  <c r="Q71" i="17"/>
  <c r="Q72" i="17"/>
  <c r="Q73" i="17"/>
  <c r="Q74" i="17"/>
  <c r="Q75" i="17"/>
  <c r="Q76" i="17"/>
  <c r="Q77" i="17"/>
  <c r="Q70" i="17"/>
  <c r="D88" i="17"/>
  <c r="B88" i="17"/>
  <c r="C88" i="17" s="1"/>
  <c r="D87" i="17"/>
  <c r="B87" i="17"/>
  <c r="C87" i="17" s="1"/>
  <c r="D86" i="17"/>
  <c r="B86" i="17"/>
  <c r="C86" i="17" s="1"/>
  <c r="D85" i="17"/>
  <c r="B85" i="17"/>
  <c r="C85" i="17" s="1"/>
  <c r="D84" i="17"/>
  <c r="B84" i="17"/>
  <c r="C84" i="17" s="1"/>
  <c r="Y83" i="17"/>
  <c r="D83" i="17"/>
  <c r="B83" i="17"/>
  <c r="C83" i="17" s="1"/>
  <c r="D82" i="17"/>
  <c r="B82" i="17"/>
  <c r="C82" i="17" s="1"/>
  <c r="D81" i="17"/>
  <c r="B81" i="17"/>
  <c r="D80" i="17"/>
  <c r="J80" i="17" s="1"/>
  <c r="B80" i="17"/>
  <c r="C80" i="17" s="1"/>
  <c r="D77" i="17"/>
  <c r="B77" i="17"/>
  <c r="C77" i="17" s="1"/>
  <c r="D76" i="17"/>
  <c r="B76" i="17"/>
  <c r="C76" i="17" s="1"/>
  <c r="D75" i="17"/>
  <c r="B75" i="17"/>
  <c r="C75" i="17" s="1"/>
  <c r="D74" i="17"/>
  <c r="B74" i="17"/>
  <c r="D73" i="17"/>
  <c r="B73" i="17"/>
  <c r="C73" i="17" s="1"/>
  <c r="D72" i="17"/>
  <c r="B72" i="17"/>
  <c r="C72" i="17" s="1"/>
  <c r="M72" i="17" s="1"/>
  <c r="D71" i="17"/>
  <c r="B71" i="17"/>
  <c r="C71" i="17" s="1"/>
  <c r="M71" i="17" s="1"/>
  <c r="D70" i="17"/>
  <c r="B70" i="17"/>
  <c r="Y67" i="17"/>
  <c r="X67" i="17"/>
  <c r="D67" i="17"/>
  <c r="B67" i="17"/>
  <c r="C67" i="17" s="1"/>
  <c r="M67" i="17" s="1"/>
  <c r="Y66" i="17"/>
  <c r="X66" i="17"/>
  <c r="D66" i="17"/>
  <c r="B66" i="17"/>
  <c r="C66" i="17" s="1"/>
  <c r="M66" i="17" s="1"/>
  <c r="W66" i="17" s="1"/>
  <c r="Y65" i="17"/>
  <c r="X65" i="17"/>
  <c r="D65" i="17"/>
  <c r="B65" i="17"/>
  <c r="C65" i="17" s="1"/>
  <c r="M65" i="17" s="1"/>
  <c r="Y64" i="17"/>
  <c r="X64" i="17"/>
  <c r="D64" i="17"/>
  <c r="B64" i="17"/>
  <c r="C64" i="17" s="1"/>
  <c r="M64" i="17" s="1"/>
  <c r="Y63" i="17"/>
  <c r="X63" i="17"/>
  <c r="D63" i="17"/>
  <c r="B63" i="17"/>
  <c r="C63" i="17" s="1"/>
  <c r="M63" i="17" s="1"/>
  <c r="Y62" i="17"/>
  <c r="X62" i="17"/>
  <c r="D62" i="17"/>
  <c r="B62" i="17"/>
  <c r="C62" i="17" s="1"/>
  <c r="M62" i="17" s="1"/>
  <c r="Y59" i="17"/>
  <c r="D59" i="17"/>
  <c r="B59" i="17"/>
  <c r="C59" i="17" s="1"/>
  <c r="M59" i="17" s="1"/>
  <c r="D58" i="17"/>
  <c r="B58" i="17"/>
  <c r="C58" i="17" s="1"/>
  <c r="M58" i="17" s="1"/>
  <c r="D57" i="17"/>
  <c r="B57" i="17"/>
  <c r="C57" i="17" s="1"/>
  <c r="M57" i="17" s="1"/>
  <c r="D56" i="17"/>
  <c r="B56" i="17"/>
  <c r="C56" i="17" s="1"/>
  <c r="M56" i="17" s="1"/>
  <c r="D55" i="17"/>
  <c r="B55" i="17"/>
  <c r="C55" i="17" s="1"/>
  <c r="M55" i="17" s="1"/>
  <c r="D54" i="17"/>
  <c r="Y51" i="17"/>
  <c r="X51" i="17"/>
  <c r="D51" i="17"/>
  <c r="B51" i="17"/>
  <c r="C51" i="17" s="1"/>
  <c r="M51" i="17" s="1"/>
  <c r="Y50" i="17"/>
  <c r="X50" i="17"/>
  <c r="D50" i="17"/>
  <c r="B50" i="17"/>
  <c r="C50" i="17" s="1"/>
  <c r="M50" i="17" s="1"/>
  <c r="Y49" i="17"/>
  <c r="X49" i="17"/>
  <c r="D49" i="17"/>
  <c r="B49" i="17"/>
  <c r="C49" i="17" s="1"/>
  <c r="M49" i="17" s="1"/>
  <c r="Y48" i="17"/>
  <c r="X48" i="17"/>
  <c r="D48" i="17"/>
  <c r="B48" i="17"/>
  <c r="C48" i="17" s="1"/>
  <c r="M48" i="17" s="1"/>
  <c r="Y47" i="17"/>
  <c r="X47" i="17"/>
  <c r="D47" i="17"/>
  <c r="B47" i="17"/>
  <c r="C47" i="17" s="1"/>
  <c r="M47" i="17" s="1"/>
  <c r="V47" i="17" s="1"/>
  <c r="N40" i="17"/>
  <c r="M40" i="17"/>
  <c r="J40" i="17"/>
  <c r="H40" i="17"/>
  <c r="C40" i="17"/>
  <c r="N39" i="17"/>
  <c r="M39" i="17"/>
  <c r="J39" i="17"/>
  <c r="H39" i="17"/>
  <c r="C39" i="17"/>
  <c r="N38" i="17"/>
  <c r="M38" i="17"/>
  <c r="J38" i="17"/>
  <c r="H38" i="17"/>
  <c r="C38" i="17"/>
  <c r="N37" i="17"/>
  <c r="M37" i="17"/>
  <c r="J37" i="17"/>
  <c r="H37" i="17"/>
  <c r="C37" i="17"/>
  <c r="N36" i="17"/>
  <c r="M36" i="17"/>
  <c r="J36" i="17"/>
  <c r="H36" i="17"/>
  <c r="C36" i="17"/>
  <c r="N35" i="17"/>
  <c r="M35" i="17"/>
  <c r="J35" i="17"/>
  <c r="H35" i="17"/>
  <c r="C35" i="17"/>
  <c r="N34" i="17"/>
  <c r="M34" i="17"/>
  <c r="J34" i="17"/>
  <c r="H34" i="17"/>
  <c r="C34" i="17"/>
  <c r="A35" i="17"/>
  <c r="N33" i="17"/>
  <c r="M33" i="17"/>
  <c r="J33" i="17"/>
  <c r="H33" i="17"/>
  <c r="C33" i="17"/>
  <c r="N32" i="17"/>
  <c r="M32" i="17"/>
  <c r="J32" i="17"/>
  <c r="H32" i="17"/>
  <c r="C32" i="17"/>
  <c r="N30" i="17"/>
  <c r="M30" i="17"/>
  <c r="J30" i="17"/>
  <c r="H30" i="17"/>
  <c r="C30" i="17"/>
  <c r="N29" i="17"/>
  <c r="M29" i="17"/>
  <c r="J29" i="17"/>
  <c r="H29" i="17"/>
  <c r="C29" i="17"/>
  <c r="N28" i="17"/>
  <c r="M28" i="17"/>
  <c r="J28" i="17"/>
  <c r="H28" i="17"/>
  <c r="C28" i="17"/>
  <c r="N27" i="17"/>
  <c r="M27" i="17"/>
  <c r="J27" i="17"/>
  <c r="H27" i="17"/>
  <c r="C27" i="17"/>
  <c r="N26" i="17"/>
  <c r="M26" i="17"/>
  <c r="J26" i="17"/>
  <c r="H26" i="17"/>
  <c r="C26" i="17"/>
  <c r="N25" i="17"/>
  <c r="M25" i="17"/>
  <c r="J25" i="17"/>
  <c r="H25" i="17"/>
  <c r="C25" i="17"/>
  <c r="A25" i="17"/>
  <c r="N24" i="17"/>
  <c r="M24" i="17"/>
  <c r="J24" i="17"/>
  <c r="H24" i="17"/>
  <c r="C24" i="17"/>
  <c r="A23" i="17"/>
  <c r="N21" i="17"/>
  <c r="M21" i="17"/>
  <c r="J21" i="17"/>
  <c r="H21" i="17"/>
  <c r="C21" i="17"/>
  <c r="N20" i="17"/>
  <c r="M20" i="17"/>
  <c r="J20" i="17"/>
  <c r="H20" i="17"/>
  <c r="C20" i="17"/>
  <c r="N19" i="17"/>
  <c r="M19" i="17"/>
  <c r="J19" i="17"/>
  <c r="H19" i="17"/>
  <c r="C19" i="17"/>
  <c r="N18" i="17"/>
  <c r="M18" i="17"/>
  <c r="J18" i="17"/>
  <c r="H18" i="17"/>
  <c r="C18" i="17"/>
  <c r="A18" i="17"/>
  <c r="N17" i="17"/>
  <c r="M17" i="17"/>
  <c r="J17" i="17"/>
  <c r="H17" i="17"/>
  <c r="C17" i="17"/>
  <c r="N16" i="17"/>
  <c r="M16" i="17"/>
  <c r="J16" i="17"/>
  <c r="H16" i="17"/>
  <c r="C16" i="17"/>
  <c r="A16" i="17"/>
  <c r="N14" i="17"/>
  <c r="M14" i="17"/>
  <c r="J14" i="17"/>
  <c r="H14" i="17"/>
  <c r="C14" i="17"/>
  <c r="N13" i="17"/>
  <c r="M13" i="17"/>
  <c r="J13" i="17"/>
  <c r="H13" i="17"/>
  <c r="C13" i="17"/>
  <c r="N12" i="17"/>
  <c r="M12" i="17"/>
  <c r="J12" i="17"/>
  <c r="H12" i="17"/>
  <c r="C12" i="17"/>
  <c r="N11" i="17"/>
  <c r="M11" i="17"/>
  <c r="J11" i="17"/>
  <c r="H11" i="17"/>
  <c r="C11" i="17"/>
  <c r="A11" i="17"/>
  <c r="N10" i="17"/>
  <c r="M10" i="17"/>
  <c r="J10" i="17"/>
  <c r="H10" i="17"/>
  <c r="C10" i="17"/>
  <c r="N9" i="17"/>
  <c r="M9" i="17"/>
  <c r="J9" i="17"/>
  <c r="H9" i="17"/>
  <c r="C9" i="17"/>
  <c r="A9" i="17"/>
  <c r="N7" i="17"/>
  <c r="M7" i="17"/>
  <c r="J7" i="17"/>
  <c r="H7" i="17"/>
  <c r="C7" i="17"/>
  <c r="N6" i="17"/>
  <c r="M6" i="17"/>
  <c r="J6" i="17"/>
  <c r="H6" i="17"/>
  <c r="C6" i="17"/>
  <c r="N5" i="17"/>
  <c r="M5" i="17"/>
  <c r="J5" i="17"/>
  <c r="H5" i="17"/>
  <c r="C5" i="17"/>
  <c r="A5" i="17"/>
  <c r="N4" i="17"/>
  <c r="M4" i="17"/>
  <c r="J4" i="17"/>
  <c r="H4" i="17"/>
  <c r="C4" i="17"/>
  <c r="N3" i="17"/>
  <c r="M3" i="17"/>
  <c r="J3" i="17"/>
  <c r="H3" i="17"/>
  <c r="C3" i="17"/>
  <c r="A3" i="17"/>
  <c r="M80" i="17" l="1"/>
  <c r="W80" i="17" s="1"/>
  <c r="Q18" i="17"/>
  <c r="R18" i="17" s="1"/>
  <c r="S18" i="17" s="1"/>
  <c r="G64" i="17" s="1"/>
  <c r="C70" i="17"/>
  <c r="M70" i="17" s="1"/>
  <c r="W70" i="17" s="1"/>
  <c r="A70" i="17"/>
  <c r="X76" i="17"/>
  <c r="Y76" i="17"/>
  <c r="M83" i="17"/>
  <c r="W83" i="17" s="1"/>
  <c r="X75" i="17"/>
  <c r="Y75" i="17"/>
  <c r="X74" i="17"/>
  <c r="Y74" i="17"/>
  <c r="X70" i="17"/>
  <c r="Y70" i="17"/>
  <c r="X73" i="17"/>
  <c r="Y73" i="17"/>
  <c r="X72" i="17"/>
  <c r="Y72" i="17"/>
  <c r="X77" i="17"/>
  <c r="Y77" i="17"/>
  <c r="X71" i="17"/>
  <c r="Y71" i="17"/>
  <c r="V55" i="17"/>
  <c r="W55" i="17"/>
  <c r="Y88" i="17"/>
  <c r="X88" i="17"/>
  <c r="Y87" i="17"/>
  <c r="X87" i="17"/>
  <c r="Y86" i="17"/>
  <c r="X86" i="17"/>
  <c r="W56" i="17"/>
  <c r="V56" i="17"/>
  <c r="Y85" i="17"/>
  <c r="X85" i="17"/>
  <c r="Y84" i="17"/>
  <c r="X84" i="17"/>
  <c r="V57" i="17"/>
  <c r="W57" i="17"/>
  <c r="Q13" i="17"/>
  <c r="R13" i="17" s="1"/>
  <c r="S13" i="17" s="1"/>
  <c r="G58" i="17" s="1"/>
  <c r="T58" i="17" s="1"/>
  <c r="M76" i="17"/>
  <c r="V76" i="17" s="1"/>
  <c r="V58" i="17"/>
  <c r="W58" i="17"/>
  <c r="Y81" i="17"/>
  <c r="X81" i="17"/>
  <c r="Q40" i="17"/>
  <c r="R40" i="17" s="1"/>
  <c r="S40" i="17" s="1"/>
  <c r="G88" i="17" s="1"/>
  <c r="T88" i="17" s="1"/>
  <c r="M75" i="17"/>
  <c r="W75" i="17" s="1"/>
  <c r="M77" i="17"/>
  <c r="W77" i="17" s="1"/>
  <c r="Q38" i="17"/>
  <c r="R38" i="17" s="1"/>
  <c r="S38" i="17" s="1"/>
  <c r="G86" i="17" s="1"/>
  <c r="Q26" i="17"/>
  <c r="R26" i="17" s="1"/>
  <c r="S26" i="17" s="1"/>
  <c r="G73" i="17" s="1"/>
  <c r="M73" i="17"/>
  <c r="W73" i="17" s="1"/>
  <c r="Q9" i="17"/>
  <c r="R9" i="17" s="1"/>
  <c r="S9" i="17" s="1"/>
  <c r="G54" i="17" s="1"/>
  <c r="G70" i="17"/>
  <c r="T70" i="17" s="1"/>
  <c r="M85" i="17"/>
  <c r="V85" i="17" s="1"/>
  <c r="M86" i="17"/>
  <c r="W86" i="17" s="1"/>
  <c r="Y82" i="17"/>
  <c r="M82" i="17"/>
  <c r="V82" i="17" s="1"/>
  <c r="M84" i="17"/>
  <c r="W84" i="17" s="1"/>
  <c r="M88" i="17"/>
  <c r="W88" i="17" s="1"/>
  <c r="M87" i="17"/>
  <c r="V87" i="17" s="1"/>
  <c r="Q14" i="17"/>
  <c r="R14" i="17" s="1"/>
  <c r="S14" i="17" s="1"/>
  <c r="G59" i="17" s="1"/>
  <c r="T59" i="17" s="1"/>
  <c r="Q28" i="17"/>
  <c r="R28" i="17" s="1"/>
  <c r="S28" i="17" s="1"/>
  <c r="G75" i="17" s="1"/>
  <c r="Q32" i="17"/>
  <c r="Q11" i="17"/>
  <c r="R11" i="17" s="1"/>
  <c r="S11" i="17" s="1"/>
  <c r="G56" i="17" s="1"/>
  <c r="Q20" i="17"/>
  <c r="R20" i="17" s="1"/>
  <c r="S20" i="17" s="1"/>
  <c r="G66" i="17" s="1"/>
  <c r="T66" i="17" s="1"/>
  <c r="Q10" i="17"/>
  <c r="R10" i="17" s="1"/>
  <c r="S10" i="17" s="1"/>
  <c r="G55" i="17" s="1"/>
  <c r="T55" i="17" s="1"/>
  <c r="Q30" i="17"/>
  <c r="R30" i="17" s="1"/>
  <c r="S30" i="17" s="1"/>
  <c r="G77" i="17" s="1"/>
  <c r="A80" i="17"/>
  <c r="Q5" i="17"/>
  <c r="R5" i="17" s="1"/>
  <c r="S5" i="17" s="1"/>
  <c r="G49" i="17" s="1"/>
  <c r="T49" i="17" s="1"/>
  <c r="Q17" i="17"/>
  <c r="R17" i="17" s="1"/>
  <c r="S17" i="17" s="1"/>
  <c r="G63" i="17" s="1"/>
  <c r="T63" i="17" s="1"/>
  <c r="Q39" i="17"/>
  <c r="R39" i="17" s="1"/>
  <c r="S39" i="17" s="1"/>
  <c r="G87" i="17" s="1"/>
  <c r="C81" i="17"/>
  <c r="M81" i="17" s="1"/>
  <c r="V81" i="17" s="1"/>
  <c r="Q7" i="17"/>
  <c r="R7" i="17" s="1"/>
  <c r="S7" i="17" s="1"/>
  <c r="G51" i="17" s="1"/>
  <c r="Q12" i="17"/>
  <c r="R12" i="17" s="1"/>
  <c r="S12" i="17" s="1"/>
  <c r="G57" i="17" s="1"/>
  <c r="T57" i="17" s="1"/>
  <c r="Q29" i="17"/>
  <c r="R29" i="17" s="1"/>
  <c r="S29" i="17" s="1"/>
  <c r="G76" i="17" s="1"/>
  <c r="Q33" i="17"/>
  <c r="R33" i="17" s="1"/>
  <c r="S33" i="17" s="1"/>
  <c r="G81" i="17" s="1"/>
  <c r="Q3" i="17"/>
  <c r="R3" i="17" s="1"/>
  <c r="S3" i="17" s="1"/>
  <c r="G47" i="17" s="1"/>
  <c r="Q21" i="17"/>
  <c r="R21" i="17" s="1"/>
  <c r="S21" i="17" s="1"/>
  <c r="Q35" i="17"/>
  <c r="R35" i="17" s="1"/>
  <c r="S35" i="17" s="1"/>
  <c r="G83" i="17" s="1"/>
  <c r="Q16" i="17"/>
  <c r="R16" i="17" s="1"/>
  <c r="S16" i="17" s="1"/>
  <c r="G62" i="17" s="1"/>
  <c r="T62" i="17" s="1"/>
  <c r="Q25" i="17"/>
  <c r="R25" i="17" s="1"/>
  <c r="S25" i="17" s="1"/>
  <c r="G72" i="17" s="1"/>
  <c r="Q37" i="17"/>
  <c r="R37" i="17" s="1"/>
  <c r="S37" i="17" s="1"/>
  <c r="G85" i="17" s="1"/>
  <c r="T85" i="17" s="1"/>
  <c r="Q34" i="17"/>
  <c r="R34" i="17" s="1"/>
  <c r="S34" i="17" s="1"/>
  <c r="G82" i="17" s="1"/>
  <c r="Q4" i="17"/>
  <c r="R4" i="17" s="1"/>
  <c r="S4" i="17" s="1"/>
  <c r="G48" i="17" s="1"/>
  <c r="Q24" i="17"/>
  <c r="R24" i="17" s="1"/>
  <c r="S24" i="17" s="1"/>
  <c r="G71" i="17" s="1"/>
  <c r="Q27" i="17"/>
  <c r="R27" i="17" s="1"/>
  <c r="S27" i="17" s="1"/>
  <c r="G74" i="17" s="1"/>
  <c r="Q36" i="17"/>
  <c r="R36" i="17" s="1"/>
  <c r="S36" i="17" s="1"/>
  <c r="G84" i="17" s="1"/>
  <c r="Q6" i="17"/>
  <c r="R6" i="17" s="1"/>
  <c r="S6" i="17" s="1"/>
  <c r="G50" i="17" s="1"/>
  <c r="T50" i="17" s="1"/>
  <c r="Q19" i="17"/>
  <c r="R19" i="17" s="1"/>
  <c r="S19" i="17" s="1"/>
  <c r="G65" i="17" s="1"/>
  <c r="C74" i="17"/>
  <c r="W48" i="17"/>
  <c r="V48" i="17"/>
  <c r="W50" i="17"/>
  <c r="V50" i="17"/>
  <c r="V72" i="17"/>
  <c r="W72" i="17"/>
  <c r="W64" i="17"/>
  <c r="V64" i="17"/>
  <c r="V67" i="17"/>
  <c r="W67" i="17"/>
  <c r="W63" i="17"/>
  <c r="V63" i="17"/>
  <c r="W71" i="17"/>
  <c r="V71" i="17"/>
  <c r="V59" i="17"/>
  <c r="W59" i="17"/>
  <c r="W47" i="17"/>
  <c r="W49" i="17"/>
  <c r="V49" i="17"/>
  <c r="U88" i="17"/>
  <c r="W51" i="17"/>
  <c r="V51" i="17"/>
  <c r="W62" i="17"/>
  <c r="V62" i="17"/>
  <c r="V65" i="17"/>
  <c r="W65" i="17"/>
  <c r="A48" i="17"/>
  <c r="A55" i="17"/>
  <c r="V66" i="17"/>
  <c r="A63" i="17"/>
  <c r="U65" i="17" l="1"/>
  <c r="T65" i="17"/>
  <c r="U72" i="17"/>
  <c r="T72" i="17"/>
  <c r="U51" i="17"/>
  <c r="T51" i="17"/>
  <c r="U86" i="17"/>
  <c r="T86" i="17"/>
  <c r="U56" i="17"/>
  <c r="T56" i="17"/>
  <c r="U87" i="17"/>
  <c r="T87" i="17"/>
  <c r="U74" i="17"/>
  <c r="T74" i="17"/>
  <c r="U75" i="17"/>
  <c r="T75" i="17"/>
  <c r="U47" i="17"/>
  <c r="T47" i="17"/>
  <c r="R32" i="17"/>
  <c r="S32" i="17" s="1"/>
  <c r="G80" i="17" s="1"/>
  <c r="U81" i="17"/>
  <c r="T81" i="17"/>
  <c r="U54" i="17"/>
  <c r="T54" i="17"/>
  <c r="U64" i="17"/>
  <c r="T64" i="17"/>
  <c r="U83" i="17"/>
  <c r="T83" i="17"/>
  <c r="U71" i="17"/>
  <c r="T71" i="17"/>
  <c r="U48" i="17"/>
  <c r="T48" i="17"/>
  <c r="U82" i="17"/>
  <c r="T82" i="17"/>
  <c r="U76" i="17"/>
  <c r="T76" i="17"/>
  <c r="U77" i="17"/>
  <c r="T77" i="17"/>
  <c r="U84" i="17"/>
  <c r="T84" i="17"/>
  <c r="U73" i="17"/>
  <c r="T73" i="17"/>
  <c r="W85" i="17"/>
  <c r="U55" i="17"/>
  <c r="V88" i="17"/>
  <c r="U85" i="17"/>
  <c r="V83" i="17"/>
  <c r="W87" i="17"/>
  <c r="U66" i="17"/>
  <c r="V77" i="17"/>
  <c r="W82" i="17"/>
  <c r="W76" i="17"/>
  <c r="U58" i="17"/>
  <c r="V70" i="17"/>
  <c r="G67" i="17"/>
  <c r="T67" i="17" s="1"/>
  <c r="V86" i="17"/>
  <c r="V75" i="17"/>
  <c r="V73" i="17"/>
  <c r="U62" i="17"/>
  <c r="U63" i="17"/>
  <c r="U70" i="17"/>
  <c r="M74" i="17"/>
  <c r="V74" i="17" s="1"/>
  <c r="V84" i="17"/>
  <c r="W81" i="17"/>
  <c r="V80" i="17"/>
  <c r="U59" i="17"/>
  <c r="U49" i="17"/>
  <c r="U50" i="17"/>
  <c r="U57" i="17"/>
  <c r="T80" i="17" l="1"/>
  <c r="U80" i="17"/>
  <c r="W74" i="17"/>
  <c r="U67" i="17"/>
</calcChain>
</file>

<file path=xl/sharedStrings.xml><?xml version="1.0" encoding="utf-8"?>
<sst xmlns="http://schemas.openxmlformats.org/spreadsheetml/2006/main" count="544" uniqueCount="69">
  <si>
    <t>Measured</t>
  </si>
  <si>
    <t>Predicted</t>
  </si>
  <si>
    <t>Measure</t>
  </si>
  <si>
    <t>Pressure</t>
  </si>
  <si>
    <t>Average Torque (Nm)</t>
  </si>
  <si>
    <t>Power (W)</t>
  </si>
  <si>
    <t>Mass Flow Rate (kg/s)</t>
  </si>
  <si>
    <t>Density (kg/m3)</t>
  </si>
  <si>
    <t>FM Air Pressure (MPa)</t>
  </si>
  <si>
    <t>FM Air Temp ( K )</t>
  </si>
  <si>
    <t>FM Air Pressure (bar)</t>
  </si>
  <si>
    <t>FM Air Temp ( C )</t>
  </si>
  <si>
    <t>Volumetric Flow rate (l/min)</t>
  </si>
  <si>
    <t>Discharge Temperature ( C )</t>
  </si>
  <si>
    <t>Discharge pressure (bar)</t>
  </si>
  <si>
    <t>PT 3</t>
  </si>
  <si>
    <t>PT 6</t>
  </si>
  <si>
    <t>RPM</t>
  </si>
  <si>
    <t>Power</t>
  </si>
  <si>
    <t>Discrepancy</t>
  </si>
  <si>
    <t>Mass</t>
  </si>
  <si>
    <t>Mass with leakage</t>
  </si>
  <si>
    <t>Torque</t>
  </si>
  <si>
    <t>Predicted w l</t>
  </si>
  <si>
    <t>Power w l</t>
  </si>
  <si>
    <t>Torque w l</t>
  </si>
  <si>
    <t>Suction pressure (bar)</t>
  </si>
  <si>
    <t>Disc. Temp ( K )</t>
  </si>
  <si>
    <t>Vol. rate (m3/s)</t>
  </si>
  <si>
    <t>Suct Temp ( C )</t>
  </si>
  <si>
    <t>TC 01</t>
  </si>
  <si>
    <t>PT 05</t>
  </si>
  <si>
    <t>TC 04</t>
  </si>
  <si>
    <t>TC 02</t>
  </si>
  <si>
    <t>Correction</t>
  </si>
  <si>
    <t xml:space="preserve">Pressure </t>
  </si>
  <si>
    <t>Oil Seal</t>
  </si>
  <si>
    <t>Viscosity</t>
  </si>
  <si>
    <t>Temp. casing</t>
  </si>
  <si>
    <t>Temp. shaft</t>
  </si>
  <si>
    <t>RAW</t>
  </si>
  <si>
    <t>Standard Deviation</t>
  </si>
  <si>
    <t>Predicted wo heat</t>
  </si>
  <si>
    <t>speed</t>
  </si>
  <si>
    <t>P</t>
  </si>
  <si>
    <t>M</t>
  </si>
  <si>
    <t>T</t>
  </si>
  <si>
    <t>⌂T</t>
  </si>
  <si>
    <t>Uncertainty (W)</t>
  </si>
  <si>
    <t>% of uncertainty</t>
  </si>
  <si>
    <t>% of uncertainty (Power)</t>
  </si>
  <si>
    <t>V</t>
  </si>
  <si>
    <t>rho</t>
  </si>
  <si>
    <t>⌂M</t>
  </si>
  <si>
    <t>% of uncertainty M</t>
  </si>
  <si>
    <t>Volumetric efficiency</t>
  </si>
  <si>
    <t>Uncertainty of mass flow rate (%)</t>
  </si>
  <si>
    <t>⌂Q</t>
  </si>
  <si>
    <t>⌂rho</t>
  </si>
  <si>
    <t>⌂omega</t>
  </si>
  <si>
    <t>rho_suc</t>
  </si>
  <si>
    <t>Uncertainty</t>
  </si>
  <si>
    <t>mass</t>
  </si>
  <si>
    <t>power</t>
  </si>
  <si>
    <t>⌂Q (m3/s)</t>
  </si>
  <si>
    <t>sqrt3</t>
  </si>
  <si>
    <t>P-p</t>
  </si>
  <si>
    <t>POWER</t>
  </si>
  <si>
    <t>STDEV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</si>
</sst>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164" fontId="0" fillId="0" borderId="0" xfId="0" applyNumberFormat="1"/>
    <xf numFmtId="0" fontId="1" fillId="4" borderId="0" xfId="0" applyFont="1" applyFill="1"/>
    <xf numFmtId="0" fontId="0" fillId="5" borderId="0" xfId="0" applyFill="1"/>
    <xf numFmtId="10" fontId="0" fillId="0" borderId="0" xfId="0" applyNumberFormat="1"/>
    <xf numFmtId="0" fontId="0" fillId="6" borderId="0" xfId="0" applyFill="1"/>
    <xf numFmtId="0" fontId="0" fillId="0" borderId="0" xfId="0" applyFill="1"/>
    <xf numFmtId="164" fontId="0" fillId="3" borderId="0" xfId="0" applyNumberFormat="1" applyFill="1"/>
    <xf numFmtId="0" fontId="0" fillId="9" borderId="0" xfId="0" applyFill="1"/>
    <xf numFmtId="10" fontId="0" fillId="0" borderId="0" xfId="1" applyNumberFormat="1" applyFont="1"/>
    <xf numFmtId="0" fontId="0" fillId="7" borderId="0" xfId="0" applyFill="1"/>
    <xf numFmtId="0" fontId="1" fillId="10" borderId="0" xfId="0" applyFont="1" applyFill="1"/>
    <xf numFmtId="0" fontId="1" fillId="11" borderId="0" xfId="0" applyFont="1" applyFill="1"/>
    <xf numFmtId="0" fontId="0" fillId="0" borderId="0" xfId="0" applyAlignment="1"/>
    <xf numFmtId="0" fontId="1" fillId="0" borderId="0" xfId="0" applyFont="1" applyFill="1"/>
    <xf numFmtId="164" fontId="0" fillId="0" borderId="0" xfId="0" applyNumberFormat="1" applyFill="1"/>
    <xf numFmtId="0" fontId="0" fillId="12" borderId="0" xfId="0" applyFill="1"/>
    <xf numFmtId="10" fontId="0" fillId="12" borderId="0" xfId="1" applyNumberFormat="1" applyFont="1" applyFill="1"/>
    <xf numFmtId="10" fontId="0" fillId="12" borderId="0" xfId="0" applyNumberFormat="1" applyFill="1"/>
    <xf numFmtId="0" fontId="1" fillId="12" borderId="0" xfId="0" applyFont="1" applyFill="1"/>
    <xf numFmtId="165" fontId="0" fillId="12" borderId="0" xfId="0" applyNumberFormat="1" applyFill="1"/>
    <xf numFmtId="166" fontId="0" fillId="0" borderId="0" xfId="0" applyNumberFormat="1"/>
    <xf numFmtId="1" fontId="0" fillId="5" borderId="0" xfId="0" applyNumberFormat="1" applyFill="1"/>
    <xf numFmtId="1" fontId="0" fillId="0" borderId="0" xfId="0" applyNumberFormat="1"/>
    <xf numFmtId="1" fontId="0" fillId="12" borderId="0" xfId="0" applyNumberFormat="1" applyFill="1"/>
    <xf numFmtId="165" fontId="0" fillId="8" borderId="0" xfId="0" applyNumberFormat="1" applyFill="1"/>
    <xf numFmtId="0" fontId="0" fillId="12" borderId="0" xfId="0" applyFill="1" applyAlignment="1">
      <alignment horizontal="center" vertical="center"/>
    </xf>
    <xf numFmtId="10" fontId="0" fillId="14" borderId="0" xfId="0" applyNumberFormat="1" applyFill="1"/>
    <xf numFmtId="0" fontId="1" fillId="0" borderId="0" xfId="0" applyFont="1"/>
    <xf numFmtId="0" fontId="1" fillId="0" borderId="0" xfId="0" applyFont="1" applyFill="1" applyAlignment="1">
      <alignment horizontal="center"/>
    </xf>
    <xf numFmtId="0" fontId="5" fillId="13" borderId="0" xfId="0" applyFont="1" applyFill="1"/>
    <xf numFmtId="0" fontId="3" fillId="0" borderId="0" xfId="0" applyFont="1"/>
    <xf numFmtId="0" fontId="6" fillId="8" borderId="0" xfId="0" applyFont="1" applyFill="1"/>
    <xf numFmtId="0" fontId="6" fillId="2" borderId="0" xfId="0" applyFont="1" applyFill="1"/>
    <xf numFmtId="0" fontId="1" fillId="15" borderId="0" xfId="0" applyFont="1" applyFill="1" applyAlignment="1">
      <alignment horizontal="center"/>
    </xf>
    <xf numFmtId="0" fontId="3" fillId="15" borderId="0" xfId="0" applyFont="1" applyFill="1"/>
    <xf numFmtId="0" fontId="0" fillId="15" borderId="0" xfId="0" applyFill="1"/>
    <xf numFmtId="0" fontId="7" fillId="15" borderId="0" xfId="0" applyFont="1" applyFill="1"/>
    <xf numFmtId="10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0" fontId="0" fillId="0" borderId="1" xfId="0" applyBorder="1"/>
    <xf numFmtId="0" fontId="1" fillId="4" borderId="1" xfId="0" applyFont="1" applyFill="1" applyBorder="1"/>
    <xf numFmtId="0" fontId="0" fillId="7" borderId="1" xfId="0" applyFill="1" applyBorder="1"/>
    <xf numFmtId="165" fontId="0" fillId="8" borderId="1" xfId="0" applyNumberFormat="1" applyFill="1" applyBorder="1"/>
    <xf numFmtId="0" fontId="0" fillId="6" borderId="1" xfId="0" applyFill="1" applyBorder="1"/>
    <xf numFmtId="0" fontId="0" fillId="15" borderId="1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4" borderId="1" xfId="0" applyNumberFormat="1" applyFill="1" applyBorder="1"/>
    <xf numFmtId="1" fontId="0" fillId="0" borderId="1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(0.5-1.0)'!$A$48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(0.5-1.0)'!$D$47:$D$51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(0.5-1.0)'!$G$47:$G$51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F-47C2-ABAE-D4B97E49511A}"/>
            </c:ext>
          </c:extLst>
        </c:ser>
        <c:ser>
          <c:idx val="4"/>
          <c:order val="1"/>
          <c:tx>
            <c:strRef>
              <c:f>'Overall (0.5-1.0)'!$A$55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(0.5-1.0)'!$D$54:$D$59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(0.5-1.0)'!$G$54:$G$59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F-47C2-ABAE-D4B97E49511A}"/>
            </c:ext>
          </c:extLst>
        </c:ser>
        <c:ser>
          <c:idx val="5"/>
          <c:order val="2"/>
          <c:tx>
            <c:strRef>
              <c:f>'Overall (0.5-1.0)'!$A$63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(0.5-1.0)'!$D$62:$D$67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(0.5-1.0)'!$G$62:$G$67</c:f>
              <c:numCache>
                <c:formatCode>General</c:formatCode>
                <c:ptCount val="6"/>
                <c:pt idx="0">
                  <c:v>0.50962255574596027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F-47C2-ABAE-D4B97E49511A}"/>
            </c:ext>
          </c:extLst>
        </c:ser>
        <c:ser>
          <c:idx val="3"/>
          <c:order val="3"/>
          <c:tx>
            <c:strRef>
              <c:f>'Overall (0.5-1.0)'!$A$70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(0.5-1.0)'!$D$70:$D$77</c:f>
              <c:numCache>
                <c:formatCode>0.000</c:formatCode>
                <c:ptCount val="8"/>
                <c:pt idx="0">
                  <c:v>5.0653949430406557</c:v>
                </c:pt>
                <c:pt idx="1">
                  <c:v>5.112710058958517</c:v>
                </c:pt>
                <c:pt idx="2">
                  <c:v>4.5816778072219542</c:v>
                </c:pt>
                <c:pt idx="3">
                  <c:v>4.0282260804900449</c:v>
                </c:pt>
                <c:pt idx="4">
                  <c:v>3.9074120702939243</c:v>
                </c:pt>
                <c:pt idx="5">
                  <c:v>3.6533986868675403</c:v>
                </c:pt>
                <c:pt idx="6">
                  <c:v>3.0732756854133072</c:v>
                </c:pt>
                <c:pt idx="7">
                  <c:v>2.6401044471753301</c:v>
                </c:pt>
              </c:numCache>
            </c:numRef>
          </c:xVal>
          <c:yVal>
            <c:numRef>
              <c:f>'Overall (0.5-1.0)'!$G$70:$G$77</c:f>
              <c:numCache>
                <c:formatCode>General</c:formatCode>
                <c:ptCount val="8"/>
                <c:pt idx="0">
                  <c:v>0.85268071604110685</c:v>
                </c:pt>
                <c:pt idx="1">
                  <c:v>0.86721342675766289</c:v>
                </c:pt>
                <c:pt idx="2">
                  <c:v>0.85827402956532706</c:v>
                </c:pt>
                <c:pt idx="3">
                  <c:v>0.90545505322499509</c:v>
                </c:pt>
                <c:pt idx="4">
                  <c:v>1.021740907848405</c:v>
                </c:pt>
                <c:pt idx="5">
                  <c:v>1.0884625091260001</c:v>
                </c:pt>
                <c:pt idx="6">
                  <c:v>1.0201251626579322</c:v>
                </c:pt>
                <c:pt idx="7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F-47C2-ABAE-D4B97E49511A}"/>
            </c:ext>
          </c:extLst>
        </c:ser>
        <c:ser>
          <c:idx val="1"/>
          <c:order val="4"/>
          <c:tx>
            <c:strRef>
              <c:f>'Overall (0.5-1.0)'!$A$80</c:f>
              <c:strCache>
                <c:ptCount val="1"/>
                <c:pt idx="0">
                  <c:v>2111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(0.5-1.0)'!$D$80:$D$88</c:f>
              <c:numCache>
                <c:formatCode>0.000</c:formatCode>
                <c:ptCount val="9"/>
                <c:pt idx="0">
                  <c:v>5.0545578692872928</c:v>
                </c:pt>
                <c:pt idx="1">
                  <c:v>4.4350470643170885</c:v>
                </c:pt>
                <c:pt idx="2">
                  <c:v>4.2201346805617597</c:v>
                </c:pt>
                <c:pt idx="3">
                  <c:v>4.1660023180827803</c:v>
                </c:pt>
                <c:pt idx="4">
                  <c:v>4.003856630921188</c:v>
                </c:pt>
                <c:pt idx="5">
                  <c:v>3.8882416114697662</c:v>
                </c:pt>
                <c:pt idx="6">
                  <c:v>3.69061358519046</c:v>
                </c:pt>
                <c:pt idx="7">
                  <c:v>3.3424664174525525</c:v>
                </c:pt>
                <c:pt idx="8">
                  <c:v>2.5472304393617602</c:v>
                </c:pt>
              </c:numCache>
            </c:numRef>
          </c:xVal>
          <c:yVal>
            <c:numRef>
              <c:f>'Overall (0.5-1.0)'!$G$80:$G$88</c:f>
              <c:numCache>
                <c:formatCode>General</c:formatCode>
                <c:ptCount val="9"/>
                <c:pt idx="0">
                  <c:v>0.94539291946511383</c:v>
                </c:pt>
                <c:pt idx="1">
                  <c:v>0.94847363500753468</c:v>
                </c:pt>
                <c:pt idx="2">
                  <c:v>0.94549204078864424</c:v>
                </c:pt>
                <c:pt idx="3">
                  <c:v>0.97229361350443488</c:v>
                </c:pt>
                <c:pt idx="4">
                  <c:v>1.042829287775632</c:v>
                </c:pt>
                <c:pt idx="5">
                  <c:v>1.1484048601961037</c:v>
                </c:pt>
                <c:pt idx="6">
                  <c:v>1.1631977237886615</c:v>
                </c:pt>
                <c:pt idx="7">
                  <c:v>1.1657191081274199</c:v>
                </c:pt>
                <c:pt idx="8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0F-47C2-ABAE-D4B97E49511A}"/>
            </c:ext>
          </c:extLst>
        </c:ser>
        <c:ser>
          <c:idx val="2"/>
          <c:order val="5"/>
          <c:tx>
            <c:v>P_1216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(0.5-1.0)'!$D$47:$D$51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(0.5-1.0)'!$E$47:$E$51</c:f>
              <c:numCache>
                <c:formatCode>General</c:formatCode>
                <c:ptCount val="5"/>
                <c:pt idx="0">
                  <c:v>0.37519999999999998</c:v>
                </c:pt>
                <c:pt idx="4">
                  <c:v>0.43459999999999999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0F-47C2-ABAE-D4B97E49511A}"/>
            </c:ext>
          </c:extLst>
        </c:ser>
        <c:ser>
          <c:idx val="6"/>
          <c:order val="6"/>
          <c:tx>
            <c:v>P_1639</c:v>
          </c:tx>
          <c:spPr>
            <a:ln w="25400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(0.5-1.0)'!$D$62:$D$67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(0.5-1.0)'!$E$62:$E$67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0F-47C2-ABAE-D4B97E49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799532373322E-2"/>
              <c:y val="0.34465899010791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676666666666667"/>
          <c:y val="0.27424092592592592"/>
          <c:w val="0.11787402777777778"/>
          <c:h val="0.395073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(final) 050505'!$A$45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(final) 050505'!$D$44:$D$48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2.3975521098447876</c:v>
                </c:pt>
              </c:numCache>
            </c:numRef>
          </c:xVal>
          <c:yVal>
            <c:numRef>
              <c:f>'Overall w heat (final) 050505'!$M$44:$M$48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D-48AE-BFBC-98F49A2E5693}"/>
            </c:ext>
          </c:extLst>
        </c:ser>
        <c:ser>
          <c:idx val="4"/>
          <c:order val="1"/>
          <c:tx>
            <c:strRef>
              <c:f>'Overall w heat (final) 050505'!$A$52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(final) 050505'!$D$51:$D$56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w heat (final) 050505'!$M$51:$M$56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D-48AE-BFBC-98F49A2E5693}"/>
            </c:ext>
          </c:extLst>
        </c:ser>
        <c:ser>
          <c:idx val="5"/>
          <c:order val="2"/>
          <c:tx>
            <c:strRef>
              <c:f>'Overall w heat (final) 050505'!$A$60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(final) 050505'!$D$59:$D$64</c:f>
              <c:numCache>
                <c:formatCode>0.000</c:formatCode>
                <c:ptCount val="6"/>
                <c:pt idx="0">
                  <c:v>5.2676677023988514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(final) 050505'!$M$59:$M$64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D-48AE-BFBC-98F49A2E5693}"/>
            </c:ext>
          </c:extLst>
        </c:ser>
        <c:ser>
          <c:idx val="3"/>
          <c:order val="3"/>
          <c:tx>
            <c:strRef>
              <c:f>'Overall w heat (final) 050505'!$A$67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(final) 050505'!$D$67:$D$72</c:f>
              <c:numCache>
                <c:formatCode>0.000</c:formatCode>
                <c:ptCount val="6"/>
                <c:pt idx="0">
                  <c:v>5.0653949430406557</c:v>
                </c:pt>
                <c:pt idx="1">
                  <c:v>4.5816778072219542</c:v>
                </c:pt>
                <c:pt idx="2">
                  <c:v>4.0282260804900449</c:v>
                </c:pt>
                <c:pt idx="3">
                  <c:v>3.6533986868675403</c:v>
                </c:pt>
                <c:pt idx="4">
                  <c:v>3.0732756854133072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(final) 050505'!$M$67:$M$72</c:f>
              <c:numCache>
                <c:formatCode>General</c:formatCode>
                <c:ptCount val="6"/>
                <c:pt idx="0">
                  <c:v>414.98108314334672</c:v>
                </c:pt>
                <c:pt idx="1">
                  <c:v>377.6009892173239</c:v>
                </c:pt>
                <c:pt idx="2">
                  <c:v>348.33822229195874</c:v>
                </c:pt>
                <c:pt idx="3">
                  <c:v>344.11790533548407</c:v>
                </c:pt>
                <c:pt idx="4">
                  <c:v>310.51013897327994</c:v>
                </c:pt>
                <c:pt idx="5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CD-48AE-BFBC-98F49A2E5693}"/>
            </c:ext>
          </c:extLst>
        </c:ser>
        <c:ser>
          <c:idx val="1"/>
          <c:order val="4"/>
          <c:tx>
            <c:strRef>
              <c:f>'Overall w heat (final) 050505'!$A$75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(final) 050505'!$D$75:$D$82</c:f>
              <c:numCache>
                <c:formatCode>0.000</c:formatCode>
                <c:ptCount val="8"/>
                <c:pt idx="0">
                  <c:v>5.1395527310525901</c:v>
                </c:pt>
                <c:pt idx="1">
                  <c:v>4.4350470643170903</c:v>
                </c:pt>
                <c:pt idx="2">
                  <c:v>4.2201346805617597</c:v>
                </c:pt>
                <c:pt idx="3">
                  <c:v>4.0038566309211898</c:v>
                </c:pt>
                <c:pt idx="4">
                  <c:v>3.8882416114697702</c:v>
                </c:pt>
                <c:pt idx="5">
                  <c:v>3.69061358519046</c:v>
                </c:pt>
                <c:pt idx="6">
                  <c:v>3.3424664174525498</c:v>
                </c:pt>
                <c:pt idx="7">
                  <c:v>2.5472304393617602</c:v>
                </c:pt>
              </c:numCache>
            </c:numRef>
          </c:xVal>
          <c:yVal>
            <c:numRef>
              <c:f>'Overall w heat (final) 050505'!$M$75:$M$82</c:f>
              <c:numCache>
                <c:formatCode>General</c:formatCode>
                <c:ptCount val="8"/>
                <c:pt idx="0">
                  <c:v>496.993999338386</c:v>
                </c:pt>
                <c:pt idx="1">
                  <c:v>455.1477762194761</c:v>
                </c:pt>
                <c:pt idx="2">
                  <c:v>433.13431702395167</c:v>
                </c:pt>
                <c:pt idx="3">
                  <c:v>404.21583325687345</c:v>
                </c:pt>
                <c:pt idx="4">
                  <c:v>411.38884927145062</c:v>
                </c:pt>
                <c:pt idx="5">
                  <c:v>362.03189924269998</c:v>
                </c:pt>
                <c:pt idx="6">
                  <c:v>343.19032930307435</c:v>
                </c:pt>
                <c:pt idx="7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CD-48AE-BFBC-98F49A2E5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(final) 050505'!$D$44:$D$48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4.2632226981025712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(final) 050505'!$K$44:$K$48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237.3811</c:v>
                      </c:pt>
                      <c:pt idx="1">
                        <c:v>217.6027</c:v>
                      </c:pt>
                      <c:pt idx="2">
                        <c:v>205.1644</c:v>
                      </c:pt>
                      <c:pt idx="3">
                        <c:v>186.5256</c:v>
                      </c:pt>
                      <c:pt idx="4">
                        <c:v>159.3312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4CD-48AE-BFBC-98F49A2E569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050505'!$D$51:$D$56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5.253362586763715</c:v>
                      </c:pt>
                      <c:pt idx="1">
                        <c:v>4.8223075689095696</c:v>
                      </c:pt>
                      <c:pt idx="2">
                        <c:v>4.236297847863618</c:v>
                      </c:pt>
                      <c:pt idx="3">
                        <c:v>3.661602244140135</c:v>
                      </c:pt>
                      <c:pt idx="4">
                        <c:v>2.9220510847489072</c:v>
                      </c:pt>
                      <c:pt idx="5">
                        <c:v>2.6698755104625538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050505'!$K$51:$K$56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315.46120000000002</c:v>
                      </c:pt>
                      <c:pt idx="1">
                        <c:v>295.88740000000001</c:v>
                      </c:pt>
                      <c:pt idx="2">
                        <c:v>274.14609999999999</c:v>
                      </c:pt>
                      <c:pt idx="3">
                        <c:v>248.19139999999999</c:v>
                      </c:pt>
                      <c:pt idx="4">
                        <c:v>211.5847</c:v>
                      </c:pt>
                      <c:pt idx="5">
                        <c:v>200.6003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CD-48AE-BFBC-98F49A2E569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050505'!$D$59:$D$64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5.2676677023988514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050505'!$K$59:$K$65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369.75490000000002</c:v>
                      </c:pt>
                      <c:pt idx="1">
                        <c:v>339.37029999999999</c:v>
                      </c:pt>
                      <c:pt idx="2">
                        <c:v>295.21390000000002</c:v>
                      </c:pt>
                      <c:pt idx="3">
                        <c:v>271.54809999999998</c:v>
                      </c:pt>
                      <c:pt idx="4">
                        <c:v>260.2448</c:v>
                      </c:pt>
                      <c:pt idx="5">
                        <c:v>245.3673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CD-48AE-BFBC-98F49A2E569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050505'!$D$67:$D$72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5.0653949430406557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3.6533986868675403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050505'!$K$67:$K$72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408.30419999999998</c:v>
                      </c:pt>
                      <c:pt idx="1">
                        <c:v>384.7869</c:v>
                      </c:pt>
                      <c:pt idx="2">
                        <c:v>356.0102</c:v>
                      </c:pt>
                      <c:pt idx="3">
                        <c:v>331.26920000000001</c:v>
                      </c:pt>
                      <c:pt idx="4">
                        <c:v>293.71539999999999</c:v>
                      </c:pt>
                      <c:pt idx="5">
                        <c:v>264.03829999999999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CD-48AE-BFBC-98F49A2E569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050505'!$D$75:$D$82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4.2201346805617597</c:v>
                      </c:pt>
                      <c:pt idx="3">
                        <c:v>4.0038566309211898</c:v>
                      </c:pt>
                      <c:pt idx="4">
                        <c:v>3.8882416114697702</c:v>
                      </c:pt>
                      <c:pt idx="5">
                        <c:v>3.69061358519046</c:v>
                      </c:pt>
                      <c:pt idx="6">
                        <c:v>3.3424664174525498</c:v>
                      </c:pt>
                      <c:pt idx="7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050505'!$K$75:$K$82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484.3202</c:v>
                      </c:pt>
                      <c:pt idx="1">
                        <c:v>444.26560000000001</c:v>
                      </c:pt>
                      <c:pt idx="2">
                        <c:v>431.4778</c:v>
                      </c:pt>
                      <c:pt idx="3">
                        <c:v>417.70359999999999</c:v>
                      </c:pt>
                      <c:pt idx="4">
                        <c:v>408.07740000000001</c:v>
                      </c:pt>
                      <c:pt idx="5">
                        <c:v>393.55110000000002</c:v>
                      </c:pt>
                      <c:pt idx="6">
                        <c:v>368.24669999999998</c:v>
                      </c:pt>
                      <c:pt idx="7">
                        <c:v>304.6019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CD-48AE-BFBC-98F49A2E5693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55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Power</a:t>
                </a:r>
                <a:r>
                  <a:rPr lang="en-SG" baseline="0"/>
                  <a:t> (W)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436681496364447E-2"/>
              <c:y val="0.37548196359939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3709259259259261"/>
          <c:y val="0.24954638888888889"/>
          <c:w val="0.13233333333333333"/>
          <c:h val="0.4055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wo heat (final)'!$E$44:$E$82</c:f>
              <c:numCache>
                <c:formatCode>General</c:formatCode>
                <c:ptCount val="39"/>
                <c:pt idx="0">
                  <c:v>0.49030000000000001</c:v>
                </c:pt>
                <c:pt idx="1">
                  <c:v>0.49919999999999998</c:v>
                </c:pt>
                <c:pt idx="2">
                  <c:v>0.50919999999999999</c:v>
                </c:pt>
                <c:pt idx="3">
                  <c:v>0.52070000000000005</c:v>
                </c:pt>
                <c:pt idx="4">
                  <c:v>0.54530000000000001</c:v>
                </c:pt>
                <c:pt idx="7">
                  <c:v>0.59950000000000003</c:v>
                </c:pt>
                <c:pt idx="8">
                  <c:v>0.59489999999999998</c:v>
                </c:pt>
                <c:pt idx="9">
                  <c:v>0.60740000000000005</c:v>
                </c:pt>
                <c:pt idx="10">
                  <c:v>0.62160000000000004</c:v>
                </c:pt>
                <c:pt idx="11">
                  <c:v>0.64170000000000005</c:v>
                </c:pt>
                <c:pt idx="12">
                  <c:v>0.65810000000000002</c:v>
                </c:pt>
                <c:pt idx="15">
                  <c:v>0.72150000000000003</c:v>
                </c:pt>
                <c:pt idx="16">
                  <c:v>0.73440000000000005</c:v>
                </c:pt>
                <c:pt idx="17">
                  <c:v>0.75649999999999995</c:v>
                </c:pt>
                <c:pt idx="18">
                  <c:v>0.76780000000000004</c:v>
                </c:pt>
                <c:pt idx="19">
                  <c:v>0.77439999999999998</c:v>
                </c:pt>
                <c:pt idx="20">
                  <c:v>0.78300000000000003</c:v>
                </c:pt>
                <c:pt idx="23">
                  <c:v>0.84360000000000002</c:v>
                </c:pt>
                <c:pt idx="24">
                  <c:v>0.85299999999999998</c:v>
                </c:pt>
                <c:pt idx="25">
                  <c:v>0.86799999999999999</c:v>
                </c:pt>
                <c:pt idx="26">
                  <c:v>0.87719999999999998</c:v>
                </c:pt>
                <c:pt idx="27">
                  <c:v>0.89439999999999997</c:v>
                </c:pt>
                <c:pt idx="28">
                  <c:v>0.91010000000000002</c:v>
                </c:pt>
                <c:pt idx="31">
                  <c:v>0.99939999999999996</c:v>
                </c:pt>
                <c:pt idx="32">
                  <c:v>1.0165999999999999</c:v>
                </c:pt>
                <c:pt idx="33">
                  <c:v>1.0238</c:v>
                </c:pt>
                <c:pt idx="34">
                  <c:v>1.0290999999999999</c:v>
                </c:pt>
                <c:pt idx="35">
                  <c:v>1.0304</c:v>
                </c:pt>
                <c:pt idx="36">
                  <c:v>1.0348999999999999</c:v>
                </c:pt>
                <c:pt idx="37">
                  <c:v>1.0467</c:v>
                </c:pt>
                <c:pt idx="38">
                  <c:v>1.0748</c:v>
                </c:pt>
              </c:numCache>
            </c:numRef>
          </c:xVal>
          <c:yVal>
            <c:numRef>
              <c:f>'Overall wo heat (final)'!$G$44:$G$82</c:f>
              <c:numCache>
                <c:formatCode>General</c:formatCode>
                <c:ptCount val="39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  <c:pt idx="7">
                  <c:v>0.49942621079699617</c:v>
                </c:pt>
                <c:pt idx="8">
                  <c:v>0.51458234662294589</c:v>
                </c:pt>
                <c:pt idx="9">
                  <c:v>0.48213212885652895</c:v>
                </c:pt>
                <c:pt idx="10">
                  <c:v>0.55282985811386409</c:v>
                </c:pt>
                <c:pt idx="11">
                  <c:v>0.55064360312853888</c:v>
                </c:pt>
                <c:pt idx="12">
                  <c:v>0.60090268980389583</c:v>
                </c:pt>
                <c:pt idx="15">
                  <c:v>0.50071646745959986</c:v>
                </c:pt>
                <c:pt idx="16">
                  <c:v>0.60263466997840687</c:v>
                </c:pt>
                <c:pt idx="17">
                  <c:v>0.69666610752823155</c:v>
                </c:pt>
                <c:pt idx="18">
                  <c:v>0.73556884310464887</c:v>
                </c:pt>
                <c:pt idx="19">
                  <c:v>0.80311495788323939</c:v>
                </c:pt>
                <c:pt idx="20">
                  <c:v>0.84332212411016105</c:v>
                </c:pt>
                <c:pt idx="23">
                  <c:v>0.80530956514993424</c:v>
                </c:pt>
                <c:pt idx="24">
                  <c:v>0.85827402956532706</c:v>
                </c:pt>
                <c:pt idx="25">
                  <c:v>0.90545505322499509</c:v>
                </c:pt>
                <c:pt idx="26">
                  <c:v>1.0884625091260001</c:v>
                </c:pt>
                <c:pt idx="27">
                  <c:v>1.0201251626579322</c:v>
                </c:pt>
                <c:pt idx="28">
                  <c:v>1.0094910734070963</c:v>
                </c:pt>
                <c:pt idx="31">
                  <c:v>0.86906064601320965</c:v>
                </c:pt>
                <c:pt idx="32">
                  <c:v>0.94847363500753468</c:v>
                </c:pt>
                <c:pt idx="33">
                  <c:v>0.94549204078864424</c:v>
                </c:pt>
                <c:pt idx="34">
                  <c:v>1.042829287775632</c:v>
                </c:pt>
                <c:pt idx="35">
                  <c:v>1.1484048601961037</c:v>
                </c:pt>
                <c:pt idx="36">
                  <c:v>1.1631977237886615</c:v>
                </c:pt>
                <c:pt idx="37">
                  <c:v>1.1657191081274199</c:v>
                </c:pt>
                <c:pt idx="38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3-4003-8BC9-FDCD102CD790}"/>
            </c:ext>
          </c:extLst>
        </c:ser>
        <c:ser>
          <c:idx val="1"/>
          <c:order val="1"/>
          <c:tx>
            <c:v>line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wo heat (final)'!$A$87:$A$88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'Overall wo heat (final)'!$B$87:$B$88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3-4003-8BC9-FDCD102CD790}"/>
            </c:ext>
          </c:extLst>
        </c:ser>
        <c:ser>
          <c:idx val="2"/>
          <c:order val="2"/>
          <c:tx>
            <c:v>15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(final) 050505'!$C$126:$C$127</c:f>
              <c:numCache>
                <c:formatCode>General</c:formatCode>
                <c:ptCount val="2"/>
                <c:pt idx="0">
                  <c:v>0.3</c:v>
                </c:pt>
                <c:pt idx="1">
                  <c:v>1.4</c:v>
                </c:pt>
              </c:numCache>
            </c:numRef>
          </c:xVal>
          <c:yVal>
            <c:numRef>
              <c:f>'Overall w heat (final) 050505'!$D$126:$D$127</c:f>
              <c:numCache>
                <c:formatCode>General</c:formatCode>
                <c:ptCount val="2"/>
                <c:pt idx="0">
                  <c:v>0.34499999999999997</c:v>
                </c:pt>
                <c:pt idx="1">
                  <c:v>1.6099999999999999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03-4003-8BC9-FDCD102CD790}"/>
            </c:ext>
          </c:extLst>
        </c:ser>
        <c:ser>
          <c:idx val="3"/>
          <c:order val="3"/>
          <c:tx>
            <c:v>-15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(final) 050505'!$E$126:$E$127</c:f>
              <c:numCache>
                <c:formatCode>General</c:formatCode>
                <c:ptCount val="2"/>
                <c:pt idx="0">
                  <c:v>0.3</c:v>
                </c:pt>
                <c:pt idx="1">
                  <c:v>1.4</c:v>
                </c:pt>
              </c:numCache>
            </c:numRef>
          </c:xVal>
          <c:yVal>
            <c:numRef>
              <c:f>'Overall w heat (final) 050505'!$F$126:$F$127</c:f>
              <c:numCache>
                <c:formatCode>General</c:formatCode>
                <c:ptCount val="2"/>
                <c:pt idx="0">
                  <c:v>0.255</c:v>
                </c:pt>
                <c:pt idx="1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03-4003-8BC9-FDCD102C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02399"/>
        <c:axId val="2057133919"/>
      </c:scatterChart>
      <c:valAx>
        <c:axId val="2056302399"/>
        <c:scaling>
          <c:orientation val="minMax"/>
          <c:max val="1.3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33919"/>
        <c:crosses val="autoZero"/>
        <c:crossBetween val="midCat"/>
      </c:valAx>
      <c:valAx>
        <c:axId val="2057133919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0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w heat (final) 050505'!$K$44:$K$82</c:f>
              <c:numCache>
                <c:formatCode>General</c:formatCode>
                <c:ptCount val="39"/>
                <c:pt idx="0">
                  <c:v>237.3811</c:v>
                </c:pt>
                <c:pt idx="1">
                  <c:v>217.6027</c:v>
                </c:pt>
                <c:pt idx="2">
                  <c:v>205.1644</c:v>
                </c:pt>
                <c:pt idx="3">
                  <c:v>186.5256</c:v>
                </c:pt>
                <c:pt idx="4">
                  <c:v>159.3312</c:v>
                </c:pt>
                <c:pt idx="7">
                  <c:v>315.46120000000002</c:v>
                </c:pt>
                <c:pt idx="8">
                  <c:v>295.88740000000001</c:v>
                </c:pt>
                <c:pt idx="9">
                  <c:v>274.14609999999999</c:v>
                </c:pt>
                <c:pt idx="10">
                  <c:v>248.19139999999999</c:v>
                </c:pt>
                <c:pt idx="11">
                  <c:v>211.5847</c:v>
                </c:pt>
                <c:pt idx="12">
                  <c:v>200.6003</c:v>
                </c:pt>
                <c:pt idx="15">
                  <c:v>369.75490000000002</c:v>
                </c:pt>
                <c:pt idx="16">
                  <c:v>339.37029999999999</c:v>
                </c:pt>
                <c:pt idx="17">
                  <c:v>295.21390000000002</c:v>
                </c:pt>
                <c:pt idx="18">
                  <c:v>271.54809999999998</c:v>
                </c:pt>
                <c:pt idx="19">
                  <c:v>260.2448</c:v>
                </c:pt>
                <c:pt idx="20">
                  <c:v>245.3673</c:v>
                </c:pt>
                <c:pt idx="23">
                  <c:v>408.30419999999998</c:v>
                </c:pt>
                <c:pt idx="24">
                  <c:v>384.7869</c:v>
                </c:pt>
                <c:pt idx="25">
                  <c:v>356.0102</c:v>
                </c:pt>
                <c:pt idx="26">
                  <c:v>331.26920000000001</c:v>
                </c:pt>
                <c:pt idx="27">
                  <c:v>293.71539999999999</c:v>
                </c:pt>
                <c:pt idx="28">
                  <c:v>264.03829999999999</c:v>
                </c:pt>
                <c:pt idx="31">
                  <c:v>484.3202</c:v>
                </c:pt>
                <c:pt idx="32">
                  <c:v>444.26560000000001</c:v>
                </c:pt>
                <c:pt idx="33">
                  <c:v>431.4778</c:v>
                </c:pt>
                <c:pt idx="34">
                  <c:v>417.70359999999999</c:v>
                </c:pt>
                <c:pt idx="35">
                  <c:v>408.07740000000001</c:v>
                </c:pt>
                <c:pt idx="36">
                  <c:v>393.55110000000002</c:v>
                </c:pt>
                <c:pt idx="37">
                  <c:v>368.24669999999998</c:v>
                </c:pt>
                <c:pt idx="38">
                  <c:v>304.6019</c:v>
                </c:pt>
              </c:numCache>
            </c:numRef>
          </c:xVal>
          <c:yVal>
            <c:numRef>
              <c:f>'Overall w heat (final) 050505'!$M$44:$M$82</c:f>
              <c:numCache>
                <c:formatCode>General</c:formatCode>
                <c:ptCount val="39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  <c:pt idx="7">
                  <c:v>312.41254145595809</c:v>
                </c:pt>
                <c:pt idx="8">
                  <c:v>277.23925387205941</c:v>
                </c:pt>
                <c:pt idx="9">
                  <c:v>252.5835649599077</c:v>
                </c:pt>
                <c:pt idx="10">
                  <c:v>233.85095355199863</c:v>
                </c:pt>
                <c:pt idx="11">
                  <c:v>203.92491114934344</c:v>
                </c:pt>
                <c:pt idx="12">
                  <c:v>199.07794559162474</c:v>
                </c:pt>
                <c:pt idx="15">
                  <c:v>350.36119156039933</c:v>
                </c:pt>
                <c:pt idx="16">
                  <c:v>318.37107478027991</c:v>
                </c:pt>
                <c:pt idx="17">
                  <c:v>289.30173145285579</c:v>
                </c:pt>
                <c:pt idx="18">
                  <c:v>271.84554968579704</c:v>
                </c:pt>
                <c:pt idx="19">
                  <c:v>257.37260775625094</c:v>
                </c:pt>
                <c:pt idx="20">
                  <c:v>242.54161373792925</c:v>
                </c:pt>
                <c:pt idx="23">
                  <c:v>414.98108314334672</c:v>
                </c:pt>
                <c:pt idx="24">
                  <c:v>377.6009892173239</c:v>
                </c:pt>
                <c:pt idx="25">
                  <c:v>348.33822229195874</c:v>
                </c:pt>
                <c:pt idx="26">
                  <c:v>344.11790533548407</c:v>
                </c:pt>
                <c:pt idx="27">
                  <c:v>310.51013897327994</c:v>
                </c:pt>
                <c:pt idx="28">
                  <c:v>272.32024194294416</c:v>
                </c:pt>
                <c:pt idx="31">
                  <c:v>496.993999338386</c:v>
                </c:pt>
                <c:pt idx="32">
                  <c:v>455.1477762194761</c:v>
                </c:pt>
                <c:pt idx="33">
                  <c:v>433.13431702395167</c:v>
                </c:pt>
                <c:pt idx="34">
                  <c:v>404.21583325687345</c:v>
                </c:pt>
                <c:pt idx="35">
                  <c:v>411.38884927145062</c:v>
                </c:pt>
                <c:pt idx="36">
                  <c:v>362.03189924269998</c:v>
                </c:pt>
                <c:pt idx="37">
                  <c:v>343.19032930307435</c:v>
                </c:pt>
                <c:pt idx="38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C-4DB2-ACD2-F54595778BCD}"/>
            </c:ext>
          </c:extLst>
        </c:ser>
        <c:ser>
          <c:idx val="1"/>
          <c:order val="1"/>
          <c:tx>
            <c:v>15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(final) 050505'!$C$130:$C$131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(final) 050505'!$D$130:$D$131</c:f>
              <c:numCache>
                <c:formatCode>General</c:formatCode>
                <c:ptCount val="2"/>
                <c:pt idx="0">
                  <c:v>109</c:v>
                </c:pt>
                <c:pt idx="1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C-4DB2-ACD2-F54595778BCD}"/>
            </c:ext>
          </c:extLst>
        </c:ser>
        <c:ser>
          <c:idx val="2"/>
          <c:order val="2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'Overall w heat (final) 050505'!$A$130:$A$131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(final) 050505'!$B$130:$B$131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C-4DB2-ACD2-F54595778BCD}"/>
            </c:ext>
          </c:extLst>
        </c:ser>
        <c:ser>
          <c:idx val="3"/>
          <c:order val="3"/>
          <c:tx>
            <c:v>-15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9CC-4DB2-ACD2-F54595778BCD}"/>
              </c:ext>
            </c:extLst>
          </c:dPt>
          <c:xVal>
            <c:numRef>
              <c:f>'Overall w heat (final) 050505'!$E$130:$E$131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(final) 050505'!$F$130:$F$131</c:f>
              <c:numCache>
                <c:formatCode>General</c:formatCode>
                <c:ptCount val="2"/>
                <c:pt idx="0">
                  <c:v>91</c:v>
                </c:pt>
                <c:pt idx="1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C-4DB2-ACD2-F54595778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75672"/>
        <c:crosses val="autoZero"/>
        <c:crossBetween val="midCat"/>
      </c:valAx>
      <c:valAx>
        <c:axId val="733675672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786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(final) 050505'!$A$45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050505'!$D$44:$D$48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2.3975521098447876</c:v>
                </c:pt>
              </c:numCache>
            </c:numRef>
          </c:xVal>
          <c:yVal>
            <c:numRef>
              <c:f>'Overall w heat (final) 050505'!$M$44:$M$48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3-46AD-9505-B8922224317F}"/>
            </c:ext>
          </c:extLst>
        </c:ser>
        <c:ser>
          <c:idx val="4"/>
          <c:order val="1"/>
          <c:tx>
            <c:strRef>
              <c:f>'Overall w heat (final) 050505'!$A$52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050505'!$D$51:$D$56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w heat (final) 050505'!$M$51:$M$56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3-46AD-9505-B8922224317F}"/>
            </c:ext>
          </c:extLst>
        </c:ser>
        <c:ser>
          <c:idx val="5"/>
          <c:order val="2"/>
          <c:tx>
            <c:strRef>
              <c:f>'Overall w heat (final) 050505'!$A$60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(final) 050505'!$D$59:$D$64</c:f>
              <c:numCache>
                <c:formatCode>0.000</c:formatCode>
                <c:ptCount val="6"/>
                <c:pt idx="0">
                  <c:v>5.2676677023988514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(final) 050505'!$M$59:$M$64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23-46AD-9505-B8922224317F}"/>
            </c:ext>
          </c:extLst>
        </c:ser>
        <c:ser>
          <c:idx val="3"/>
          <c:order val="3"/>
          <c:tx>
            <c:strRef>
              <c:f>'Overall w heat (final) 050505'!$A$67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050505'!$D$67:$D$72</c:f>
              <c:numCache>
                <c:formatCode>0.000</c:formatCode>
                <c:ptCount val="6"/>
                <c:pt idx="0">
                  <c:v>5.0653949430406557</c:v>
                </c:pt>
                <c:pt idx="1">
                  <c:v>4.5816778072219542</c:v>
                </c:pt>
                <c:pt idx="2">
                  <c:v>4.0282260804900449</c:v>
                </c:pt>
                <c:pt idx="3">
                  <c:v>3.6533986868675403</c:v>
                </c:pt>
                <c:pt idx="4">
                  <c:v>3.0732756854133072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(final) 050505'!$M$67:$M$72</c:f>
              <c:numCache>
                <c:formatCode>General</c:formatCode>
                <c:ptCount val="6"/>
                <c:pt idx="0">
                  <c:v>414.98108314334672</c:v>
                </c:pt>
                <c:pt idx="1">
                  <c:v>377.6009892173239</c:v>
                </c:pt>
                <c:pt idx="2">
                  <c:v>348.33822229195874</c:v>
                </c:pt>
                <c:pt idx="3">
                  <c:v>344.11790533548407</c:v>
                </c:pt>
                <c:pt idx="4">
                  <c:v>310.51013897327994</c:v>
                </c:pt>
                <c:pt idx="5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23-46AD-9505-B8922224317F}"/>
            </c:ext>
          </c:extLst>
        </c:ser>
        <c:ser>
          <c:idx val="1"/>
          <c:order val="4"/>
          <c:tx>
            <c:strRef>
              <c:f>'Overall w heat (final) 050505'!$A$75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(final) 050505'!$D$75:$D$82</c:f>
              <c:numCache>
                <c:formatCode>0.000</c:formatCode>
                <c:ptCount val="8"/>
                <c:pt idx="0">
                  <c:v>5.1395527310525901</c:v>
                </c:pt>
                <c:pt idx="1">
                  <c:v>4.4350470643170903</c:v>
                </c:pt>
                <c:pt idx="2">
                  <c:v>4.2201346805617597</c:v>
                </c:pt>
                <c:pt idx="3">
                  <c:v>4.0038566309211898</c:v>
                </c:pt>
                <c:pt idx="4">
                  <c:v>3.8882416114697702</c:v>
                </c:pt>
                <c:pt idx="5">
                  <c:v>3.69061358519046</c:v>
                </c:pt>
                <c:pt idx="6">
                  <c:v>3.3424664174525498</c:v>
                </c:pt>
                <c:pt idx="7">
                  <c:v>2.5472304393617602</c:v>
                </c:pt>
              </c:numCache>
            </c:numRef>
          </c:xVal>
          <c:yVal>
            <c:numRef>
              <c:f>'Overall w heat (final) 050505'!$M$75:$M$82</c:f>
              <c:numCache>
                <c:formatCode>General</c:formatCode>
                <c:ptCount val="8"/>
                <c:pt idx="0">
                  <c:v>496.993999338386</c:v>
                </c:pt>
                <c:pt idx="1">
                  <c:v>455.1477762194761</c:v>
                </c:pt>
                <c:pt idx="2">
                  <c:v>433.13431702395167</c:v>
                </c:pt>
                <c:pt idx="3">
                  <c:v>404.21583325687345</c:v>
                </c:pt>
                <c:pt idx="4">
                  <c:v>411.38884927145062</c:v>
                </c:pt>
                <c:pt idx="5">
                  <c:v>362.03189924269998</c:v>
                </c:pt>
                <c:pt idx="6">
                  <c:v>343.19032930307435</c:v>
                </c:pt>
                <c:pt idx="7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23-46AD-9505-B89222243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(final) 050505'!$D$44:$D$48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4.2632226981025712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(final) 050505'!$K$44:$K$48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237.3811</c:v>
                      </c:pt>
                      <c:pt idx="1">
                        <c:v>217.6027</c:v>
                      </c:pt>
                      <c:pt idx="2">
                        <c:v>205.1644</c:v>
                      </c:pt>
                      <c:pt idx="3">
                        <c:v>186.5256</c:v>
                      </c:pt>
                      <c:pt idx="4">
                        <c:v>159.3312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123-46AD-9505-B8922224317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050505'!$D$51:$D$56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5.253362586763715</c:v>
                      </c:pt>
                      <c:pt idx="1">
                        <c:v>4.8223075689095696</c:v>
                      </c:pt>
                      <c:pt idx="2">
                        <c:v>4.236297847863618</c:v>
                      </c:pt>
                      <c:pt idx="3">
                        <c:v>3.661602244140135</c:v>
                      </c:pt>
                      <c:pt idx="4">
                        <c:v>2.9220510847489072</c:v>
                      </c:pt>
                      <c:pt idx="5">
                        <c:v>2.6698755104625538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050505'!$K$51:$K$56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315.46120000000002</c:v>
                      </c:pt>
                      <c:pt idx="1">
                        <c:v>295.88740000000001</c:v>
                      </c:pt>
                      <c:pt idx="2">
                        <c:v>274.14609999999999</c:v>
                      </c:pt>
                      <c:pt idx="3">
                        <c:v>248.19139999999999</c:v>
                      </c:pt>
                      <c:pt idx="4">
                        <c:v>211.5847</c:v>
                      </c:pt>
                      <c:pt idx="5">
                        <c:v>200.6003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23-46AD-9505-B8922224317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050505'!$D$59:$D$64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5.2676677023988514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050505'!$K$59:$K$65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369.75490000000002</c:v>
                      </c:pt>
                      <c:pt idx="1">
                        <c:v>339.37029999999999</c:v>
                      </c:pt>
                      <c:pt idx="2">
                        <c:v>295.21390000000002</c:v>
                      </c:pt>
                      <c:pt idx="3">
                        <c:v>271.54809999999998</c:v>
                      </c:pt>
                      <c:pt idx="4">
                        <c:v>260.2448</c:v>
                      </c:pt>
                      <c:pt idx="5">
                        <c:v>245.3673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23-46AD-9505-B8922224317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050505'!$D$67:$D$72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5.0653949430406557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3.6533986868675403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050505'!$K$67:$K$72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408.30419999999998</c:v>
                      </c:pt>
                      <c:pt idx="1">
                        <c:v>384.7869</c:v>
                      </c:pt>
                      <c:pt idx="2">
                        <c:v>356.0102</c:v>
                      </c:pt>
                      <c:pt idx="3">
                        <c:v>331.26920000000001</c:v>
                      </c:pt>
                      <c:pt idx="4">
                        <c:v>293.71539999999999</c:v>
                      </c:pt>
                      <c:pt idx="5">
                        <c:v>264.03829999999999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23-46AD-9505-B8922224317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050505'!$D$75:$D$82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4.2201346805617597</c:v>
                      </c:pt>
                      <c:pt idx="3">
                        <c:v>4.0038566309211898</c:v>
                      </c:pt>
                      <c:pt idx="4">
                        <c:v>3.8882416114697702</c:v>
                      </c:pt>
                      <c:pt idx="5">
                        <c:v>3.69061358519046</c:v>
                      </c:pt>
                      <c:pt idx="6">
                        <c:v>3.3424664174525498</c:v>
                      </c:pt>
                      <c:pt idx="7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050505'!$K$75:$K$82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484.3202</c:v>
                      </c:pt>
                      <c:pt idx="1">
                        <c:v>444.26560000000001</c:v>
                      </c:pt>
                      <c:pt idx="2">
                        <c:v>431.4778</c:v>
                      </c:pt>
                      <c:pt idx="3">
                        <c:v>417.70359999999999</c:v>
                      </c:pt>
                      <c:pt idx="4">
                        <c:v>408.07740000000001</c:v>
                      </c:pt>
                      <c:pt idx="5">
                        <c:v>393.55110000000002</c:v>
                      </c:pt>
                      <c:pt idx="6">
                        <c:v>368.24669999999998</c:v>
                      </c:pt>
                      <c:pt idx="7">
                        <c:v>304.6019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23-46AD-9505-B8922224317F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55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Average Power Input</a:t>
                </a:r>
                <a:r>
                  <a:rPr lang="en-SG" baseline="0"/>
                  <a:t> (W)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4366851851851851E-2"/>
              <c:y val="0.14617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3709259259259261"/>
          <c:y val="0.24954638888888889"/>
          <c:w val="0.13233333333333333"/>
          <c:h val="0.4055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wo heat (final)'!$A$45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wo heat (final)'!$D$44:$D$48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2.3975521098447876</c:v>
                </c:pt>
              </c:numCache>
            </c:numRef>
          </c:xVal>
          <c:yVal>
            <c:numRef>
              <c:f>'Overall wo heat (final)'!$G$44:$G$48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7-433D-B8CF-0686AD90E2C4}"/>
            </c:ext>
          </c:extLst>
        </c:ser>
        <c:ser>
          <c:idx val="4"/>
          <c:order val="1"/>
          <c:tx>
            <c:strRef>
              <c:f>'Overall wo heat (final)'!$A$52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wo heat (final)'!$D$51:$D$56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wo heat (final)'!$G$51:$G$56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7-433D-B8CF-0686AD90E2C4}"/>
            </c:ext>
          </c:extLst>
        </c:ser>
        <c:ser>
          <c:idx val="5"/>
          <c:order val="2"/>
          <c:tx>
            <c:strRef>
              <c:f>'Overall wo heat (final)'!$A$60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wo heat (final)'!$D$59:$D$64</c:f>
              <c:numCache>
                <c:formatCode>0.000</c:formatCode>
                <c:ptCount val="6"/>
                <c:pt idx="0">
                  <c:v>5.2676677023988514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wo heat (final)'!$G$59:$G$64</c:f>
              <c:numCache>
                <c:formatCode>General</c:formatCode>
                <c:ptCount val="6"/>
                <c:pt idx="0">
                  <c:v>0.50071646745959986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7-433D-B8CF-0686AD90E2C4}"/>
            </c:ext>
          </c:extLst>
        </c:ser>
        <c:ser>
          <c:idx val="3"/>
          <c:order val="3"/>
          <c:tx>
            <c:strRef>
              <c:f>'Overall wo heat (final)'!$A$67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wo heat (final)'!$D$67:$D$72</c:f>
              <c:numCache>
                <c:formatCode>0.000</c:formatCode>
                <c:ptCount val="6"/>
                <c:pt idx="0">
                  <c:v>5.0653949430406557</c:v>
                </c:pt>
                <c:pt idx="1">
                  <c:v>4.5816778072219542</c:v>
                </c:pt>
                <c:pt idx="2">
                  <c:v>4.0282260804900449</c:v>
                </c:pt>
                <c:pt idx="3">
                  <c:v>3.6533986868675403</c:v>
                </c:pt>
                <c:pt idx="4">
                  <c:v>3.0732756854133072</c:v>
                </c:pt>
                <c:pt idx="5">
                  <c:v>2.6401044471753301</c:v>
                </c:pt>
              </c:numCache>
            </c:numRef>
          </c:xVal>
          <c:yVal>
            <c:numRef>
              <c:f>'Overall wo heat (final)'!$G$67:$G$72</c:f>
              <c:numCache>
                <c:formatCode>General</c:formatCode>
                <c:ptCount val="6"/>
                <c:pt idx="0">
                  <c:v>0.80530956514993424</c:v>
                </c:pt>
                <c:pt idx="1">
                  <c:v>0.85827402956532706</c:v>
                </c:pt>
                <c:pt idx="2">
                  <c:v>0.90545505322499509</c:v>
                </c:pt>
                <c:pt idx="3">
                  <c:v>1.0884625091260001</c:v>
                </c:pt>
                <c:pt idx="4">
                  <c:v>1.0201251626579322</c:v>
                </c:pt>
                <c:pt idx="5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A7-433D-B8CF-0686AD90E2C4}"/>
            </c:ext>
          </c:extLst>
        </c:ser>
        <c:ser>
          <c:idx val="1"/>
          <c:order val="4"/>
          <c:tx>
            <c:strRef>
              <c:f>'Overall wo heat (final)'!$A$75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wo heat (final)'!$D$75:$D$82</c:f>
              <c:numCache>
                <c:formatCode>0.000</c:formatCode>
                <c:ptCount val="8"/>
                <c:pt idx="0">
                  <c:v>5.1395527310525901</c:v>
                </c:pt>
                <c:pt idx="1">
                  <c:v>4.4350470643170903</c:v>
                </c:pt>
                <c:pt idx="2">
                  <c:v>4.2201346805617597</c:v>
                </c:pt>
                <c:pt idx="3">
                  <c:v>4.0038566309211898</c:v>
                </c:pt>
                <c:pt idx="4">
                  <c:v>3.8882416114697702</c:v>
                </c:pt>
                <c:pt idx="5">
                  <c:v>3.69061358519046</c:v>
                </c:pt>
                <c:pt idx="6">
                  <c:v>3.3424664174525498</c:v>
                </c:pt>
                <c:pt idx="7">
                  <c:v>2.5472304393617602</c:v>
                </c:pt>
              </c:numCache>
            </c:numRef>
          </c:xVal>
          <c:yVal>
            <c:numRef>
              <c:f>'Overall wo heat (final)'!$G$75:$G$82</c:f>
              <c:numCache>
                <c:formatCode>General</c:formatCode>
                <c:ptCount val="8"/>
                <c:pt idx="0">
                  <c:v>0.86906064601320965</c:v>
                </c:pt>
                <c:pt idx="1">
                  <c:v>0.94847363500753468</c:v>
                </c:pt>
                <c:pt idx="2">
                  <c:v>0.94549204078864424</c:v>
                </c:pt>
                <c:pt idx="3">
                  <c:v>1.042829287775632</c:v>
                </c:pt>
                <c:pt idx="4">
                  <c:v>1.1484048601961037</c:v>
                </c:pt>
                <c:pt idx="5">
                  <c:v>1.1631977237886615</c:v>
                </c:pt>
                <c:pt idx="6">
                  <c:v>1.1657191081274199</c:v>
                </c:pt>
                <c:pt idx="7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A7-433D-B8CF-0686AD90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wo heat (final)'!$D$44:$D$48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4.2632226981025712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wo heat (final)'!$E$44:$E$48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0.49030000000000001</c:v>
                      </c:pt>
                      <c:pt idx="1">
                        <c:v>0.49919999999999998</c:v>
                      </c:pt>
                      <c:pt idx="2">
                        <c:v>0.50919999999999999</c:v>
                      </c:pt>
                      <c:pt idx="3">
                        <c:v>0.52070000000000005</c:v>
                      </c:pt>
                      <c:pt idx="4">
                        <c:v>0.54530000000000001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4A7-433D-B8CF-0686AD90E2C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P_1639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wo heat (final)'!$D$59:$D$64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5.2676677023988514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wo heat (final)'!$E$59:$E$64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0.72150000000000003</c:v>
                      </c:pt>
                      <c:pt idx="1">
                        <c:v>0.73440000000000005</c:v>
                      </c:pt>
                      <c:pt idx="2">
                        <c:v>0.75649999999999995</c:v>
                      </c:pt>
                      <c:pt idx="3">
                        <c:v>0.76780000000000004</c:v>
                      </c:pt>
                      <c:pt idx="4">
                        <c:v>0.77439999999999998</c:v>
                      </c:pt>
                      <c:pt idx="5">
                        <c:v>0.78300000000000003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A7-433D-B8CF-0686AD90E2C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wo heat (final)'!$D$51:$D$56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5.253362586763715</c:v>
                      </c:pt>
                      <c:pt idx="1">
                        <c:v>4.8223075689095696</c:v>
                      </c:pt>
                      <c:pt idx="2">
                        <c:v>4.236297847863618</c:v>
                      </c:pt>
                      <c:pt idx="3">
                        <c:v>3.661602244140135</c:v>
                      </c:pt>
                      <c:pt idx="4">
                        <c:v>2.9220510847489072</c:v>
                      </c:pt>
                      <c:pt idx="5">
                        <c:v>2.6698755104625538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wo heat (final)'!$E$51:$E$56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0.59950000000000003</c:v>
                      </c:pt>
                      <c:pt idx="1">
                        <c:v>0.59489999999999998</c:v>
                      </c:pt>
                      <c:pt idx="2">
                        <c:v>0.60740000000000005</c:v>
                      </c:pt>
                      <c:pt idx="3">
                        <c:v>0.62160000000000004</c:v>
                      </c:pt>
                      <c:pt idx="4">
                        <c:v>0.64170000000000005</c:v>
                      </c:pt>
                      <c:pt idx="5">
                        <c:v>0.65810000000000002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A7-433D-B8CF-0686AD90E2C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wo heat (final)'!$D$67:$D$72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5.0653949430406557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3.6533986868675403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wo heat (final)'!$E$67:$E$72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0.84360000000000002</c:v>
                      </c:pt>
                      <c:pt idx="1">
                        <c:v>0.85299999999999998</c:v>
                      </c:pt>
                      <c:pt idx="2">
                        <c:v>0.86799999999999999</c:v>
                      </c:pt>
                      <c:pt idx="3">
                        <c:v>0.87719999999999998</c:v>
                      </c:pt>
                      <c:pt idx="4">
                        <c:v>0.89439999999999997</c:v>
                      </c:pt>
                      <c:pt idx="5">
                        <c:v>0.91010000000000002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A7-433D-B8CF-0686AD90E2C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wo heat (final)'!$D$75:$D$82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4.2201346805617597</c:v>
                      </c:pt>
                      <c:pt idx="3">
                        <c:v>4.0038566309211898</c:v>
                      </c:pt>
                      <c:pt idx="4">
                        <c:v>3.8882416114697702</c:v>
                      </c:pt>
                      <c:pt idx="5">
                        <c:v>3.69061358519046</c:v>
                      </c:pt>
                      <c:pt idx="6">
                        <c:v>3.3424664174525498</c:v>
                      </c:pt>
                      <c:pt idx="7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wo heat (final)'!$E$75:$E$82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0.99939999999999996</c:v>
                      </c:pt>
                      <c:pt idx="1">
                        <c:v>1.0165999999999999</c:v>
                      </c:pt>
                      <c:pt idx="2">
                        <c:v>1.0238</c:v>
                      </c:pt>
                      <c:pt idx="3">
                        <c:v>1.0290999999999999</c:v>
                      </c:pt>
                      <c:pt idx="4">
                        <c:v>1.0304</c:v>
                      </c:pt>
                      <c:pt idx="5">
                        <c:v>1.0348999999999999</c:v>
                      </c:pt>
                      <c:pt idx="6">
                        <c:v>1.0467</c:v>
                      </c:pt>
                      <c:pt idx="7">
                        <c:v>1.0748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A7-433D-B8CF-0686AD90E2C4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799532373322E-2"/>
              <c:y val="0.34465899010791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676666666666667"/>
          <c:y val="0.27424092592592592"/>
          <c:w val="0.13233333333333333"/>
          <c:h val="0.5536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wo heat (final)'!$A$45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wo heat (final)'!$D$44:$D$48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2.3975521098447876</c:v>
                </c:pt>
              </c:numCache>
            </c:numRef>
          </c:xVal>
          <c:yVal>
            <c:numRef>
              <c:f>'Overall wo heat (final)'!$M$44:$M$48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0-48C0-8324-7FF4F1C3791D}"/>
            </c:ext>
          </c:extLst>
        </c:ser>
        <c:ser>
          <c:idx val="4"/>
          <c:order val="1"/>
          <c:tx>
            <c:strRef>
              <c:f>'Overall wo heat (final)'!$A$52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wo heat (final)'!$D$51:$D$56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wo heat (final)'!$M$51:$M$56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0-48C0-8324-7FF4F1C3791D}"/>
            </c:ext>
          </c:extLst>
        </c:ser>
        <c:ser>
          <c:idx val="5"/>
          <c:order val="2"/>
          <c:tx>
            <c:strRef>
              <c:f>'Overall wo heat (final)'!$A$60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wo heat (final)'!$D$59:$D$64</c:f>
              <c:numCache>
                <c:formatCode>0.000</c:formatCode>
                <c:ptCount val="6"/>
                <c:pt idx="0">
                  <c:v>5.2676677023988514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wo heat (final)'!$M$59:$M$64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0-48C0-8324-7FF4F1C3791D}"/>
            </c:ext>
          </c:extLst>
        </c:ser>
        <c:ser>
          <c:idx val="3"/>
          <c:order val="3"/>
          <c:tx>
            <c:strRef>
              <c:f>'Overall wo heat (final)'!$A$67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wo heat (final)'!$D$67:$D$72</c:f>
              <c:numCache>
                <c:formatCode>0.000</c:formatCode>
                <c:ptCount val="6"/>
                <c:pt idx="0">
                  <c:v>5.0653949430406557</c:v>
                </c:pt>
                <c:pt idx="1">
                  <c:v>4.5816778072219542</c:v>
                </c:pt>
                <c:pt idx="2">
                  <c:v>4.0282260804900449</c:v>
                </c:pt>
                <c:pt idx="3">
                  <c:v>3.6533986868675403</c:v>
                </c:pt>
                <c:pt idx="4">
                  <c:v>3.0732756854133072</c:v>
                </c:pt>
                <c:pt idx="5">
                  <c:v>2.6401044471753301</c:v>
                </c:pt>
              </c:numCache>
            </c:numRef>
          </c:xVal>
          <c:yVal>
            <c:numRef>
              <c:f>'Overall wo heat (final)'!$M$67:$M$72</c:f>
              <c:numCache>
                <c:formatCode>General</c:formatCode>
                <c:ptCount val="6"/>
                <c:pt idx="0">
                  <c:v>414.98108314334672</c:v>
                </c:pt>
                <c:pt idx="1">
                  <c:v>377.6009892173239</c:v>
                </c:pt>
                <c:pt idx="2">
                  <c:v>348.33822229195874</c:v>
                </c:pt>
                <c:pt idx="3">
                  <c:v>344.11790533548407</c:v>
                </c:pt>
                <c:pt idx="4">
                  <c:v>310.51013897327994</c:v>
                </c:pt>
                <c:pt idx="5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F0-48C0-8324-7FF4F1C3791D}"/>
            </c:ext>
          </c:extLst>
        </c:ser>
        <c:ser>
          <c:idx val="1"/>
          <c:order val="4"/>
          <c:tx>
            <c:strRef>
              <c:f>'Overall wo heat (final)'!$A$75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wo heat (final)'!$D$75:$D$82</c:f>
              <c:numCache>
                <c:formatCode>0.000</c:formatCode>
                <c:ptCount val="8"/>
                <c:pt idx="0">
                  <c:v>5.1395527310525901</c:v>
                </c:pt>
                <c:pt idx="1">
                  <c:v>4.4350470643170903</c:v>
                </c:pt>
                <c:pt idx="2">
                  <c:v>4.2201346805617597</c:v>
                </c:pt>
                <c:pt idx="3">
                  <c:v>4.0038566309211898</c:v>
                </c:pt>
                <c:pt idx="4">
                  <c:v>3.8882416114697702</c:v>
                </c:pt>
                <c:pt idx="5">
                  <c:v>3.69061358519046</c:v>
                </c:pt>
                <c:pt idx="6">
                  <c:v>3.3424664174525498</c:v>
                </c:pt>
                <c:pt idx="7">
                  <c:v>2.5472304393617602</c:v>
                </c:pt>
              </c:numCache>
            </c:numRef>
          </c:xVal>
          <c:yVal>
            <c:numRef>
              <c:f>'Overall wo heat (final)'!$M$75:$M$82</c:f>
              <c:numCache>
                <c:formatCode>General</c:formatCode>
                <c:ptCount val="8"/>
                <c:pt idx="0">
                  <c:v>496.993999338386</c:v>
                </c:pt>
                <c:pt idx="1">
                  <c:v>455.1477762194761</c:v>
                </c:pt>
                <c:pt idx="2">
                  <c:v>433.13431702395167</c:v>
                </c:pt>
                <c:pt idx="3">
                  <c:v>404.21583325687345</c:v>
                </c:pt>
                <c:pt idx="4">
                  <c:v>411.38884927145062</c:v>
                </c:pt>
                <c:pt idx="5">
                  <c:v>362.03189924269998</c:v>
                </c:pt>
                <c:pt idx="6">
                  <c:v>343.19032930307435</c:v>
                </c:pt>
                <c:pt idx="7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F0-48C0-8324-7FF4F1C3791D}"/>
            </c:ext>
          </c:extLst>
        </c:ser>
        <c:ser>
          <c:idx val="2"/>
          <c:order val="5"/>
          <c:tx>
            <c:v>P_1216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wo heat (final)'!$D$44:$D$48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2.3975521098447876</c:v>
                </c:pt>
              </c:numCache>
            </c:numRef>
          </c:xVal>
          <c:yVal>
            <c:numRef>
              <c:f>'Overall wo heat (final)'!$K$44:$K$48</c:f>
              <c:numCache>
                <c:formatCode>General</c:formatCode>
                <c:ptCount val="5"/>
                <c:pt idx="0">
                  <c:v>237.3811</c:v>
                </c:pt>
                <c:pt idx="1">
                  <c:v>217.6027</c:v>
                </c:pt>
                <c:pt idx="2">
                  <c:v>205.1644</c:v>
                </c:pt>
                <c:pt idx="3">
                  <c:v>186.5256</c:v>
                </c:pt>
                <c:pt idx="4">
                  <c:v>159.3312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F0-48C0-8324-7FF4F1C3791D}"/>
            </c:ext>
          </c:extLst>
        </c:ser>
        <c:ser>
          <c:idx val="6"/>
          <c:order val="6"/>
          <c:tx>
            <c:v>P_1417</c:v>
          </c:tx>
          <c:spPr>
            <a:ln w="25400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wo heat (final)'!$D$51:$D$56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wo heat (final)'!$K$51:$K$56</c:f>
              <c:numCache>
                <c:formatCode>General</c:formatCode>
                <c:ptCount val="6"/>
                <c:pt idx="0">
                  <c:v>315.46120000000002</c:v>
                </c:pt>
                <c:pt idx="1">
                  <c:v>295.88740000000001</c:v>
                </c:pt>
                <c:pt idx="2">
                  <c:v>274.14609999999999</c:v>
                </c:pt>
                <c:pt idx="3">
                  <c:v>248.19139999999999</c:v>
                </c:pt>
                <c:pt idx="4">
                  <c:v>211.5847</c:v>
                </c:pt>
                <c:pt idx="5">
                  <c:v>200.6003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F0-48C0-8324-7FF4F1C3791D}"/>
            </c:ext>
          </c:extLst>
        </c:ser>
        <c:ser>
          <c:idx val="7"/>
          <c:order val="7"/>
          <c:tx>
            <c:v>P_1638</c:v>
          </c:tx>
          <c:spPr>
            <a:ln w="25400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wo heat (final)'!$D$59:$D$64</c:f>
              <c:numCache>
                <c:formatCode>0.000</c:formatCode>
                <c:ptCount val="6"/>
                <c:pt idx="0">
                  <c:v>5.2676677023988514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wo heat (final)'!$K$59:$K$65</c:f>
              <c:numCache>
                <c:formatCode>General</c:formatCode>
                <c:ptCount val="7"/>
                <c:pt idx="0">
                  <c:v>369.75490000000002</c:v>
                </c:pt>
                <c:pt idx="1">
                  <c:v>339.37029999999999</c:v>
                </c:pt>
                <c:pt idx="2">
                  <c:v>295.21390000000002</c:v>
                </c:pt>
                <c:pt idx="3">
                  <c:v>271.54809999999998</c:v>
                </c:pt>
                <c:pt idx="4">
                  <c:v>260.2448</c:v>
                </c:pt>
                <c:pt idx="5">
                  <c:v>245.3673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F0-48C0-8324-7FF4F1C3791D}"/>
            </c:ext>
          </c:extLst>
        </c:ser>
        <c:ser>
          <c:idx val="8"/>
          <c:order val="8"/>
          <c:tx>
            <c:v>P_1839</c:v>
          </c:tx>
          <c:spPr>
            <a:ln w="25400" cap="rnd">
              <a:solidFill>
                <a:srgbClr val="4472C4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wo heat (final)'!$D$67:$D$72</c:f>
              <c:numCache>
                <c:formatCode>0.000</c:formatCode>
                <c:ptCount val="6"/>
                <c:pt idx="0">
                  <c:v>5.0653949430406557</c:v>
                </c:pt>
                <c:pt idx="1">
                  <c:v>4.5816778072219542</c:v>
                </c:pt>
                <c:pt idx="2">
                  <c:v>4.0282260804900449</c:v>
                </c:pt>
                <c:pt idx="3">
                  <c:v>3.6533986868675403</c:v>
                </c:pt>
                <c:pt idx="4">
                  <c:v>3.0732756854133072</c:v>
                </c:pt>
                <c:pt idx="5">
                  <c:v>2.6401044471753301</c:v>
                </c:pt>
              </c:numCache>
            </c:numRef>
          </c:xVal>
          <c:yVal>
            <c:numRef>
              <c:f>'Overall wo heat (final)'!$K$67:$K$72</c:f>
              <c:numCache>
                <c:formatCode>General</c:formatCode>
                <c:ptCount val="6"/>
                <c:pt idx="0">
                  <c:v>408.30419999999998</c:v>
                </c:pt>
                <c:pt idx="1">
                  <c:v>384.7869</c:v>
                </c:pt>
                <c:pt idx="2">
                  <c:v>356.0102</c:v>
                </c:pt>
                <c:pt idx="3">
                  <c:v>331.26920000000001</c:v>
                </c:pt>
                <c:pt idx="4">
                  <c:v>293.71539999999999</c:v>
                </c:pt>
                <c:pt idx="5">
                  <c:v>264.03829999999999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F0-48C0-8324-7FF4F1C3791D}"/>
            </c:ext>
          </c:extLst>
        </c:ser>
        <c:ser>
          <c:idx val="9"/>
          <c:order val="9"/>
          <c:tx>
            <c:v>P_2112</c:v>
          </c:tx>
          <c:spPr>
            <a:ln w="2540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wo heat (final)'!$D$75:$D$82</c:f>
              <c:numCache>
                <c:formatCode>0.000</c:formatCode>
                <c:ptCount val="8"/>
                <c:pt idx="0">
                  <c:v>5.1395527310525901</c:v>
                </c:pt>
                <c:pt idx="1">
                  <c:v>4.4350470643170903</c:v>
                </c:pt>
                <c:pt idx="2">
                  <c:v>4.2201346805617597</c:v>
                </c:pt>
                <c:pt idx="3">
                  <c:v>4.0038566309211898</c:v>
                </c:pt>
                <c:pt idx="4">
                  <c:v>3.8882416114697702</c:v>
                </c:pt>
                <c:pt idx="5">
                  <c:v>3.69061358519046</c:v>
                </c:pt>
                <c:pt idx="6">
                  <c:v>3.3424664174525498</c:v>
                </c:pt>
                <c:pt idx="7">
                  <c:v>2.5472304393617602</c:v>
                </c:pt>
              </c:numCache>
            </c:numRef>
          </c:xVal>
          <c:yVal>
            <c:numRef>
              <c:f>'Overall wo heat (final)'!$K$75:$K$82</c:f>
              <c:numCache>
                <c:formatCode>General</c:formatCode>
                <c:ptCount val="8"/>
                <c:pt idx="0">
                  <c:v>484.3202</c:v>
                </c:pt>
                <c:pt idx="1">
                  <c:v>444.26560000000001</c:v>
                </c:pt>
                <c:pt idx="2">
                  <c:v>431.4778</c:v>
                </c:pt>
                <c:pt idx="3">
                  <c:v>417.70359999999999</c:v>
                </c:pt>
                <c:pt idx="4">
                  <c:v>408.07740000000001</c:v>
                </c:pt>
                <c:pt idx="5">
                  <c:v>393.55110000000002</c:v>
                </c:pt>
                <c:pt idx="6">
                  <c:v>368.24669999999998</c:v>
                </c:pt>
                <c:pt idx="7">
                  <c:v>304.6019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F0-48C0-8324-7FF4F1C3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55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Power</a:t>
                </a:r>
                <a:r>
                  <a:rPr lang="en-SG" baseline="0"/>
                  <a:t> (W)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436681496364447E-2"/>
              <c:y val="0.37548196359939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676666666666667"/>
          <c:y val="0.27424092592592592"/>
          <c:w val="0.13233333333333333"/>
          <c:h val="0.5536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(final) 0709 (2)'!$A$43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0709 (2)'!$D$42:$D$46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(final) 0709 (2)'!$G$42:$G$46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F-4A19-8DD8-6B5C7C26E9C9}"/>
            </c:ext>
          </c:extLst>
        </c:ser>
        <c:ser>
          <c:idx val="4"/>
          <c:order val="1"/>
          <c:tx>
            <c:strRef>
              <c:f>'Overall w heat (final) 0709 (2)'!$A$50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0709 (2)'!$D$49:$D$54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3.6616022441401399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w heat (final) 0709 (2)'!$G$49:$G$54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F-4A19-8DD8-6B5C7C26E9C9}"/>
            </c:ext>
          </c:extLst>
        </c:ser>
        <c:ser>
          <c:idx val="5"/>
          <c:order val="2"/>
          <c:tx>
            <c:strRef>
              <c:f>'Overall w heat (final) 0709 (2)'!$A$58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(final) 0709 (2)'!$D$57:$D$62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(final) 0709 (2)'!$G$57:$G$62</c:f>
              <c:numCache>
                <c:formatCode>General</c:formatCode>
                <c:ptCount val="6"/>
                <c:pt idx="0">
                  <c:v>0.55078811420555995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F-4A19-8DD8-6B5C7C26E9C9}"/>
            </c:ext>
          </c:extLst>
        </c:ser>
        <c:ser>
          <c:idx val="3"/>
          <c:order val="3"/>
          <c:tx>
            <c:strRef>
              <c:f>'Overall w heat (final) 0709 (2)'!$A$65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0709 (2)'!$D$65:$D$70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4.5816778072219542</c:v>
                </c:pt>
                <c:pt idx="2">
                  <c:v>4.0282260804900449</c:v>
                </c:pt>
                <c:pt idx="3">
                  <c:v>3.6533986868675399</c:v>
                </c:pt>
                <c:pt idx="4">
                  <c:v>3.0732756854133072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(final) 0709 (2)'!$G$65:$G$70</c:f>
              <c:numCache>
                <c:formatCode>General</c:formatCode>
                <c:ptCount val="6"/>
                <c:pt idx="0">
                  <c:v>0.80530956514993424</c:v>
                </c:pt>
                <c:pt idx="1">
                  <c:v>0.85827402956532706</c:v>
                </c:pt>
                <c:pt idx="2">
                  <c:v>0.90545505322499509</c:v>
                </c:pt>
                <c:pt idx="3">
                  <c:v>1.0204336023056251</c:v>
                </c:pt>
                <c:pt idx="4">
                  <c:v>1.0201251626579322</c:v>
                </c:pt>
                <c:pt idx="5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7F-4A19-8DD8-6B5C7C26E9C9}"/>
            </c:ext>
          </c:extLst>
        </c:ser>
        <c:ser>
          <c:idx val="1"/>
          <c:order val="4"/>
          <c:tx>
            <c:strRef>
              <c:f>'Overall w heat (final) 0709 (2)'!$A$73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(final) 0709 (2)'!$D$73:$D$78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(final) 0709 (2)'!$G$73:$G$78</c:f>
              <c:numCache>
                <c:formatCode>General</c:formatCode>
                <c:ptCount val="6"/>
                <c:pt idx="0">
                  <c:v>0.86906064601320965</c:v>
                </c:pt>
                <c:pt idx="1">
                  <c:v>0.94847363500753468</c:v>
                </c:pt>
                <c:pt idx="2">
                  <c:v>1.042829287775632</c:v>
                </c:pt>
                <c:pt idx="3">
                  <c:v>1.1631977237886615</c:v>
                </c:pt>
                <c:pt idx="4">
                  <c:v>1.1657191081274199</c:v>
                </c:pt>
                <c:pt idx="5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7F-4A19-8DD8-6B5C7C26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(final) 0709 (2)'!$D$42:$D$46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4.2632226981025712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(final) 0709 (2)'!$E$42:$E$46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0.49030000000000001</c:v>
                      </c:pt>
                      <c:pt idx="1">
                        <c:v>0.49919999999999998</c:v>
                      </c:pt>
                      <c:pt idx="2">
                        <c:v>0.50919999999999999</c:v>
                      </c:pt>
                      <c:pt idx="3">
                        <c:v>0.52070000000000005</c:v>
                      </c:pt>
                      <c:pt idx="4">
                        <c:v>0.54530000000000001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67F-4A19-8DD8-6B5C7C26E9C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P_1639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(2)'!$E$57:$E$62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0.72150000000000003</c:v>
                      </c:pt>
                      <c:pt idx="1">
                        <c:v>0.73440000000000005</c:v>
                      </c:pt>
                      <c:pt idx="2">
                        <c:v>0.75649999999999995</c:v>
                      </c:pt>
                      <c:pt idx="3">
                        <c:v>0.76780000000000004</c:v>
                      </c:pt>
                      <c:pt idx="4">
                        <c:v>0.77439999999999998</c:v>
                      </c:pt>
                      <c:pt idx="5">
                        <c:v>0.78300000000000003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7F-4A19-8DD8-6B5C7C26E9C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5.253362586763715</c:v>
                      </c:pt>
                      <c:pt idx="1">
                        <c:v>4.8223075689095696</c:v>
                      </c:pt>
                      <c:pt idx="2">
                        <c:v>4.236297847863618</c:v>
                      </c:pt>
                      <c:pt idx="3">
                        <c:v>3.6616022441401399</c:v>
                      </c:pt>
                      <c:pt idx="4">
                        <c:v>2.9220510847489072</c:v>
                      </c:pt>
                      <c:pt idx="5">
                        <c:v>2.6698755104625538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(2)'!$E$49:$E$54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0.59950000000000003</c:v>
                      </c:pt>
                      <c:pt idx="1">
                        <c:v>0.59489999999999998</c:v>
                      </c:pt>
                      <c:pt idx="2">
                        <c:v>0.60740000000000005</c:v>
                      </c:pt>
                      <c:pt idx="3">
                        <c:v>0.62160000000000004</c:v>
                      </c:pt>
                      <c:pt idx="4">
                        <c:v>0.64170000000000005</c:v>
                      </c:pt>
                      <c:pt idx="5">
                        <c:v>0.65810000000000002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7F-4A19-8DD8-6B5C7C26E9C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3.6533986868675399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(2)'!$E$65:$E$70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0.84360000000000002</c:v>
                      </c:pt>
                      <c:pt idx="1">
                        <c:v>0.85299999999999998</c:v>
                      </c:pt>
                      <c:pt idx="2">
                        <c:v>0.86799999999999999</c:v>
                      </c:pt>
                      <c:pt idx="3">
                        <c:v>0.87719999999999998</c:v>
                      </c:pt>
                      <c:pt idx="4">
                        <c:v>0.89439999999999997</c:v>
                      </c:pt>
                      <c:pt idx="5">
                        <c:v>0.91010000000000002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67F-4A19-8DD8-6B5C7C26E9C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(2)'!$E$73:$E$78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0.99939999999999996</c:v>
                      </c:pt>
                      <c:pt idx="1">
                        <c:v>1.0165999999999999</c:v>
                      </c:pt>
                      <c:pt idx="2">
                        <c:v>1.0290999999999999</c:v>
                      </c:pt>
                      <c:pt idx="3">
                        <c:v>1.0348999999999999</c:v>
                      </c:pt>
                      <c:pt idx="4">
                        <c:v>1.0467</c:v>
                      </c:pt>
                      <c:pt idx="5">
                        <c:v>1.0748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7F-4A19-8DD8-6B5C7C26E9C9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851851851851E-2"/>
              <c:y val="0.19649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768518518518541"/>
          <c:y val="0.25660194444444445"/>
          <c:w val="0.13233333333333333"/>
          <c:h val="0.3420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(final) 0709 (2)'!$A$43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(final) 0709 (2)'!$D$42:$D$46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(final) 0709 (2)'!$M$42:$M$46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4-4172-A332-157549E9E600}"/>
            </c:ext>
          </c:extLst>
        </c:ser>
        <c:ser>
          <c:idx val="2"/>
          <c:order val="5"/>
          <c:tx>
            <c:v>P_1216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(final) 0709 (2)'!$D$42:$D$46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(final) 0709 (2)'!$K$42:$K$46</c:f>
              <c:numCache>
                <c:formatCode>General</c:formatCode>
                <c:ptCount val="5"/>
                <c:pt idx="0">
                  <c:v>237.3811</c:v>
                </c:pt>
                <c:pt idx="1">
                  <c:v>217.6027</c:v>
                </c:pt>
                <c:pt idx="2">
                  <c:v>205.1644</c:v>
                </c:pt>
                <c:pt idx="3">
                  <c:v>186.5256</c:v>
                </c:pt>
                <c:pt idx="4">
                  <c:v>159.3312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A34-4172-A332-157549E9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'Overall w heat (final) 0709 (2)'!$A$50</c15:sqref>
                        </c15:formulaRef>
                      </c:ext>
                    </c:extLst>
                    <c:strCache>
                      <c:ptCount val="1"/>
                      <c:pt idx="0">
                        <c:v>1417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2">
                        <a:lumMod val="50000"/>
                      </a:schemeClr>
                    </a:solidFill>
                    <a:ln w="12700">
                      <a:solidFill>
                        <a:srgbClr val="ED7D31">
                          <a:lumMod val="50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'Overall w heat (final) 0709 (2)'!$D$49:$D$54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5.253362586763715</c:v>
                      </c:pt>
                      <c:pt idx="1">
                        <c:v>4.8223075689095696</c:v>
                      </c:pt>
                      <c:pt idx="2">
                        <c:v>4.236297847863618</c:v>
                      </c:pt>
                      <c:pt idx="3">
                        <c:v>3.6616022441401399</c:v>
                      </c:pt>
                      <c:pt idx="4">
                        <c:v>2.9220510847489072</c:v>
                      </c:pt>
                      <c:pt idx="5">
                        <c:v>2.6698755104625538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(final) 0709 (2)'!$M$49:$M$54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312.41254145595809</c:v>
                      </c:pt>
                      <c:pt idx="1">
                        <c:v>277.23925387205941</c:v>
                      </c:pt>
                      <c:pt idx="2">
                        <c:v>252.5835649599077</c:v>
                      </c:pt>
                      <c:pt idx="3">
                        <c:v>233.85095355199863</c:v>
                      </c:pt>
                      <c:pt idx="4">
                        <c:v>203.92491114934344</c:v>
                      </c:pt>
                      <c:pt idx="5">
                        <c:v>199.07794559162474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34-4172-A332-157549E9E600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(2)'!$A$58</c15:sqref>
                        </c15:formulaRef>
                      </c:ext>
                    </c:extLst>
                    <c:strCache>
                      <c:ptCount val="1"/>
                      <c:pt idx="0">
                        <c:v>1639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(2)'!$M$57:$M$62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350.36119156039933</c:v>
                      </c:pt>
                      <c:pt idx="1">
                        <c:v>318.37107478027991</c:v>
                      </c:pt>
                      <c:pt idx="2">
                        <c:v>289.30173145285579</c:v>
                      </c:pt>
                      <c:pt idx="3">
                        <c:v>271.84554968579704</c:v>
                      </c:pt>
                      <c:pt idx="4">
                        <c:v>257.37260775625094</c:v>
                      </c:pt>
                      <c:pt idx="5">
                        <c:v>242.54161373792925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34-4172-A332-157549E9E6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(2)'!$A$65</c15:sqref>
                        </c15:formulaRef>
                      </c:ext>
                    </c:extLst>
                    <c:strCache>
                      <c:ptCount val="1"/>
                      <c:pt idx="0">
                        <c:v>1839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accent5">
                        <a:lumMod val="50000"/>
                      </a:schemeClr>
                    </a:solidFill>
                    <a:ln w="12700">
                      <a:solidFill>
                        <a:srgbClr val="4472C4">
                          <a:lumMod val="50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3.6533986868675399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(2)'!$M$65:$M$70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414.98108314334672</c:v>
                      </c:pt>
                      <c:pt idx="1">
                        <c:v>377.6009892173239</c:v>
                      </c:pt>
                      <c:pt idx="2">
                        <c:v>348.33822229195874</c:v>
                      </c:pt>
                      <c:pt idx="3">
                        <c:v>344.11790533548407</c:v>
                      </c:pt>
                      <c:pt idx="4">
                        <c:v>310.51013897327994</c:v>
                      </c:pt>
                      <c:pt idx="5">
                        <c:v>272.32024194294416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34-4172-A332-157549E9E600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(2)'!$A$73</c15:sqref>
                        </c15:formulaRef>
                      </c:ext>
                    </c:extLst>
                    <c:strCache>
                      <c:ptCount val="1"/>
                      <c:pt idx="0">
                        <c:v>2112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rgbClr val="70AD47">
                          <a:lumMod val="75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(2)'!$M$73:$M$78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496.993999338386</c:v>
                      </c:pt>
                      <c:pt idx="1">
                        <c:v>455.1477762194761</c:v>
                      </c:pt>
                      <c:pt idx="2">
                        <c:v>404.21583325687345</c:v>
                      </c:pt>
                      <c:pt idx="3">
                        <c:v>362.03189924269998</c:v>
                      </c:pt>
                      <c:pt idx="4">
                        <c:v>343.19032930307435</c:v>
                      </c:pt>
                      <c:pt idx="5">
                        <c:v>291.55202608163211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34-4172-A332-157549E9E60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5.253362586763715</c:v>
                      </c:pt>
                      <c:pt idx="1">
                        <c:v>4.8223075689095696</c:v>
                      </c:pt>
                      <c:pt idx="2">
                        <c:v>4.236297847863618</c:v>
                      </c:pt>
                      <c:pt idx="3">
                        <c:v>3.6616022441401399</c:v>
                      </c:pt>
                      <c:pt idx="4">
                        <c:v>2.9220510847489072</c:v>
                      </c:pt>
                      <c:pt idx="5">
                        <c:v>2.6698755104625538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(2)'!$K$49:$K$54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315.46120000000002</c:v>
                      </c:pt>
                      <c:pt idx="1">
                        <c:v>295.88740000000001</c:v>
                      </c:pt>
                      <c:pt idx="2">
                        <c:v>274.14609999999999</c:v>
                      </c:pt>
                      <c:pt idx="3">
                        <c:v>248.19139999999999</c:v>
                      </c:pt>
                      <c:pt idx="4">
                        <c:v>211.5847</c:v>
                      </c:pt>
                      <c:pt idx="5">
                        <c:v>200.6003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34-4172-A332-157549E9E6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(2)'!$K$57:$K$63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369.75490000000002</c:v>
                      </c:pt>
                      <c:pt idx="1">
                        <c:v>339.37029999999999</c:v>
                      </c:pt>
                      <c:pt idx="2">
                        <c:v>295.21390000000002</c:v>
                      </c:pt>
                      <c:pt idx="3">
                        <c:v>271.54809999999998</c:v>
                      </c:pt>
                      <c:pt idx="4">
                        <c:v>260.2448</c:v>
                      </c:pt>
                      <c:pt idx="5">
                        <c:v>245.3673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34-4172-A332-157549E9E6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3.6533986868675399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(2)'!$K$65:$K$70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408.30419999999998</c:v>
                      </c:pt>
                      <c:pt idx="1">
                        <c:v>384.7869</c:v>
                      </c:pt>
                      <c:pt idx="2">
                        <c:v>356.0102</c:v>
                      </c:pt>
                      <c:pt idx="3">
                        <c:v>331.26920000000001</c:v>
                      </c:pt>
                      <c:pt idx="4">
                        <c:v>293.71539999999999</c:v>
                      </c:pt>
                      <c:pt idx="5">
                        <c:v>264.03829999999999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34-4172-A332-157549E9E60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(2)'!$K$73:$K$78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484.3202</c:v>
                      </c:pt>
                      <c:pt idx="1">
                        <c:v>444.26560000000001</c:v>
                      </c:pt>
                      <c:pt idx="2">
                        <c:v>417.70359999999999</c:v>
                      </c:pt>
                      <c:pt idx="3">
                        <c:v>393.55110000000002</c:v>
                      </c:pt>
                      <c:pt idx="4">
                        <c:v>368.24669999999998</c:v>
                      </c:pt>
                      <c:pt idx="5">
                        <c:v>304.6019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34-4172-A332-157549E9E600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25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 Power</a:t>
                </a:r>
                <a:r>
                  <a:rPr lang="en-SG" baseline="0"/>
                  <a:t> Input (W)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4366851851851851E-2"/>
              <c:y val="0.14617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wo heat (final)'!$E$44:$E$82</c:f>
              <c:numCache>
                <c:formatCode>General</c:formatCode>
                <c:ptCount val="39"/>
                <c:pt idx="0">
                  <c:v>0.49030000000000001</c:v>
                </c:pt>
                <c:pt idx="1">
                  <c:v>0.49919999999999998</c:v>
                </c:pt>
                <c:pt idx="2">
                  <c:v>0.50919999999999999</c:v>
                </c:pt>
                <c:pt idx="3">
                  <c:v>0.52070000000000005</c:v>
                </c:pt>
                <c:pt idx="4">
                  <c:v>0.54530000000000001</c:v>
                </c:pt>
                <c:pt idx="7">
                  <c:v>0.59950000000000003</c:v>
                </c:pt>
                <c:pt idx="8">
                  <c:v>0.59489999999999998</c:v>
                </c:pt>
                <c:pt idx="9">
                  <c:v>0.60740000000000005</c:v>
                </c:pt>
                <c:pt idx="10">
                  <c:v>0.62160000000000004</c:v>
                </c:pt>
                <c:pt idx="11">
                  <c:v>0.64170000000000005</c:v>
                </c:pt>
                <c:pt idx="12">
                  <c:v>0.65810000000000002</c:v>
                </c:pt>
                <c:pt idx="15">
                  <c:v>0.72150000000000003</c:v>
                </c:pt>
                <c:pt idx="16">
                  <c:v>0.73440000000000005</c:v>
                </c:pt>
                <c:pt idx="17">
                  <c:v>0.75649999999999995</c:v>
                </c:pt>
                <c:pt idx="18">
                  <c:v>0.76780000000000004</c:v>
                </c:pt>
                <c:pt idx="19">
                  <c:v>0.77439999999999998</c:v>
                </c:pt>
                <c:pt idx="20">
                  <c:v>0.78300000000000003</c:v>
                </c:pt>
                <c:pt idx="23">
                  <c:v>0.84360000000000002</c:v>
                </c:pt>
                <c:pt idx="24">
                  <c:v>0.85299999999999998</c:v>
                </c:pt>
                <c:pt idx="25">
                  <c:v>0.86799999999999999</c:v>
                </c:pt>
                <c:pt idx="26">
                  <c:v>0.87719999999999998</c:v>
                </c:pt>
                <c:pt idx="27">
                  <c:v>0.89439999999999997</c:v>
                </c:pt>
                <c:pt idx="28">
                  <c:v>0.91010000000000002</c:v>
                </c:pt>
                <c:pt idx="31">
                  <c:v>0.99939999999999996</c:v>
                </c:pt>
                <c:pt idx="32">
                  <c:v>1.0165999999999999</c:v>
                </c:pt>
                <c:pt idx="33">
                  <c:v>1.0238</c:v>
                </c:pt>
                <c:pt idx="34">
                  <c:v>1.0290999999999999</c:v>
                </c:pt>
                <c:pt idx="35">
                  <c:v>1.0304</c:v>
                </c:pt>
                <c:pt idx="36">
                  <c:v>1.0348999999999999</c:v>
                </c:pt>
                <c:pt idx="37">
                  <c:v>1.0467</c:v>
                </c:pt>
                <c:pt idx="38">
                  <c:v>1.0748</c:v>
                </c:pt>
              </c:numCache>
            </c:numRef>
          </c:xVal>
          <c:yVal>
            <c:numRef>
              <c:f>'Overall w heat (final) 0709 (2)'!$G$42:$G$78</c:f>
              <c:numCache>
                <c:formatCode>General</c:formatCode>
                <c:ptCount val="37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  <c:pt idx="7">
                  <c:v>0.49942621079699617</c:v>
                </c:pt>
                <c:pt idx="8">
                  <c:v>0.51458234662294589</c:v>
                </c:pt>
                <c:pt idx="9">
                  <c:v>0.48213212885652895</c:v>
                </c:pt>
                <c:pt idx="10">
                  <c:v>0.55282985811386409</c:v>
                </c:pt>
                <c:pt idx="11">
                  <c:v>0.55064360312853888</c:v>
                </c:pt>
                <c:pt idx="12">
                  <c:v>0.60090268980389583</c:v>
                </c:pt>
                <c:pt idx="15">
                  <c:v>0.55078811420555995</c:v>
                </c:pt>
                <c:pt idx="16">
                  <c:v>0.60263466997840687</c:v>
                </c:pt>
                <c:pt idx="17">
                  <c:v>0.69666610752823155</c:v>
                </c:pt>
                <c:pt idx="18">
                  <c:v>0.73556884310464887</c:v>
                </c:pt>
                <c:pt idx="19">
                  <c:v>0.80311495788323939</c:v>
                </c:pt>
                <c:pt idx="20">
                  <c:v>0.84332212411016105</c:v>
                </c:pt>
                <c:pt idx="23">
                  <c:v>0.80530956514993424</c:v>
                </c:pt>
                <c:pt idx="24">
                  <c:v>0.85827402956532706</c:v>
                </c:pt>
                <c:pt idx="25">
                  <c:v>0.90545505322499509</c:v>
                </c:pt>
                <c:pt idx="26">
                  <c:v>1.0204336023056251</c:v>
                </c:pt>
                <c:pt idx="27">
                  <c:v>1.0201251626579322</c:v>
                </c:pt>
                <c:pt idx="28">
                  <c:v>1.0094910734070963</c:v>
                </c:pt>
                <c:pt idx="31">
                  <c:v>0.86906064601320965</c:v>
                </c:pt>
                <c:pt idx="32">
                  <c:v>0.94847363500753468</c:v>
                </c:pt>
                <c:pt idx="33">
                  <c:v>1.042829287775632</c:v>
                </c:pt>
                <c:pt idx="34">
                  <c:v>1.1631977237886615</c:v>
                </c:pt>
                <c:pt idx="35">
                  <c:v>1.1657191081274199</c:v>
                </c:pt>
                <c:pt idx="36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4-4BF0-9A23-5C060D13F090}"/>
            </c:ext>
          </c:extLst>
        </c:ser>
        <c:ser>
          <c:idx val="1"/>
          <c:order val="1"/>
          <c:tx>
            <c:v>line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64-4B10-8FF4-663366E494C3}"/>
              </c:ext>
            </c:extLst>
          </c:dPt>
          <c:xVal>
            <c:numRef>
              <c:f>'Overall wo heat (final)'!$A$87:$A$88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'Overall wo heat (final)'!$B$87:$B$88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4-4BF0-9A23-5C060D13F090}"/>
            </c:ext>
          </c:extLst>
        </c:ser>
        <c:ser>
          <c:idx val="2"/>
          <c:order val="2"/>
          <c:tx>
            <c:v>15</c:v>
          </c:tx>
          <c:spPr>
            <a:ln w="25400" cap="rnd">
              <a:solidFill>
                <a:srgbClr val="ED7D3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934-4BF0-9A23-5C060D13F090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4-4BF0-9A23-5C060D13F090}"/>
              </c:ext>
            </c:extLst>
          </c:dPt>
          <c:xVal>
            <c:numRef>
              <c:f>'Overall w heat (final) 0709 (2)'!$C$122:$C$123</c:f>
              <c:numCache>
                <c:formatCode>General</c:formatCode>
                <c:ptCount val="2"/>
                <c:pt idx="0">
                  <c:v>0.2</c:v>
                </c:pt>
                <c:pt idx="1">
                  <c:v>1.4</c:v>
                </c:pt>
              </c:numCache>
            </c:numRef>
          </c:xVal>
          <c:yVal>
            <c:numRef>
              <c:f>'Overall w heat (final) 0709 (2)'!$D$122:$D$123</c:f>
              <c:numCache>
                <c:formatCode>General</c:formatCode>
                <c:ptCount val="2"/>
                <c:pt idx="0">
                  <c:v>0.22999999999999998</c:v>
                </c:pt>
                <c:pt idx="1">
                  <c:v>1.6099999999999999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4-4BF0-9A23-5C060D13F090}"/>
            </c:ext>
          </c:extLst>
        </c:ser>
        <c:ser>
          <c:idx val="3"/>
          <c:order val="3"/>
          <c:tx>
            <c:v>-15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2D29-4358-9D6C-C4C5698EBB2B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34-4BF0-9A23-5C060D13F090}"/>
              </c:ext>
            </c:extLst>
          </c:dPt>
          <c:xVal>
            <c:numRef>
              <c:f>'Overall w heat (final) 0709 (2)'!$E$122:$E$123</c:f>
              <c:numCache>
                <c:formatCode>General</c:formatCode>
                <c:ptCount val="2"/>
                <c:pt idx="0">
                  <c:v>0.2</c:v>
                </c:pt>
                <c:pt idx="1">
                  <c:v>1.4</c:v>
                </c:pt>
              </c:numCache>
            </c:numRef>
          </c:xVal>
          <c:yVal>
            <c:numRef>
              <c:f>'Overall w heat (final) 0709 (2)'!$F$122:$F$123</c:f>
              <c:numCache>
                <c:formatCode>General</c:formatCode>
                <c:ptCount val="2"/>
                <c:pt idx="0">
                  <c:v>0.17</c:v>
                </c:pt>
                <c:pt idx="1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34-4BF0-9A23-5C060D13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1.4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Predicted</a:t>
                </a:r>
              </a:p>
            </c:rich>
          </c:tx>
          <c:layout>
            <c:manualLayout>
              <c:xMode val="edge"/>
              <c:yMode val="edge"/>
              <c:x val="0.44038055555555561"/>
              <c:y val="0.8938138888888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ajorUnit val="0.2"/>
        <c:minorUnit val="0.1"/>
      </c:valAx>
      <c:valAx>
        <c:axId val="733675672"/>
        <c:scaling>
          <c:orientation val="minMax"/>
          <c:max val="1.4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Measured</a:t>
                </a:r>
              </a:p>
            </c:rich>
          </c:tx>
          <c:layout>
            <c:manualLayout>
              <c:xMode val="edge"/>
              <c:yMode val="edge"/>
              <c:x val="3.2337962962962964E-2"/>
              <c:y val="0.3525741666666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 heat (final) 0709 (2)'!$K$42:$K$78</c:f>
              <c:numCache>
                <c:formatCode>General</c:formatCode>
                <c:ptCount val="37"/>
                <c:pt idx="0">
                  <c:v>237.3811</c:v>
                </c:pt>
                <c:pt idx="1">
                  <c:v>217.6027</c:v>
                </c:pt>
                <c:pt idx="2">
                  <c:v>205.1644</c:v>
                </c:pt>
                <c:pt idx="3">
                  <c:v>186.5256</c:v>
                </c:pt>
                <c:pt idx="4">
                  <c:v>159.3312</c:v>
                </c:pt>
                <c:pt idx="7">
                  <c:v>315.46120000000002</c:v>
                </c:pt>
                <c:pt idx="8">
                  <c:v>295.88740000000001</c:v>
                </c:pt>
                <c:pt idx="9">
                  <c:v>274.14609999999999</c:v>
                </c:pt>
                <c:pt idx="10">
                  <c:v>248.19139999999999</c:v>
                </c:pt>
                <c:pt idx="11">
                  <c:v>211.5847</c:v>
                </c:pt>
                <c:pt idx="12">
                  <c:v>200.6003</c:v>
                </c:pt>
                <c:pt idx="15">
                  <c:v>369.75490000000002</c:v>
                </c:pt>
                <c:pt idx="16">
                  <c:v>339.37029999999999</c:v>
                </c:pt>
                <c:pt idx="17">
                  <c:v>295.21390000000002</c:v>
                </c:pt>
                <c:pt idx="18">
                  <c:v>271.54809999999998</c:v>
                </c:pt>
                <c:pt idx="19">
                  <c:v>260.2448</c:v>
                </c:pt>
                <c:pt idx="20">
                  <c:v>245.3673</c:v>
                </c:pt>
                <c:pt idx="23">
                  <c:v>408.30419999999998</c:v>
                </c:pt>
                <c:pt idx="24">
                  <c:v>384.7869</c:v>
                </c:pt>
                <c:pt idx="25">
                  <c:v>356.0102</c:v>
                </c:pt>
                <c:pt idx="26">
                  <c:v>331.26920000000001</c:v>
                </c:pt>
                <c:pt idx="27">
                  <c:v>293.71539999999999</c:v>
                </c:pt>
                <c:pt idx="28">
                  <c:v>264.03829999999999</c:v>
                </c:pt>
                <c:pt idx="31">
                  <c:v>484.3202</c:v>
                </c:pt>
                <c:pt idx="32">
                  <c:v>444.26560000000001</c:v>
                </c:pt>
                <c:pt idx="33">
                  <c:v>417.70359999999999</c:v>
                </c:pt>
                <c:pt idx="34">
                  <c:v>393.55110000000002</c:v>
                </c:pt>
                <c:pt idx="35">
                  <c:v>368.24669999999998</c:v>
                </c:pt>
                <c:pt idx="36">
                  <c:v>304.6019</c:v>
                </c:pt>
              </c:numCache>
            </c:numRef>
          </c:xVal>
          <c:yVal>
            <c:numRef>
              <c:f>'Overall w heat (final) 0709 (2)'!$M$42:$M$78</c:f>
              <c:numCache>
                <c:formatCode>General</c:formatCode>
                <c:ptCount val="37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  <c:pt idx="7">
                  <c:v>312.41254145595809</c:v>
                </c:pt>
                <c:pt idx="8">
                  <c:v>277.23925387205941</c:v>
                </c:pt>
                <c:pt idx="9">
                  <c:v>252.5835649599077</c:v>
                </c:pt>
                <c:pt idx="10">
                  <c:v>233.85095355199863</c:v>
                </c:pt>
                <c:pt idx="11">
                  <c:v>203.92491114934344</c:v>
                </c:pt>
                <c:pt idx="12">
                  <c:v>199.07794559162474</c:v>
                </c:pt>
                <c:pt idx="15">
                  <c:v>350.36119156039933</c:v>
                </c:pt>
                <c:pt idx="16">
                  <c:v>318.37107478027991</c:v>
                </c:pt>
                <c:pt idx="17">
                  <c:v>289.30173145285579</c:v>
                </c:pt>
                <c:pt idx="18">
                  <c:v>271.84554968579704</c:v>
                </c:pt>
                <c:pt idx="19">
                  <c:v>257.37260775625094</c:v>
                </c:pt>
                <c:pt idx="20">
                  <c:v>242.54161373792925</c:v>
                </c:pt>
                <c:pt idx="23">
                  <c:v>414.98108314334672</c:v>
                </c:pt>
                <c:pt idx="24">
                  <c:v>377.6009892173239</c:v>
                </c:pt>
                <c:pt idx="25">
                  <c:v>348.33822229195874</c:v>
                </c:pt>
                <c:pt idx="26">
                  <c:v>344.11790533548407</c:v>
                </c:pt>
                <c:pt idx="27">
                  <c:v>310.51013897327994</c:v>
                </c:pt>
                <c:pt idx="28">
                  <c:v>272.32024194294416</c:v>
                </c:pt>
                <c:pt idx="31">
                  <c:v>496.993999338386</c:v>
                </c:pt>
                <c:pt idx="32">
                  <c:v>455.1477762194761</c:v>
                </c:pt>
                <c:pt idx="33">
                  <c:v>404.21583325687345</c:v>
                </c:pt>
                <c:pt idx="34">
                  <c:v>362.03189924269998</c:v>
                </c:pt>
                <c:pt idx="35">
                  <c:v>343.19032930307435</c:v>
                </c:pt>
                <c:pt idx="36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4-4BF0-9A23-5C060D13F090}"/>
            </c:ext>
          </c:extLst>
        </c:ser>
        <c:ser>
          <c:idx val="1"/>
          <c:order val="1"/>
          <c:tx>
            <c:v>15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(final) 0709 (2)'!$C$126:$C$127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(final) 0709 (2)'!$D$126:$D$127</c:f>
              <c:numCache>
                <c:formatCode>General</c:formatCode>
                <c:ptCount val="2"/>
                <c:pt idx="0">
                  <c:v>109</c:v>
                </c:pt>
                <c:pt idx="1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4-4BF0-9A23-5C060D13F090}"/>
            </c:ext>
          </c:extLst>
        </c:ser>
        <c:ser>
          <c:idx val="2"/>
          <c:order val="2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934-4BF0-9A23-5C060D13F090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4-4BF0-9A23-5C060D13F090}"/>
              </c:ext>
            </c:extLst>
          </c:dPt>
          <c:xVal>
            <c:numRef>
              <c:f>'Overall w heat (final) 0709 (2)'!$A$126:$A$127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(final) 0709 (2)'!$B$126:$B$127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4-4BF0-9A23-5C060D13F090}"/>
            </c:ext>
          </c:extLst>
        </c:ser>
        <c:ser>
          <c:idx val="3"/>
          <c:order val="3"/>
          <c:tx>
            <c:v>-15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34-4BF0-9A23-5C060D13F090}"/>
              </c:ext>
            </c:extLst>
          </c:dPt>
          <c:xVal>
            <c:numRef>
              <c:f>'Overall w heat (final) 0709 (2)'!$E$126:$E$127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(final) 0709 (2)'!$F$126:$F$127</c:f>
              <c:numCache>
                <c:formatCode>General</c:formatCode>
                <c:ptCount val="2"/>
                <c:pt idx="0">
                  <c:v>91</c:v>
                </c:pt>
                <c:pt idx="1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34-4BF0-9A23-5C060D13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inorUnit val="50"/>
      </c:valAx>
      <c:valAx>
        <c:axId val="733675672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100"/>
        <c:minorUnit val="5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(0.5-1.0)'!$A$48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(0.5-1.0)'!$D$47:$D$51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(0.5-1.0)'!$M$47:$M$51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5-4226-BFC2-8638D9DA2EA6}"/>
            </c:ext>
          </c:extLst>
        </c:ser>
        <c:ser>
          <c:idx val="4"/>
          <c:order val="1"/>
          <c:tx>
            <c:strRef>
              <c:f>'Overall (0.5-1.0)'!$A$55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(0.5-1.0)'!$D$54:$D$59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(0.5-1.0)'!$M$54:$M$59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5-4226-BFC2-8638D9DA2EA6}"/>
            </c:ext>
          </c:extLst>
        </c:ser>
        <c:ser>
          <c:idx val="5"/>
          <c:order val="2"/>
          <c:tx>
            <c:strRef>
              <c:f>'Overall (0.5-1.0)'!$A$63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(0.5-1.0)'!$D$62:$D$67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(0.5-1.0)'!$M$62:$M$67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5-4226-BFC2-8638D9DA2EA6}"/>
            </c:ext>
          </c:extLst>
        </c:ser>
        <c:ser>
          <c:idx val="3"/>
          <c:order val="3"/>
          <c:tx>
            <c:strRef>
              <c:f>'Overall (0.5-1.0)'!$A$70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(0.5-1.0)'!$D$70:$D$77</c:f>
              <c:numCache>
                <c:formatCode>0.000</c:formatCode>
                <c:ptCount val="8"/>
                <c:pt idx="0">
                  <c:v>5.0653949430406557</c:v>
                </c:pt>
                <c:pt idx="1">
                  <c:v>5.112710058958517</c:v>
                </c:pt>
                <c:pt idx="2">
                  <c:v>4.5816778072219542</c:v>
                </c:pt>
                <c:pt idx="3">
                  <c:v>4.0282260804900449</c:v>
                </c:pt>
                <c:pt idx="4">
                  <c:v>3.9074120702939243</c:v>
                </c:pt>
                <c:pt idx="5">
                  <c:v>3.6533986868675403</c:v>
                </c:pt>
                <c:pt idx="6">
                  <c:v>3.0732756854133072</c:v>
                </c:pt>
                <c:pt idx="7">
                  <c:v>2.6401044471753301</c:v>
                </c:pt>
              </c:numCache>
            </c:numRef>
          </c:xVal>
          <c:yVal>
            <c:numRef>
              <c:f>'Overall (0.5-1.0)'!$M$70:$M$77</c:f>
              <c:numCache>
                <c:formatCode>General</c:formatCode>
                <c:ptCount val="8"/>
                <c:pt idx="0">
                  <c:v>414.98108314334672</c:v>
                </c:pt>
                <c:pt idx="1">
                  <c:v>423.76836504432305</c:v>
                </c:pt>
                <c:pt idx="2">
                  <c:v>377.6009892173239</c:v>
                </c:pt>
                <c:pt idx="3">
                  <c:v>348.33822229195874</c:v>
                </c:pt>
                <c:pt idx="4">
                  <c:v>355.02095386164581</c:v>
                </c:pt>
                <c:pt idx="5">
                  <c:v>344.11790533548407</c:v>
                </c:pt>
                <c:pt idx="6">
                  <c:v>310.51013897327994</c:v>
                </c:pt>
                <c:pt idx="7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5-4226-BFC2-8638D9DA2EA6}"/>
            </c:ext>
          </c:extLst>
        </c:ser>
        <c:ser>
          <c:idx val="1"/>
          <c:order val="4"/>
          <c:tx>
            <c:strRef>
              <c:f>'Overall (0.5-1.0)'!$A$80</c:f>
              <c:strCache>
                <c:ptCount val="1"/>
                <c:pt idx="0">
                  <c:v>2111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(0.5-1.0)'!$D$80:$D$88</c:f>
              <c:numCache>
                <c:formatCode>0.000</c:formatCode>
                <c:ptCount val="9"/>
                <c:pt idx="0">
                  <c:v>5.0545578692872928</c:v>
                </c:pt>
                <c:pt idx="1">
                  <c:v>4.4350470643170885</c:v>
                </c:pt>
                <c:pt idx="2">
                  <c:v>4.2201346805617597</c:v>
                </c:pt>
                <c:pt idx="3">
                  <c:v>4.1660023180827803</c:v>
                </c:pt>
                <c:pt idx="4">
                  <c:v>4.003856630921188</c:v>
                </c:pt>
                <c:pt idx="5">
                  <c:v>3.8882416114697662</c:v>
                </c:pt>
                <c:pt idx="6">
                  <c:v>3.69061358519046</c:v>
                </c:pt>
                <c:pt idx="7">
                  <c:v>3.3424664174525525</c:v>
                </c:pt>
                <c:pt idx="8">
                  <c:v>2.5472304393617602</c:v>
                </c:pt>
              </c:numCache>
            </c:numRef>
          </c:xVal>
          <c:yVal>
            <c:numRef>
              <c:f>'Overall (0.5-1.0)'!$M$80:$M$88</c:f>
              <c:numCache>
                <c:formatCode>General</c:formatCode>
                <c:ptCount val="9"/>
                <c:pt idx="0">
                  <c:v>534.93965412718592</c:v>
                </c:pt>
                <c:pt idx="1">
                  <c:v>455.1477762194761</c:v>
                </c:pt>
                <c:pt idx="2">
                  <c:v>433.13431702395167</c:v>
                </c:pt>
                <c:pt idx="3">
                  <c:v>435.80333677080233</c:v>
                </c:pt>
                <c:pt idx="4">
                  <c:v>404.21583325687345</c:v>
                </c:pt>
                <c:pt idx="5">
                  <c:v>411.38884927145062</c:v>
                </c:pt>
                <c:pt idx="6">
                  <c:v>362.03189924269998</c:v>
                </c:pt>
                <c:pt idx="7">
                  <c:v>343.19032930307435</c:v>
                </c:pt>
                <c:pt idx="8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5-4226-BFC2-8638D9DA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Power</a:t>
                </a:r>
                <a:r>
                  <a:rPr lang="en-SG" baseline="0"/>
                  <a:t> (Nm)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436681496364447E-2"/>
              <c:y val="0.37548196359939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100"/>
        <c:minorUnit val="50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676666666666667"/>
          <c:y val="0.27424092592592592"/>
          <c:w val="0.11787402777777778"/>
          <c:h val="0.395073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(final) 0709 (2)'!$A$43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0709 (2)'!$D$42:$D$46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(final) 0709 (2)'!$M$42:$M$46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A-424B-9D18-09B4C06DEB62}"/>
            </c:ext>
          </c:extLst>
        </c:ser>
        <c:ser>
          <c:idx val="4"/>
          <c:order val="1"/>
          <c:tx>
            <c:strRef>
              <c:f>'Overall w heat (final) 0709 (2)'!$A$50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0709 (2)'!$D$49:$D$54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3.6616022441401399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w heat (final) 0709 (2)'!$M$49:$M$54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A-424B-9D18-09B4C06DEB62}"/>
            </c:ext>
          </c:extLst>
        </c:ser>
        <c:ser>
          <c:idx val="5"/>
          <c:order val="2"/>
          <c:tx>
            <c:strRef>
              <c:f>'Overall w heat (final) 0709 (2)'!$A$58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(final) 0709 (2)'!$D$57:$D$62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(final) 0709 (2)'!$M$57:$M$62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A-424B-9D18-09B4C06DEB62}"/>
            </c:ext>
          </c:extLst>
        </c:ser>
        <c:ser>
          <c:idx val="3"/>
          <c:order val="3"/>
          <c:tx>
            <c:strRef>
              <c:f>'Overall w heat (final) 0709 (2)'!$A$65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0709 (2)'!$D$65:$D$70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4.5816778072219542</c:v>
                </c:pt>
                <c:pt idx="2">
                  <c:v>4.0282260804900449</c:v>
                </c:pt>
                <c:pt idx="3">
                  <c:v>3.6533986868675399</c:v>
                </c:pt>
                <c:pt idx="4">
                  <c:v>3.0732756854133072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(final) 0709 (2)'!$M$65:$M$70</c:f>
              <c:numCache>
                <c:formatCode>General</c:formatCode>
                <c:ptCount val="6"/>
                <c:pt idx="0">
                  <c:v>414.98108314334672</c:v>
                </c:pt>
                <c:pt idx="1">
                  <c:v>377.6009892173239</c:v>
                </c:pt>
                <c:pt idx="2">
                  <c:v>348.33822229195874</c:v>
                </c:pt>
                <c:pt idx="3">
                  <c:v>344.11790533548407</c:v>
                </c:pt>
                <c:pt idx="4">
                  <c:v>310.51013897327994</c:v>
                </c:pt>
                <c:pt idx="5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EA-424B-9D18-09B4C06DEB62}"/>
            </c:ext>
          </c:extLst>
        </c:ser>
        <c:ser>
          <c:idx val="1"/>
          <c:order val="4"/>
          <c:tx>
            <c:strRef>
              <c:f>'Overall w heat (final) 0709 (2)'!$A$73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(final) 0709 (2)'!$D$73:$D$78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(final) 0709 (2)'!$M$73:$M$78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EA-424B-9D18-09B4C06D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(final) 0709 (2)'!$D$42:$D$46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4.2632226981025712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(final) 0709 (2)'!$K$42:$K$46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237.3811</c:v>
                      </c:pt>
                      <c:pt idx="1">
                        <c:v>217.6027</c:v>
                      </c:pt>
                      <c:pt idx="2">
                        <c:v>205.1644</c:v>
                      </c:pt>
                      <c:pt idx="3">
                        <c:v>186.5256</c:v>
                      </c:pt>
                      <c:pt idx="4">
                        <c:v>159.3312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2EA-424B-9D18-09B4C06DEB6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5.253362586763715</c:v>
                      </c:pt>
                      <c:pt idx="1">
                        <c:v>4.8223075689095696</c:v>
                      </c:pt>
                      <c:pt idx="2">
                        <c:v>4.236297847863618</c:v>
                      </c:pt>
                      <c:pt idx="3">
                        <c:v>3.6616022441401399</c:v>
                      </c:pt>
                      <c:pt idx="4">
                        <c:v>2.9220510847489072</c:v>
                      </c:pt>
                      <c:pt idx="5">
                        <c:v>2.6698755104625538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(2)'!$K$49:$K$54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315.46120000000002</c:v>
                      </c:pt>
                      <c:pt idx="1">
                        <c:v>295.88740000000001</c:v>
                      </c:pt>
                      <c:pt idx="2">
                        <c:v>274.14609999999999</c:v>
                      </c:pt>
                      <c:pt idx="3">
                        <c:v>248.19139999999999</c:v>
                      </c:pt>
                      <c:pt idx="4">
                        <c:v>211.5847</c:v>
                      </c:pt>
                      <c:pt idx="5">
                        <c:v>200.6003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EA-424B-9D18-09B4C06DEB6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(2)'!$K$57:$K$63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369.75490000000002</c:v>
                      </c:pt>
                      <c:pt idx="1">
                        <c:v>339.37029999999999</c:v>
                      </c:pt>
                      <c:pt idx="2">
                        <c:v>295.21390000000002</c:v>
                      </c:pt>
                      <c:pt idx="3">
                        <c:v>271.54809999999998</c:v>
                      </c:pt>
                      <c:pt idx="4">
                        <c:v>260.2448</c:v>
                      </c:pt>
                      <c:pt idx="5">
                        <c:v>245.3673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EA-424B-9D18-09B4C06DEB6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3.6533986868675399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(2)'!$K$65:$K$70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408.30419999999998</c:v>
                      </c:pt>
                      <c:pt idx="1">
                        <c:v>384.7869</c:v>
                      </c:pt>
                      <c:pt idx="2">
                        <c:v>356.0102</c:v>
                      </c:pt>
                      <c:pt idx="3">
                        <c:v>331.26920000000001</c:v>
                      </c:pt>
                      <c:pt idx="4">
                        <c:v>293.71539999999999</c:v>
                      </c:pt>
                      <c:pt idx="5">
                        <c:v>264.03829999999999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EA-424B-9D18-09B4C06DEB6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(2)'!$K$73:$K$78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484.3202</c:v>
                      </c:pt>
                      <c:pt idx="1">
                        <c:v>444.26560000000001</c:v>
                      </c:pt>
                      <c:pt idx="2">
                        <c:v>417.70359999999999</c:v>
                      </c:pt>
                      <c:pt idx="3">
                        <c:v>393.55110000000002</c:v>
                      </c:pt>
                      <c:pt idx="4">
                        <c:v>368.24669999999998</c:v>
                      </c:pt>
                      <c:pt idx="5">
                        <c:v>304.6019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EA-424B-9D18-09B4C06DEB62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200"/>
                  <a:t>Discharge 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200"/>
                  <a:t>Measured Power Input</a:t>
                </a:r>
                <a:r>
                  <a:rPr lang="en-SG" sz="1200" baseline="0"/>
                  <a:t> (W)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4366851851851851E-2"/>
              <c:y val="0.213204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100"/>
        <c:minorUnit val="50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441481481481482"/>
          <c:y val="0.27776861111111112"/>
          <c:w val="0.13233333333333333"/>
          <c:h val="0.334966666666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903277777777778"/>
          <c:y val="0.15082138888888891"/>
          <c:w val="0.7789463888888889"/>
          <c:h val="0.74221027777777782"/>
        </c:manualLayout>
      </c:layout>
      <c:scatterChart>
        <c:scatterStyle val="lineMarker"/>
        <c:varyColors val="0"/>
        <c:ser>
          <c:idx val="4"/>
          <c:order val="1"/>
          <c:tx>
            <c:strRef>
              <c:f>'Overall w heat (final) 0709 (2)'!$A$50</c:f>
              <c:strCache>
                <c:ptCount val="1"/>
                <c:pt idx="0">
                  <c:v>1417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(final) 0709 (2)'!$D$49:$D$54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3.6616022441401399</c:v>
                </c:pt>
                <c:pt idx="4">
                  <c:v>2.9220510847489072</c:v>
                </c:pt>
                <c:pt idx="5">
                  <c:v>2.6698755104625538</c:v>
                </c:pt>
              </c:numCache>
              <c:extLst xmlns:c15="http://schemas.microsoft.com/office/drawing/2012/chart"/>
            </c:numRef>
          </c:xVal>
          <c:yVal>
            <c:numRef>
              <c:f>'Overall w heat (final) 0709 (2)'!$M$49:$M$54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743-4119-BC51-9B655D81CBBD}"/>
            </c:ext>
          </c:extLst>
        </c:ser>
        <c:ser>
          <c:idx val="6"/>
          <c:order val="6"/>
          <c:tx>
            <c:v>P_1417</c:v>
          </c:tx>
          <c:spPr>
            <a:ln w="25400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(final) 0709 (2)'!$D$49:$D$54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3.6616022441401399</c:v>
                </c:pt>
                <c:pt idx="4">
                  <c:v>2.9220510847489072</c:v>
                </c:pt>
                <c:pt idx="5">
                  <c:v>2.6698755104625538</c:v>
                </c:pt>
              </c:numCache>
              <c:extLst xmlns:c15="http://schemas.microsoft.com/office/drawing/2012/chart"/>
            </c:numRef>
          </c:xVal>
          <c:yVal>
            <c:numRef>
              <c:f>'Overall w heat (final) 0709 (2)'!$K$49:$K$54</c:f>
              <c:numCache>
                <c:formatCode>General</c:formatCode>
                <c:ptCount val="6"/>
                <c:pt idx="0">
                  <c:v>315.46120000000002</c:v>
                </c:pt>
                <c:pt idx="1">
                  <c:v>295.88740000000001</c:v>
                </c:pt>
                <c:pt idx="2">
                  <c:v>274.14609999999999</c:v>
                </c:pt>
                <c:pt idx="3">
                  <c:v>248.19139999999999</c:v>
                </c:pt>
                <c:pt idx="4">
                  <c:v>211.5847</c:v>
                </c:pt>
                <c:pt idx="5">
                  <c:v>200.6003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743-4119-BC51-9B655D81C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w heat (final) 0709 (2)'!$A$43</c15:sqref>
                        </c15:formulaRef>
                      </c:ext>
                    </c:extLst>
                    <c:strCache>
                      <c:ptCount val="1"/>
                      <c:pt idx="0">
                        <c:v>1216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bg2">
                        <a:lumMod val="10000"/>
                      </a:schemeClr>
                    </a:solidFill>
                    <a:ln w="12700">
                      <a:solidFill>
                        <a:srgbClr val="44546A">
                          <a:lumMod val="50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'Overall w heat (final) 0709 (2)'!$D$42:$D$46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4.2632226981025712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(final) 0709 (2)'!$M$42:$M$46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219.923995478764</c:v>
                      </c:pt>
                      <c:pt idx="1">
                        <c:v>201.06346911209982</c:v>
                      </c:pt>
                      <c:pt idx="2">
                        <c:v>193.63025834579085</c:v>
                      </c:pt>
                      <c:pt idx="3">
                        <c:v>176.89683334223687</c:v>
                      </c:pt>
                      <c:pt idx="4">
                        <c:v>150.01311193399283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743-4119-BC51-9B655D81CBBD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(2)'!$A$58</c15:sqref>
                        </c15:formulaRef>
                      </c:ext>
                    </c:extLst>
                    <c:strCache>
                      <c:ptCount val="1"/>
                      <c:pt idx="0">
                        <c:v>1639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(2)'!$M$57:$M$62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350.36119156039933</c:v>
                      </c:pt>
                      <c:pt idx="1">
                        <c:v>318.37107478027991</c:v>
                      </c:pt>
                      <c:pt idx="2">
                        <c:v>289.30173145285579</c:v>
                      </c:pt>
                      <c:pt idx="3">
                        <c:v>271.84554968579704</c:v>
                      </c:pt>
                      <c:pt idx="4">
                        <c:v>257.37260775625094</c:v>
                      </c:pt>
                      <c:pt idx="5">
                        <c:v>242.54161373792925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43-4119-BC51-9B655D81CBB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(2)'!$A$65</c15:sqref>
                        </c15:formulaRef>
                      </c:ext>
                    </c:extLst>
                    <c:strCache>
                      <c:ptCount val="1"/>
                      <c:pt idx="0">
                        <c:v>1839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accent5">
                        <a:lumMod val="50000"/>
                      </a:schemeClr>
                    </a:solidFill>
                    <a:ln w="12700">
                      <a:solidFill>
                        <a:srgbClr val="4472C4">
                          <a:lumMod val="50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3.6533986868675399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(2)'!$M$65:$M$70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414.98108314334672</c:v>
                      </c:pt>
                      <c:pt idx="1">
                        <c:v>377.6009892173239</c:v>
                      </c:pt>
                      <c:pt idx="2">
                        <c:v>348.33822229195874</c:v>
                      </c:pt>
                      <c:pt idx="3">
                        <c:v>344.11790533548407</c:v>
                      </c:pt>
                      <c:pt idx="4">
                        <c:v>310.51013897327994</c:v>
                      </c:pt>
                      <c:pt idx="5">
                        <c:v>272.32024194294416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43-4119-BC51-9B655D81CBBD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(2)'!$A$73</c15:sqref>
                        </c15:formulaRef>
                      </c:ext>
                    </c:extLst>
                    <c:strCache>
                      <c:ptCount val="1"/>
                      <c:pt idx="0">
                        <c:v>2112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rgbClr val="70AD47">
                          <a:lumMod val="75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(2)'!$M$73:$M$78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496.993999338386</c:v>
                      </c:pt>
                      <c:pt idx="1">
                        <c:v>455.1477762194761</c:v>
                      </c:pt>
                      <c:pt idx="2">
                        <c:v>404.21583325687345</c:v>
                      </c:pt>
                      <c:pt idx="3">
                        <c:v>362.03189924269998</c:v>
                      </c:pt>
                      <c:pt idx="4">
                        <c:v>343.19032930307435</c:v>
                      </c:pt>
                      <c:pt idx="5">
                        <c:v>291.55202608163211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43-4119-BC51-9B655D81CBBD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4.2632226981025712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(2)'!$K$42:$K$46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237.3811</c:v>
                      </c:pt>
                      <c:pt idx="1">
                        <c:v>217.6027</c:v>
                      </c:pt>
                      <c:pt idx="2">
                        <c:v>205.1644</c:v>
                      </c:pt>
                      <c:pt idx="3">
                        <c:v>186.5256</c:v>
                      </c:pt>
                      <c:pt idx="4">
                        <c:v>159.3312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43-4119-BC51-9B655D81CBB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(2)'!$K$57:$K$63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369.75490000000002</c:v>
                      </c:pt>
                      <c:pt idx="1">
                        <c:v>339.37029999999999</c:v>
                      </c:pt>
                      <c:pt idx="2">
                        <c:v>295.21390000000002</c:v>
                      </c:pt>
                      <c:pt idx="3">
                        <c:v>271.54809999999998</c:v>
                      </c:pt>
                      <c:pt idx="4">
                        <c:v>260.2448</c:v>
                      </c:pt>
                      <c:pt idx="5">
                        <c:v>245.3673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43-4119-BC51-9B655D81CBB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3.6533986868675399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(2)'!$K$65:$K$70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408.30419999999998</c:v>
                      </c:pt>
                      <c:pt idx="1">
                        <c:v>384.7869</c:v>
                      </c:pt>
                      <c:pt idx="2">
                        <c:v>356.0102</c:v>
                      </c:pt>
                      <c:pt idx="3">
                        <c:v>331.26920000000001</c:v>
                      </c:pt>
                      <c:pt idx="4">
                        <c:v>293.71539999999999</c:v>
                      </c:pt>
                      <c:pt idx="5">
                        <c:v>264.03829999999999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43-4119-BC51-9B655D81CBB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0709 (2)'!$K$73:$K$78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484.3202</c:v>
                      </c:pt>
                      <c:pt idx="1">
                        <c:v>444.26560000000001</c:v>
                      </c:pt>
                      <c:pt idx="2">
                        <c:v>417.70359999999999</c:v>
                      </c:pt>
                      <c:pt idx="3">
                        <c:v>393.55110000000002</c:v>
                      </c:pt>
                      <c:pt idx="4">
                        <c:v>368.24669999999998</c:v>
                      </c:pt>
                      <c:pt idx="5">
                        <c:v>304.6019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43-4119-BC51-9B655D81CBBD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numFmt formatCode="#,##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350"/>
          <c:min val="15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50"/>
        <c:minorUnit val="25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(final) 0709 (2)'!$J$73:$J$78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(final) 0709 (2)'!$K$73:$K$78</c:f>
              <c:numCache>
                <c:formatCode>General</c:formatCode>
                <c:ptCount val="6"/>
                <c:pt idx="0">
                  <c:v>484.3202</c:v>
                </c:pt>
                <c:pt idx="1">
                  <c:v>444.26560000000001</c:v>
                </c:pt>
                <c:pt idx="2">
                  <c:v>417.70359999999999</c:v>
                </c:pt>
                <c:pt idx="3">
                  <c:v>393.55110000000002</c:v>
                </c:pt>
                <c:pt idx="4">
                  <c:v>368.24669999999998</c:v>
                </c:pt>
                <c:pt idx="5">
                  <c:v>304.6019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83-40A6-948A-F3174306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(final) 0709 (2)'!$J$73:$J$78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(final) 0709 (2)'!$M$73:$M$78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4-4172-A332-157549E9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ajorUnit val="0.5"/>
        <c:minorUnit val="0.25"/>
      </c:valAx>
      <c:valAx>
        <c:axId val="1117249704"/>
        <c:scaling>
          <c:orientation val="minMax"/>
          <c:max val="550"/>
          <c:min val="25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50"/>
        <c:minorUnit val="25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931111111111112"/>
          <c:y val="4.108111111111111E-2"/>
          <c:w val="0.66985138888888884"/>
          <c:h val="0.775403888888888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 heat (final) 0709 (2)'!$AG$42:$AG$78</c:f>
              <c:numCache>
                <c:formatCode>0.00%</c:formatCode>
                <c:ptCount val="37"/>
                <c:pt idx="0">
                  <c:v>0.65513094601817212</c:v>
                </c:pt>
                <c:pt idx="1">
                  <c:v>0.66782608695652168</c:v>
                </c:pt>
                <c:pt idx="2">
                  <c:v>0.6785714285714286</c:v>
                </c:pt>
                <c:pt idx="3">
                  <c:v>0.69491525423728828</c:v>
                </c:pt>
                <c:pt idx="4">
                  <c:v>0.72503656428666408</c:v>
                </c:pt>
                <c:pt idx="7">
                  <c:v>0.68475157053112512</c:v>
                </c:pt>
                <c:pt idx="8">
                  <c:v>0.68655510675129827</c:v>
                </c:pt>
                <c:pt idx="9">
                  <c:v>0.70017291066282428</c:v>
                </c:pt>
                <c:pt idx="10">
                  <c:v>0.71530494821634072</c:v>
                </c:pt>
                <c:pt idx="11">
                  <c:v>0.73784063470162131</c:v>
                </c:pt>
                <c:pt idx="12">
                  <c:v>0.74937371897062177</c:v>
                </c:pt>
                <c:pt idx="15">
                  <c:v>0.71862549800796816</c:v>
                </c:pt>
                <c:pt idx="16">
                  <c:v>0.73161984459055596</c:v>
                </c:pt>
                <c:pt idx="17">
                  <c:v>0.75057049310447455</c:v>
                </c:pt>
                <c:pt idx="18">
                  <c:v>0.761630790596171</c:v>
                </c:pt>
                <c:pt idx="19">
                  <c:v>0.76749256689791878</c:v>
                </c:pt>
                <c:pt idx="20">
                  <c:v>0.77524752475247527</c:v>
                </c:pt>
                <c:pt idx="23">
                  <c:v>0.75267665952890794</c:v>
                </c:pt>
                <c:pt idx="24">
                  <c:v>0.76024955436720132</c:v>
                </c:pt>
                <c:pt idx="25">
                  <c:v>0.77128132219655232</c:v>
                </c:pt>
                <c:pt idx="26">
                  <c:v>0.77931769722814503</c:v>
                </c:pt>
                <c:pt idx="27">
                  <c:v>0.7936113575865128</c:v>
                </c:pt>
                <c:pt idx="28">
                  <c:v>0.80682624113475188</c:v>
                </c:pt>
                <c:pt idx="31">
                  <c:v>0.77932002495321273</c:v>
                </c:pt>
                <c:pt idx="32">
                  <c:v>0.79063617981023482</c:v>
                </c:pt>
                <c:pt idx="33">
                  <c:v>0.7983708301008533</c:v>
                </c:pt>
                <c:pt idx="34">
                  <c:v>0.80386826161255232</c:v>
                </c:pt>
                <c:pt idx="35">
                  <c:v>0.81095529557604396</c:v>
                </c:pt>
                <c:pt idx="36">
                  <c:v>0.83143807534617464</c:v>
                </c:pt>
              </c:numCache>
            </c:numRef>
          </c:xVal>
          <c:yVal>
            <c:numRef>
              <c:f>'Overall w heat (final) 0709 (2)'!$AH$42:$AH$78</c:f>
              <c:numCache>
                <c:formatCode>0.00%</c:formatCode>
                <c:ptCount val="37"/>
                <c:pt idx="0">
                  <c:v>0.43390185436161227</c:v>
                </c:pt>
                <c:pt idx="1">
                  <c:v>0.47723494888562895</c:v>
                </c:pt>
                <c:pt idx="2">
                  <c:v>0.60389390623005834</c:v>
                </c:pt>
                <c:pt idx="3">
                  <c:v>0.60781432416670989</c:v>
                </c:pt>
                <c:pt idx="4">
                  <c:v>0.60310082632336792</c:v>
                </c:pt>
                <c:pt idx="7">
                  <c:v>0.57044684271501567</c:v>
                </c:pt>
                <c:pt idx="8">
                  <c:v>0.59386306592376903</c:v>
                </c:pt>
                <c:pt idx="9">
                  <c:v>0.55577190646285757</c:v>
                </c:pt>
                <c:pt idx="10">
                  <c:v>0.63616784593079878</c:v>
                </c:pt>
                <c:pt idx="11">
                  <c:v>0.63314200658679876</c:v>
                </c:pt>
                <c:pt idx="12">
                  <c:v>0.68424355477555887</c:v>
                </c:pt>
                <c:pt idx="15">
                  <c:v>0.54859373924856569</c:v>
                </c:pt>
                <c:pt idx="16">
                  <c:v>0.60035332733453561</c:v>
                </c:pt>
                <c:pt idx="17">
                  <c:v>0.69120558341921967</c:v>
                </c:pt>
                <c:pt idx="18">
                  <c:v>0.72965860837679686</c:v>
                </c:pt>
                <c:pt idx="19">
                  <c:v>0.79595139532531167</c:v>
                </c:pt>
                <c:pt idx="20">
                  <c:v>0.83497240010907037</c:v>
                </c:pt>
                <c:pt idx="23">
                  <c:v>0.71851317375975576</c:v>
                </c:pt>
                <c:pt idx="24">
                  <c:v>0.76495011547711855</c:v>
                </c:pt>
                <c:pt idx="25">
                  <c:v>0.80456286940198607</c:v>
                </c:pt>
                <c:pt idx="26">
                  <c:v>0.90656858769156456</c:v>
                </c:pt>
                <c:pt idx="27">
                  <c:v>0.90516873350304539</c:v>
                </c:pt>
                <c:pt idx="28">
                  <c:v>0.89493889486444722</c:v>
                </c:pt>
                <c:pt idx="31">
                  <c:v>0.67768297412134249</c:v>
                </c:pt>
                <c:pt idx="32">
                  <c:v>0.73765253928101937</c:v>
                </c:pt>
                <c:pt idx="33">
                  <c:v>0.80902194552027318</c:v>
                </c:pt>
                <c:pt idx="34">
                  <c:v>0.90352471942571178</c:v>
                </c:pt>
                <c:pt idx="35">
                  <c:v>0.90316813212010527</c:v>
                </c:pt>
                <c:pt idx="36">
                  <c:v>0.92325387748664844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4-4BF0-9A23-5C060D13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1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ajorUnit val="0.2"/>
        <c:minorUnit val="0.1"/>
      </c:valAx>
      <c:valAx>
        <c:axId val="733675672"/>
        <c:scaling>
          <c:orientation val="minMax"/>
          <c:max val="1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(final) 0709 (2)'!$D$57:$D$62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(final) 0709 (2)'!$G$57:$G$62</c:f>
              <c:numCache>
                <c:formatCode>General</c:formatCode>
                <c:ptCount val="6"/>
                <c:pt idx="0">
                  <c:v>0.55078811420555995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3-4BAE-AC18-17866F5F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(final) 0709 (2)'!$D$57:$D$62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(final) 0709 (2)'!$E$57:$E$62</c:f>
              <c:numCache>
                <c:formatCode>General</c:formatCode>
                <c:ptCount val="6"/>
                <c:pt idx="0">
                  <c:v>0.72150000000000003</c:v>
                </c:pt>
                <c:pt idx="1">
                  <c:v>0.73440000000000005</c:v>
                </c:pt>
                <c:pt idx="2">
                  <c:v>0.75649999999999995</c:v>
                </c:pt>
                <c:pt idx="3">
                  <c:v>0.76780000000000004</c:v>
                </c:pt>
                <c:pt idx="4">
                  <c:v>0.77439999999999998</c:v>
                </c:pt>
                <c:pt idx="5">
                  <c:v>0.78300000000000003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CEF-4F99-994A-F6B90556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('Overall w heat (final) 0709 (2)'!$B$49,'Overall w heat (final) 0709 (2)'!$B$57,'Overall w heat (final) 0709 (2)'!$B$65,'Overall w heat (final) 0709 (2)'!$B$73)</c:f>
              <c:numCache>
                <c:formatCode>General</c:formatCode>
                <c:ptCount val="4"/>
                <c:pt idx="0">
                  <c:v>1427</c:v>
                </c:pt>
                <c:pt idx="1">
                  <c:v>1638</c:v>
                </c:pt>
                <c:pt idx="2">
                  <c:v>1837</c:v>
                </c:pt>
                <c:pt idx="3">
                  <c:v>2107</c:v>
                </c:pt>
              </c:numCache>
            </c:numRef>
          </c:xVal>
          <c:yVal>
            <c:numRef>
              <c:f>('Overall w heat (final) 0709 (2)'!$G$49,'Overall w heat (final) 0709 (2)'!$G$57,'Overall w heat (final) 0709 (2)'!$G$65,'Overall w heat (final) 0709 (2)'!$G$73)</c:f>
              <c:numCache>
                <c:formatCode>General</c:formatCode>
                <c:ptCount val="4"/>
                <c:pt idx="0">
                  <c:v>0.49942621079699617</c:v>
                </c:pt>
                <c:pt idx="1">
                  <c:v>0.55078811420555995</c:v>
                </c:pt>
                <c:pt idx="2">
                  <c:v>0.80530956514993424</c:v>
                </c:pt>
                <c:pt idx="3">
                  <c:v>0.86906064601320965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F-47B2-8356-B4248355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99376"/>
        <c:axId val="1186697736"/>
      </c:scatterChart>
      <c:valAx>
        <c:axId val="11866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97736"/>
        <c:crosses val="autoZero"/>
        <c:crossBetween val="midCat"/>
      </c:valAx>
      <c:valAx>
        <c:axId val="11866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(final) 0709 (2)'!$A$43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0709 (2)'!$D$42:$D$46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(final) 0709 (2)'!$AH$42:$AH$46</c:f>
              <c:numCache>
                <c:formatCode>0.00%</c:formatCode>
                <c:ptCount val="5"/>
                <c:pt idx="0">
                  <c:v>0.43390185436161227</c:v>
                </c:pt>
                <c:pt idx="1">
                  <c:v>0.47723494888562895</c:v>
                </c:pt>
                <c:pt idx="2">
                  <c:v>0.60389390623005834</c:v>
                </c:pt>
                <c:pt idx="3">
                  <c:v>0.60781432416670989</c:v>
                </c:pt>
                <c:pt idx="4">
                  <c:v>0.60310082632336792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F-4A19-8DD8-6B5C7C26E9C9}"/>
            </c:ext>
          </c:extLst>
        </c:ser>
        <c:ser>
          <c:idx val="4"/>
          <c:order val="1"/>
          <c:tx>
            <c:strRef>
              <c:f>'Overall w heat (final) 0709 (2)'!$A$50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0709 (2)'!$D$49:$D$54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3.6616022441401399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w heat (final) 0709 (2)'!$AH$49:$AH$54</c:f>
              <c:numCache>
                <c:formatCode>0.00%</c:formatCode>
                <c:ptCount val="6"/>
                <c:pt idx="0">
                  <c:v>0.57044684271501567</c:v>
                </c:pt>
                <c:pt idx="1">
                  <c:v>0.59386306592376903</c:v>
                </c:pt>
                <c:pt idx="2">
                  <c:v>0.55577190646285757</c:v>
                </c:pt>
                <c:pt idx="3">
                  <c:v>0.63616784593079878</c:v>
                </c:pt>
                <c:pt idx="4">
                  <c:v>0.63314200658679876</c:v>
                </c:pt>
                <c:pt idx="5">
                  <c:v>0.68424355477555887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F-4A19-8DD8-6B5C7C26E9C9}"/>
            </c:ext>
          </c:extLst>
        </c:ser>
        <c:ser>
          <c:idx val="5"/>
          <c:order val="2"/>
          <c:tx>
            <c:strRef>
              <c:f>'Overall w heat (final) 0709 (2)'!$A$58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(final) 0709 (2)'!$D$57:$D$62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(final) 0709 (2)'!$AH$57:$AH$62</c:f>
              <c:numCache>
                <c:formatCode>0.00%</c:formatCode>
                <c:ptCount val="6"/>
                <c:pt idx="0">
                  <c:v>0.54859373924856569</c:v>
                </c:pt>
                <c:pt idx="1">
                  <c:v>0.60035332733453561</c:v>
                </c:pt>
                <c:pt idx="2">
                  <c:v>0.69120558341921967</c:v>
                </c:pt>
                <c:pt idx="3">
                  <c:v>0.72965860837679686</c:v>
                </c:pt>
                <c:pt idx="4">
                  <c:v>0.79595139532531167</c:v>
                </c:pt>
                <c:pt idx="5">
                  <c:v>0.83497240010907037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F-4A19-8DD8-6B5C7C26E9C9}"/>
            </c:ext>
          </c:extLst>
        </c:ser>
        <c:ser>
          <c:idx val="3"/>
          <c:order val="3"/>
          <c:tx>
            <c:strRef>
              <c:f>'Overall w heat (final) 0709 (2)'!$A$65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0709 (2)'!$D$65:$D$70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4.5816778072219542</c:v>
                </c:pt>
                <c:pt idx="2">
                  <c:v>4.0282260804900449</c:v>
                </c:pt>
                <c:pt idx="3">
                  <c:v>3.6533986868675399</c:v>
                </c:pt>
                <c:pt idx="4">
                  <c:v>3.0732756854133072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(final) 0709 (2)'!$AH$65:$AH$70</c:f>
              <c:numCache>
                <c:formatCode>0.00%</c:formatCode>
                <c:ptCount val="6"/>
                <c:pt idx="0">
                  <c:v>0.71851317375975576</c:v>
                </c:pt>
                <c:pt idx="1">
                  <c:v>0.76495011547711855</c:v>
                </c:pt>
                <c:pt idx="2">
                  <c:v>0.80456286940198607</c:v>
                </c:pt>
                <c:pt idx="3">
                  <c:v>0.90656858769156456</c:v>
                </c:pt>
                <c:pt idx="4">
                  <c:v>0.90516873350304539</c:v>
                </c:pt>
                <c:pt idx="5">
                  <c:v>0.89493889486444722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7F-4A19-8DD8-6B5C7C26E9C9}"/>
            </c:ext>
          </c:extLst>
        </c:ser>
        <c:ser>
          <c:idx val="1"/>
          <c:order val="4"/>
          <c:tx>
            <c:strRef>
              <c:f>'Overall w heat (final) 0709 (2)'!$A$73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(final) 0709 (2)'!$D$73:$D$78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(final) 0709 (2)'!$AH$73:$AH$78</c:f>
              <c:numCache>
                <c:formatCode>0.00%</c:formatCode>
                <c:ptCount val="6"/>
                <c:pt idx="0">
                  <c:v>0.67768297412134249</c:v>
                </c:pt>
                <c:pt idx="1">
                  <c:v>0.73765253928101937</c:v>
                </c:pt>
                <c:pt idx="2">
                  <c:v>0.80902194552027318</c:v>
                </c:pt>
                <c:pt idx="3">
                  <c:v>0.90352471942571178</c:v>
                </c:pt>
                <c:pt idx="4">
                  <c:v>0.90316813212010527</c:v>
                </c:pt>
                <c:pt idx="5">
                  <c:v>0.92325387748664844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7F-4A19-8DD8-6B5C7C26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ax val="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Discharge Pressure (Abs. Bar)</a:t>
                </a:r>
              </a:p>
            </c:rich>
          </c:tx>
          <c:layout>
            <c:manualLayout>
              <c:xMode val="edge"/>
              <c:yMode val="edge"/>
              <c:x val="0.33621499999999999"/>
              <c:y val="0.89592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Volumetric Efficiency (%)</a:t>
                </a:r>
              </a:p>
            </c:rich>
          </c:tx>
          <c:layout>
            <c:manualLayout>
              <c:xMode val="edge"/>
              <c:yMode val="edge"/>
              <c:x val="1.4366851851851851E-2"/>
              <c:y val="0.1903347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768518518518541"/>
          <c:y val="0.25660194444444445"/>
          <c:w val="0.13233333333333333"/>
          <c:h val="0.3420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(leak) 0713 (3)'!$A$43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0713 (3)'!$D$42:$D$46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0713 (3)'!$G$42:$G$46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B-48E6-A68E-0075B4453926}"/>
            </c:ext>
          </c:extLst>
        </c:ser>
        <c:ser>
          <c:idx val="4"/>
          <c:order val="1"/>
          <c:tx>
            <c:strRef>
              <c:f>'Overall w heat (leak) 0713 (3)'!$A$50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0713 (3)'!$D$49:$D$54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(leak) 0713 (3)'!$G$49:$G$54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B-48E6-A68E-0075B4453926}"/>
            </c:ext>
          </c:extLst>
        </c:ser>
        <c:ser>
          <c:idx val="5"/>
          <c:order val="2"/>
          <c:tx>
            <c:strRef>
              <c:f>'Overall w heat (leak) 0713 (3)'!$A$58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(leak) 0713 (3)'!$D$57:$D$62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3.2641584944265198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(leak) 0713 (3)'!$G$57:$G$62</c:f>
              <c:numCache>
                <c:formatCode>General</c:formatCode>
                <c:ptCount val="6"/>
                <c:pt idx="0">
                  <c:v>0.55078811420555995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BB-48E6-A68E-0075B4453926}"/>
            </c:ext>
          </c:extLst>
        </c:ser>
        <c:ser>
          <c:idx val="3"/>
          <c:order val="3"/>
          <c:tx>
            <c:strRef>
              <c:f>'Overall w heat (leak) 0713 (3)'!$A$65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0713 (3)'!$D$65:$D$70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4.5816778072219497</c:v>
                </c:pt>
                <c:pt idx="2">
                  <c:v>4.0282260804900396</c:v>
                </c:pt>
                <c:pt idx="3">
                  <c:v>3.6533986868675399</c:v>
                </c:pt>
                <c:pt idx="4">
                  <c:v>3.0732756854133099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(leak) 0713 (3)'!$G$65:$G$70</c:f>
              <c:numCache>
                <c:formatCode>General</c:formatCode>
                <c:ptCount val="6"/>
                <c:pt idx="0">
                  <c:v>0.80530956514993424</c:v>
                </c:pt>
                <c:pt idx="1">
                  <c:v>0.85827402956532706</c:v>
                </c:pt>
                <c:pt idx="2">
                  <c:v>0.90545505322499509</c:v>
                </c:pt>
                <c:pt idx="3">
                  <c:v>1.0204336023056251</c:v>
                </c:pt>
                <c:pt idx="4">
                  <c:v>1.0201251626579322</c:v>
                </c:pt>
                <c:pt idx="5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BB-48E6-A68E-0075B4453926}"/>
            </c:ext>
          </c:extLst>
        </c:ser>
        <c:ser>
          <c:idx val="1"/>
          <c:order val="4"/>
          <c:tx>
            <c:strRef>
              <c:f>'Overall w heat (leak) 0713 (3)'!$A$73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(leak) 0713 (3)'!$D$73:$D$78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(leak) 0713 (3)'!$G$73:$G$78</c:f>
              <c:numCache>
                <c:formatCode>General</c:formatCode>
                <c:ptCount val="6"/>
                <c:pt idx="0">
                  <c:v>0.86906064601320965</c:v>
                </c:pt>
                <c:pt idx="1">
                  <c:v>0.94847363500753468</c:v>
                </c:pt>
                <c:pt idx="2">
                  <c:v>1.042829287775632</c:v>
                </c:pt>
                <c:pt idx="3">
                  <c:v>1.1631977237886615</c:v>
                </c:pt>
                <c:pt idx="4">
                  <c:v>1.1657191081274199</c:v>
                </c:pt>
                <c:pt idx="5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BB-48E6-A68E-0075B445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(leak) 0713 (3)'!$D$42:$D$46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(leak) 0713 (3)'!$E$42:$E$46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0.36599999999999999</c:v>
                      </c:pt>
                      <c:pt idx="1">
                        <c:v>0.39850000000000002</c:v>
                      </c:pt>
                      <c:pt idx="2">
                        <c:v>0.40029999999999999</c:v>
                      </c:pt>
                      <c:pt idx="3">
                        <c:v>0.41959999999999997</c:v>
                      </c:pt>
                      <c:pt idx="4">
                        <c:v>0.45810000000000001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CBB-48E6-A68E-0075B445392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P_1639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(3)'!$E$57:$E$62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0.58279999999999998</c:v>
                      </c:pt>
                      <c:pt idx="1">
                        <c:v>0.60209999999999997</c:v>
                      </c:pt>
                      <c:pt idx="2">
                        <c:v>0.63590000000000002</c:v>
                      </c:pt>
                      <c:pt idx="3">
                        <c:v>0.65600000000000003</c:v>
                      </c:pt>
                      <c:pt idx="4">
                        <c:v>0.66739999999999999</c:v>
                      </c:pt>
                      <c:pt idx="5">
                        <c:v>0.68220000000000003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BB-48E6-A68E-0075B445392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5.2533625867637204</c:v>
                      </c:pt>
                      <c:pt idx="1">
                        <c:v>4.8223075689095696</c:v>
                      </c:pt>
                      <c:pt idx="2">
                        <c:v>4.2362978478636197</c:v>
                      </c:pt>
                      <c:pt idx="3">
                        <c:v>3.6616022441401399</c:v>
                      </c:pt>
                      <c:pt idx="4">
                        <c:v>2.9220510847489098</c:v>
                      </c:pt>
                      <c:pt idx="5">
                        <c:v>2.6698755104625498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(3)'!$E$49:$E$54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0.46139999999999998</c:v>
                      </c:pt>
                      <c:pt idx="1">
                        <c:v>0.46139999999999998</c:v>
                      </c:pt>
                      <c:pt idx="2">
                        <c:v>0.48</c:v>
                      </c:pt>
                      <c:pt idx="3">
                        <c:v>0.50439999999999996</c:v>
                      </c:pt>
                      <c:pt idx="4">
                        <c:v>0.54159999999999997</c:v>
                      </c:pt>
                      <c:pt idx="5">
                        <c:v>0.56530000000000002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BB-48E6-A68E-0075B445392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(3)'!$E$65:$E$70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0.70299999999999996</c:v>
                      </c:pt>
                      <c:pt idx="1">
                        <c:v>0.71909999999999996</c:v>
                      </c:pt>
                      <c:pt idx="2">
                        <c:v>0.73750000000000004</c:v>
                      </c:pt>
                      <c:pt idx="3">
                        <c:v>0.75470000000000004</c:v>
                      </c:pt>
                      <c:pt idx="4">
                        <c:v>0.78520000000000001</c:v>
                      </c:pt>
                      <c:pt idx="5">
                        <c:v>0.81389999999999996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BB-48E6-A68E-0075B445392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(3)'!$E$73:$E$78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0.85709999999999997</c:v>
                      </c:pt>
                      <c:pt idx="1">
                        <c:v>0.88080000000000003</c:v>
                      </c:pt>
                      <c:pt idx="2">
                        <c:v>0.89670000000000005</c:v>
                      </c:pt>
                      <c:pt idx="3">
                        <c:v>0.91059999999999997</c:v>
                      </c:pt>
                      <c:pt idx="4">
                        <c:v>0.93010000000000004</c:v>
                      </c:pt>
                      <c:pt idx="5">
                        <c:v>0.98280000000000001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CBB-48E6-A68E-0075B4453926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851851851851E-2"/>
              <c:y val="0.19649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768518518518541"/>
          <c:y val="0.25660194444444445"/>
          <c:w val="0.13233333333333333"/>
          <c:h val="0.3420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(leak) 0713 (3)'!$A$43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0713 (3)'!$D$42:$D$46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0713 (3)'!$M$42:$M$46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6-4EEC-B16F-7607E9B0553F}"/>
            </c:ext>
          </c:extLst>
        </c:ser>
        <c:ser>
          <c:idx val="2"/>
          <c:order val="5"/>
          <c:tx>
            <c:v>P_1216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(leak) 0713 (3)'!$D$42:$D$46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0713 (3)'!$K$42:$K$46</c:f>
              <c:numCache>
                <c:formatCode>General</c:formatCode>
                <c:ptCount val="5"/>
                <c:pt idx="0">
                  <c:v>232.79490000000001</c:v>
                </c:pt>
                <c:pt idx="1">
                  <c:v>202.07579999999999</c:v>
                </c:pt>
                <c:pt idx="2">
                  <c:v>200.8391</c:v>
                </c:pt>
                <c:pt idx="3">
                  <c:v>184.05609999999999</c:v>
                </c:pt>
                <c:pt idx="4">
                  <c:v>158.24770000000001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506-4EEC-B16F-7607E9B0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'Overall w heat (leak) 0713 (3)'!$A$50</c15:sqref>
                        </c15:formulaRef>
                      </c:ext>
                    </c:extLst>
                    <c:strCache>
                      <c:ptCount val="1"/>
                      <c:pt idx="0">
                        <c:v>1417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2">
                        <a:lumMod val="50000"/>
                      </a:schemeClr>
                    </a:solidFill>
                    <a:ln w="12700">
                      <a:solidFill>
                        <a:srgbClr val="ED7D31">
                          <a:lumMod val="50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'Overall w heat (leak) 0713 (3)'!$D$49:$D$54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5.2533625867637204</c:v>
                      </c:pt>
                      <c:pt idx="1">
                        <c:v>4.8223075689095696</c:v>
                      </c:pt>
                      <c:pt idx="2">
                        <c:v>4.2362978478636197</c:v>
                      </c:pt>
                      <c:pt idx="3">
                        <c:v>3.6616022441401399</c:v>
                      </c:pt>
                      <c:pt idx="4">
                        <c:v>2.9220510847489098</c:v>
                      </c:pt>
                      <c:pt idx="5">
                        <c:v>2.6698755104625498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(leak) 0713 (3)'!$M$49:$M$54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312.41254145595809</c:v>
                      </c:pt>
                      <c:pt idx="1">
                        <c:v>277.23925387205941</c:v>
                      </c:pt>
                      <c:pt idx="2">
                        <c:v>252.5835649599077</c:v>
                      </c:pt>
                      <c:pt idx="3">
                        <c:v>233.85095355199863</c:v>
                      </c:pt>
                      <c:pt idx="4">
                        <c:v>203.92491114934344</c:v>
                      </c:pt>
                      <c:pt idx="5">
                        <c:v>199.07794559162474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506-4EEC-B16F-7607E9B0553F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(3)'!$A$58</c15:sqref>
                        </c15:formulaRef>
                      </c:ext>
                    </c:extLst>
                    <c:strCache>
                      <c:ptCount val="1"/>
                      <c:pt idx="0">
                        <c:v>1639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(3)'!$M$57:$M$62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350.36119156039933</c:v>
                      </c:pt>
                      <c:pt idx="1">
                        <c:v>318.37107478027991</c:v>
                      </c:pt>
                      <c:pt idx="2">
                        <c:v>289.30173145285579</c:v>
                      </c:pt>
                      <c:pt idx="3">
                        <c:v>271.84554968579704</c:v>
                      </c:pt>
                      <c:pt idx="4">
                        <c:v>257.37260775625094</c:v>
                      </c:pt>
                      <c:pt idx="5">
                        <c:v>242.54161373792925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06-4EEC-B16F-7607E9B055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(3)'!$A$65</c15:sqref>
                        </c15:formulaRef>
                      </c:ext>
                    </c:extLst>
                    <c:strCache>
                      <c:ptCount val="1"/>
                      <c:pt idx="0">
                        <c:v>1839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accent5">
                        <a:lumMod val="50000"/>
                      </a:schemeClr>
                    </a:solidFill>
                    <a:ln w="12700">
                      <a:solidFill>
                        <a:srgbClr val="4472C4">
                          <a:lumMod val="50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(3)'!$M$65:$M$70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414.98108314334672</c:v>
                      </c:pt>
                      <c:pt idx="1">
                        <c:v>377.6009892173239</c:v>
                      </c:pt>
                      <c:pt idx="2">
                        <c:v>348.33822229195874</c:v>
                      </c:pt>
                      <c:pt idx="3">
                        <c:v>344.11790533548407</c:v>
                      </c:pt>
                      <c:pt idx="4">
                        <c:v>310.51013897327994</c:v>
                      </c:pt>
                      <c:pt idx="5">
                        <c:v>272.32024194294416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06-4EEC-B16F-7607E9B0553F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(3)'!$A$73</c15:sqref>
                        </c15:formulaRef>
                      </c:ext>
                    </c:extLst>
                    <c:strCache>
                      <c:ptCount val="1"/>
                      <c:pt idx="0">
                        <c:v>2112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rgbClr val="70AD47">
                          <a:lumMod val="75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(3)'!$M$73:$M$78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496.993999338386</c:v>
                      </c:pt>
                      <c:pt idx="1">
                        <c:v>455.1477762194761</c:v>
                      </c:pt>
                      <c:pt idx="2">
                        <c:v>404.21583325687345</c:v>
                      </c:pt>
                      <c:pt idx="3">
                        <c:v>362.03189924269998</c:v>
                      </c:pt>
                      <c:pt idx="4">
                        <c:v>343.19032930307435</c:v>
                      </c:pt>
                      <c:pt idx="5">
                        <c:v>291.55202608163211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06-4EEC-B16F-7607E9B0553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5.2533625867637204</c:v>
                      </c:pt>
                      <c:pt idx="1">
                        <c:v>4.8223075689095696</c:v>
                      </c:pt>
                      <c:pt idx="2">
                        <c:v>4.2362978478636197</c:v>
                      </c:pt>
                      <c:pt idx="3">
                        <c:v>3.6616022441401399</c:v>
                      </c:pt>
                      <c:pt idx="4">
                        <c:v>2.9220510847489098</c:v>
                      </c:pt>
                      <c:pt idx="5">
                        <c:v>2.6698755104625498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(3)'!$K$49:$K$54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309.57740000000001</c:v>
                      </c:pt>
                      <c:pt idx="1">
                        <c:v>290.935</c:v>
                      </c:pt>
                      <c:pt idx="2">
                        <c:v>270.149</c:v>
                      </c:pt>
                      <c:pt idx="3">
                        <c:v>245.24430000000001</c:v>
                      </c:pt>
                      <c:pt idx="4">
                        <c:v>209.3767</c:v>
                      </c:pt>
                      <c:pt idx="5">
                        <c:v>198.50360000000001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06-4EEC-B16F-7607E9B0553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(3)'!$K$57:$K$63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363.91309999999999</c:v>
                      </c:pt>
                      <c:pt idx="1">
                        <c:v>334.74979999999999</c:v>
                      </c:pt>
                      <c:pt idx="2">
                        <c:v>292.31700000000001</c:v>
                      </c:pt>
                      <c:pt idx="3">
                        <c:v>269.29259999999999</c:v>
                      </c:pt>
                      <c:pt idx="4">
                        <c:v>258.2851</c:v>
                      </c:pt>
                      <c:pt idx="5">
                        <c:v>243.74799999999999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06-4EEC-B16F-7607E9B0553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(3)'!$K$65:$K$70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402.21280000000002</c:v>
                      </c:pt>
                      <c:pt idx="1">
                        <c:v>379.46269999999998</c:v>
                      </c:pt>
                      <c:pt idx="2">
                        <c:v>352.13600000000002</c:v>
                      </c:pt>
                      <c:pt idx="3">
                        <c:v>328.50850000000003</c:v>
                      </c:pt>
                      <c:pt idx="4">
                        <c:v>291.82490000000001</c:v>
                      </c:pt>
                      <c:pt idx="5">
                        <c:v>262.67219999999998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06-4EEC-B16F-7607E9B0553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(3)'!$K$73:$K$78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476.0367</c:v>
                      </c:pt>
                      <c:pt idx="1">
                        <c:v>439.1995</c:v>
                      </c:pt>
                      <c:pt idx="2">
                        <c:v>413.53059999999999</c:v>
                      </c:pt>
                      <c:pt idx="3">
                        <c:v>389.93310000000002</c:v>
                      </c:pt>
                      <c:pt idx="4">
                        <c:v>365.04919999999998</c:v>
                      </c:pt>
                      <c:pt idx="5">
                        <c:v>303.41419999999999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06-4EEC-B16F-7607E9B0553F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25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 Power</a:t>
                </a:r>
                <a:r>
                  <a:rPr lang="en-SG" baseline="0"/>
                  <a:t> Input (W)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4366851851851851E-2"/>
              <c:y val="0.14617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 heat (leak) 0713 (3)'!$E$42:$E$78</c:f>
              <c:numCache>
                <c:formatCode>General</c:formatCode>
                <c:ptCount val="37"/>
                <c:pt idx="0">
                  <c:v>0.36599999999999999</c:v>
                </c:pt>
                <c:pt idx="1">
                  <c:v>0.39850000000000002</c:v>
                </c:pt>
                <c:pt idx="2">
                  <c:v>0.40029999999999999</c:v>
                </c:pt>
                <c:pt idx="3">
                  <c:v>0.41959999999999997</c:v>
                </c:pt>
                <c:pt idx="4">
                  <c:v>0.45810000000000001</c:v>
                </c:pt>
                <c:pt idx="7">
                  <c:v>0.46139999999999998</c:v>
                </c:pt>
                <c:pt idx="8">
                  <c:v>0.46139999999999998</c:v>
                </c:pt>
                <c:pt idx="9">
                  <c:v>0.48</c:v>
                </c:pt>
                <c:pt idx="10">
                  <c:v>0.50439999999999996</c:v>
                </c:pt>
                <c:pt idx="11">
                  <c:v>0.54159999999999997</c:v>
                </c:pt>
                <c:pt idx="12">
                  <c:v>0.56530000000000002</c:v>
                </c:pt>
                <c:pt idx="15">
                  <c:v>0.58279999999999998</c:v>
                </c:pt>
                <c:pt idx="16">
                  <c:v>0.60209999999999997</c:v>
                </c:pt>
                <c:pt idx="17">
                  <c:v>0.63590000000000002</c:v>
                </c:pt>
                <c:pt idx="18">
                  <c:v>0.65600000000000003</c:v>
                </c:pt>
                <c:pt idx="19">
                  <c:v>0.66739999999999999</c:v>
                </c:pt>
                <c:pt idx="20">
                  <c:v>0.68220000000000003</c:v>
                </c:pt>
                <c:pt idx="23">
                  <c:v>0.70299999999999996</c:v>
                </c:pt>
                <c:pt idx="24">
                  <c:v>0.71909999999999996</c:v>
                </c:pt>
                <c:pt idx="25">
                  <c:v>0.73750000000000004</c:v>
                </c:pt>
                <c:pt idx="26">
                  <c:v>0.75470000000000004</c:v>
                </c:pt>
                <c:pt idx="27">
                  <c:v>0.78520000000000001</c:v>
                </c:pt>
                <c:pt idx="28">
                  <c:v>0.81389999999999996</c:v>
                </c:pt>
                <c:pt idx="31">
                  <c:v>0.85709999999999997</c:v>
                </c:pt>
                <c:pt idx="32">
                  <c:v>0.88080000000000003</c:v>
                </c:pt>
                <c:pt idx="33">
                  <c:v>0.89670000000000005</c:v>
                </c:pt>
                <c:pt idx="34">
                  <c:v>0.91059999999999997</c:v>
                </c:pt>
                <c:pt idx="35">
                  <c:v>0.93010000000000004</c:v>
                </c:pt>
                <c:pt idx="36">
                  <c:v>0.98280000000000001</c:v>
                </c:pt>
              </c:numCache>
            </c:numRef>
          </c:xVal>
          <c:yVal>
            <c:numRef>
              <c:f>'Overall w heat (leak) 0713 (3)'!$G$42:$G$78</c:f>
              <c:numCache>
                <c:formatCode>General</c:formatCode>
                <c:ptCount val="37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  <c:pt idx="7">
                  <c:v>0.49942621079699617</c:v>
                </c:pt>
                <c:pt idx="8">
                  <c:v>0.51458234662294589</c:v>
                </c:pt>
                <c:pt idx="9">
                  <c:v>0.48213212885652895</c:v>
                </c:pt>
                <c:pt idx="10">
                  <c:v>0.55282985811386409</c:v>
                </c:pt>
                <c:pt idx="11">
                  <c:v>0.55064360312853888</c:v>
                </c:pt>
                <c:pt idx="12">
                  <c:v>0.60090268980389583</c:v>
                </c:pt>
                <c:pt idx="15">
                  <c:v>0.55078811420555995</c:v>
                </c:pt>
                <c:pt idx="16">
                  <c:v>0.60263466997840687</c:v>
                </c:pt>
                <c:pt idx="17">
                  <c:v>0.69666610752823155</c:v>
                </c:pt>
                <c:pt idx="18">
                  <c:v>0.73556884310464887</c:v>
                </c:pt>
                <c:pt idx="19">
                  <c:v>0.80311495788323939</c:v>
                </c:pt>
                <c:pt idx="20">
                  <c:v>0.84332212411016105</c:v>
                </c:pt>
                <c:pt idx="23">
                  <c:v>0.80530956514993424</c:v>
                </c:pt>
                <c:pt idx="24">
                  <c:v>0.85827402956532706</c:v>
                </c:pt>
                <c:pt idx="25">
                  <c:v>0.90545505322499509</c:v>
                </c:pt>
                <c:pt idx="26">
                  <c:v>1.0204336023056251</c:v>
                </c:pt>
                <c:pt idx="27">
                  <c:v>1.0201251626579322</c:v>
                </c:pt>
                <c:pt idx="28">
                  <c:v>1.0094910734070963</c:v>
                </c:pt>
                <c:pt idx="31">
                  <c:v>0.86906064601320965</c:v>
                </c:pt>
                <c:pt idx="32">
                  <c:v>0.94847363500753468</c:v>
                </c:pt>
                <c:pt idx="33">
                  <c:v>1.042829287775632</c:v>
                </c:pt>
                <c:pt idx="34">
                  <c:v>1.1631977237886615</c:v>
                </c:pt>
                <c:pt idx="35">
                  <c:v>1.1657191081274199</c:v>
                </c:pt>
                <c:pt idx="36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8-42E7-A0DA-E8DA857ECF98}"/>
            </c:ext>
          </c:extLst>
        </c:ser>
        <c:ser>
          <c:idx val="1"/>
          <c:order val="1"/>
          <c:tx>
            <c:v>line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D8-42E7-A0DA-E8DA857ECF98}"/>
              </c:ext>
            </c:extLst>
          </c:dPt>
          <c:xVal>
            <c:numRef>
              <c:f>'Overall wo heat (final)'!$A$87:$A$88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'Overall wo heat (final)'!$B$87:$B$88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8-42E7-A0DA-E8DA857ECF98}"/>
            </c:ext>
          </c:extLst>
        </c:ser>
        <c:ser>
          <c:idx val="2"/>
          <c:order val="2"/>
          <c:tx>
            <c:v>15</c:v>
          </c:tx>
          <c:spPr>
            <a:ln w="25400" cap="rnd">
              <a:solidFill>
                <a:srgbClr val="ED7D3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FD8-42E7-A0DA-E8DA857ECF98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D8-42E7-A0DA-E8DA857ECF98}"/>
              </c:ext>
            </c:extLst>
          </c:dPt>
          <c:xVal>
            <c:numRef>
              <c:f>'Overall w heat (leak) 0713 (3)'!$C$122:$C$123</c:f>
              <c:numCache>
                <c:formatCode>General</c:formatCode>
                <c:ptCount val="2"/>
                <c:pt idx="0">
                  <c:v>0.2</c:v>
                </c:pt>
                <c:pt idx="1">
                  <c:v>1.4</c:v>
                </c:pt>
              </c:numCache>
            </c:numRef>
          </c:xVal>
          <c:yVal>
            <c:numRef>
              <c:f>'Overall w heat (leak) 0713 (3)'!$D$122:$D$123</c:f>
              <c:numCache>
                <c:formatCode>General</c:formatCode>
                <c:ptCount val="2"/>
                <c:pt idx="0">
                  <c:v>0.22999999999999998</c:v>
                </c:pt>
                <c:pt idx="1">
                  <c:v>1.6099999999999999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D8-42E7-A0DA-E8DA857ECF98}"/>
            </c:ext>
          </c:extLst>
        </c:ser>
        <c:ser>
          <c:idx val="3"/>
          <c:order val="3"/>
          <c:tx>
            <c:v>-15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FD8-42E7-A0DA-E8DA857ECF98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FD8-42E7-A0DA-E8DA857ECF98}"/>
              </c:ext>
            </c:extLst>
          </c:dPt>
          <c:xVal>
            <c:numRef>
              <c:f>'Overall w heat (leak) 0713 (3)'!$E$122:$E$123</c:f>
              <c:numCache>
                <c:formatCode>General</c:formatCode>
                <c:ptCount val="2"/>
                <c:pt idx="0">
                  <c:v>0.2</c:v>
                </c:pt>
                <c:pt idx="1">
                  <c:v>1.4</c:v>
                </c:pt>
              </c:numCache>
            </c:numRef>
          </c:xVal>
          <c:yVal>
            <c:numRef>
              <c:f>'Overall w heat (leak) 0713 (3)'!$F$122:$F$123</c:f>
              <c:numCache>
                <c:formatCode>General</c:formatCode>
                <c:ptCount val="2"/>
                <c:pt idx="0">
                  <c:v>0.17</c:v>
                </c:pt>
                <c:pt idx="1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D8-42E7-A0DA-E8DA857E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1.4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Predicted</a:t>
                </a:r>
              </a:p>
            </c:rich>
          </c:tx>
          <c:layout>
            <c:manualLayout>
              <c:xMode val="edge"/>
              <c:yMode val="edge"/>
              <c:x val="0.44038055555555561"/>
              <c:y val="0.8938138888888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ajorUnit val="0.2"/>
        <c:minorUnit val="0.1"/>
      </c:valAx>
      <c:valAx>
        <c:axId val="733675672"/>
        <c:scaling>
          <c:orientation val="minMax"/>
          <c:max val="1.4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Measured</a:t>
                </a:r>
              </a:p>
            </c:rich>
          </c:tx>
          <c:layout>
            <c:manualLayout>
              <c:xMode val="edge"/>
              <c:yMode val="edge"/>
              <c:x val="3.2337962962962964E-2"/>
              <c:y val="0.3525741666666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(1.0)'!$A$48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(1.0)'!$D$47:$D$51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(1.0)'!$G$47:$G$51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5-4D1A-83DC-F9CA4F5A7228}"/>
            </c:ext>
          </c:extLst>
        </c:ser>
        <c:ser>
          <c:idx val="4"/>
          <c:order val="1"/>
          <c:tx>
            <c:strRef>
              <c:f>'Overall (1.0)'!$A$55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(1.0)'!$D$54:$D$59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(1.0)'!$G$54:$G$59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5-4D1A-83DC-F9CA4F5A7228}"/>
            </c:ext>
          </c:extLst>
        </c:ser>
        <c:ser>
          <c:idx val="5"/>
          <c:order val="2"/>
          <c:tx>
            <c:strRef>
              <c:f>'Overall (1.0)'!$A$63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(1.0)'!$D$62:$D$67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(1.0)'!$G$62:$G$67</c:f>
              <c:numCache>
                <c:formatCode>General</c:formatCode>
                <c:ptCount val="6"/>
                <c:pt idx="0">
                  <c:v>0.50962255574596027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5-4D1A-83DC-F9CA4F5A7228}"/>
            </c:ext>
          </c:extLst>
        </c:ser>
        <c:ser>
          <c:idx val="3"/>
          <c:order val="3"/>
          <c:tx>
            <c:strRef>
              <c:f>'Overall (1.0)'!$A$70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(1.0)'!$D$70:$D$77</c:f>
              <c:numCache>
                <c:formatCode>0.000</c:formatCode>
                <c:ptCount val="8"/>
                <c:pt idx="0">
                  <c:v>5.0653949430406557</c:v>
                </c:pt>
                <c:pt idx="1">
                  <c:v>5.112710058958517</c:v>
                </c:pt>
                <c:pt idx="2">
                  <c:v>4.5816778072219542</c:v>
                </c:pt>
                <c:pt idx="3">
                  <c:v>4.0282260804900449</c:v>
                </c:pt>
                <c:pt idx="4">
                  <c:v>3.9074120702939243</c:v>
                </c:pt>
                <c:pt idx="5">
                  <c:v>3.6533986868675403</c:v>
                </c:pt>
                <c:pt idx="6">
                  <c:v>3.0732756854133072</c:v>
                </c:pt>
                <c:pt idx="7">
                  <c:v>2.6401044471753301</c:v>
                </c:pt>
              </c:numCache>
            </c:numRef>
          </c:xVal>
          <c:yVal>
            <c:numRef>
              <c:f>'Overall (1.0)'!$G$70:$G$77</c:f>
              <c:numCache>
                <c:formatCode>General</c:formatCode>
                <c:ptCount val="8"/>
                <c:pt idx="0">
                  <c:v>0.85268071604110685</c:v>
                </c:pt>
                <c:pt idx="1">
                  <c:v>0.86721342675766289</c:v>
                </c:pt>
                <c:pt idx="2">
                  <c:v>0.85827402956532706</c:v>
                </c:pt>
                <c:pt idx="3">
                  <c:v>0.90545505322499509</c:v>
                </c:pt>
                <c:pt idx="4">
                  <c:v>1.021740907848405</c:v>
                </c:pt>
                <c:pt idx="5">
                  <c:v>1.0884625091260001</c:v>
                </c:pt>
                <c:pt idx="6">
                  <c:v>1.0201251626579322</c:v>
                </c:pt>
                <c:pt idx="7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5-4D1A-83DC-F9CA4F5A7228}"/>
            </c:ext>
          </c:extLst>
        </c:ser>
        <c:ser>
          <c:idx val="1"/>
          <c:order val="4"/>
          <c:tx>
            <c:strRef>
              <c:f>'Overall (1.0)'!$A$80</c:f>
              <c:strCache>
                <c:ptCount val="1"/>
                <c:pt idx="0">
                  <c:v>2111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(1.0)'!$D$80:$D$88</c:f>
              <c:numCache>
                <c:formatCode>0.000</c:formatCode>
                <c:ptCount val="9"/>
                <c:pt idx="0">
                  <c:v>5.0545578692872928</c:v>
                </c:pt>
                <c:pt idx="1">
                  <c:v>4.4350470643170885</c:v>
                </c:pt>
                <c:pt idx="2">
                  <c:v>4.2201346805617597</c:v>
                </c:pt>
                <c:pt idx="3">
                  <c:v>4.1660023180827803</c:v>
                </c:pt>
                <c:pt idx="4">
                  <c:v>4.003856630921188</c:v>
                </c:pt>
                <c:pt idx="5">
                  <c:v>3.8882416114697662</c:v>
                </c:pt>
                <c:pt idx="6">
                  <c:v>3.69061358519046</c:v>
                </c:pt>
                <c:pt idx="7">
                  <c:v>3.3424664174525525</c:v>
                </c:pt>
                <c:pt idx="8">
                  <c:v>2.5472304393617602</c:v>
                </c:pt>
              </c:numCache>
            </c:numRef>
          </c:xVal>
          <c:yVal>
            <c:numRef>
              <c:f>'Overall (1.0)'!$G$80:$G$88</c:f>
              <c:numCache>
                <c:formatCode>General</c:formatCode>
                <c:ptCount val="9"/>
                <c:pt idx="0">
                  <c:v>0.94539291946511383</c:v>
                </c:pt>
                <c:pt idx="1">
                  <c:v>0.94847363500753468</c:v>
                </c:pt>
                <c:pt idx="2">
                  <c:v>0.94549204078864424</c:v>
                </c:pt>
                <c:pt idx="3">
                  <c:v>0.97229361350443488</c:v>
                </c:pt>
                <c:pt idx="4">
                  <c:v>1.042829287775632</c:v>
                </c:pt>
                <c:pt idx="5">
                  <c:v>1.1484048601961037</c:v>
                </c:pt>
                <c:pt idx="6">
                  <c:v>1.1631977237886615</c:v>
                </c:pt>
                <c:pt idx="7">
                  <c:v>1.1657191081274199</c:v>
                </c:pt>
                <c:pt idx="8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5-4D1A-83DC-F9CA4F5A7228}"/>
            </c:ext>
          </c:extLst>
        </c:ser>
        <c:ser>
          <c:idx val="2"/>
          <c:order val="5"/>
          <c:tx>
            <c:v>P_1216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(1.0)'!$D$47:$D$51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(1.0)'!$E$47:$E$51</c:f>
              <c:numCache>
                <c:formatCode>General</c:formatCode>
                <c:ptCount val="5"/>
                <c:pt idx="0">
                  <c:v>0.37519999999999998</c:v>
                </c:pt>
                <c:pt idx="4">
                  <c:v>0.43459999999999999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5-4D1A-83DC-F9CA4F5A7228}"/>
            </c:ext>
          </c:extLst>
        </c:ser>
        <c:ser>
          <c:idx val="6"/>
          <c:order val="6"/>
          <c:tx>
            <c:v>P_1639</c:v>
          </c:tx>
          <c:spPr>
            <a:ln w="25400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(1.0)'!$D$62:$D$67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(1.0)'!$E$62:$E$67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5-4D1A-83DC-F9CA4F5A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799532373322E-2"/>
              <c:y val="0.34465899010791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676666666666667"/>
          <c:y val="0.27424092592592592"/>
          <c:w val="0.11787402777777778"/>
          <c:h val="0.395073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 heat (leak) 0713 (3)'!$K$42:$K$78</c:f>
              <c:numCache>
                <c:formatCode>General</c:formatCode>
                <c:ptCount val="37"/>
                <c:pt idx="0">
                  <c:v>232.79490000000001</c:v>
                </c:pt>
                <c:pt idx="1">
                  <c:v>202.07579999999999</c:v>
                </c:pt>
                <c:pt idx="2">
                  <c:v>200.8391</c:v>
                </c:pt>
                <c:pt idx="3">
                  <c:v>184.05609999999999</c:v>
                </c:pt>
                <c:pt idx="4">
                  <c:v>158.24770000000001</c:v>
                </c:pt>
                <c:pt idx="7">
                  <c:v>309.57740000000001</c:v>
                </c:pt>
                <c:pt idx="8">
                  <c:v>290.935</c:v>
                </c:pt>
                <c:pt idx="9">
                  <c:v>270.149</c:v>
                </c:pt>
                <c:pt idx="10">
                  <c:v>245.24430000000001</c:v>
                </c:pt>
                <c:pt idx="11">
                  <c:v>209.3767</c:v>
                </c:pt>
                <c:pt idx="12">
                  <c:v>198.50360000000001</c:v>
                </c:pt>
                <c:pt idx="15">
                  <c:v>363.91309999999999</c:v>
                </c:pt>
                <c:pt idx="16">
                  <c:v>334.74979999999999</c:v>
                </c:pt>
                <c:pt idx="17">
                  <c:v>292.31700000000001</c:v>
                </c:pt>
                <c:pt idx="18">
                  <c:v>269.29259999999999</c:v>
                </c:pt>
                <c:pt idx="19">
                  <c:v>258.2851</c:v>
                </c:pt>
                <c:pt idx="20">
                  <c:v>243.74799999999999</c:v>
                </c:pt>
                <c:pt idx="23">
                  <c:v>402.21280000000002</c:v>
                </c:pt>
                <c:pt idx="24">
                  <c:v>379.46269999999998</c:v>
                </c:pt>
                <c:pt idx="25">
                  <c:v>352.13600000000002</c:v>
                </c:pt>
                <c:pt idx="26">
                  <c:v>328.50850000000003</c:v>
                </c:pt>
                <c:pt idx="27">
                  <c:v>291.82490000000001</c:v>
                </c:pt>
                <c:pt idx="28">
                  <c:v>262.67219999999998</c:v>
                </c:pt>
                <c:pt idx="31">
                  <c:v>476.0367</c:v>
                </c:pt>
                <c:pt idx="32">
                  <c:v>439.1995</c:v>
                </c:pt>
                <c:pt idx="33">
                  <c:v>413.53059999999999</c:v>
                </c:pt>
                <c:pt idx="34">
                  <c:v>389.93310000000002</c:v>
                </c:pt>
                <c:pt idx="35">
                  <c:v>365.04919999999998</c:v>
                </c:pt>
                <c:pt idx="36">
                  <c:v>303.41419999999999</c:v>
                </c:pt>
              </c:numCache>
            </c:numRef>
          </c:xVal>
          <c:yVal>
            <c:numRef>
              <c:f>'Overall w heat (leak) 0713 (3)'!$M$42:$M$78</c:f>
              <c:numCache>
                <c:formatCode>General</c:formatCode>
                <c:ptCount val="37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  <c:pt idx="7">
                  <c:v>312.41254145595809</c:v>
                </c:pt>
                <c:pt idx="8">
                  <c:v>277.23925387205941</c:v>
                </c:pt>
                <c:pt idx="9">
                  <c:v>252.5835649599077</c:v>
                </c:pt>
                <c:pt idx="10">
                  <c:v>233.85095355199863</c:v>
                </c:pt>
                <c:pt idx="11">
                  <c:v>203.92491114934344</c:v>
                </c:pt>
                <c:pt idx="12">
                  <c:v>199.07794559162474</c:v>
                </c:pt>
                <c:pt idx="15">
                  <c:v>350.36119156039933</c:v>
                </c:pt>
                <c:pt idx="16">
                  <c:v>318.37107478027991</c:v>
                </c:pt>
                <c:pt idx="17">
                  <c:v>289.30173145285579</c:v>
                </c:pt>
                <c:pt idx="18">
                  <c:v>271.84554968579704</c:v>
                </c:pt>
                <c:pt idx="19">
                  <c:v>257.37260775625094</c:v>
                </c:pt>
                <c:pt idx="20">
                  <c:v>242.54161373792925</c:v>
                </c:pt>
                <c:pt idx="23">
                  <c:v>414.98108314334672</c:v>
                </c:pt>
                <c:pt idx="24">
                  <c:v>377.6009892173239</c:v>
                </c:pt>
                <c:pt idx="25">
                  <c:v>348.33822229195874</c:v>
                </c:pt>
                <c:pt idx="26">
                  <c:v>344.11790533548407</c:v>
                </c:pt>
                <c:pt idx="27">
                  <c:v>310.51013897327994</c:v>
                </c:pt>
                <c:pt idx="28">
                  <c:v>272.32024194294416</c:v>
                </c:pt>
                <c:pt idx="31">
                  <c:v>496.993999338386</c:v>
                </c:pt>
                <c:pt idx="32">
                  <c:v>455.1477762194761</c:v>
                </c:pt>
                <c:pt idx="33">
                  <c:v>404.21583325687345</c:v>
                </c:pt>
                <c:pt idx="34">
                  <c:v>362.03189924269998</c:v>
                </c:pt>
                <c:pt idx="35">
                  <c:v>343.19032930307435</c:v>
                </c:pt>
                <c:pt idx="36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B-48F2-B952-F904D5BDA606}"/>
            </c:ext>
          </c:extLst>
        </c:ser>
        <c:ser>
          <c:idx val="1"/>
          <c:order val="1"/>
          <c:tx>
            <c:v>15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(leak) 0713 (3)'!$C$126:$C$127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(leak) 0713 (3)'!$D$126:$D$127</c:f>
              <c:numCache>
                <c:formatCode>General</c:formatCode>
                <c:ptCount val="2"/>
                <c:pt idx="0">
                  <c:v>109</c:v>
                </c:pt>
                <c:pt idx="1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B-48F2-B952-F904D5BDA606}"/>
            </c:ext>
          </c:extLst>
        </c:ser>
        <c:ser>
          <c:idx val="2"/>
          <c:order val="2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48B-48F2-B952-F904D5BDA606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48B-48F2-B952-F904D5BDA606}"/>
              </c:ext>
            </c:extLst>
          </c:dPt>
          <c:xVal>
            <c:numRef>
              <c:f>'Overall w heat (leak) 0713 (3)'!$A$126:$A$127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(leak) 0713 (3)'!$B$126:$B$127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8B-48F2-B952-F904D5BDA606}"/>
            </c:ext>
          </c:extLst>
        </c:ser>
        <c:ser>
          <c:idx val="3"/>
          <c:order val="3"/>
          <c:tx>
            <c:v>-15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8B-48F2-B952-F904D5BDA606}"/>
              </c:ext>
            </c:extLst>
          </c:dPt>
          <c:xVal>
            <c:numRef>
              <c:f>'Overall w heat (leak) 0713 (3)'!$E$126:$E$127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(leak) 0713 (3)'!$F$126:$F$127</c:f>
              <c:numCache>
                <c:formatCode>General</c:formatCode>
                <c:ptCount val="2"/>
                <c:pt idx="0">
                  <c:v>91</c:v>
                </c:pt>
                <c:pt idx="1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8B-48F2-B952-F904D5BD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inorUnit val="50"/>
      </c:valAx>
      <c:valAx>
        <c:axId val="733675672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100"/>
        <c:minorUnit val="5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(leak) 0713 (3)'!$A$43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0713 (3)'!$D$42:$D$46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0713 (3)'!$M$42:$M$46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D-4F05-8F9A-B0A30CCB62ED}"/>
            </c:ext>
          </c:extLst>
        </c:ser>
        <c:ser>
          <c:idx val="4"/>
          <c:order val="1"/>
          <c:tx>
            <c:strRef>
              <c:f>'Overall w heat (leak) 0713 (3)'!$A$50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0713 (3)'!$D$49:$D$54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(leak) 0713 (3)'!$M$49:$M$54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D-4F05-8F9A-B0A30CCB62ED}"/>
            </c:ext>
          </c:extLst>
        </c:ser>
        <c:ser>
          <c:idx val="5"/>
          <c:order val="2"/>
          <c:tx>
            <c:strRef>
              <c:f>'Overall w heat (leak) 0713 (3)'!$A$58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(leak) 0713 (3)'!$D$57:$D$62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3.2641584944265198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(leak) 0713 (3)'!$M$57:$M$62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D-4F05-8F9A-B0A30CCB62ED}"/>
            </c:ext>
          </c:extLst>
        </c:ser>
        <c:ser>
          <c:idx val="3"/>
          <c:order val="3"/>
          <c:tx>
            <c:strRef>
              <c:f>'Overall w heat (leak) 0713 (3)'!$A$65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0713 (3)'!$D$65:$D$70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4.5816778072219497</c:v>
                </c:pt>
                <c:pt idx="2">
                  <c:v>4.0282260804900396</c:v>
                </c:pt>
                <c:pt idx="3">
                  <c:v>3.6533986868675399</c:v>
                </c:pt>
                <c:pt idx="4">
                  <c:v>3.0732756854133099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(leak) 0713 (3)'!$M$65:$M$70</c:f>
              <c:numCache>
                <c:formatCode>General</c:formatCode>
                <c:ptCount val="6"/>
                <c:pt idx="0">
                  <c:v>414.98108314334672</c:v>
                </c:pt>
                <c:pt idx="1">
                  <c:v>377.6009892173239</c:v>
                </c:pt>
                <c:pt idx="2">
                  <c:v>348.33822229195874</c:v>
                </c:pt>
                <c:pt idx="3">
                  <c:v>344.11790533548407</c:v>
                </c:pt>
                <c:pt idx="4">
                  <c:v>310.51013897327994</c:v>
                </c:pt>
                <c:pt idx="5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D-4F05-8F9A-B0A30CCB62ED}"/>
            </c:ext>
          </c:extLst>
        </c:ser>
        <c:ser>
          <c:idx val="1"/>
          <c:order val="4"/>
          <c:tx>
            <c:strRef>
              <c:f>'Overall w heat (leak) 0713 (3)'!$A$73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(leak) 0713 (3)'!$D$73:$D$78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(leak) 0713 (3)'!$M$73:$M$78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2D-4F05-8F9A-B0A30CCB6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(leak) 0713 (3)'!$D$42:$D$46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(leak) 0713 (3)'!$K$42:$K$46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232.79490000000001</c:v>
                      </c:pt>
                      <c:pt idx="1">
                        <c:v>202.07579999999999</c:v>
                      </c:pt>
                      <c:pt idx="2">
                        <c:v>200.8391</c:v>
                      </c:pt>
                      <c:pt idx="3">
                        <c:v>184.05609999999999</c:v>
                      </c:pt>
                      <c:pt idx="4">
                        <c:v>158.24770000000001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B2D-4F05-8F9A-B0A30CCB62E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5.2533625867637204</c:v>
                      </c:pt>
                      <c:pt idx="1">
                        <c:v>4.8223075689095696</c:v>
                      </c:pt>
                      <c:pt idx="2">
                        <c:v>4.2362978478636197</c:v>
                      </c:pt>
                      <c:pt idx="3">
                        <c:v>3.6616022441401399</c:v>
                      </c:pt>
                      <c:pt idx="4">
                        <c:v>2.9220510847489098</c:v>
                      </c:pt>
                      <c:pt idx="5">
                        <c:v>2.6698755104625498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(3)'!$K$49:$K$54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309.57740000000001</c:v>
                      </c:pt>
                      <c:pt idx="1">
                        <c:v>290.935</c:v>
                      </c:pt>
                      <c:pt idx="2">
                        <c:v>270.149</c:v>
                      </c:pt>
                      <c:pt idx="3">
                        <c:v>245.24430000000001</c:v>
                      </c:pt>
                      <c:pt idx="4">
                        <c:v>209.3767</c:v>
                      </c:pt>
                      <c:pt idx="5">
                        <c:v>198.50360000000001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2D-4F05-8F9A-B0A30CCB62E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(3)'!$K$57:$K$63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363.91309999999999</c:v>
                      </c:pt>
                      <c:pt idx="1">
                        <c:v>334.74979999999999</c:v>
                      </c:pt>
                      <c:pt idx="2">
                        <c:v>292.31700000000001</c:v>
                      </c:pt>
                      <c:pt idx="3">
                        <c:v>269.29259999999999</c:v>
                      </c:pt>
                      <c:pt idx="4">
                        <c:v>258.2851</c:v>
                      </c:pt>
                      <c:pt idx="5">
                        <c:v>243.74799999999999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2D-4F05-8F9A-B0A30CCB62E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(3)'!$K$65:$K$70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402.21280000000002</c:v>
                      </c:pt>
                      <c:pt idx="1">
                        <c:v>379.46269999999998</c:v>
                      </c:pt>
                      <c:pt idx="2">
                        <c:v>352.13600000000002</c:v>
                      </c:pt>
                      <c:pt idx="3">
                        <c:v>328.50850000000003</c:v>
                      </c:pt>
                      <c:pt idx="4">
                        <c:v>291.82490000000001</c:v>
                      </c:pt>
                      <c:pt idx="5">
                        <c:v>262.67219999999998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2D-4F05-8F9A-B0A30CCB62E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(3)'!$K$73:$K$78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476.0367</c:v>
                      </c:pt>
                      <c:pt idx="1">
                        <c:v>439.1995</c:v>
                      </c:pt>
                      <c:pt idx="2">
                        <c:v>413.53059999999999</c:v>
                      </c:pt>
                      <c:pt idx="3">
                        <c:v>389.93310000000002</c:v>
                      </c:pt>
                      <c:pt idx="4">
                        <c:v>365.04919999999998</c:v>
                      </c:pt>
                      <c:pt idx="5">
                        <c:v>303.41419999999999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2D-4F05-8F9A-B0A30CCB62ED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200"/>
                  <a:t>Discharge 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200"/>
                  <a:t>Measured Power Input</a:t>
                </a:r>
                <a:r>
                  <a:rPr lang="en-SG" sz="1200" baseline="0"/>
                  <a:t> (W)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4366851851851851E-2"/>
              <c:y val="0.213204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100"/>
        <c:minorUnit val="50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441481481481482"/>
          <c:y val="0.27776861111111112"/>
          <c:w val="0.13233333333333333"/>
          <c:h val="0.334966666666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903277777777778"/>
          <c:y val="0.15082138888888891"/>
          <c:w val="0.7789463888888889"/>
          <c:h val="0.74221027777777782"/>
        </c:manualLayout>
      </c:layout>
      <c:scatterChart>
        <c:scatterStyle val="lineMarker"/>
        <c:varyColors val="0"/>
        <c:ser>
          <c:idx val="4"/>
          <c:order val="1"/>
          <c:tx>
            <c:strRef>
              <c:f>'Overall w heat (leak) 0713 (3)'!$A$50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0713 (3)'!$D$49:$D$54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(leak) 0713 (3)'!$M$49:$M$54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1DA-4547-B811-D9FBEBB54F49}"/>
            </c:ext>
          </c:extLst>
        </c:ser>
        <c:ser>
          <c:idx val="6"/>
          <c:order val="6"/>
          <c:tx>
            <c:v>P_1417</c:v>
          </c:tx>
          <c:spPr>
            <a:ln w="25400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(leak) 0713 (3)'!$D$49:$D$54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(leak) 0713 (3)'!$K$49:$K$54</c:f>
              <c:numCache>
                <c:formatCode>General</c:formatCode>
                <c:ptCount val="6"/>
                <c:pt idx="0">
                  <c:v>309.57740000000001</c:v>
                </c:pt>
                <c:pt idx="1">
                  <c:v>290.935</c:v>
                </c:pt>
                <c:pt idx="2">
                  <c:v>270.149</c:v>
                </c:pt>
                <c:pt idx="3">
                  <c:v>245.24430000000001</c:v>
                </c:pt>
                <c:pt idx="4">
                  <c:v>209.3767</c:v>
                </c:pt>
                <c:pt idx="5">
                  <c:v>198.50360000000001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1DA-4547-B811-D9FBEBB5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w heat (leak) 0713 (3)'!$A$43</c15:sqref>
                        </c15:formulaRef>
                      </c:ext>
                    </c:extLst>
                    <c:strCache>
                      <c:ptCount val="1"/>
                      <c:pt idx="0">
                        <c:v>1216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bg2">
                        <a:lumMod val="10000"/>
                      </a:schemeClr>
                    </a:solidFill>
                    <a:ln w="12700">
                      <a:solidFill>
                        <a:srgbClr val="44546A">
                          <a:lumMod val="50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'Overall w heat (leak) 0713 (3)'!$D$42:$D$46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(leak) 0713 (3)'!$M$42:$M$46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219.923995478764</c:v>
                      </c:pt>
                      <c:pt idx="1">
                        <c:v>201.06346911209982</c:v>
                      </c:pt>
                      <c:pt idx="2">
                        <c:v>193.63025834579085</c:v>
                      </c:pt>
                      <c:pt idx="3">
                        <c:v>176.89683334223687</c:v>
                      </c:pt>
                      <c:pt idx="4">
                        <c:v>150.01311193399283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DA-4547-B811-D9FBEBB54F49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(3)'!$A$58</c15:sqref>
                        </c15:formulaRef>
                      </c:ext>
                    </c:extLst>
                    <c:strCache>
                      <c:ptCount val="1"/>
                      <c:pt idx="0">
                        <c:v>1639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(3)'!$M$57:$M$62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350.36119156039933</c:v>
                      </c:pt>
                      <c:pt idx="1">
                        <c:v>318.37107478027991</c:v>
                      </c:pt>
                      <c:pt idx="2">
                        <c:v>289.30173145285579</c:v>
                      </c:pt>
                      <c:pt idx="3">
                        <c:v>271.84554968579704</c:v>
                      </c:pt>
                      <c:pt idx="4">
                        <c:v>257.37260775625094</c:v>
                      </c:pt>
                      <c:pt idx="5">
                        <c:v>242.54161373792925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DA-4547-B811-D9FBEBB54F4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(3)'!$A$65</c15:sqref>
                        </c15:formulaRef>
                      </c:ext>
                    </c:extLst>
                    <c:strCache>
                      <c:ptCount val="1"/>
                      <c:pt idx="0">
                        <c:v>1839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accent5">
                        <a:lumMod val="50000"/>
                      </a:schemeClr>
                    </a:solidFill>
                    <a:ln w="12700">
                      <a:solidFill>
                        <a:srgbClr val="4472C4">
                          <a:lumMod val="50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(3)'!$M$65:$M$70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414.98108314334672</c:v>
                      </c:pt>
                      <c:pt idx="1">
                        <c:v>377.6009892173239</c:v>
                      </c:pt>
                      <c:pt idx="2">
                        <c:v>348.33822229195874</c:v>
                      </c:pt>
                      <c:pt idx="3">
                        <c:v>344.11790533548407</c:v>
                      </c:pt>
                      <c:pt idx="4">
                        <c:v>310.51013897327994</c:v>
                      </c:pt>
                      <c:pt idx="5">
                        <c:v>272.32024194294416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DA-4547-B811-D9FBEBB54F49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(3)'!$A$73</c15:sqref>
                        </c15:formulaRef>
                      </c:ext>
                    </c:extLst>
                    <c:strCache>
                      <c:ptCount val="1"/>
                      <c:pt idx="0">
                        <c:v>2112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rgbClr val="70AD47">
                          <a:lumMod val="75000"/>
                        </a:srgb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9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(3)'!$M$73:$M$78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496.993999338386</c:v>
                      </c:pt>
                      <c:pt idx="1">
                        <c:v>455.1477762194761</c:v>
                      </c:pt>
                      <c:pt idx="2">
                        <c:v>404.21583325687345</c:v>
                      </c:pt>
                      <c:pt idx="3">
                        <c:v>362.03189924269998</c:v>
                      </c:pt>
                      <c:pt idx="4">
                        <c:v>343.19032930307435</c:v>
                      </c:pt>
                      <c:pt idx="5">
                        <c:v>291.55202608163211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DA-4547-B811-D9FBEBB54F49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(3)'!$K$42:$K$46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232.79490000000001</c:v>
                      </c:pt>
                      <c:pt idx="1">
                        <c:v>202.07579999999999</c:v>
                      </c:pt>
                      <c:pt idx="2">
                        <c:v>200.8391</c:v>
                      </c:pt>
                      <c:pt idx="3">
                        <c:v>184.05609999999999</c:v>
                      </c:pt>
                      <c:pt idx="4">
                        <c:v>158.24770000000001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DA-4547-B811-D9FBEBB54F4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(3)'!$K$57:$K$63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363.91309999999999</c:v>
                      </c:pt>
                      <c:pt idx="1">
                        <c:v>334.74979999999999</c:v>
                      </c:pt>
                      <c:pt idx="2">
                        <c:v>292.31700000000001</c:v>
                      </c:pt>
                      <c:pt idx="3">
                        <c:v>269.29259999999999</c:v>
                      </c:pt>
                      <c:pt idx="4">
                        <c:v>258.2851</c:v>
                      </c:pt>
                      <c:pt idx="5">
                        <c:v>243.74799999999999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DA-4547-B811-D9FBEBB54F4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(3)'!$K$65:$K$70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402.21280000000002</c:v>
                      </c:pt>
                      <c:pt idx="1">
                        <c:v>379.46269999999998</c:v>
                      </c:pt>
                      <c:pt idx="2">
                        <c:v>352.13600000000002</c:v>
                      </c:pt>
                      <c:pt idx="3">
                        <c:v>328.50850000000003</c:v>
                      </c:pt>
                      <c:pt idx="4">
                        <c:v>291.82490000000001</c:v>
                      </c:pt>
                      <c:pt idx="5">
                        <c:v>262.67219999999998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DA-4547-B811-D9FBEBB54F4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0713 (3)'!$K$73:$K$78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476.0367</c:v>
                      </c:pt>
                      <c:pt idx="1">
                        <c:v>439.1995</c:v>
                      </c:pt>
                      <c:pt idx="2">
                        <c:v>413.53059999999999</c:v>
                      </c:pt>
                      <c:pt idx="3">
                        <c:v>389.93310000000002</c:v>
                      </c:pt>
                      <c:pt idx="4">
                        <c:v>365.04919999999998</c:v>
                      </c:pt>
                      <c:pt idx="5">
                        <c:v>303.41419999999999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DA-4547-B811-D9FBEBB54F49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numFmt formatCode="#,##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350"/>
          <c:min val="15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50"/>
        <c:minorUnit val="25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p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(leak) 0713 (3)'!$J$73:$J$78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(leak) 0713 (3)'!$K$73:$K$78</c:f>
              <c:numCache>
                <c:formatCode>General</c:formatCode>
                <c:ptCount val="6"/>
                <c:pt idx="0">
                  <c:v>476.0367</c:v>
                </c:pt>
                <c:pt idx="1">
                  <c:v>439.1995</c:v>
                </c:pt>
                <c:pt idx="2">
                  <c:v>413.53059999999999</c:v>
                </c:pt>
                <c:pt idx="3">
                  <c:v>389.93310000000002</c:v>
                </c:pt>
                <c:pt idx="4">
                  <c:v>365.04919999999998</c:v>
                </c:pt>
                <c:pt idx="5">
                  <c:v>303.41419999999999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E5-47C9-B866-A0CEF6757A16}"/>
            </c:ext>
          </c:extLst>
        </c:ser>
        <c:ser>
          <c:idx val="3"/>
          <c:order val="1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0713 (3)'!$J$73:$J$78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(leak) 0713 (3)'!$M$73:$M$78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E5-47C9-B866-A0CEF6757A16}"/>
            </c:ext>
          </c:extLst>
        </c:ser>
        <c:ser>
          <c:idx val="1"/>
          <c:order val="3"/>
          <c:tx>
            <c:v>p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(leak) 0713 (3)'!$J$73:$J$78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(leak) 0713 (3)'!$K$73:$K$78</c:f>
              <c:numCache>
                <c:formatCode>General</c:formatCode>
                <c:ptCount val="6"/>
                <c:pt idx="0">
                  <c:v>476.0367</c:v>
                </c:pt>
                <c:pt idx="1">
                  <c:v>439.1995</c:v>
                </c:pt>
                <c:pt idx="2">
                  <c:v>413.53059999999999</c:v>
                </c:pt>
                <c:pt idx="3">
                  <c:v>389.93310000000002</c:v>
                </c:pt>
                <c:pt idx="4">
                  <c:v>365.04919999999998</c:v>
                </c:pt>
                <c:pt idx="5">
                  <c:v>303.41419999999999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5-47C9-B866-A0CEF675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lineMarker"/>
        <c:varyColors val="0"/>
        <c:ser>
          <c:idx val="0"/>
          <c:order val="2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0713 (3)'!$J$73:$J$78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(leak) 0713 (3)'!$M$73:$M$78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5-47C9-B866-A0CEF675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ajorUnit val="0.5"/>
        <c:minorUnit val="0.25"/>
      </c:valAx>
      <c:valAx>
        <c:axId val="1117249704"/>
        <c:scaling>
          <c:orientation val="minMax"/>
          <c:max val="600"/>
          <c:min val="25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50"/>
        <c:minorUnit val="25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931111111111112"/>
          <c:y val="4.108111111111111E-2"/>
          <c:w val="0.66985138888888884"/>
          <c:h val="0.775403888888888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 heat (leak) 0713 (3)'!$AG$42:$AG$78</c:f>
              <c:numCache>
                <c:formatCode>0.00%</c:formatCode>
                <c:ptCount val="37"/>
                <c:pt idx="0">
                  <c:v>0.48904329235702837</c:v>
                </c:pt>
                <c:pt idx="1">
                  <c:v>0.53311036789297661</c:v>
                </c:pt>
                <c:pt idx="2">
                  <c:v>0.53344882729211085</c:v>
                </c:pt>
                <c:pt idx="3">
                  <c:v>0.55998932336847729</c:v>
                </c:pt>
                <c:pt idx="4">
                  <c:v>0.60909453530115676</c:v>
                </c:pt>
                <c:pt idx="7">
                  <c:v>0.52701313535122785</c:v>
                </c:pt>
                <c:pt idx="8">
                  <c:v>0.53248701673398724</c:v>
                </c:pt>
                <c:pt idx="9">
                  <c:v>0.55331412103746391</c:v>
                </c:pt>
                <c:pt idx="10">
                  <c:v>0.58043728423475249</c:v>
                </c:pt>
                <c:pt idx="11">
                  <c:v>0.6227434747614119</c:v>
                </c:pt>
                <c:pt idx="12">
                  <c:v>0.64370302892279663</c:v>
                </c:pt>
                <c:pt idx="15">
                  <c:v>0.58047808764940234</c:v>
                </c:pt>
                <c:pt idx="16">
                  <c:v>0.59982068141063949</c:v>
                </c:pt>
                <c:pt idx="17">
                  <c:v>0.63091576545292194</c:v>
                </c:pt>
                <c:pt idx="18">
                  <c:v>0.65072909433587944</c:v>
                </c:pt>
                <c:pt idx="19">
                  <c:v>0.66144697720515366</c:v>
                </c:pt>
                <c:pt idx="20">
                  <c:v>0.67544554455445549</c:v>
                </c:pt>
                <c:pt idx="23">
                  <c:v>0.62723054960742319</c:v>
                </c:pt>
                <c:pt idx="24">
                  <c:v>0.64090909090909076</c:v>
                </c:pt>
                <c:pt idx="25">
                  <c:v>0.65532255198151779</c:v>
                </c:pt>
                <c:pt idx="26">
                  <c:v>0.67048685145700082</c:v>
                </c:pt>
                <c:pt idx="27">
                  <c:v>0.69671694764862468</c:v>
                </c:pt>
                <c:pt idx="28">
                  <c:v>0.72154255319148941</c:v>
                </c:pt>
                <c:pt idx="31">
                  <c:v>0.66835620711166566</c:v>
                </c:pt>
                <c:pt idx="32">
                  <c:v>0.68502099860009336</c:v>
                </c:pt>
                <c:pt idx="33">
                  <c:v>0.69565554693560905</c:v>
                </c:pt>
                <c:pt idx="34">
                  <c:v>0.70731707317073167</c:v>
                </c:pt>
                <c:pt idx="35">
                  <c:v>0.72061671960951423</c:v>
                </c:pt>
                <c:pt idx="36">
                  <c:v>0.76026920399164544</c:v>
                </c:pt>
              </c:numCache>
            </c:numRef>
          </c:xVal>
          <c:yVal>
            <c:numRef>
              <c:f>'Overall w heat (leak) 0713 (3)'!$AH$42:$AH$78</c:f>
              <c:numCache>
                <c:formatCode>0.00%</c:formatCode>
                <c:ptCount val="37"/>
                <c:pt idx="0">
                  <c:v>0.43390185436161227</c:v>
                </c:pt>
                <c:pt idx="1">
                  <c:v>0.47723494888562895</c:v>
                </c:pt>
                <c:pt idx="2">
                  <c:v>0.60389390623005834</c:v>
                </c:pt>
                <c:pt idx="3">
                  <c:v>0.60781432416670989</c:v>
                </c:pt>
                <c:pt idx="4">
                  <c:v>0.60310082632336792</c:v>
                </c:pt>
                <c:pt idx="7">
                  <c:v>0.57044684271501567</c:v>
                </c:pt>
                <c:pt idx="8">
                  <c:v>0.59386306592376903</c:v>
                </c:pt>
                <c:pt idx="9">
                  <c:v>0.55577190646285757</c:v>
                </c:pt>
                <c:pt idx="10">
                  <c:v>0.63616784593079878</c:v>
                </c:pt>
                <c:pt idx="11">
                  <c:v>0.63314200658679876</c:v>
                </c:pt>
                <c:pt idx="12">
                  <c:v>0.68424355477555887</c:v>
                </c:pt>
                <c:pt idx="15">
                  <c:v>0.54859373924856569</c:v>
                </c:pt>
                <c:pt idx="16">
                  <c:v>0.60035332733453561</c:v>
                </c:pt>
                <c:pt idx="17">
                  <c:v>0.69120558341921967</c:v>
                </c:pt>
                <c:pt idx="18">
                  <c:v>0.72965860837679686</c:v>
                </c:pt>
                <c:pt idx="19">
                  <c:v>0.79595139532531167</c:v>
                </c:pt>
                <c:pt idx="20">
                  <c:v>0.83497240010907037</c:v>
                </c:pt>
                <c:pt idx="23">
                  <c:v>0.71851317375975576</c:v>
                </c:pt>
                <c:pt idx="24">
                  <c:v>0.76495011547711855</c:v>
                </c:pt>
                <c:pt idx="25">
                  <c:v>0.80456286940198607</c:v>
                </c:pt>
                <c:pt idx="26">
                  <c:v>0.90656858769156456</c:v>
                </c:pt>
                <c:pt idx="27">
                  <c:v>0.90516873350304539</c:v>
                </c:pt>
                <c:pt idx="28">
                  <c:v>0.89493889486444722</c:v>
                </c:pt>
                <c:pt idx="31">
                  <c:v>0.67768297412134249</c:v>
                </c:pt>
                <c:pt idx="32">
                  <c:v>0.73765253928101937</c:v>
                </c:pt>
                <c:pt idx="33">
                  <c:v>0.80902194552027318</c:v>
                </c:pt>
                <c:pt idx="34">
                  <c:v>0.90352471942571178</c:v>
                </c:pt>
                <c:pt idx="35">
                  <c:v>0.90316813212010527</c:v>
                </c:pt>
                <c:pt idx="36">
                  <c:v>0.92325387748664844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E-467A-A2CE-EC80E29E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1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ajorUnit val="0.2"/>
        <c:minorUnit val="0.1"/>
      </c:valAx>
      <c:valAx>
        <c:axId val="733675672"/>
        <c:scaling>
          <c:orientation val="minMax"/>
          <c:max val="1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0713 (3)'!$D$42:$D$46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0713 (3)'!$G$42:$G$46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F-4A1C-A994-8963A78B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(leak) 0713 (3)'!$D$42:$D$46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0713 (3)'!$E$42:$E$46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0.39850000000000002</c:v>
                </c:pt>
                <c:pt idx="2">
                  <c:v>0.40029999999999999</c:v>
                </c:pt>
                <c:pt idx="3">
                  <c:v>0.41959999999999997</c:v>
                </c:pt>
                <c:pt idx="4">
                  <c:v>0.45810000000000001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F-4A1C-A994-8963A78B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(leak) 0713 (3)'!$A$43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0713 (3)'!$D$42:$D$46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0713 (3)'!$AH$42:$AH$46</c:f>
              <c:numCache>
                <c:formatCode>0.00%</c:formatCode>
                <c:ptCount val="5"/>
                <c:pt idx="0">
                  <c:v>0.43390185436161227</c:v>
                </c:pt>
                <c:pt idx="1">
                  <c:v>0.47723494888562895</c:v>
                </c:pt>
                <c:pt idx="2">
                  <c:v>0.60389390623005834</c:v>
                </c:pt>
                <c:pt idx="3">
                  <c:v>0.60781432416670989</c:v>
                </c:pt>
                <c:pt idx="4">
                  <c:v>0.60310082632336792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6-4EFE-A56C-5D936FDB3988}"/>
            </c:ext>
          </c:extLst>
        </c:ser>
        <c:ser>
          <c:idx val="4"/>
          <c:order val="1"/>
          <c:tx>
            <c:strRef>
              <c:f>'Overall w heat (leak) 0713 (3)'!$A$50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0713 (3)'!$D$49:$D$54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(leak) 0713 (3)'!$AH$49:$AH$54</c:f>
              <c:numCache>
                <c:formatCode>0.00%</c:formatCode>
                <c:ptCount val="6"/>
                <c:pt idx="0">
                  <c:v>0.57044684271501567</c:v>
                </c:pt>
                <c:pt idx="1">
                  <c:v>0.59386306592376903</c:v>
                </c:pt>
                <c:pt idx="2">
                  <c:v>0.55577190646285757</c:v>
                </c:pt>
                <c:pt idx="3">
                  <c:v>0.63616784593079878</c:v>
                </c:pt>
                <c:pt idx="4">
                  <c:v>0.63314200658679876</c:v>
                </c:pt>
                <c:pt idx="5">
                  <c:v>0.68424355477555887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6-4EFE-A56C-5D936FDB3988}"/>
            </c:ext>
          </c:extLst>
        </c:ser>
        <c:ser>
          <c:idx val="5"/>
          <c:order val="2"/>
          <c:tx>
            <c:strRef>
              <c:f>'Overall w heat (leak) 0713 (3)'!$A$58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(leak) 0713 (3)'!$D$57:$D$62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3.2641584944265198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(leak) 0713 (3)'!$AH$57:$AH$62</c:f>
              <c:numCache>
                <c:formatCode>0.00%</c:formatCode>
                <c:ptCount val="6"/>
                <c:pt idx="0">
                  <c:v>0.54859373924856569</c:v>
                </c:pt>
                <c:pt idx="1">
                  <c:v>0.60035332733453561</c:v>
                </c:pt>
                <c:pt idx="2">
                  <c:v>0.69120558341921967</c:v>
                </c:pt>
                <c:pt idx="3">
                  <c:v>0.72965860837679686</c:v>
                </c:pt>
                <c:pt idx="4">
                  <c:v>0.79595139532531167</c:v>
                </c:pt>
                <c:pt idx="5">
                  <c:v>0.83497240010907037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6-4EFE-A56C-5D936FDB3988}"/>
            </c:ext>
          </c:extLst>
        </c:ser>
        <c:ser>
          <c:idx val="3"/>
          <c:order val="3"/>
          <c:tx>
            <c:strRef>
              <c:f>'Overall w heat (leak) 0713 (3)'!$A$65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0713 (3)'!$D$65:$D$70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4.5816778072219497</c:v>
                </c:pt>
                <c:pt idx="2">
                  <c:v>4.0282260804900396</c:v>
                </c:pt>
                <c:pt idx="3">
                  <c:v>3.6533986868675399</c:v>
                </c:pt>
                <c:pt idx="4">
                  <c:v>3.0732756854133099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(leak) 0713 (3)'!$AH$65:$AH$70</c:f>
              <c:numCache>
                <c:formatCode>0.00%</c:formatCode>
                <c:ptCount val="6"/>
                <c:pt idx="0">
                  <c:v>0.71851317375975576</c:v>
                </c:pt>
                <c:pt idx="1">
                  <c:v>0.76495011547711855</c:v>
                </c:pt>
                <c:pt idx="2">
                  <c:v>0.80456286940198607</c:v>
                </c:pt>
                <c:pt idx="3">
                  <c:v>0.90656858769156456</c:v>
                </c:pt>
                <c:pt idx="4">
                  <c:v>0.90516873350304539</c:v>
                </c:pt>
                <c:pt idx="5">
                  <c:v>0.89493889486444722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6-4EFE-A56C-5D936FDB3988}"/>
            </c:ext>
          </c:extLst>
        </c:ser>
        <c:ser>
          <c:idx val="1"/>
          <c:order val="4"/>
          <c:tx>
            <c:strRef>
              <c:f>'Overall w heat (leak) 0713 (3)'!$A$73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(leak) 0713 (3)'!$D$73:$D$78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(leak) 0713 (3)'!$AH$73:$AH$78</c:f>
              <c:numCache>
                <c:formatCode>0.00%</c:formatCode>
                <c:ptCount val="6"/>
                <c:pt idx="0">
                  <c:v>0.67768297412134249</c:v>
                </c:pt>
                <c:pt idx="1">
                  <c:v>0.73765253928101937</c:v>
                </c:pt>
                <c:pt idx="2">
                  <c:v>0.80902194552027318</c:v>
                </c:pt>
                <c:pt idx="3">
                  <c:v>0.90352471942571178</c:v>
                </c:pt>
                <c:pt idx="4">
                  <c:v>0.90316813212010527</c:v>
                </c:pt>
                <c:pt idx="5">
                  <c:v>0.92325387748664844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76-4EFE-A56C-5D936FD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ax val="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Discharge Pressure (Abs. Bar)</a:t>
                </a:r>
              </a:p>
            </c:rich>
          </c:tx>
          <c:layout>
            <c:manualLayout>
              <c:xMode val="edge"/>
              <c:yMode val="edge"/>
              <c:x val="0.33621499999999999"/>
              <c:y val="0.89592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Volumetric Efficiency (%)</a:t>
                </a:r>
              </a:p>
            </c:rich>
          </c:tx>
          <c:layout>
            <c:manualLayout>
              <c:xMode val="edge"/>
              <c:yMode val="edge"/>
              <c:x val="1.4366851851851851E-2"/>
              <c:y val="0.1903347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768518518518541"/>
          <c:y val="0.25660194444444445"/>
          <c:w val="0.13233333333333333"/>
          <c:h val="0.3420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'Overall w heat (leak) 0713 (3)'!$J$65:$J$70</c:f>
              <c:numCache>
                <c:formatCode>0.000</c:formatCode>
                <c:ptCount val="6"/>
                <c:pt idx="0">
                  <c:v>5.0955470072880154</c:v>
                </c:pt>
                <c:pt idx="1">
                  <c:v>4.5563243588018114</c:v>
                </c:pt>
                <c:pt idx="2">
                  <c:v>3.9555644863642447</c:v>
                </c:pt>
                <c:pt idx="3">
                  <c:v>3.5979343489934528</c:v>
                </c:pt>
                <c:pt idx="4">
                  <c:v>3.1121112229606274</c:v>
                </c:pt>
                <c:pt idx="5">
                  <c:v>2.6186306105362576</c:v>
                </c:pt>
              </c:numCache>
            </c:numRef>
          </c:xVal>
          <c:yVal>
            <c:numRef>
              <c:f>'Overall w heat (leak) 0713 (3)'!$K$65:$K$70</c:f>
              <c:numCache>
                <c:formatCode>General</c:formatCode>
                <c:ptCount val="6"/>
                <c:pt idx="0">
                  <c:v>402.21280000000002</c:v>
                </c:pt>
                <c:pt idx="1">
                  <c:v>379.46269999999998</c:v>
                </c:pt>
                <c:pt idx="2">
                  <c:v>352.13600000000002</c:v>
                </c:pt>
                <c:pt idx="3">
                  <c:v>328.50850000000003</c:v>
                </c:pt>
                <c:pt idx="4">
                  <c:v>291.82490000000001</c:v>
                </c:pt>
                <c:pt idx="5">
                  <c:v>262.67219999999998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F-45E0-80F8-ED218B50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0713 (3)'!$J$65:$J$70</c:f>
              <c:numCache>
                <c:formatCode>0.000</c:formatCode>
                <c:ptCount val="6"/>
                <c:pt idx="0">
                  <c:v>5.0955470072880154</c:v>
                </c:pt>
                <c:pt idx="1">
                  <c:v>4.5563243588018114</c:v>
                </c:pt>
                <c:pt idx="2">
                  <c:v>3.9555644863642447</c:v>
                </c:pt>
                <c:pt idx="3">
                  <c:v>3.5979343489934528</c:v>
                </c:pt>
                <c:pt idx="4">
                  <c:v>3.1121112229606274</c:v>
                </c:pt>
                <c:pt idx="5">
                  <c:v>2.6186306105362576</c:v>
                </c:pt>
              </c:numCache>
            </c:numRef>
          </c:xVal>
          <c:yVal>
            <c:numRef>
              <c:f>'Overall w heat (leak) 0713 (3)'!$M$65:$M$70</c:f>
              <c:numCache>
                <c:formatCode>General</c:formatCode>
                <c:ptCount val="6"/>
                <c:pt idx="0">
                  <c:v>414.98108314334672</c:v>
                </c:pt>
                <c:pt idx="1">
                  <c:v>377.6009892173239</c:v>
                </c:pt>
                <c:pt idx="2">
                  <c:v>348.33822229195874</c:v>
                </c:pt>
                <c:pt idx="3">
                  <c:v>344.11790533548407</c:v>
                </c:pt>
                <c:pt idx="4">
                  <c:v>310.51013897327994</c:v>
                </c:pt>
                <c:pt idx="5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F-45E0-80F8-ED218B50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ajorUnit val="0.5"/>
        <c:minorUnit val="0.25"/>
      </c:valAx>
      <c:valAx>
        <c:axId val="1117249704"/>
        <c:scaling>
          <c:orientation val="minMax"/>
          <c:max val="450"/>
          <c:min val="20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50"/>
        <c:minorUnit val="25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0713 (3)'!$D$42:$D$46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0713 (3)'!$G$42:$G$46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2-4B04-AD08-0938E3A5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'Overall w heat (leak) 0713 (3)'!$D$42:$D$46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0713 (3)'!$E$42:$E$46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0.39850000000000002</c:v>
                </c:pt>
                <c:pt idx="2">
                  <c:v>0.40029999999999999</c:v>
                </c:pt>
                <c:pt idx="3">
                  <c:v>0.41959999999999997</c:v>
                </c:pt>
                <c:pt idx="4">
                  <c:v>0.45810000000000001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D2-4B04-AD08-0938E3A5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(leak) 0716 (04)'!$A$43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0716 (04)'!$D$42:$D$46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0716 (04)'!$G$42:$G$46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493-85A0-7BA9BBBD576D}"/>
            </c:ext>
          </c:extLst>
        </c:ser>
        <c:ser>
          <c:idx val="4"/>
          <c:order val="1"/>
          <c:tx>
            <c:strRef>
              <c:f>'Overall w heat (leak) 0716 (04)'!$A$50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0716 (04)'!$D$49:$D$54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(leak) 0716 (04)'!$G$49:$G$54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493-85A0-7BA9BBBD576D}"/>
            </c:ext>
          </c:extLst>
        </c:ser>
        <c:ser>
          <c:idx val="5"/>
          <c:order val="2"/>
          <c:tx>
            <c:strRef>
              <c:f>'Overall w heat (leak) 0716 (04)'!$A$58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(leak) 0716 (04)'!$D$57:$D$62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3.2641584944265198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(leak) 0716 (04)'!$G$57:$G$62</c:f>
              <c:numCache>
                <c:formatCode>General</c:formatCode>
                <c:ptCount val="6"/>
                <c:pt idx="0">
                  <c:v>0.55078811420555995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493-85A0-7BA9BBBD576D}"/>
            </c:ext>
          </c:extLst>
        </c:ser>
        <c:ser>
          <c:idx val="3"/>
          <c:order val="3"/>
          <c:tx>
            <c:strRef>
              <c:f>'Overall w heat (leak) 0716 (04)'!$A$65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0716 (04)'!$D$65:$D$70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4.5816778072219497</c:v>
                </c:pt>
                <c:pt idx="2">
                  <c:v>4.0282260804900396</c:v>
                </c:pt>
                <c:pt idx="3">
                  <c:v>3.6533986868675399</c:v>
                </c:pt>
                <c:pt idx="4">
                  <c:v>3.0732756854133099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(leak) 0716 (04)'!$G$65:$G$70</c:f>
              <c:numCache>
                <c:formatCode>General</c:formatCode>
                <c:ptCount val="6"/>
                <c:pt idx="0">
                  <c:v>0.80530956514993424</c:v>
                </c:pt>
                <c:pt idx="1">
                  <c:v>0.85827402956532706</c:v>
                </c:pt>
                <c:pt idx="2">
                  <c:v>0.90545505322499509</c:v>
                </c:pt>
                <c:pt idx="3">
                  <c:v>1.0204336023056251</c:v>
                </c:pt>
                <c:pt idx="4">
                  <c:v>1.0201251626579322</c:v>
                </c:pt>
                <c:pt idx="5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28-4493-85A0-7BA9BBBD576D}"/>
            </c:ext>
          </c:extLst>
        </c:ser>
        <c:ser>
          <c:idx val="1"/>
          <c:order val="4"/>
          <c:tx>
            <c:strRef>
              <c:f>'Overall w heat (leak) 0716 (04)'!$A$73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(leak) 0716 (04)'!$D$73:$D$78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(leak) 0716 (04)'!$G$73:$G$78</c:f>
              <c:numCache>
                <c:formatCode>General</c:formatCode>
                <c:ptCount val="6"/>
                <c:pt idx="0">
                  <c:v>0.86906064601320965</c:v>
                </c:pt>
                <c:pt idx="1">
                  <c:v>0.94847363500753468</c:v>
                </c:pt>
                <c:pt idx="2">
                  <c:v>1.042829287775632</c:v>
                </c:pt>
                <c:pt idx="3">
                  <c:v>1.1631977237886615</c:v>
                </c:pt>
                <c:pt idx="4">
                  <c:v>1.1657191081274199</c:v>
                </c:pt>
                <c:pt idx="5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28-4493-85A0-7BA9BBBD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(leak) 0716 (04)'!$D$42:$D$46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(leak) 0716 (04)'!$E$42:$E$46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0.4249</c:v>
                      </c:pt>
                      <c:pt idx="1">
                        <c:v>0.43070000000000003</c:v>
                      </c:pt>
                      <c:pt idx="2">
                        <c:v>0.45669999999999999</c:v>
                      </c:pt>
                      <c:pt idx="3">
                        <c:v>0.46329999999999999</c:v>
                      </c:pt>
                      <c:pt idx="4">
                        <c:v>0.49930000000000002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728-4493-85A0-7BA9BBBD576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P_1639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(04)'!$E$57:$E$62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0.64190000000000003</c:v>
                      </c:pt>
                      <c:pt idx="1">
                        <c:v>0.67349999999999999</c:v>
                      </c:pt>
                      <c:pt idx="2">
                        <c:v>0.68310000000000004</c:v>
                      </c:pt>
                      <c:pt idx="3">
                        <c:v>0.70150000000000001</c:v>
                      </c:pt>
                      <c:pt idx="4">
                        <c:v>0.71199999999999997</c:v>
                      </c:pt>
                      <c:pt idx="5">
                        <c:v>0.72560000000000002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728-4493-85A0-7BA9BBBD576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5.2533625867637204</c:v>
                      </c:pt>
                      <c:pt idx="1">
                        <c:v>4.8223075689095696</c:v>
                      </c:pt>
                      <c:pt idx="2">
                        <c:v>4.2362978478636197</c:v>
                      </c:pt>
                      <c:pt idx="3">
                        <c:v>3.6616022441401399</c:v>
                      </c:pt>
                      <c:pt idx="4">
                        <c:v>2.9220510847489098</c:v>
                      </c:pt>
                      <c:pt idx="5">
                        <c:v>2.6698755104625498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(04)'!$E$49:$E$54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0.53259999999999996</c:v>
                      </c:pt>
                      <c:pt idx="1">
                        <c:v>0.52869999999999995</c:v>
                      </c:pt>
                      <c:pt idx="2">
                        <c:v>0.53080000000000005</c:v>
                      </c:pt>
                      <c:pt idx="3">
                        <c:v>0.56530000000000002</c:v>
                      </c:pt>
                      <c:pt idx="4">
                        <c:v>0.58530000000000004</c:v>
                      </c:pt>
                      <c:pt idx="5">
                        <c:v>0.62250000000000005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728-4493-85A0-7BA9BBBD576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(04)'!$E$65:$E$70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0.76239999999999997</c:v>
                      </c:pt>
                      <c:pt idx="1">
                        <c:v>0.79500000000000004</c:v>
                      </c:pt>
                      <c:pt idx="2">
                        <c:v>0.78849999999999998</c:v>
                      </c:pt>
                      <c:pt idx="3">
                        <c:v>0.82569999999999999</c:v>
                      </c:pt>
                      <c:pt idx="4">
                        <c:v>0.83209999999999995</c:v>
                      </c:pt>
                      <c:pt idx="5">
                        <c:v>0.85640000000000005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728-4493-85A0-7BA9BBBD576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(04)'!$E$73:$E$78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0.94620000000000004</c:v>
                      </c:pt>
                      <c:pt idx="1">
                        <c:v>0.93189999999999995</c:v>
                      </c:pt>
                      <c:pt idx="2">
                        <c:v>0.9778</c:v>
                      </c:pt>
                      <c:pt idx="3">
                        <c:v>0.95820000000000005</c:v>
                      </c:pt>
                      <c:pt idx="4">
                        <c:v>1.0046999999999999</c:v>
                      </c:pt>
                      <c:pt idx="5">
                        <c:v>1.0508999999999999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728-4493-85A0-7BA9BBBD576D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851851851851E-2"/>
              <c:y val="0.19649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768518518518541"/>
          <c:y val="0.25660194444444445"/>
          <c:w val="0.13233333333333333"/>
          <c:h val="0.3420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(1.0)'!$A$48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(1.0)'!$D$47:$D$51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(1.0)'!$M$47:$M$51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E-4AEF-A164-F50AAB254A66}"/>
            </c:ext>
          </c:extLst>
        </c:ser>
        <c:ser>
          <c:idx val="4"/>
          <c:order val="1"/>
          <c:tx>
            <c:strRef>
              <c:f>'Overall (1.0)'!$A$55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(1.0)'!$D$54:$D$59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(1.0)'!$M$54:$M$59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E-4AEF-A164-F50AAB254A66}"/>
            </c:ext>
          </c:extLst>
        </c:ser>
        <c:ser>
          <c:idx val="5"/>
          <c:order val="2"/>
          <c:tx>
            <c:strRef>
              <c:f>'Overall (1.0)'!$A$63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(1.0)'!$D$62:$D$67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(1.0)'!$M$62:$M$67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BE-4AEF-A164-F50AAB254A66}"/>
            </c:ext>
          </c:extLst>
        </c:ser>
        <c:ser>
          <c:idx val="3"/>
          <c:order val="3"/>
          <c:tx>
            <c:strRef>
              <c:f>'Overall (1.0)'!$A$70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(1.0)'!$D$70:$D$77</c:f>
              <c:numCache>
                <c:formatCode>0.000</c:formatCode>
                <c:ptCount val="8"/>
                <c:pt idx="0">
                  <c:v>5.0653949430406557</c:v>
                </c:pt>
                <c:pt idx="1">
                  <c:v>5.112710058958517</c:v>
                </c:pt>
                <c:pt idx="2">
                  <c:v>4.5816778072219542</c:v>
                </c:pt>
                <c:pt idx="3">
                  <c:v>4.0282260804900449</c:v>
                </c:pt>
                <c:pt idx="4">
                  <c:v>3.9074120702939243</c:v>
                </c:pt>
                <c:pt idx="5">
                  <c:v>3.6533986868675403</c:v>
                </c:pt>
                <c:pt idx="6">
                  <c:v>3.0732756854133072</c:v>
                </c:pt>
                <c:pt idx="7">
                  <c:v>2.6401044471753301</c:v>
                </c:pt>
              </c:numCache>
            </c:numRef>
          </c:xVal>
          <c:yVal>
            <c:numRef>
              <c:f>'Overall (1.0)'!$M$70:$M$77</c:f>
              <c:numCache>
                <c:formatCode>General</c:formatCode>
                <c:ptCount val="8"/>
                <c:pt idx="0">
                  <c:v>414.98108314334672</c:v>
                </c:pt>
                <c:pt idx="1">
                  <c:v>423.76836504432305</c:v>
                </c:pt>
                <c:pt idx="2">
                  <c:v>377.6009892173239</c:v>
                </c:pt>
                <c:pt idx="3">
                  <c:v>348.33822229195874</c:v>
                </c:pt>
                <c:pt idx="4">
                  <c:v>355.02095386164581</c:v>
                </c:pt>
                <c:pt idx="5">
                  <c:v>344.11790533548407</c:v>
                </c:pt>
                <c:pt idx="6">
                  <c:v>310.51013897327994</c:v>
                </c:pt>
                <c:pt idx="7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E-4AEF-A164-F50AAB254A66}"/>
            </c:ext>
          </c:extLst>
        </c:ser>
        <c:ser>
          <c:idx val="1"/>
          <c:order val="4"/>
          <c:tx>
            <c:strRef>
              <c:f>'Overall (1.0)'!$A$80</c:f>
              <c:strCache>
                <c:ptCount val="1"/>
                <c:pt idx="0">
                  <c:v>2111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(1.0)'!$D$80:$D$88</c:f>
              <c:numCache>
                <c:formatCode>0.000</c:formatCode>
                <c:ptCount val="9"/>
                <c:pt idx="0">
                  <c:v>5.0545578692872928</c:v>
                </c:pt>
                <c:pt idx="1">
                  <c:v>4.4350470643170885</c:v>
                </c:pt>
                <c:pt idx="2">
                  <c:v>4.2201346805617597</c:v>
                </c:pt>
                <c:pt idx="3">
                  <c:v>4.1660023180827803</c:v>
                </c:pt>
                <c:pt idx="4">
                  <c:v>4.003856630921188</c:v>
                </c:pt>
                <c:pt idx="5">
                  <c:v>3.8882416114697662</c:v>
                </c:pt>
                <c:pt idx="6">
                  <c:v>3.69061358519046</c:v>
                </c:pt>
                <c:pt idx="7">
                  <c:v>3.3424664174525525</c:v>
                </c:pt>
                <c:pt idx="8">
                  <c:v>2.5472304393617602</c:v>
                </c:pt>
              </c:numCache>
            </c:numRef>
          </c:xVal>
          <c:yVal>
            <c:numRef>
              <c:f>'Overall (1.0)'!$M$80:$M$88</c:f>
              <c:numCache>
                <c:formatCode>General</c:formatCode>
                <c:ptCount val="9"/>
                <c:pt idx="0">
                  <c:v>534.93965412718592</c:v>
                </c:pt>
                <c:pt idx="1">
                  <c:v>455.1477762194761</c:v>
                </c:pt>
                <c:pt idx="2">
                  <c:v>433.13431702395167</c:v>
                </c:pt>
                <c:pt idx="3">
                  <c:v>435.80333677080233</c:v>
                </c:pt>
                <c:pt idx="4">
                  <c:v>404.21583325687345</c:v>
                </c:pt>
                <c:pt idx="5">
                  <c:v>411.38884927145062</c:v>
                </c:pt>
                <c:pt idx="6">
                  <c:v>362.03189924269998</c:v>
                </c:pt>
                <c:pt idx="7">
                  <c:v>343.19032930307435</c:v>
                </c:pt>
                <c:pt idx="8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BE-4AEF-A164-F50AAB25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Power</a:t>
                </a:r>
                <a:r>
                  <a:rPr lang="en-SG" baseline="0"/>
                  <a:t> (Nm)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436681496364447E-2"/>
              <c:y val="0.37548196359939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100"/>
        <c:minorUnit val="50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676666666666667"/>
          <c:y val="0.27424092592592592"/>
          <c:w val="0.11787402777777778"/>
          <c:h val="0.395073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 heat (leak) 0716 (04)'!$E$42:$E$78</c:f>
              <c:numCache>
                <c:formatCode>General</c:formatCode>
                <c:ptCount val="37"/>
                <c:pt idx="0">
                  <c:v>0.4249</c:v>
                </c:pt>
                <c:pt idx="1">
                  <c:v>0.43070000000000003</c:v>
                </c:pt>
                <c:pt idx="2">
                  <c:v>0.45669999999999999</c:v>
                </c:pt>
                <c:pt idx="3">
                  <c:v>0.46329999999999999</c:v>
                </c:pt>
                <c:pt idx="4">
                  <c:v>0.49930000000000002</c:v>
                </c:pt>
                <c:pt idx="7">
                  <c:v>0.53259999999999996</c:v>
                </c:pt>
                <c:pt idx="8">
                  <c:v>0.52869999999999995</c:v>
                </c:pt>
                <c:pt idx="9">
                  <c:v>0.53080000000000005</c:v>
                </c:pt>
                <c:pt idx="10">
                  <c:v>0.56530000000000002</c:v>
                </c:pt>
                <c:pt idx="11">
                  <c:v>0.58530000000000004</c:v>
                </c:pt>
                <c:pt idx="12">
                  <c:v>0.62250000000000005</c:v>
                </c:pt>
                <c:pt idx="15">
                  <c:v>0.64190000000000003</c:v>
                </c:pt>
                <c:pt idx="16">
                  <c:v>0.67349999999999999</c:v>
                </c:pt>
                <c:pt idx="17">
                  <c:v>0.68310000000000004</c:v>
                </c:pt>
                <c:pt idx="18">
                  <c:v>0.70150000000000001</c:v>
                </c:pt>
                <c:pt idx="19">
                  <c:v>0.71199999999999997</c:v>
                </c:pt>
                <c:pt idx="20">
                  <c:v>0.72560000000000002</c:v>
                </c:pt>
                <c:pt idx="23">
                  <c:v>0.76239999999999997</c:v>
                </c:pt>
                <c:pt idx="24">
                  <c:v>0.79500000000000004</c:v>
                </c:pt>
                <c:pt idx="25">
                  <c:v>0.78849999999999998</c:v>
                </c:pt>
                <c:pt idx="26">
                  <c:v>0.82569999999999999</c:v>
                </c:pt>
                <c:pt idx="27">
                  <c:v>0.83209999999999995</c:v>
                </c:pt>
                <c:pt idx="28">
                  <c:v>0.85640000000000005</c:v>
                </c:pt>
                <c:pt idx="31">
                  <c:v>0.94620000000000004</c:v>
                </c:pt>
                <c:pt idx="32">
                  <c:v>0.93189999999999995</c:v>
                </c:pt>
                <c:pt idx="33">
                  <c:v>0.9778</c:v>
                </c:pt>
                <c:pt idx="34">
                  <c:v>0.95820000000000005</c:v>
                </c:pt>
                <c:pt idx="35">
                  <c:v>1.0046999999999999</c:v>
                </c:pt>
                <c:pt idx="36">
                  <c:v>1.0508999999999999</c:v>
                </c:pt>
              </c:numCache>
            </c:numRef>
          </c:xVal>
          <c:yVal>
            <c:numRef>
              <c:f>'Overall w heat (leak) 0716 (04)'!$G$42:$G$78</c:f>
              <c:numCache>
                <c:formatCode>General</c:formatCode>
                <c:ptCount val="37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  <c:pt idx="7">
                  <c:v>0.49942621079699617</c:v>
                </c:pt>
                <c:pt idx="8">
                  <c:v>0.51458234662294589</c:v>
                </c:pt>
                <c:pt idx="9">
                  <c:v>0.48213212885652895</c:v>
                </c:pt>
                <c:pt idx="10">
                  <c:v>0.55282985811386409</c:v>
                </c:pt>
                <c:pt idx="11">
                  <c:v>0.55064360312853888</c:v>
                </c:pt>
                <c:pt idx="12">
                  <c:v>0.60090268980389583</c:v>
                </c:pt>
                <c:pt idx="15">
                  <c:v>0.55078811420555995</c:v>
                </c:pt>
                <c:pt idx="16">
                  <c:v>0.60263466997840687</c:v>
                </c:pt>
                <c:pt idx="17">
                  <c:v>0.69666610752823155</c:v>
                </c:pt>
                <c:pt idx="18">
                  <c:v>0.73556884310464887</c:v>
                </c:pt>
                <c:pt idx="19">
                  <c:v>0.80311495788323939</c:v>
                </c:pt>
                <c:pt idx="20">
                  <c:v>0.84332212411016105</c:v>
                </c:pt>
                <c:pt idx="23">
                  <c:v>0.80530956514993424</c:v>
                </c:pt>
                <c:pt idx="24">
                  <c:v>0.85827402956532706</c:v>
                </c:pt>
                <c:pt idx="25">
                  <c:v>0.90545505322499509</c:v>
                </c:pt>
                <c:pt idx="26">
                  <c:v>1.0204336023056251</c:v>
                </c:pt>
                <c:pt idx="27">
                  <c:v>1.0201251626579322</c:v>
                </c:pt>
                <c:pt idx="28">
                  <c:v>1.0094910734070963</c:v>
                </c:pt>
                <c:pt idx="31">
                  <c:v>0.86906064601320965</c:v>
                </c:pt>
                <c:pt idx="32">
                  <c:v>0.94847363500753468</c:v>
                </c:pt>
                <c:pt idx="33">
                  <c:v>1.042829287775632</c:v>
                </c:pt>
                <c:pt idx="34">
                  <c:v>1.1631977237886615</c:v>
                </c:pt>
                <c:pt idx="35">
                  <c:v>1.1657191081274199</c:v>
                </c:pt>
                <c:pt idx="36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1-4E3D-BAC7-8D100EA6DD50}"/>
            </c:ext>
          </c:extLst>
        </c:ser>
        <c:ser>
          <c:idx val="1"/>
          <c:order val="1"/>
          <c:tx>
            <c:v>line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E1-4E3D-BAC7-8D100EA6DD50}"/>
              </c:ext>
            </c:extLst>
          </c:dPt>
          <c:xVal>
            <c:numRef>
              <c:f>'Overall wo heat (final)'!$A$87:$A$88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'Overall wo heat (final)'!$B$87:$B$88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1-4E3D-BAC7-8D100EA6DD50}"/>
            </c:ext>
          </c:extLst>
        </c:ser>
        <c:ser>
          <c:idx val="2"/>
          <c:order val="2"/>
          <c:tx>
            <c:v>15</c:v>
          </c:tx>
          <c:spPr>
            <a:ln w="25400" cap="rnd">
              <a:solidFill>
                <a:srgbClr val="ED7D3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CE1-4E3D-BAC7-8D100EA6DD50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E1-4E3D-BAC7-8D100EA6DD50}"/>
              </c:ext>
            </c:extLst>
          </c:dPt>
          <c:xVal>
            <c:numRef>
              <c:f>'Overall w heat (leak) 0716 (04)'!$C$122:$C$123</c:f>
              <c:numCache>
                <c:formatCode>General</c:formatCode>
                <c:ptCount val="2"/>
                <c:pt idx="0">
                  <c:v>0.2</c:v>
                </c:pt>
                <c:pt idx="1">
                  <c:v>1.4</c:v>
                </c:pt>
              </c:numCache>
            </c:numRef>
          </c:xVal>
          <c:yVal>
            <c:numRef>
              <c:f>'Overall w heat (leak) 0716 (04)'!$D$122:$D$123</c:f>
              <c:numCache>
                <c:formatCode>General</c:formatCode>
                <c:ptCount val="2"/>
                <c:pt idx="0">
                  <c:v>0.22999999999999998</c:v>
                </c:pt>
                <c:pt idx="1">
                  <c:v>1.6099999999999999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E1-4E3D-BAC7-8D100EA6DD50}"/>
            </c:ext>
          </c:extLst>
        </c:ser>
        <c:ser>
          <c:idx val="3"/>
          <c:order val="3"/>
          <c:tx>
            <c:v>-15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CE1-4E3D-BAC7-8D100EA6DD50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CE1-4E3D-BAC7-8D100EA6DD50}"/>
              </c:ext>
            </c:extLst>
          </c:dPt>
          <c:xVal>
            <c:numRef>
              <c:f>'Overall w heat (leak) 0716 (04)'!$E$122:$E$123</c:f>
              <c:numCache>
                <c:formatCode>General</c:formatCode>
                <c:ptCount val="2"/>
                <c:pt idx="0">
                  <c:v>0.2</c:v>
                </c:pt>
                <c:pt idx="1">
                  <c:v>1.4</c:v>
                </c:pt>
              </c:numCache>
            </c:numRef>
          </c:xVal>
          <c:yVal>
            <c:numRef>
              <c:f>'Overall w heat (leak) 0716 (04)'!$F$122:$F$123</c:f>
              <c:numCache>
                <c:formatCode>General</c:formatCode>
                <c:ptCount val="2"/>
                <c:pt idx="0">
                  <c:v>0.17</c:v>
                </c:pt>
                <c:pt idx="1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E1-4E3D-BAC7-8D100EA6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1.4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Predicted</a:t>
                </a:r>
              </a:p>
            </c:rich>
          </c:tx>
          <c:layout>
            <c:manualLayout>
              <c:xMode val="edge"/>
              <c:yMode val="edge"/>
              <c:x val="0.44038055555555561"/>
              <c:y val="0.8938138888888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ajorUnit val="0.2"/>
        <c:minorUnit val="0.1"/>
      </c:valAx>
      <c:valAx>
        <c:axId val="733675672"/>
        <c:scaling>
          <c:orientation val="minMax"/>
          <c:max val="1.4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Measured</a:t>
                </a:r>
              </a:p>
            </c:rich>
          </c:tx>
          <c:layout>
            <c:manualLayout>
              <c:xMode val="edge"/>
              <c:yMode val="edge"/>
              <c:x val="3.2337962962962964E-2"/>
              <c:y val="0.3525741666666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 heat (leak) 0716 (04)'!$K$42:$K$78</c:f>
              <c:numCache>
                <c:formatCode>General</c:formatCode>
                <c:ptCount val="37"/>
                <c:pt idx="0">
                  <c:v>233.37180000000001</c:v>
                </c:pt>
                <c:pt idx="1">
                  <c:v>212.68780000000001</c:v>
                </c:pt>
                <c:pt idx="2">
                  <c:v>200.4435</c:v>
                </c:pt>
                <c:pt idx="3">
                  <c:v>182.8844</c:v>
                </c:pt>
                <c:pt idx="4">
                  <c:v>156.0831</c:v>
                </c:pt>
                <c:pt idx="7">
                  <c:v>312.08150000000001</c:v>
                </c:pt>
                <c:pt idx="8">
                  <c:v>292.47379999999998</c:v>
                </c:pt>
                <c:pt idx="9">
                  <c:v>269.99310000000003</c:v>
                </c:pt>
                <c:pt idx="10">
                  <c:v>245.0069</c:v>
                </c:pt>
                <c:pt idx="11">
                  <c:v>207.78229999999999</c:v>
                </c:pt>
                <c:pt idx="12">
                  <c:v>196.84039999999999</c:v>
                </c:pt>
                <c:pt idx="15">
                  <c:v>364.70440000000002</c:v>
                </c:pt>
                <c:pt idx="16">
                  <c:v>336.37990000000002</c:v>
                </c:pt>
                <c:pt idx="17">
                  <c:v>290.9323</c:v>
                </c:pt>
                <c:pt idx="18">
                  <c:v>267.49650000000003</c:v>
                </c:pt>
                <c:pt idx="19">
                  <c:v>256.29610000000002</c:v>
                </c:pt>
                <c:pt idx="20">
                  <c:v>241.51920000000001</c:v>
                </c:pt>
                <c:pt idx="23">
                  <c:v>402.697</c:v>
                </c:pt>
                <c:pt idx="24">
                  <c:v>380.26</c:v>
                </c:pt>
                <c:pt idx="25">
                  <c:v>351.52229999999997</c:v>
                </c:pt>
                <c:pt idx="26">
                  <c:v>327.6069</c:v>
                </c:pt>
                <c:pt idx="27">
                  <c:v>289.52280000000002</c:v>
                </c:pt>
                <c:pt idx="28">
                  <c:v>260.30220000000003</c:v>
                </c:pt>
                <c:pt idx="31">
                  <c:v>476.43130000000002</c:v>
                </c:pt>
                <c:pt idx="32">
                  <c:v>438.42070000000001</c:v>
                </c:pt>
                <c:pt idx="33">
                  <c:v>412.78579999999999</c:v>
                </c:pt>
                <c:pt idx="34">
                  <c:v>388.30650000000003</c:v>
                </c:pt>
                <c:pt idx="35">
                  <c:v>363.39179999999999</c:v>
                </c:pt>
                <c:pt idx="36">
                  <c:v>300.51870000000002</c:v>
                </c:pt>
              </c:numCache>
            </c:numRef>
          </c:xVal>
          <c:yVal>
            <c:numRef>
              <c:f>'Overall w heat (leak) 0716 (04)'!$M$42:$M$78</c:f>
              <c:numCache>
                <c:formatCode>General</c:formatCode>
                <c:ptCount val="37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  <c:pt idx="7">
                  <c:v>312.41254145595809</c:v>
                </c:pt>
                <c:pt idx="8">
                  <c:v>277.23925387205941</c:v>
                </c:pt>
                <c:pt idx="9">
                  <c:v>252.5835649599077</c:v>
                </c:pt>
                <c:pt idx="10">
                  <c:v>233.85095355199863</c:v>
                </c:pt>
                <c:pt idx="11">
                  <c:v>203.92491114934344</c:v>
                </c:pt>
                <c:pt idx="12">
                  <c:v>199.07794559162474</c:v>
                </c:pt>
                <c:pt idx="15">
                  <c:v>350.36119156039933</c:v>
                </c:pt>
                <c:pt idx="16">
                  <c:v>318.37107478027991</c:v>
                </c:pt>
                <c:pt idx="17">
                  <c:v>289.30173145285579</c:v>
                </c:pt>
                <c:pt idx="18">
                  <c:v>271.84554968579704</c:v>
                </c:pt>
                <c:pt idx="19">
                  <c:v>257.37260775625094</c:v>
                </c:pt>
                <c:pt idx="20">
                  <c:v>242.54161373792925</c:v>
                </c:pt>
                <c:pt idx="23">
                  <c:v>414.98108314334672</c:v>
                </c:pt>
                <c:pt idx="24">
                  <c:v>377.6009892173239</c:v>
                </c:pt>
                <c:pt idx="25">
                  <c:v>348.33822229195874</c:v>
                </c:pt>
                <c:pt idx="26">
                  <c:v>344.11790533548407</c:v>
                </c:pt>
                <c:pt idx="27">
                  <c:v>310.51013897327994</c:v>
                </c:pt>
                <c:pt idx="28">
                  <c:v>272.32024194294416</c:v>
                </c:pt>
                <c:pt idx="31">
                  <c:v>496.993999338386</c:v>
                </c:pt>
                <c:pt idx="32">
                  <c:v>455.1477762194761</c:v>
                </c:pt>
                <c:pt idx="33">
                  <c:v>404.21583325687345</c:v>
                </c:pt>
                <c:pt idx="34">
                  <c:v>362.03189924269998</c:v>
                </c:pt>
                <c:pt idx="35">
                  <c:v>343.19032930307435</c:v>
                </c:pt>
                <c:pt idx="36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8-4204-B9C2-A434A44627E0}"/>
            </c:ext>
          </c:extLst>
        </c:ser>
        <c:ser>
          <c:idx val="1"/>
          <c:order val="1"/>
          <c:tx>
            <c:v>15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(leak) 0716 (04)'!$C$126:$C$127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(leak) 0716 (04)'!$D$126:$D$127</c:f>
              <c:numCache>
                <c:formatCode>General</c:formatCode>
                <c:ptCount val="2"/>
                <c:pt idx="0">
                  <c:v>109</c:v>
                </c:pt>
                <c:pt idx="1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8-4204-B9C2-A434A44627E0}"/>
            </c:ext>
          </c:extLst>
        </c:ser>
        <c:ser>
          <c:idx val="2"/>
          <c:order val="2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F68-4204-B9C2-A434A44627E0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68-4204-B9C2-A434A44627E0}"/>
              </c:ext>
            </c:extLst>
          </c:dPt>
          <c:xVal>
            <c:numRef>
              <c:f>'Overall w heat (leak) 0716 (04)'!$A$126:$A$127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(leak) 0716 (04)'!$B$126:$B$127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68-4204-B9C2-A434A44627E0}"/>
            </c:ext>
          </c:extLst>
        </c:ser>
        <c:ser>
          <c:idx val="3"/>
          <c:order val="3"/>
          <c:tx>
            <c:v>-15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68-4204-B9C2-A434A44627E0}"/>
              </c:ext>
            </c:extLst>
          </c:dPt>
          <c:xVal>
            <c:numRef>
              <c:f>'Overall w heat (leak) 0716 (04)'!$E$126:$E$127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(leak) 0716 (04)'!$F$126:$F$127</c:f>
              <c:numCache>
                <c:formatCode>General</c:formatCode>
                <c:ptCount val="2"/>
                <c:pt idx="0">
                  <c:v>91</c:v>
                </c:pt>
                <c:pt idx="1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68-4204-B9C2-A434A446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inorUnit val="50"/>
      </c:valAx>
      <c:valAx>
        <c:axId val="733675672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100"/>
        <c:minorUnit val="5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(leak) 0716 (04)'!$A$43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0716 (04)'!$D$42:$D$46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0716 (04)'!$M$42:$M$46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4-493A-A4A8-CFD313A72C72}"/>
            </c:ext>
          </c:extLst>
        </c:ser>
        <c:ser>
          <c:idx val="4"/>
          <c:order val="1"/>
          <c:tx>
            <c:strRef>
              <c:f>'Overall w heat (leak) 0716 (04)'!$A$50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0716 (04)'!$D$49:$D$54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(leak) 0716 (04)'!$M$49:$M$54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4-493A-A4A8-CFD313A72C72}"/>
            </c:ext>
          </c:extLst>
        </c:ser>
        <c:ser>
          <c:idx val="5"/>
          <c:order val="2"/>
          <c:tx>
            <c:strRef>
              <c:f>'Overall w heat (leak) 0716 (04)'!$A$58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(leak) 0716 (04)'!$D$57:$D$62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3.2641584944265198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(leak) 0716 (04)'!$M$57:$M$62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4-493A-A4A8-CFD313A72C72}"/>
            </c:ext>
          </c:extLst>
        </c:ser>
        <c:ser>
          <c:idx val="3"/>
          <c:order val="3"/>
          <c:tx>
            <c:strRef>
              <c:f>'Overall w heat (leak) 0716 (04)'!$A$65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0716 (04)'!$D$65:$D$70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4.5816778072219497</c:v>
                </c:pt>
                <c:pt idx="2">
                  <c:v>4.0282260804900396</c:v>
                </c:pt>
                <c:pt idx="3">
                  <c:v>3.6533986868675399</c:v>
                </c:pt>
                <c:pt idx="4">
                  <c:v>3.0732756854133099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(leak) 0716 (04)'!$M$65:$M$70</c:f>
              <c:numCache>
                <c:formatCode>General</c:formatCode>
                <c:ptCount val="6"/>
                <c:pt idx="0">
                  <c:v>414.98108314334672</c:v>
                </c:pt>
                <c:pt idx="1">
                  <c:v>377.6009892173239</c:v>
                </c:pt>
                <c:pt idx="2">
                  <c:v>348.33822229195874</c:v>
                </c:pt>
                <c:pt idx="3">
                  <c:v>344.11790533548407</c:v>
                </c:pt>
                <c:pt idx="4">
                  <c:v>310.51013897327994</c:v>
                </c:pt>
                <c:pt idx="5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4-493A-A4A8-CFD313A72C72}"/>
            </c:ext>
          </c:extLst>
        </c:ser>
        <c:ser>
          <c:idx val="1"/>
          <c:order val="4"/>
          <c:tx>
            <c:strRef>
              <c:f>'Overall w heat (leak) 0716 (04)'!$A$73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(leak) 0716 (04)'!$D$73:$D$78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(leak) 0716 (04)'!$M$73:$M$78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4-493A-A4A8-CFD313A7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(leak) 0716 (04)'!$D$42:$D$46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(leak) 0716 (04)'!$K$42:$K$46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233.37180000000001</c:v>
                      </c:pt>
                      <c:pt idx="1">
                        <c:v>212.68780000000001</c:v>
                      </c:pt>
                      <c:pt idx="2">
                        <c:v>200.4435</c:v>
                      </c:pt>
                      <c:pt idx="3">
                        <c:v>182.8844</c:v>
                      </c:pt>
                      <c:pt idx="4">
                        <c:v>156.0831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D04-493A-A4A8-CFD313A72C7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(04)'!$D$49:$D$54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5.2533625867637204</c:v>
                      </c:pt>
                      <c:pt idx="1">
                        <c:v>4.8223075689095696</c:v>
                      </c:pt>
                      <c:pt idx="2">
                        <c:v>4.2362978478636197</c:v>
                      </c:pt>
                      <c:pt idx="3">
                        <c:v>3.6616022441401399</c:v>
                      </c:pt>
                      <c:pt idx="4">
                        <c:v>2.9220510847489098</c:v>
                      </c:pt>
                      <c:pt idx="5">
                        <c:v>2.6698755104625498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(04)'!$K$49:$K$54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312.08150000000001</c:v>
                      </c:pt>
                      <c:pt idx="1">
                        <c:v>292.47379999999998</c:v>
                      </c:pt>
                      <c:pt idx="2">
                        <c:v>269.99310000000003</c:v>
                      </c:pt>
                      <c:pt idx="3">
                        <c:v>245.0069</c:v>
                      </c:pt>
                      <c:pt idx="4">
                        <c:v>207.78229999999999</c:v>
                      </c:pt>
                      <c:pt idx="5">
                        <c:v>196.84039999999999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04-493A-A4A8-CFD313A72C7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(04)'!$D$57:$D$62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(04)'!$K$57:$K$63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364.70440000000002</c:v>
                      </c:pt>
                      <c:pt idx="1">
                        <c:v>336.37990000000002</c:v>
                      </c:pt>
                      <c:pt idx="2">
                        <c:v>290.9323</c:v>
                      </c:pt>
                      <c:pt idx="3">
                        <c:v>267.49650000000003</c:v>
                      </c:pt>
                      <c:pt idx="4">
                        <c:v>256.29610000000002</c:v>
                      </c:pt>
                      <c:pt idx="5">
                        <c:v>241.51920000000001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04-493A-A4A8-CFD313A72C7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(04)'!$K$65:$K$70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402.697</c:v>
                      </c:pt>
                      <c:pt idx="1">
                        <c:v>380.26</c:v>
                      </c:pt>
                      <c:pt idx="2">
                        <c:v>351.52229999999997</c:v>
                      </c:pt>
                      <c:pt idx="3">
                        <c:v>327.6069</c:v>
                      </c:pt>
                      <c:pt idx="4">
                        <c:v>289.52280000000002</c:v>
                      </c:pt>
                      <c:pt idx="5">
                        <c:v>260.30220000000003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04-493A-A4A8-CFD313A72C7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(04)'!$D$73:$D$78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(leak) 0716 (04)'!$K$73:$K$78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476.43130000000002</c:v>
                      </c:pt>
                      <c:pt idx="1">
                        <c:v>438.42070000000001</c:v>
                      </c:pt>
                      <c:pt idx="2">
                        <c:v>412.78579999999999</c:v>
                      </c:pt>
                      <c:pt idx="3">
                        <c:v>388.30650000000003</c:v>
                      </c:pt>
                      <c:pt idx="4">
                        <c:v>363.39179999999999</c:v>
                      </c:pt>
                      <c:pt idx="5">
                        <c:v>300.51870000000002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04-493A-A4A8-CFD313A72C72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200"/>
                  <a:t>Discharge 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200"/>
                  <a:t>Measured Power Input</a:t>
                </a:r>
                <a:r>
                  <a:rPr lang="en-SG" sz="1200" baseline="0"/>
                  <a:t> (W)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4366851851851851E-2"/>
              <c:y val="0.213204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100"/>
        <c:minorUnit val="50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441481481481482"/>
          <c:y val="0.27776861111111112"/>
          <c:w val="0.13233333333333333"/>
          <c:h val="0.334966666666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p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(leak) 0716 (04)'!$J$73:$J$78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(leak) 0716 (04)'!$K$73:$K$78</c:f>
              <c:numCache>
                <c:formatCode>General</c:formatCode>
                <c:ptCount val="6"/>
                <c:pt idx="0">
                  <c:v>476.43130000000002</c:v>
                </c:pt>
                <c:pt idx="1">
                  <c:v>438.42070000000001</c:v>
                </c:pt>
                <c:pt idx="2">
                  <c:v>412.78579999999999</c:v>
                </c:pt>
                <c:pt idx="3">
                  <c:v>388.30650000000003</c:v>
                </c:pt>
                <c:pt idx="4">
                  <c:v>363.39179999999999</c:v>
                </c:pt>
                <c:pt idx="5">
                  <c:v>300.51870000000002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F-4C7C-879C-83F4C9BD912C}"/>
            </c:ext>
          </c:extLst>
        </c:ser>
        <c:ser>
          <c:idx val="3"/>
          <c:order val="1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0716 (04)'!$J$73:$J$78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(leak) 0716 (04)'!$M$73:$M$78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F-4C7C-879C-83F4C9BD912C}"/>
            </c:ext>
          </c:extLst>
        </c:ser>
        <c:ser>
          <c:idx val="1"/>
          <c:order val="3"/>
          <c:tx>
            <c:v>p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(leak) 0716 (04)'!$J$73:$J$78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(leak) 0716 (04)'!$K$73:$K$78</c:f>
              <c:numCache>
                <c:formatCode>General</c:formatCode>
                <c:ptCount val="6"/>
                <c:pt idx="0">
                  <c:v>476.43130000000002</c:v>
                </c:pt>
                <c:pt idx="1">
                  <c:v>438.42070000000001</c:v>
                </c:pt>
                <c:pt idx="2">
                  <c:v>412.78579999999999</c:v>
                </c:pt>
                <c:pt idx="3">
                  <c:v>388.30650000000003</c:v>
                </c:pt>
                <c:pt idx="4">
                  <c:v>363.39179999999999</c:v>
                </c:pt>
                <c:pt idx="5">
                  <c:v>300.51870000000002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EF-4C7C-879C-83F4C9BD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lineMarker"/>
        <c:varyColors val="0"/>
        <c:ser>
          <c:idx val="0"/>
          <c:order val="2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0716 (04)'!$J$73:$J$78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(leak) 0716 (04)'!$M$73:$M$78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F-4C7C-879C-83F4C9BD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ajorUnit val="0.5"/>
        <c:minorUnit val="0.25"/>
      </c:valAx>
      <c:valAx>
        <c:axId val="1117249704"/>
        <c:scaling>
          <c:orientation val="minMax"/>
          <c:max val="600"/>
          <c:min val="25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50"/>
        <c:minorUnit val="25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0716 (04)'!$D$42:$D$46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0716 (04)'!$G$42:$G$46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9-4D8F-B482-3B95A62F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(leak) 0716 (04)'!$D$42:$D$46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0716 (04)'!$E$42:$E$46</c:f>
              <c:numCache>
                <c:formatCode>General</c:formatCode>
                <c:ptCount val="5"/>
                <c:pt idx="0">
                  <c:v>0.4249</c:v>
                </c:pt>
                <c:pt idx="1">
                  <c:v>0.43070000000000003</c:v>
                </c:pt>
                <c:pt idx="2">
                  <c:v>0.45669999999999999</c:v>
                </c:pt>
                <c:pt idx="3">
                  <c:v>0.46329999999999999</c:v>
                </c:pt>
                <c:pt idx="4">
                  <c:v>0.49930000000000002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A9-4D8F-B482-3B95A62F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(leak) 0716 (04)'!$A$43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0716 (04)'!$D$42:$D$46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0716 (04)'!$AH$42:$AH$46</c:f>
              <c:numCache>
                <c:formatCode>0.00%</c:formatCode>
                <c:ptCount val="5"/>
                <c:pt idx="0">
                  <c:v>0.43390185436161227</c:v>
                </c:pt>
                <c:pt idx="1">
                  <c:v>0.47723494888562895</c:v>
                </c:pt>
                <c:pt idx="2">
                  <c:v>0.60389390623005834</c:v>
                </c:pt>
                <c:pt idx="3">
                  <c:v>0.60781432416670989</c:v>
                </c:pt>
                <c:pt idx="4">
                  <c:v>0.60310082632336792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C-435C-9C6F-01AE34CF0306}"/>
            </c:ext>
          </c:extLst>
        </c:ser>
        <c:ser>
          <c:idx val="4"/>
          <c:order val="1"/>
          <c:tx>
            <c:strRef>
              <c:f>'Overall w heat (leak) 0716 (04)'!$A$50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0716 (04)'!$D$49:$D$54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(leak) 0716 (04)'!$AH$49:$AH$54</c:f>
              <c:numCache>
                <c:formatCode>0.00%</c:formatCode>
                <c:ptCount val="6"/>
                <c:pt idx="0">
                  <c:v>0.57044684271501567</c:v>
                </c:pt>
                <c:pt idx="1">
                  <c:v>0.59386306592376903</c:v>
                </c:pt>
                <c:pt idx="2">
                  <c:v>0.55577190646285757</c:v>
                </c:pt>
                <c:pt idx="3">
                  <c:v>0.63616784593079878</c:v>
                </c:pt>
                <c:pt idx="4">
                  <c:v>0.63314200658679876</c:v>
                </c:pt>
                <c:pt idx="5">
                  <c:v>0.68424355477555887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C-435C-9C6F-01AE34CF0306}"/>
            </c:ext>
          </c:extLst>
        </c:ser>
        <c:ser>
          <c:idx val="5"/>
          <c:order val="2"/>
          <c:tx>
            <c:strRef>
              <c:f>'Overall w heat (leak) 0716 (04)'!$A$58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(leak) 0716 (04)'!$D$57:$D$62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3.2641584944265198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(leak) 0716 (04)'!$AH$57:$AH$62</c:f>
              <c:numCache>
                <c:formatCode>0.00%</c:formatCode>
                <c:ptCount val="6"/>
                <c:pt idx="0">
                  <c:v>0.54859373924856569</c:v>
                </c:pt>
                <c:pt idx="1">
                  <c:v>0.60035332733453561</c:v>
                </c:pt>
                <c:pt idx="2">
                  <c:v>0.69120558341921967</c:v>
                </c:pt>
                <c:pt idx="3">
                  <c:v>0.72965860837679686</c:v>
                </c:pt>
                <c:pt idx="4">
                  <c:v>0.79595139532531167</c:v>
                </c:pt>
                <c:pt idx="5">
                  <c:v>0.83497240010907037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C-435C-9C6F-01AE34CF0306}"/>
            </c:ext>
          </c:extLst>
        </c:ser>
        <c:ser>
          <c:idx val="3"/>
          <c:order val="3"/>
          <c:tx>
            <c:strRef>
              <c:f>'Overall w heat (leak) 0716 (04)'!$A$65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(leak) 0716 (04)'!$D$65:$D$70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4.5816778072219497</c:v>
                </c:pt>
                <c:pt idx="2">
                  <c:v>4.0282260804900396</c:v>
                </c:pt>
                <c:pt idx="3">
                  <c:v>3.6533986868675399</c:v>
                </c:pt>
                <c:pt idx="4">
                  <c:v>3.0732756854133099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(leak) 0716 (04)'!$AH$65:$AH$70</c:f>
              <c:numCache>
                <c:formatCode>0.00%</c:formatCode>
                <c:ptCount val="6"/>
                <c:pt idx="0">
                  <c:v>0.71851317375975576</c:v>
                </c:pt>
                <c:pt idx="1">
                  <c:v>0.76495011547711855</c:v>
                </c:pt>
                <c:pt idx="2">
                  <c:v>0.80456286940198607</c:v>
                </c:pt>
                <c:pt idx="3">
                  <c:v>0.90656858769156456</c:v>
                </c:pt>
                <c:pt idx="4">
                  <c:v>0.90516873350304539</c:v>
                </c:pt>
                <c:pt idx="5">
                  <c:v>0.89493889486444722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C-435C-9C6F-01AE34CF0306}"/>
            </c:ext>
          </c:extLst>
        </c:ser>
        <c:ser>
          <c:idx val="1"/>
          <c:order val="4"/>
          <c:tx>
            <c:strRef>
              <c:f>'Overall w heat (leak) 0716 (04)'!$A$73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(leak) 0716 (04)'!$D$73:$D$78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(leak) 0716 (04)'!$AH$73:$AH$78</c:f>
              <c:numCache>
                <c:formatCode>0.00%</c:formatCode>
                <c:ptCount val="6"/>
                <c:pt idx="0">
                  <c:v>0.67768297412134249</c:v>
                </c:pt>
                <c:pt idx="1">
                  <c:v>0.73765253928101937</c:v>
                </c:pt>
                <c:pt idx="2">
                  <c:v>0.80902194552027318</c:v>
                </c:pt>
                <c:pt idx="3">
                  <c:v>0.90352471942571178</c:v>
                </c:pt>
                <c:pt idx="4">
                  <c:v>0.90316813212010527</c:v>
                </c:pt>
                <c:pt idx="5">
                  <c:v>0.92325387748664844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C-435C-9C6F-01AE34CF0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ax val="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Discharge Pressure (Abs. Bar)</a:t>
                </a:r>
              </a:p>
            </c:rich>
          </c:tx>
          <c:layout>
            <c:manualLayout>
              <c:xMode val="edge"/>
              <c:yMode val="edge"/>
              <c:x val="0.33621499999999999"/>
              <c:y val="0.89592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Volumetric Efficiency (%)</a:t>
                </a:r>
              </a:p>
            </c:rich>
          </c:tx>
          <c:layout>
            <c:manualLayout>
              <c:xMode val="edge"/>
              <c:yMode val="edge"/>
              <c:x val="1.4366851851851851E-2"/>
              <c:y val="0.1903347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768518518518541"/>
          <c:y val="0.25660194444444445"/>
          <c:w val="0.13233333333333333"/>
          <c:h val="0.3420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'Overall w heat (leak) 0716 (04)'!$J$65:$J$70</c:f>
              <c:numCache>
                <c:formatCode>0.000</c:formatCode>
                <c:ptCount val="6"/>
                <c:pt idx="0">
                  <c:v>5.0955470072880154</c:v>
                </c:pt>
                <c:pt idx="1">
                  <c:v>4.5563243588018114</c:v>
                </c:pt>
                <c:pt idx="2">
                  <c:v>3.9555644863642447</c:v>
                </c:pt>
                <c:pt idx="3">
                  <c:v>3.5979343489934528</c:v>
                </c:pt>
                <c:pt idx="4">
                  <c:v>3.1121112229606274</c:v>
                </c:pt>
                <c:pt idx="5">
                  <c:v>2.6186306105362576</c:v>
                </c:pt>
              </c:numCache>
            </c:numRef>
          </c:xVal>
          <c:yVal>
            <c:numRef>
              <c:f>'Overall w heat (leak) 0716 (04)'!$K$65:$K$70</c:f>
              <c:numCache>
                <c:formatCode>General</c:formatCode>
                <c:ptCount val="6"/>
                <c:pt idx="0">
                  <c:v>402.697</c:v>
                </c:pt>
                <c:pt idx="1">
                  <c:v>380.26</c:v>
                </c:pt>
                <c:pt idx="2">
                  <c:v>351.52229999999997</c:v>
                </c:pt>
                <c:pt idx="3">
                  <c:v>327.6069</c:v>
                </c:pt>
                <c:pt idx="4">
                  <c:v>289.52280000000002</c:v>
                </c:pt>
                <c:pt idx="5">
                  <c:v>260.30220000000003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4-483A-82B1-2D29F002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0716 (04)'!$J$65:$J$70</c:f>
              <c:numCache>
                <c:formatCode>0.000</c:formatCode>
                <c:ptCount val="6"/>
                <c:pt idx="0">
                  <c:v>5.0955470072880154</c:v>
                </c:pt>
                <c:pt idx="1">
                  <c:v>4.5563243588018114</c:v>
                </c:pt>
                <c:pt idx="2">
                  <c:v>3.9555644863642447</c:v>
                </c:pt>
                <c:pt idx="3">
                  <c:v>3.5979343489934528</c:v>
                </c:pt>
                <c:pt idx="4">
                  <c:v>3.1121112229606274</c:v>
                </c:pt>
                <c:pt idx="5">
                  <c:v>2.6186306105362576</c:v>
                </c:pt>
              </c:numCache>
            </c:numRef>
          </c:xVal>
          <c:yVal>
            <c:numRef>
              <c:f>'Overall w heat (leak) 0716 (04)'!$M$65:$M$70</c:f>
              <c:numCache>
                <c:formatCode>General</c:formatCode>
                <c:ptCount val="6"/>
                <c:pt idx="0">
                  <c:v>414.98108314334672</c:v>
                </c:pt>
                <c:pt idx="1">
                  <c:v>377.6009892173239</c:v>
                </c:pt>
                <c:pt idx="2">
                  <c:v>348.33822229195874</c:v>
                </c:pt>
                <c:pt idx="3">
                  <c:v>344.11790533548407</c:v>
                </c:pt>
                <c:pt idx="4">
                  <c:v>310.51013897327994</c:v>
                </c:pt>
                <c:pt idx="5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4-483A-82B1-2D29F002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ajorUnit val="0.5"/>
        <c:minorUnit val="0.25"/>
      </c:valAx>
      <c:valAx>
        <c:axId val="1117249704"/>
        <c:scaling>
          <c:orientation val="minMax"/>
          <c:max val="450"/>
          <c:min val="20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50"/>
        <c:minorUnit val="25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(leak) 0716 (04)'!$D$42:$D$46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0716 (04)'!$G$42:$G$46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C-4B8A-B313-2050D7A2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'Overall w heat (leak) 0716 (04)'!$D$42:$D$46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(leak) 0716 (04)'!$E$42:$E$46</c:f>
              <c:numCache>
                <c:formatCode>General</c:formatCode>
                <c:ptCount val="5"/>
                <c:pt idx="0">
                  <c:v>0.4249</c:v>
                </c:pt>
                <c:pt idx="1">
                  <c:v>0.43070000000000003</c:v>
                </c:pt>
                <c:pt idx="2">
                  <c:v>0.45669999999999999</c:v>
                </c:pt>
                <c:pt idx="3">
                  <c:v>0.46329999999999999</c:v>
                </c:pt>
                <c:pt idx="4">
                  <c:v>0.49930000000000002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1C-4B8A-B313-2050D7A2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4"/>
          <c:order val="1"/>
          <c:tx>
            <c:strRef>
              <c:f>'Overall w heat 0716 (0.45)'!$A$47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0716 (0.45)'!$D$47:$D$52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0716 (0.45)'!$G$47:$G$52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A-4E66-9E89-FAF64018C230}"/>
            </c:ext>
          </c:extLst>
        </c:ser>
        <c:ser>
          <c:idx val="5"/>
          <c:order val="2"/>
          <c:tx>
            <c:strRef>
              <c:f>'Overall w heat 0716 (0.45)'!$A$53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0716 (0.45)'!$D$53:$D$58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3.2641584944265198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0716 (0.45)'!$G$53:$G$58</c:f>
              <c:numCache>
                <c:formatCode>General</c:formatCode>
                <c:ptCount val="6"/>
                <c:pt idx="0">
                  <c:v>0.55078811420555995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A-4E66-9E89-FAF64018C230}"/>
            </c:ext>
          </c:extLst>
        </c:ser>
        <c:ser>
          <c:idx val="3"/>
          <c:order val="3"/>
          <c:tx>
            <c:strRef>
              <c:f>'Overall w heat 0716 (0.45)'!$A$59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0716 (0.45)'!$D$59:$D$64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4.5816778072219497</c:v>
                </c:pt>
                <c:pt idx="2">
                  <c:v>4.0282260804900396</c:v>
                </c:pt>
                <c:pt idx="3">
                  <c:v>3.6533986868675399</c:v>
                </c:pt>
                <c:pt idx="4">
                  <c:v>3.0732756854133099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0716 (0.45)'!$G$59:$G$64</c:f>
              <c:numCache>
                <c:formatCode>General</c:formatCode>
                <c:ptCount val="6"/>
                <c:pt idx="0">
                  <c:v>0.80530956514993424</c:v>
                </c:pt>
                <c:pt idx="1">
                  <c:v>0.85827402956532706</c:v>
                </c:pt>
                <c:pt idx="2">
                  <c:v>0.90545505322499509</c:v>
                </c:pt>
                <c:pt idx="3">
                  <c:v>1.0204336023056251</c:v>
                </c:pt>
                <c:pt idx="4">
                  <c:v>1.0201251626579322</c:v>
                </c:pt>
                <c:pt idx="5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A-4E66-9E89-FAF64018C230}"/>
            </c:ext>
          </c:extLst>
        </c:ser>
        <c:ser>
          <c:idx val="1"/>
          <c:order val="4"/>
          <c:tx>
            <c:strRef>
              <c:f>'Overall w heat 0716 (0.45)'!$A$65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0716 (0.45)'!$D$65:$D$70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0716 (0.45)'!$G$65:$G$70</c:f>
              <c:numCache>
                <c:formatCode>General</c:formatCode>
                <c:ptCount val="6"/>
                <c:pt idx="0">
                  <c:v>0.86906064601320965</c:v>
                </c:pt>
                <c:pt idx="1">
                  <c:v>0.94847363500753468</c:v>
                </c:pt>
                <c:pt idx="2">
                  <c:v>1.042829287775632</c:v>
                </c:pt>
                <c:pt idx="3">
                  <c:v>1.1631977237886615</c:v>
                </c:pt>
                <c:pt idx="4">
                  <c:v>1.1657191081274199</c:v>
                </c:pt>
                <c:pt idx="5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A-4E66-9E89-FAF64018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w heat 0716 (0.45)'!$A$43</c15:sqref>
                        </c15:formulaRef>
                      </c:ext>
                    </c:extLst>
                    <c:strCache>
                      <c:ptCount val="1"/>
                      <c:pt idx="0">
                        <c:v>1216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10000"/>
                      </a:schemeClr>
                    </a:solidFill>
                    <a:ln w="12700">
                      <a:solidFill>
                        <a:srgbClr val="44546A">
                          <a:lumMod val="50000"/>
                        </a:srgb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0716 (0.45)'!$D$42:$D$46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0716 (0.45)'!$G$42:$G$46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0.3247321478042306</c:v>
                      </c:pt>
                      <c:pt idx="1">
                        <c:v>0.35673312429200765</c:v>
                      </c:pt>
                      <c:pt idx="2">
                        <c:v>0.45316198723503576</c:v>
                      </c:pt>
                      <c:pt idx="3">
                        <c:v>0.45543527309811571</c:v>
                      </c:pt>
                      <c:pt idx="4">
                        <c:v>0.45359213147780497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EBA-4E66-9E89-FAF64018C230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(0.45)'!$E$42:$E$46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0.37730000000000002</c:v>
                      </c:pt>
                      <c:pt idx="1">
                        <c:v>0.39389999999999997</c:v>
                      </c:pt>
                      <c:pt idx="2">
                        <c:v>0.42</c:v>
                      </c:pt>
                      <c:pt idx="3">
                        <c:v>0.44</c:v>
                      </c:pt>
                      <c:pt idx="4">
                        <c:v>0.47910000000000003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BA-4E66-9E89-FAF64018C23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P_1639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(0.45)'!$D$53:$D$58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(0.45)'!$E$53:$E$58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0.61719999999999997</c:v>
                      </c:pt>
                      <c:pt idx="1">
                        <c:v>0.62980000000000003</c:v>
                      </c:pt>
                      <c:pt idx="2">
                        <c:v>0.66279999999999994</c:v>
                      </c:pt>
                      <c:pt idx="3">
                        <c:v>0.66439999999999999</c:v>
                      </c:pt>
                      <c:pt idx="4">
                        <c:v>0.69510000000000005</c:v>
                      </c:pt>
                      <c:pt idx="5">
                        <c:v>0.69099999999999995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BA-4E66-9E89-FAF64018C23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(0.45)'!$D$47:$D$52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5.2533625867637204</c:v>
                      </c:pt>
                      <c:pt idx="1">
                        <c:v>4.8223075689095696</c:v>
                      </c:pt>
                      <c:pt idx="2">
                        <c:v>4.2362978478636197</c:v>
                      </c:pt>
                      <c:pt idx="3">
                        <c:v>3.6616022441401399</c:v>
                      </c:pt>
                      <c:pt idx="4">
                        <c:v>2.9220510847489098</c:v>
                      </c:pt>
                      <c:pt idx="5">
                        <c:v>2.6698755104625498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(0.45)'!$E$47:$E$52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0.46820000000000001</c:v>
                      </c:pt>
                      <c:pt idx="1">
                        <c:v>0.48559999999999998</c:v>
                      </c:pt>
                      <c:pt idx="2">
                        <c:v>0.49070000000000003</c:v>
                      </c:pt>
                      <c:pt idx="3">
                        <c:v>0.51290000000000002</c:v>
                      </c:pt>
                      <c:pt idx="4">
                        <c:v>0.55110000000000003</c:v>
                      </c:pt>
                      <c:pt idx="5">
                        <c:v>0.57469999999999999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BA-4E66-9E89-FAF64018C23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(0.45)'!$D$59:$D$64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(0.45)'!$E$59:$E$64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0.7419</c:v>
                      </c:pt>
                      <c:pt idx="1">
                        <c:v>0.72750000000000004</c:v>
                      </c:pt>
                      <c:pt idx="2">
                        <c:v>0.74760000000000004</c:v>
                      </c:pt>
                      <c:pt idx="3">
                        <c:v>0.7621</c:v>
                      </c:pt>
                      <c:pt idx="4">
                        <c:v>0.79359999999999997</c:v>
                      </c:pt>
                      <c:pt idx="5">
                        <c:v>0.8226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BA-4E66-9E89-FAF64018C23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(0.45)'!$E$65:$E$70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0.90310000000000001</c:v>
                      </c:pt>
                      <c:pt idx="1">
                        <c:v>0.91779999999999995</c:v>
                      </c:pt>
                      <c:pt idx="2">
                        <c:v>0.9355</c:v>
                      </c:pt>
                      <c:pt idx="3">
                        <c:v>0.91810000000000003</c:v>
                      </c:pt>
                      <c:pt idx="4">
                        <c:v>0.93820000000000003</c:v>
                      </c:pt>
                      <c:pt idx="5">
                        <c:v>1.0174000000000001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BA-4E66-9E89-FAF64018C230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851851851851E-2"/>
              <c:y val="0.19649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768518518518541"/>
          <c:y val="0.25660194444444445"/>
          <c:w val="0.13233333333333333"/>
          <c:h val="0.3420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 heat 0716 (0.45)'!$E$42:$E$70</c:f>
              <c:numCache>
                <c:formatCode>General</c:formatCode>
                <c:ptCount val="29"/>
                <c:pt idx="0">
                  <c:v>0.37730000000000002</c:v>
                </c:pt>
                <c:pt idx="1">
                  <c:v>0.39389999999999997</c:v>
                </c:pt>
                <c:pt idx="2">
                  <c:v>0.42</c:v>
                </c:pt>
                <c:pt idx="3">
                  <c:v>0.44</c:v>
                </c:pt>
                <c:pt idx="4">
                  <c:v>0.47910000000000003</c:v>
                </c:pt>
                <c:pt idx="5">
                  <c:v>0.46820000000000001</c:v>
                </c:pt>
                <c:pt idx="6">
                  <c:v>0.48559999999999998</c:v>
                </c:pt>
                <c:pt idx="7">
                  <c:v>0.49070000000000003</c:v>
                </c:pt>
                <c:pt idx="8">
                  <c:v>0.51290000000000002</c:v>
                </c:pt>
                <c:pt idx="9">
                  <c:v>0.55110000000000003</c:v>
                </c:pt>
                <c:pt idx="10">
                  <c:v>0.57469999999999999</c:v>
                </c:pt>
                <c:pt idx="11">
                  <c:v>0.61719999999999997</c:v>
                </c:pt>
                <c:pt idx="12">
                  <c:v>0.62980000000000003</c:v>
                </c:pt>
                <c:pt idx="13">
                  <c:v>0.66279999999999994</c:v>
                </c:pt>
                <c:pt idx="14">
                  <c:v>0.66439999999999999</c:v>
                </c:pt>
                <c:pt idx="15">
                  <c:v>0.69510000000000005</c:v>
                </c:pt>
                <c:pt idx="16">
                  <c:v>0.69099999999999995</c:v>
                </c:pt>
                <c:pt idx="17">
                  <c:v>0.7419</c:v>
                </c:pt>
                <c:pt idx="18">
                  <c:v>0.72750000000000004</c:v>
                </c:pt>
                <c:pt idx="19">
                  <c:v>0.74760000000000004</c:v>
                </c:pt>
                <c:pt idx="20">
                  <c:v>0.7621</c:v>
                </c:pt>
                <c:pt idx="21">
                  <c:v>0.79359999999999997</c:v>
                </c:pt>
                <c:pt idx="22">
                  <c:v>0.8226</c:v>
                </c:pt>
                <c:pt idx="23">
                  <c:v>0.90310000000000001</c:v>
                </c:pt>
                <c:pt idx="24">
                  <c:v>0.91779999999999995</c:v>
                </c:pt>
                <c:pt idx="25">
                  <c:v>0.9355</c:v>
                </c:pt>
                <c:pt idx="26">
                  <c:v>0.91810000000000003</c:v>
                </c:pt>
                <c:pt idx="27">
                  <c:v>0.93820000000000003</c:v>
                </c:pt>
                <c:pt idx="28">
                  <c:v>1.0174000000000001</c:v>
                </c:pt>
              </c:numCache>
            </c:numRef>
          </c:xVal>
          <c:yVal>
            <c:numRef>
              <c:f>'Overall w heat 0716 (0.45)'!$G$42:$G$70</c:f>
              <c:numCache>
                <c:formatCode>General</c:formatCode>
                <c:ptCount val="29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  <c:pt idx="5">
                  <c:v>0.49942621079699617</c:v>
                </c:pt>
                <c:pt idx="6">
                  <c:v>0.51458234662294589</c:v>
                </c:pt>
                <c:pt idx="7">
                  <c:v>0.48213212885652895</c:v>
                </c:pt>
                <c:pt idx="8">
                  <c:v>0.55282985811386409</c:v>
                </c:pt>
                <c:pt idx="9">
                  <c:v>0.55064360312853888</c:v>
                </c:pt>
                <c:pt idx="10">
                  <c:v>0.60090268980389583</c:v>
                </c:pt>
                <c:pt idx="11">
                  <c:v>0.55078811420555995</c:v>
                </c:pt>
                <c:pt idx="12">
                  <c:v>0.60263466997840687</c:v>
                </c:pt>
                <c:pt idx="13">
                  <c:v>0.69666610752823155</c:v>
                </c:pt>
                <c:pt idx="14">
                  <c:v>0.73556884310464887</c:v>
                </c:pt>
                <c:pt idx="15">
                  <c:v>0.80311495788323939</c:v>
                </c:pt>
                <c:pt idx="16">
                  <c:v>0.84332212411016105</c:v>
                </c:pt>
                <c:pt idx="17">
                  <c:v>0.80530956514993424</c:v>
                </c:pt>
                <c:pt idx="18">
                  <c:v>0.85827402956532706</c:v>
                </c:pt>
                <c:pt idx="19">
                  <c:v>0.90545505322499509</c:v>
                </c:pt>
                <c:pt idx="20">
                  <c:v>1.0204336023056251</c:v>
                </c:pt>
                <c:pt idx="21">
                  <c:v>1.0201251626579322</c:v>
                </c:pt>
                <c:pt idx="22">
                  <c:v>1.0094910734070963</c:v>
                </c:pt>
                <c:pt idx="23">
                  <c:v>0.86906064601320965</c:v>
                </c:pt>
                <c:pt idx="24">
                  <c:v>0.94847363500753468</c:v>
                </c:pt>
                <c:pt idx="25">
                  <c:v>1.042829287775632</c:v>
                </c:pt>
                <c:pt idx="26">
                  <c:v>1.1631977237886615</c:v>
                </c:pt>
                <c:pt idx="27">
                  <c:v>1.1657191081274199</c:v>
                </c:pt>
                <c:pt idx="28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B6B-958F-A0FBAE0D407D}"/>
            </c:ext>
          </c:extLst>
        </c:ser>
        <c:ser>
          <c:idx val="1"/>
          <c:order val="1"/>
          <c:tx>
            <c:v>line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35-4B6B-958F-A0FBAE0D407D}"/>
              </c:ext>
            </c:extLst>
          </c:dPt>
          <c:xVal>
            <c:numRef>
              <c:f>'Overall wo heat (final)'!$A$87:$A$88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'Overall wo heat (final)'!$B$87:$B$88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5-4B6B-958F-A0FBAE0D407D}"/>
            </c:ext>
          </c:extLst>
        </c:ser>
        <c:ser>
          <c:idx val="2"/>
          <c:order val="2"/>
          <c:tx>
            <c:v>15</c:v>
          </c:tx>
          <c:spPr>
            <a:ln w="25400" cap="rnd">
              <a:solidFill>
                <a:srgbClr val="ED7D3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D35-4B6B-958F-A0FBAE0D407D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ysClr val="windowText" lastClr="000000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D35-4B6B-958F-A0FBAE0D407D}"/>
              </c:ext>
            </c:extLst>
          </c:dPt>
          <c:xVal>
            <c:numRef>
              <c:f>'Overall w heat 0716 (0.45)'!$C$114:$C$115</c:f>
              <c:numCache>
                <c:formatCode>General</c:formatCode>
                <c:ptCount val="2"/>
                <c:pt idx="0">
                  <c:v>0.2</c:v>
                </c:pt>
                <c:pt idx="1">
                  <c:v>1.4</c:v>
                </c:pt>
              </c:numCache>
            </c:numRef>
          </c:xVal>
          <c:yVal>
            <c:numRef>
              <c:f>'Overall w heat 0716 (0.45)'!$D$114:$D$115</c:f>
              <c:numCache>
                <c:formatCode>General</c:formatCode>
                <c:ptCount val="2"/>
                <c:pt idx="0">
                  <c:v>0.22999999999999998</c:v>
                </c:pt>
                <c:pt idx="1">
                  <c:v>1.6099999999999999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35-4B6B-958F-A0FBAE0D407D}"/>
            </c:ext>
          </c:extLst>
        </c:ser>
        <c:ser>
          <c:idx val="3"/>
          <c:order val="3"/>
          <c:tx>
            <c:v>-15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4D35-4B6B-958F-A0FBAE0D407D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D35-4B6B-958F-A0FBAE0D407D}"/>
              </c:ext>
            </c:extLst>
          </c:dPt>
          <c:xVal>
            <c:numRef>
              <c:f>'Overall w heat 0716 (0.45)'!$E$114:$E$115</c:f>
              <c:numCache>
                <c:formatCode>General</c:formatCode>
                <c:ptCount val="2"/>
                <c:pt idx="0">
                  <c:v>0.2</c:v>
                </c:pt>
                <c:pt idx="1">
                  <c:v>1.4</c:v>
                </c:pt>
              </c:numCache>
            </c:numRef>
          </c:xVal>
          <c:yVal>
            <c:numRef>
              <c:f>'Overall w heat 0716 (0.45)'!$F$114:$F$115</c:f>
              <c:numCache>
                <c:formatCode>General</c:formatCode>
                <c:ptCount val="2"/>
                <c:pt idx="0">
                  <c:v>0.17</c:v>
                </c:pt>
                <c:pt idx="1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35-4B6B-958F-A0FBAE0D4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1.4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Predicted</a:t>
                </a:r>
              </a:p>
            </c:rich>
          </c:tx>
          <c:layout>
            <c:manualLayout>
              <c:xMode val="edge"/>
              <c:yMode val="edge"/>
              <c:x val="0.44038055555555561"/>
              <c:y val="0.8938138888888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ajorUnit val="0.2"/>
        <c:minorUnit val="0.1"/>
      </c:valAx>
      <c:valAx>
        <c:axId val="733675672"/>
        <c:scaling>
          <c:orientation val="minMax"/>
          <c:max val="1.4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Measured</a:t>
                </a:r>
              </a:p>
            </c:rich>
          </c:tx>
          <c:layout>
            <c:manualLayout>
              <c:xMode val="edge"/>
              <c:yMode val="edge"/>
              <c:x val="3.2337962962962964E-2"/>
              <c:y val="0.3525741666666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(0.5)'!$A$48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(0.5)'!$D$47:$D$51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3.0036465230416098</c:v>
                </c:pt>
                <c:pt idx="4">
                  <c:v>2.3975521098447876</c:v>
                </c:pt>
              </c:numCache>
            </c:numRef>
          </c:xVal>
          <c:yVal>
            <c:numRef>
              <c:f>'Overall (0.5)'!$G$47:$G$51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C-47CE-8E00-B123CDE99E12}"/>
            </c:ext>
          </c:extLst>
        </c:ser>
        <c:ser>
          <c:idx val="4"/>
          <c:order val="1"/>
          <c:tx>
            <c:strRef>
              <c:f>'Overall (0.5)'!$A$55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(0.5)'!$D$54:$D$59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(0.5)'!$G$54:$G$59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C-47CE-8E00-B123CDE99E12}"/>
            </c:ext>
          </c:extLst>
        </c:ser>
        <c:ser>
          <c:idx val="5"/>
          <c:order val="2"/>
          <c:tx>
            <c:strRef>
              <c:f>'Overall (0.5)'!$A$63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(0.5)'!$D$62:$D$67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(0.5)'!$G$62:$G$67</c:f>
              <c:numCache>
                <c:formatCode>General</c:formatCode>
                <c:ptCount val="6"/>
                <c:pt idx="0">
                  <c:v>0.50962255574596027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C-47CE-8E00-B123CDE99E12}"/>
            </c:ext>
          </c:extLst>
        </c:ser>
        <c:ser>
          <c:idx val="3"/>
          <c:order val="3"/>
          <c:tx>
            <c:strRef>
              <c:f>'Overall (0.5)'!$A$70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(0.5)'!$D$70:$D$77</c:f>
              <c:numCache>
                <c:formatCode>0.000</c:formatCode>
                <c:ptCount val="8"/>
                <c:pt idx="0">
                  <c:v>5.0653949430406557</c:v>
                </c:pt>
                <c:pt idx="1">
                  <c:v>5.112710058958517</c:v>
                </c:pt>
                <c:pt idx="2">
                  <c:v>4.5816778072219542</c:v>
                </c:pt>
                <c:pt idx="3">
                  <c:v>4.0282260804900449</c:v>
                </c:pt>
                <c:pt idx="4">
                  <c:v>3.9074120702939243</c:v>
                </c:pt>
                <c:pt idx="5">
                  <c:v>3.6533986868675403</c:v>
                </c:pt>
                <c:pt idx="6">
                  <c:v>3.0732756854133072</c:v>
                </c:pt>
                <c:pt idx="7">
                  <c:v>2.6401044471753301</c:v>
                </c:pt>
              </c:numCache>
            </c:numRef>
          </c:xVal>
          <c:yVal>
            <c:numRef>
              <c:f>'Overall (0.5)'!$G$70:$G$77</c:f>
              <c:numCache>
                <c:formatCode>General</c:formatCode>
                <c:ptCount val="8"/>
                <c:pt idx="0">
                  <c:v>0.85268071604110685</c:v>
                </c:pt>
                <c:pt idx="1">
                  <c:v>0.86721342675766289</c:v>
                </c:pt>
                <c:pt idx="2">
                  <c:v>0.85827402956532706</c:v>
                </c:pt>
                <c:pt idx="3">
                  <c:v>0.90545505322499509</c:v>
                </c:pt>
                <c:pt idx="4">
                  <c:v>1.021740907848405</c:v>
                </c:pt>
                <c:pt idx="5">
                  <c:v>1.0884625091260001</c:v>
                </c:pt>
                <c:pt idx="6">
                  <c:v>1.0201251626579322</c:v>
                </c:pt>
                <c:pt idx="7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C-47CE-8E00-B123CDE99E12}"/>
            </c:ext>
          </c:extLst>
        </c:ser>
        <c:ser>
          <c:idx val="1"/>
          <c:order val="4"/>
          <c:tx>
            <c:strRef>
              <c:f>'Overall (0.5)'!$A$80</c:f>
              <c:strCache>
                <c:ptCount val="1"/>
                <c:pt idx="0">
                  <c:v>2111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(0.5)'!$D$80:$D$88</c:f>
              <c:numCache>
                <c:formatCode>0.000</c:formatCode>
                <c:ptCount val="9"/>
                <c:pt idx="0">
                  <c:v>5.0545578692872901</c:v>
                </c:pt>
                <c:pt idx="1">
                  <c:v>4.4350470643170885</c:v>
                </c:pt>
                <c:pt idx="2">
                  <c:v>4.2201346805617597</c:v>
                </c:pt>
                <c:pt idx="3">
                  <c:v>4.1660023180827803</c:v>
                </c:pt>
                <c:pt idx="4">
                  <c:v>4.003856630921188</c:v>
                </c:pt>
                <c:pt idx="5">
                  <c:v>3.8882416114697662</c:v>
                </c:pt>
                <c:pt idx="6">
                  <c:v>3.69061358519046</c:v>
                </c:pt>
                <c:pt idx="7">
                  <c:v>3.3424664174525525</c:v>
                </c:pt>
                <c:pt idx="8">
                  <c:v>2.5472304393617602</c:v>
                </c:pt>
              </c:numCache>
            </c:numRef>
          </c:xVal>
          <c:yVal>
            <c:numRef>
              <c:f>'Overall (0.5)'!$G$80:$G$88</c:f>
              <c:numCache>
                <c:formatCode>General</c:formatCode>
                <c:ptCount val="9"/>
                <c:pt idx="0">
                  <c:v>0.94539291946511383</c:v>
                </c:pt>
                <c:pt idx="1">
                  <c:v>0.94847363500753468</c:v>
                </c:pt>
                <c:pt idx="2">
                  <c:v>0.94549204078864424</c:v>
                </c:pt>
                <c:pt idx="3">
                  <c:v>0.97229361350443488</c:v>
                </c:pt>
                <c:pt idx="4">
                  <c:v>1.042829287775632</c:v>
                </c:pt>
                <c:pt idx="5">
                  <c:v>1.1484048601961037</c:v>
                </c:pt>
                <c:pt idx="6">
                  <c:v>1.1631977237886615</c:v>
                </c:pt>
                <c:pt idx="7">
                  <c:v>1.1657191081274199</c:v>
                </c:pt>
                <c:pt idx="8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C-47CE-8E00-B123CDE99E12}"/>
            </c:ext>
          </c:extLst>
        </c:ser>
        <c:ser>
          <c:idx val="2"/>
          <c:order val="5"/>
          <c:tx>
            <c:v>P_1216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(0.5)'!$D$47:$D$51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3.0036465230416098</c:v>
                </c:pt>
                <c:pt idx="4">
                  <c:v>2.3975521098447876</c:v>
                </c:pt>
              </c:numCache>
            </c:numRef>
          </c:xVal>
          <c:yVal>
            <c:numRef>
              <c:f>'Overall (0.5)'!$E$47:$E$51</c:f>
              <c:numCache>
                <c:formatCode>General</c:formatCode>
                <c:ptCount val="5"/>
                <c:pt idx="0">
                  <c:v>0.49199999999999999</c:v>
                </c:pt>
                <c:pt idx="1">
                  <c:v>0.501</c:v>
                </c:pt>
                <c:pt idx="2">
                  <c:v>0.51100000000000001</c:v>
                </c:pt>
                <c:pt idx="3">
                  <c:v>0.52210000000000001</c:v>
                </c:pt>
                <c:pt idx="4">
                  <c:v>0.54620000000000002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1-4E01-95D8-3591AEF1E497}"/>
            </c:ext>
          </c:extLst>
        </c:ser>
        <c:ser>
          <c:idx val="6"/>
          <c:order val="6"/>
          <c:tx>
            <c:v>P_1639</c:v>
          </c:tx>
          <c:spPr>
            <a:ln w="25400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(0.5)'!$D$62:$D$67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(0.5)'!$E$62:$E$67</c:f>
              <c:numCache>
                <c:formatCode>General</c:formatCode>
                <c:ptCount val="6"/>
                <c:pt idx="0">
                  <c:v>0.72140000000000004</c:v>
                </c:pt>
                <c:pt idx="1">
                  <c:v>0.7359</c:v>
                </c:pt>
                <c:pt idx="2">
                  <c:v>0.75780000000000003</c:v>
                </c:pt>
                <c:pt idx="3">
                  <c:v>0.76890000000000003</c:v>
                </c:pt>
                <c:pt idx="4">
                  <c:v>0.77549999999999997</c:v>
                </c:pt>
                <c:pt idx="5">
                  <c:v>0.78380000000000005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1-4E01-95D8-3591AEF1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799532373322E-2"/>
              <c:y val="0.34465899010791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676666666666667"/>
          <c:y val="0.27424092592592592"/>
          <c:w val="0.11787402777777778"/>
          <c:h val="0.395073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'Overall w heat 0716 (0.45)'!$K$42:$K$70</c:f>
              <c:numCache>
                <c:formatCode>General</c:formatCode>
                <c:ptCount val="29"/>
                <c:pt idx="0">
                  <c:v>230.44499999999999</c:v>
                </c:pt>
                <c:pt idx="1">
                  <c:v>210.70849999999999</c:v>
                </c:pt>
                <c:pt idx="2">
                  <c:v>198.78120000000001</c:v>
                </c:pt>
                <c:pt idx="3">
                  <c:v>181.72970000000001</c:v>
                </c:pt>
                <c:pt idx="4">
                  <c:v>155.60230000000001</c:v>
                </c:pt>
                <c:pt idx="5">
                  <c:v>303.81709999999998</c:v>
                </c:pt>
                <c:pt idx="6">
                  <c:v>290.40120000000002</c:v>
                </c:pt>
                <c:pt idx="7">
                  <c:v>267.96350000000001</c:v>
                </c:pt>
                <c:pt idx="8">
                  <c:v>242.86369999999999</c:v>
                </c:pt>
                <c:pt idx="9">
                  <c:v>206.71</c:v>
                </c:pt>
                <c:pt idx="10">
                  <c:v>195.71180000000001</c:v>
                </c:pt>
                <c:pt idx="11">
                  <c:v>363.1037</c:v>
                </c:pt>
                <c:pt idx="12">
                  <c:v>333.29</c:v>
                </c:pt>
                <c:pt idx="13">
                  <c:v>289.95519999999999</c:v>
                </c:pt>
                <c:pt idx="14">
                  <c:v>266.2373</c:v>
                </c:pt>
                <c:pt idx="15">
                  <c:v>255.4761</c:v>
                </c:pt>
                <c:pt idx="16">
                  <c:v>240.5625</c:v>
                </c:pt>
                <c:pt idx="17">
                  <c:v>401.14260000000002</c:v>
                </c:pt>
                <c:pt idx="18">
                  <c:v>376.89980000000003</c:v>
                </c:pt>
                <c:pt idx="19">
                  <c:v>349.40039999999999</c:v>
                </c:pt>
                <c:pt idx="20">
                  <c:v>325.63630000000001</c:v>
                </c:pt>
                <c:pt idx="21">
                  <c:v>292.13810000000001</c:v>
                </c:pt>
                <c:pt idx="22">
                  <c:v>259.46530000000001</c:v>
                </c:pt>
                <c:pt idx="23">
                  <c:v>475.798</c:v>
                </c:pt>
                <c:pt idx="24">
                  <c:v>436.90710000000001</c:v>
                </c:pt>
                <c:pt idx="25">
                  <c:v>410.89210000000003</c:v>
                </c:pt>
                <c:pt idx="26">
                  <c:v>386.55220000000003</c:v>
                </c:pt>
                <c:pt idx="27">
                  <c:v>361.57549999999998</c:v>
                </c:pt>
                <c:pt idx="28">
                  <c:v>299.78500000000003</c:v>
                </c:pt>
              </c:numCache>
            </c:numRef>
          </c:xVal>
          <c:yVal>
            <c:numRef>
              <c:f>'Overall w heat 0716 (0.45)'!$M$42:$M$70</c:f>
              <c:numCache>
                <c:formatCode>General</c:formatCode>
                <c:ptCount val="29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  <c:pt idx="5">
                  <c:v>312.41254145595809</c:v>
                </c:pt>
                <c:pt idx="6">
                  <c:v>277.23925387205941</c:v>
                </c:pt>
                <c:pt idx="7">
                  <c:v>252.5835649599077</c:v>
                </c:pt>
                <c:pt idx="8">
                  <c:v>233.85095355199863</c:v>
                </c:pt>
                <c:pt idx="9">
                  <c:v>203.92491114934344</c:v>
                </c:pt>
                <c:pt idx="10">
                  <c:v>199.07794559162474</c:v>
                </c:pt>
                <c:pt idx="11">
                  <c:v>350.36119156039933</c:v>
                </c:pt>
                <c:pt idx="12">
                  <c:v>318.37107478027991</c:v>
                </c:pt>
                <c:pt idx="13">
                  <c:v>289.30173145285579</c:v>
                </c:pt>
                <c:pt idx="14">
                  <c:v>271.84554968579704</c:v>
                </c:pt>
                <c:pt idx="15">
                  <c:v>257.37260775625094</c:v>
                </c:pt>
                <c:pt idx="16">
                  <c:v>242.54161373792925</c:v>
                </c:pt>
                <c:pt idx="17">
                  <c:v>414.98108314334672</c:v>
                </c:pt>
                <c:pt idx="18">
                  <c:v>377.6009892173239</c:v>
                </c:pt>
                <c:pt idx="19">
                  <c:v>348.33822229195874</c:v>
                </c:pt>
                <c:pt idx="20">
                  <c:v>344.11790533548407</c:v>
                </c:pt>
                <c:pt idx="21">
                  <c:v>310.51013897327994</c:v>
                </c:pt>
                <c:pt idx="22">
                  <c:v>272.32024194294416</c:v>
                </c:pt>
                <c:pt idx="23">
                  <c:v>496.993999338386</c:v>
                </c:pt>
                <c:pt idx="24">
                  <c:v>455.1477762194761</c:v>
                </c:pt>
                <c:pt idx="25">
                  <c:v>404.21583325687345</c:v>
                </c:pt>
                <c:pt idx="26">
                  <c:v>362.03189924269998</c:v>
                </c:pt>
                <c:pt idx="27">
                  <c:v>343.19032930307435</c:v>
                </c:pt>
                <c:pt idx="28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F-4359-8124-C3A75044B8A0}"/>
            </c:ext>
          </c:extLst>
        </c:ser>
        <c:ser>
          <c:idx val="1"/>
          <c:order val="1"/>
          <c:tx>
            <c:v>15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'Overall w heat 0716 (0.45)'!$C$118:$C$119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0716 (0.45)'!$D$118:$D$119</c:f>
              <c:numCache>
                <c:formatCode>General</c:formatCode>
                <c:ptCount val="2"/>
                <c:pt idx="0">
                  <c:v>109</c:v>
                </c:pt>
                <c:pt idx="1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F-4359-8124-C3A75044B8A0}"/>
            </c:ext>
          </c:extLst>
        </c:ser>
        <c:ser>
          <c:idx val="2"/>
          <c:order val="2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7F-4359-8124-C3A75044B8A0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7F-4359-8124-C3A75044B8A0}"/>
              </c:ext>
            </c:extLst>
          </c:dPt>
          <c:xVal>
            <c:numRef>
              <c:f>'Overall w heat 0716 (0.45)'!$A$118:$A$119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0716 (0.45)'!$B$118:$B$119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7F-4359-8124-C3A75044B8A0}"/>
            </c:ext>
          </c:extLst>
        </c:ser>
        <c:ser>
          <c:idx val="3"/>
          <c:order val="3"/>
          <c:tx>
            <c:v>-15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7F-4359-8124-C3A75044B8A0}"/>
              </c:ext>
            </c:extLst>
          </c:dPt>
          <c:xVal>
            <c:numRef>
              <c:f>'Overall w heat 0716 (0.45)'!$E$118:$E$119</c:f>
              <c:numCache>
                <c:formatCode>General</c:formatCode>
                <c:ptCount val="2"/>
                <c:pt idx="0">
                  <c:v>100</c:v>
                </c:pt>
                <c:pt idx="1">
                  <c:v>600</c:v>
                </c:pt>
              </c:numCache>
            </c:numRef>
          </c:xVal>
          <c:yVal>
            <c:numRef>
              <c:f>'Overall w heat 0716 (0.45)'!$F$118:$F$119</c:f>
              <c:numCache>
                <c:formatCode>General</c:formatCode>
                <c:ptCount val="2"/>
                <c:pt idx="0">
                  <c:v>91</c:v>
                </c:pt>
                <c:pt idx="1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7F-4359-8124-C3A75044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8624"/>
        <c:axId val="733675672"/>
      </c:scatterChart>
      <c:valAx>
        <c:axId val="733678624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5672"/>
        <c:crosses val="autoZero"/>
        <c:crossBetween val="midCat"/>
        <c:minorUnit val="50"/>
      </c:valAx>
      <c:valAx>
        <c:axId val="733675672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678624"/>
        <c:crosses val="autoZero"/>
        <c:crossBetween val="midCat"/>
        <c:majorUnit val="100"/>
        <c:minorUnit val="5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4"/>
          <c:order val="1"/>
          <c:tx>
            <c:strRef>
              <c:f>'Overall w heat 0716 (0.45)'!$A$47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0716 (0.45)'!$D$47:$D$52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0716 (0.45)'!$M$47:$M$52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2-46F8-BBB5-E91F66F64224}"/>
            </c:ext>
          </c:extLst>
        </c:ser>
        <c:ser>
          <c:idx val="5"/>
          <c:order val="2"/>
          <c:tx>
            <c:strRef>
              <c:f>'Overall w heat 0716 (0.45)'!$A$53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0716 (0.45)'!$D$53:$D$58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3.2641584944265198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0716 (0.45)'!$M$53:$M$58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A2-46F8-BBB5-E91F66F64224}"/>
            </c:ext>
          </c:extLst>
        </c:ser>
        <c:ser>
          <c:idx val="3"/>
          <c:order val="3"/>
          <c:tx>
            <c:strRef>
              <c:f>'Overall w heat 0716 (0.45)'!$A$59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0716 (0.45)'!$D$59:$D$64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4.5816778072219497</c:v>
                </c:pt>
                <c:pt idx="2">
                  <c:v>4.0282260804900396</c:v>
                </c:pt>
                <c:pt idx="3">
                  <c:v>3.6533986868675399</c:v>
                </c:pt>
                <c:pt idx="4">
                  <c:v>3.0732756854133099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0716 (0.45)'!$M$59:$M$64</c:f>
              <c:numCache>
                <c:formatCode>General</c:formatCode>
                <c:ptCount val="6"/>
                <c:pt idx="0">
                  <c:v>414.98108314334672</c:v>
                </c:pt>
                <c:pt idx="1">
                  <c:v>377.6009892173239</c:v>
                </c:pt>
                <c:pt idx="2">
                  <c:v>348.33822229195874</c:v>
                </c:pt>
                <c:pt idx="3">
                  <c:v>344.11790533548407</c:v>
                </c:pt>
                <c:pt idx="4">
                  <c:v>310.51013897327994</c:v>
                </c:pt>
                <c:pt idx="5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A2-46F8-BBB5-E91F66F64224}"/>
            </c:ext>
          </c:extLst>
        </c:ser>
        <c:ser>
          <c:idx val="1"/>
          <c:order val="4"/>
          <c:tx>
            <c:strRef>
              <c:f>'Overall w heat 0716 (0.45)'!$A$65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0716 (0.45)'!$D$65:$D$70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0716 (0.45)'!$M$65:$M$70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A2-46F8-BBB5-E91F66F6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w heat 0716 (0.45)'!$A$43</c15:sqref>
                        </c15:formulaRef>
                      </c:ext>
                    </c:extLst>
                    <c:strCache>
                      <c:ptCount val="1"/>
                      <c:pt idx="0">
                        <c:v>1216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10000"/>
                      </a:schemeClr>
                    </a:solidFill>
                    <a:ln w="12700">
                      <a:solidFill>
                        <a:srgbClr val="44546A">
                          <a:lumMod val="50000"/>
                        </a:srgb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0716 (0.45)'!$D$42:$D$46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0716 (0.45)'!$M$42:$M$46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219.923995478764</c:v>
                      </c:pt>
                      <c:pt idx="1">
                        <c:v>201.06346911209982</c:v>
                      </c:pt>
                      <c:pt idx="2">
                        <c:v>193.63025834579085</c:v>
                      </c:pt>
                      <c:pt idx="3">
                        <c:v>176.89683334223687</c:v>
                      </c:pt>
                      <c:pt idx="4">
                        <c:v>150.01311193399283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A2-46F8-BBB5-E91F66F64224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(0.45)'!$K$42:$K$46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230.44499999999999</c:v>
                      </c:pt>
                      <c:pt idx="1">
                        <c:v>210.70849999999999</c:v>
                      </c:pt>
                      <c:pt idx="2">
                        <c:v>198.78120000000001</c:v>
                      </c:pt>
                      <c:pt idx="3">
                        <c:v>181.72970000000001</c:v>
                      </c:pt>
                      <c:pt idx="4">
                        <c:v>155.60230000000001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A2-46F8-BBB5-E91F66F6422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(0.45)'!$D$47:$D$52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5.2533625867637204</c:v>
                      </c:pt>
                      <c:pt idx="1">
                        <c:v>4.8223075689095696</c:v>
                      </c:pt>
                      <c:pt idx="2">
                        <c:v>4.2362978478636197</c:v>
                      </c:pt>
                      <c:pt idx="3">
                        <c:v>3.6616022441401399</c:v>
                      </c:pt>
                      <c:pt idx="4">
                        <c:v>2.9220510847489098</c:v>
                      </c:pt>
                      <c:pt idx="5">
                        <c:v>2.6698755104625498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(0.45)'!$K$47:$K$52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303.81709999999998</c:v>
                      </c:pt>
                      <c:pt idx="1">
                        <c:v>290.40120000000002</c:v>
                      </c:pt>
                      <c:pt idx="2">
                        <c:v>267.96350000000001</c:v>
                      </c:pt>
                      <c:pt idx="3">
                        <c:v>242.86369999999999</c:v>
                      </c:pt>
                      <c:pt idx="4">
                        <c:v>206.71</c:v>
                      </c:pt>
                      <c:pt idx="5">
                        <c:v>195.71180000000001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A2-46F8-BBB5-E91F66F6422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P_1638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(0.45)'!$D$53:$D$58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5.2676677023988496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3.2641584944265198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(0.45)'!$K$53:$K$58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363.1037</c:v>
                      </c:pt>
                      <c:pt idx="1">
                        <c:v>333.29</c:v>
                      </c:pt>
                      <c:pt idx="2">
                        <c:v>289.95519999999999</c:v>
                      </c:pt>
                      <c:pt idx="3">
                        <c:v>266.2373</c:v>
                      </c:pt>
                      <c:pt idx="4">
                        <c:v>255.4761</c:v>
                      </c:pt>
                      <c:pt idx="5">
                        <c:v>240.5625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A2-46F8-BBB5-E91F66F6422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(0.45)'!$D$59:$D$64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5.0653949430406602</c:v>
                      </c:pt>
                      <c:pt idx="1">
                        <c:v>4.5816778072219497</c:v>
                      </c:pt>
                      <c:pt idx="2">
                        <c:v>4.0282260804900396</c:v>
                      </c:pt>
                      <c:pt idx="3">
                        <c:v>3.6533986868675399</c:v>
                      </c:pt>
                      <c:pt idx="4">
                        <c:v>3.0732756854133099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(0.45)'!$K$59:$K$64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401.14260000000002</c:v>
                      </c:pt>
                      <c:pt idx="1">
                        <c:v>376.89980000000003</c:v>
                      </c:pt>
                      <c:pt idx="2">
                        <c:v>349.40039999999999</c:v>
                      </c:pt>
                      <c:pt idx="3">
                        <c:v>325.63630000000001</c:v>
                      </c:pt>
                      <c:pt idx="4">
                        <c:v>292.13810000000001</c:v>
                      </c:pt>
                      <c:pt idx="5">
                        <c:v>259.46530000000001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A2-46F8-BBB5-E91F66F6422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(0.45)'!$D$65:$D$70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4.0038566309211898</c:v>
                      </c:pt>
                      <c:pt idx="3">
                        <c:v>3.69061358519046</c:v>
                      </c:pt>
                      <c:pt idx="4">
                        <c:v>3.3424664174525498</c:v>
                      </c:pt>
                      <c:pt idx="5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0716 (0.45)'!$K$65:$K$70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475.798</c:v>
                      </c:pt>
                      <c:pt idx="1">
                        <c:v>436.90710000000001</c:v>
                      </c:pt>
                      <c:pt idx="2">
                        <c:v>410.89210000000003</c:v>
                      </c:pt>
                      <c:pt idx="3">
                        <c:v>386.55220000000003</c:v>
                      </c:pt>
                      <c:pt idx="4">
                        <c:v>361.57549999999998</c:v>
                      </c:pt>
                      <c:pt idx="5">
                        <c:v>299.78500000000003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A2-46F8-BBB5-E91F66F64224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200"/>
                  <a:t>Discharge 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6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200"/>
                  <a:t>Measured Power Input</a:t>
                </a:r>
                <a:r>
                  <a:rPr lang="en-SG" sz="1200" baseline="0"/>
                  <a:t> (W)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4366851851851851E-2"/>
              <c:y val="0.213204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100"/>
        <c:minorUnit val="50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441481481481482"/>
          <c:y val="0.27776861111111112"/>
          <c:w val="0.13233333333333333"/>
          <c:h val="0.334966666666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p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0716 (0.45)'!$J$65:$J$70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0716 (0.45)'!$K$65:$K$70</c:f>
              <c:numCache>
                <c:formatCode>General</c:formatCode>
                <c:ptCount val="6"/>
                <c:pt idx="0">
                  <c:v>475.798</c:v>
                </c:pt>
                <c:pt idx="1">
                  <c:v>436.90710000000001</c:v>
                </c:pt>
                <c:pt idx="2">
                  <c:v>410.89210000000003</c:v>
                </c:pt>
                <c:pt idx="3">
                  <c:v>386.55220000000003</c:v>
                </c:pt>
                <c:pt idx="4">
                  <c:v>361.57549999999998</c:v>
                </c:pt>
                <c:pt idx="5">
                  <c:v>299.78500000000003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F-486D-89AC-EBFE951D7593}"/>
            </c:ext>
          </c:extLst>
        </c:ser>
        <c:ser>
          <c:idx val="3"/>
          <c:order val="1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0716 (0.45)'!$J$65:$J$70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0716 (0.45)'!$M$65:$M$70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BF-486D-89AC-EBFE951D7593}"/>
            </c:ext>
          </c:extLst>
        </c:ser>
        <c:ser>
          <c:idx val="1"/>
          <c:order val="3"/>
          <c:tx>
            <c:v>p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0716 (0.45)'!$J$65:$J$70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0716 (0.45)'!$K$65:$K$70</c:f>
              <c:numCache>
                <c:formatCode>General</c:formatCode>
                <c:ptCount val="6"/>
                <c:pt idx="0">
                  <c:v>475.798</c:v>
                </c:pt>
                <c:pt idx="1">
                  <c:v>436.90710000000001</c:v>
                </c:pt>
                <c:pt idx="2">
                  <c:v>410.89210000000003</c:v>
                </c:pt>
                <c:pt idx="3">
                  <c:v>386.55220000000003</c:v>
                </c:pt>
                <c:pt idx="4">
                  <c:v>361.57549999999998</c:v>
                </c:pt>
                <c:pt idx="5">
                  <c:v>299.78500000000003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BF-486D-89AC-EBFE951D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lineMarker"/>
        <c:varyColors val="0"/>
        <c:ser>
          <c:idx val="0"/>
          <c:order val="2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0716 (0.45)'!$J$65:$J$70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0716 (0.45)'!$M$65:$M$70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BF-486D-89AC-EBFE951D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ajorUnit val="0.5"/>
        <c:minorUnit val="0.25"/>
      </c:valAx>
      <c:valAx>
        <c:axId val="1117249704"/>
        <c:scaling>
          <c:orientation val="minMax"/>
          <c:max val="600"/>
          <c:min val="25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50"/>
        <c:minorUnit val="25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0716 (0.45)'!$D$42:$D$46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0716 (0.45)'!$G$42:$G$46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8-4345-99BF-3159F0D6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'Overall w heat 0716 (0.45)'!$D$42:$D$46</c:f>
              <c:numCache>
                <c:formatCode>0.000</c:formatCode>
                <c:ptCount val="5"/>
                <c:pt idx="0">
                  <c:v>4.2632226981025703</c:v>
                </c:pt>
                <c:pt idx="1">
                  <c:v>3.74878167776951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2.3975521098447898</c:v>
                </c:pt>
              </c:numCache>
            </c:numRef>
          </c:xVal>
          <c:yVal>
            <c:numRef>
              <c:f>'Overall w heat 0716 (0.45)'!$E$42:$E$46</c:f>
              <c:numCache>
                <c:formatCode>General</c:formatCode>
                <c:ptCount val="5"/>
                <c:pt idx="0">
                  <c:v>0.37730000000000002</c:v>
                </c:pt>
                <c:pt idx="1">
                  <c:v>0.39389999999999997</c:v>
                </c:pt>
                <c:pt idx="2">
                  <c:v>0.42</c:v>
                </c:pt>
                <c:pt idx="3">
                  <c:v>0.44</c:v>
                </c:pt>
                <c:pt idx="4">
                  <c:v>0.47910000000000003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8-4345-99BF-3159F0D6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4"/>
          <c:order val="1"/>
          <c:tx>
            <c:strRef>
              <c:f>'Overall w heat 0716 (0.45)'!$A$47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0716 (0.45)'!$D$47:$D$52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0716 (0.45)'!$AH$47:$AH$52</c:f>
              <c:numCache>
                <c:formatCode>0.00%</c:formatCode>
                <c:ptCount val="6"/>
                <c:pt idx="0">
                  <c:v>0.57044684271501567</c:v>
                </c:pt>
                <c:pt idx="1">
                  <c:v>0.59386306592376903</c:v>
                </c:pt>
                <c:pt idx="2">
                  <c:v>0.55577190646285757</c:v>
                </c:pt>
                <c:pt idx="3">
                  <c:v>0.63616784593079878</c:v>
                </c:pt>
                <c:pt idx="4">
                  <c:v>0.63314200658679876</c:v>
                </c:pt>
                <c:pt idx="5">
                  <c:v>0.68424355477555887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9-4516-A2ED-1B9A81ED5627}"/>
            </c:ext>
          </c:extLst>
        </c:ser>
        <c:ser>
          <c:idx val="5"/>
          <c:order val="2"/>
          <c:tx>
            <c:strRef>
              <c:f>'Overall w heat 0716 (0.45)'!$A$53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0716 (0.45)'!$D$53:$D$58</c:f>
              <c:numCache>
                <c:formatCode>0.000</c:formatCode>
                <c:ptCount val="6"/>
                <c:pt idx="0">
                  <c:v>5.2676677023988496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3.2641584944265198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0716 (0.45)'!$AH$53:$AH$58</c:f>
              <c:numCache>
                <c:formatCode>0.00%</c:formatCode>
                <c:ptCount val="6"/>
                <c:pt idx="0">
                  <c:v>0.54859373924856569</c:v>
                </c:pt>
                <c:pt idx="1">
                  <c:v>0.60035332733453561</c:v>
                </c:pt>
                <c:pt idx="2">
                  <c:v>0.69120558341921967</c:v>
                </c:pt>
                <c:pt idx="3">
                  <c:v>0.72965860837679686</c:v>
                </c:pt>
                <c:pt idx="4">
                  <c:v>0.79595139532531167</c:v>
                </c:pt>
                <c:pt idx="5">
                  <c:v>0.83497240010907037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9-4516-A2ED-1B9A81ED5627}"/>
            </c:ext>
          </c:extLst>
        </c:ser>
        <c:ser>
          <c:idx val="3"/>
          <c:order val="3"/>
          <c:tx>
            <c:strRef>
              <c:f>'Overall w heat 0716 (0.45)'!$A$59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0716 (0.45)'!$D$59:$D$64</c:f>
              <c:numCache>
                <c:formatCode>0.000</c:formatCode>
                <c:ptCount val="6"/>
                <c:pt idx="0">
                  <c:v>5.0653949430406602</c:v>
                </c:pt>
                <c:pt idx="1">
                  <c:v>4.5816778072219497</c:v>
                </c:pt>
                <c:pt idx="2">
                  <c:v>4.0282260804900396</c:v>
                </c:pt>
                <c:pt idx="3">
                  <c:v>3.6533986868675399</c:v>
                </c:pt>
                <c:pt idx="4">
                  <c:v>3.0732756854133099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0716 (0.45)'!$AH$59:$AH$64</c:f>
              <c:numCache>
                <c:formatCode>0.00%</c:formatCode>
                <c:ptCount val="6"/>
                <c:pt idx="0">
                  <c:v>0.71851317375975576</c:v>
                </c:pt>
                <c:pt idx="1">
                  <c:v>0.76495011547711855</c:v>
                </c:pt>
                <c:pt idx="2">
                  <c:v>0.80456286940198607</c:v>
                </c:pt>
                <c:pt idx="3">
                  <c:v>0.90656858769156456</c:v>
                </c:pt>
                <c:pt idx="4">
                  <c:v>0.90516873350304539</c:v>
                </c:pt>
                <c:pt idx="5">
                  <c:v>0.89493889486444722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9-4516-A2ED-1B9A81ED5627}"/>
            </c:ext>
          </c:extLst>
        </c:ser>
        <c:ser>
          <c:idx val="1"/>
          <c:order val="4"/>
          <c:tx>
            <c:strRef>
              <c:f>'Overall w heat 0716 (0.45)'!$A$65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0716 (0.45)'!$D$65:$D$70</c:f>
              <c:numCache>
                <c:formatCode>0.000</c:formatCode>
                <c:ptCount val="6"/>
                <c:pt idx="0">
                  <c:v>5.1395527310525901</c:v>
                </c:pt>
                <c:pt idx="1">
                  <c:v>4.4350470643170903</c:v>
                </c:pt>
                <c:pt idx="2">
                  <c:v>4.0038566309211898</c:v>
                </c:pt>
                <c:pt idx="3">
                  <c:v>3.69061358519046</c:v>
                </c:pt>
                <c:pt idx="4">
                  <c:v>3.3424664174525498</c:v>
                </c:pt>
                <c:pt idx="5">
                  <c:v>2.5472304393617602</c:v>
                </c:pt>
              </c:numCache>
            </c:numRef>
          </c:xVal>
          <c:yVal>
            <c:numRef>
              <c:f>'Overall w heat 0716 (0.45)'!$AH$65:$AH$70</c:f>
              <c:numCache>
                <c:formatCode>0.00%</c:formatCode>
                <c:ptCount val="6"/>
                <c:pt idx="0">
                  <c:v>0.67768297412134249</c:v>
                </c:pt>
                <c:pt idx="1">
                  <c:v>0.73765253928101937</c:v>
                </c:pt>
                <c:pt idx="2">
                  <c:v>0.80902194552027318</c:v>
                </c:pt>
                <c:pt idx="3">
                  <c:v>0.90352471942571178</c:v>
                </c:pt>
                <c:pt idx="4">
                  <c:v>0.90316813212010527</c:v>
                </c:pt>
                <c:pt idx="5">
                  <c:v>0.92325387748664844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49-4516-A2ED-1B9A81ED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w heat 0716 (0.45)'!$A$43</c15:sqref>
                        </c15:formulaRef>
                      </c:ext>
                    </c:extLst>
                    <c:strCache>
                      <c:ptCount val="1"/>
                      <c:pt idx="0">
                        <c:v>1216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10000"/>
                      </a:schemeClr>
                    </a:solidFill>
                    <a:ln w="12700">
                      <a:solidFill>
                        <a:srgbClr val="44546A">
                          <a:lumMod val="50000"/>
                        </a:srgb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0716 (0.45)'!$D$42:$D$46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4.2632226981025703</c:v>
                      </c:pt>
                      <c:pt idx="1">
                        <c:v>3.74878167776951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0716 (0.45)'!$AH$42:$AH$46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0.43390185436161227</c:v>
                      </c:pt>
                      <c:pt idx="1">
                        <c:v>0.47723494888562895</c:v>
                      </c:pt>
                      <c:pt idx="2">
                        <c:v>0.60389390623005834</c:v>
                      </c:pt>
                      <c:pt idx="3">
                        <c:v>0.60781432416670989</c:v>
                      </c:pt>
                      <c:pt idx="4">
                        <c:v>0.60310082632336792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D49-4516-A2ED-1B9A81ED5627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ax val="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Discharge Pressure (Abs. Bar)</a:t>
                </a:r>
              </a:p>
            </c:rich>
          </c:tx>
          <c:layout>
            <c:manualLayout>
              <c:xMode val="edge"/>
              <c:yMode val="edge"/>
              <c:x val="0.33621499999999999"/>
              <c:y val="0.8959258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Volumetric Efficiency (%)</a:t>
                </a:r>
              </a:p>
            </c:rich>
          </c:tx>
          <c:layout>
            <c:manualLayout>
              <c:xMode val="edge"/>
              <c:yMode val="edge"/>
              <c:x val="1.4366851851851851E-2"/>
              <c:y val="0.1903347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1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768518518518541"/>
          <c:y val="0.25660194444444445"/>
          <c:w val="0.13233333333333333"/>
          <c:h val="0.3420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'Overall w heat 0716 (0.45)'!$J$65:$J$70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0716 (0.45)'!$K$65:$K$70</c:f>
              <c:numCache>
                <c:formatCode>General</c:formatCode>
                <c:ptCount val="6"/>
                <c:pt idx="0">
                  <c:v>475.798</c:v>
                </c:pt>
                <c:pt idx="1">
                  <c:v>436.90710000000001</c:v>
                </c:pt>
                <c:pt idx="2">
                  <c:v>410.89210000000003</c:v>
                </c:pt>
                <c:pt idx="3">
                  <c:v>386.55220000000003</c:v>
                </c:pt>
                <c:pt idx="4">
                  <c:v>361.57549999999998</c:v>
                </c:pt>
                <c:pt idx="5">
                  <c:v>299.78500000000003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3-4DA5-8AA9-764EC913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0716 (0.45)'!$J$65:$J$70</c:f>
              <c:numCache>
                <c:formatCode>0.000</c:formatCode>
                <c:ptCount val="6"/>
                <c:pt idx="0">
                  <c:v>5.1081324714812002</c:v>
                </c:pt>
                <c:pt idx="1">
                  <c:v>4.430646488532715</c:v>
                </c:pt>
                <c:pt idx="2">
                  <c:v>4.017045492351957</c:v>
                </c:pt>
                <c:pt idx="3">
                  <c:v>3.6982373185992503</c:v>
                </c:pt>
                <c:pt idx="4">
                  <c:v>3.3621021478520641</c:v>
                </c:pt>
                <c:pt idx="5">
                  <c:v>2.5797622364794712</c:v>
                </c:pt>
              </c:numCache>
            </c:numRef>
          </c:xVal>
          <c:yVal>
            <c:numRef>
              <c:f>'Overall w heat 0716 (0.45)'!$M$65:$M$70</c:f>
              <c:numCache>
                <c:formatCode>General</c:formatCode>
                <c:ptCount val="6"/>
                <c:pt idx="0">
                  <c:v>496.993999338386</c:v>
                </c:pt>
                <c:pt idx="1">
                  <c:v>455.1477762194761</c:v>
                </c:pt>
                <c:pt idx="2">
                  <c:v>404.21583325687345</c:v>
                </c:pt>
                <c:pt idx="3">
                  <c:v>362.03189924269998</c:v>
                </c:pt>
                <c:pt idx="4">
                  <c:v>343.19032930307435</c:v>
                </c:pt>
                <c:pt idx="5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93-4DA5-8AA9-764EC913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/>
      </c:scatterChart>
      <c:valAx>
        <c:axId val="1117258888"/>
        <c:scaling>
          <c:orientation val="minMax"/>
          <c:max val="5.5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ajorUnit val="1"/>
        <c:minorUnit val="0.5"/>
      </c:valAx>
      <c:valAx>
        <c:axId val="1117249704"/>
        <c:scaling>
          <c:orientation val="minMax"/>
          <c:max val="550"/>
          <c:min val="5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100"/>
        <c:minorUnit val="50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'Overall w heat 0716 (0.45)'!$D$47:$D$52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0716 (0.45)'!$G$47:$G$52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C-40C8-B10B-2FB7ECFD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'Overall w heat 0716 (0.45)'!$D$47:$D$52</c:f>
              <c:numCache>
                <c:formatCode>0.000</c:formatCode>
                <c:ptCount val="6"/>
                <c:pt idx="0">
                  <c:v>5.2533625867637204</c:v>
                </c:pt>
                <c:pt idx="1">
                  <c:v>4.8223075689095696</c:v>
                </c:pt>
                <c:pt idx="2">
                  <c:v>4.2362978478636197</c:v>
                </c:pt>
                <c:pt idx="3">
                  <c:v>3.6616022441401399</c:v>
                </c:pt>
                <c:pt idx="4">
                  <c:v>2.9220510847489098</c:v>
                </c:pt>
                <c:pt idx="5">
                  <c:v>2.6698755104625498</c:v>
                </c:pt>
              </c:numCache>
            </c:numRef>
          </c:xVal>
          <c:yVal>
            <c:numRef>
              <c:f>'Overall w heat 0716 (0.45)'!$E$47:$E$52</c:f>
              <c:numCache>
                <c:formatCode>General</c:formatCode>
                <c:ptCount val="6"/>
                <c:pt idx="0">
                  <c:v>0.46820000000000001</c:v>
                </c:pt>
                <c:pt idx="1">
                  <c:v>0.48559999999999998</c:v>
                </c:pt>
                <c:pt idx="2">
                  <c:v>0.49070000000000003</c:v>
                </c:pt>
                <c:pt idx="3">
                  <c:v>0.51290000000000002</c:v>
                </c:pt>
                <c:pt idx="4">
                  <c:v>0.55110000000000003</c:v>
                </c:pt>
                <c:pt idx="5">
                  <c:v>0.57469999999999999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5C-40C8-B10B-2FB7ECFD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5"/>
      </c:valAx>
      <c:valAx>
        <c:axId val="1117249704"/>
        <c:scaling>
          <c:orientation val="minMax"/>
          <c:max val="1.4"/>
          <c:min val="0.2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(0.5)'!$A$48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(0.5)'!$D$47:$D$51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3.0036465230416098</c:v>
                </c:pt>
                <c:pt idx="4">
                  <c:v>2.3975521098447876</c:v>
                </c:pt>
              </c:numCache>
            </c:numRef>
          </c:xVal>
          <c:yVal>
            <c:numRef>
              <c:f>'Overall (0.5)'!$M$47:$M$51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C-47CE-8E00-B123CDE99E12}"/>
            </c:ext>
          </c:extLst>
        </c:ser>
        <c:ser>
          <c:idx val="4"/>
          <c:order val="1"/>
          <c:tx>
            <c:strRef>
              <c:f>'Overall (0.5)'!$A$55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(0.5)'!$D$54:$D$59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(0.5)'!$M$54:$M$59</c:f>
              <c:numCache>
                <c:formatCode>General</c:formatCode>
                <c:ptCount val="6"/>
                <c:pt idx="0">
                  <c:v>312.41254145595809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C-47CE-8E00-B123CDE99E12}"/>
            </c:ext>
          </c:extLst>
        </c:ser>
        <c:ser>
          <c:idx val="5"/>
          <c:order val="2"/>
          <c:tx>
            <c:strRef>
              <c:f>'Overall (0.5)'!$A$63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(0.5)'!$D$62:$D$67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(0.5)'!$M$62:$M$67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C-47CE-8E00-B123CDE99E12}"/>
            </c:ext>
          </c:extLst>
        </c:ser>
        <c:ser>
          <c:idx val="3"/>
          <c:order val="3"/>
          <c:tx>
            <c:strRef>
              <c:f>'Overall (0.5)'!$A$70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(0.5)'!$D$70:$D$77</c:f>
              <c:numCache>
                <c:formatCode>0.000</c:formatCode>
                <c:ptCount val="8"/>
                <c:pt idx="0">
                  <c:v>5.0653949430406557</c:v>
                </c:pt>
                <c:pt idx="1">
                  <c:v>5.112710058958517</c:v>
                </c:pt>
                <c:pt idx="2">
                  <c:v>4.5816778072219542</c:v>
                </c:pt>
                <c:pt idx="3">
                  <c:v>4.0282260804900449</c:v>
                </c:pt>
                <c:pt idx="4">
                  <c:v>3.9074120702939243</c:v>
                </c:pt>
                <c:pt idx="5">
                  <c:v>3.6533986868675403</c:v>
                </c:pt>
                <c:pt idx="6">
                  <c:v>3.0732756854133072</c:v>
                </c:pt>
                <c:pt idx="7">
                  <c:v>2.6401044471753301</c:v>
                </c:pt>
              </c:numCache>
            </c:numRef>
          </c:xVal>
          <c:yVal>
            <c:numRef>
              <c:f>'Overall (0.5)'!$M$70:$M$77</c:f>
              <c:numCache>
                <c:formatCode>General</c:formatCode>
                <c:ptCount val="8"/>
                <c:pt idx="0">
                  <c:v>414.98108314334672</c:v>
                </c:pt>
                <c:pt idx="1">
                  <c:v>423.76836504432305</c:v>
                </c:pt>
                <c:pt idx="2">
                  <c:v>377.6009892173239</c:v>
                </c:pt>
                <c:pt idx="3">
                  <c:v>348.33822229195874</c:v>
                </c:pt>
                <c:pt idx="4">
                  <c:v>355.02095386164581</c:v>
                </c:pt>
                <c:pt idx="5">
                  <c:v>344.11790533548407</c:v>
                </c:pt>
                <c:pt idx="6">
                  <c:v>310.51013897327994</c:v>
                </c:pt>
                <c:pt idx="7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C-47CE-8E00-B123CDE99E12}"/>
            </c:ext>
          </c:extLst>
        </c:ser>
        <c:ser>
          <c:idx val="1"/>
          <c:order val="4"/>
          <c:tx>
            <c:strRef>
              <c:f>'Overall (0.5)'!$A$80</c:f>
              <c:strCache>
                <c:ptCount val="1"/>
                <c:pt idx="0">
                  <c:v>2111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(0.5)'!$D$80:$D$88</c:f>
              <c:numCache>
                <c:formatCode>0.000</c:formatCode>
                <c:ptCount val="9"/>
                <c:pt idx="0">
                  <c:v>5.0545578692872901</c:v>
                </c:pt>
                <c:pt idx="1">
                  <c:v>4.4350470643170885</c:v>
                </c:pt>
                <c:pt idx="2">
                  <c:v>4.2201346805617597</c:v>
                </c:pt>
                <c:pt idx="3">
                  <c:v>4.1660023180827803</c:v>
                </c:pt>
                <c:pt idx="4">
                  <c:v>4.003856630921188</c:v>
                </c:pt>
                <c:pt idx="5">
                  <c:v>3.8882416114697662</c:v>
                </c:pt>
                <c:pt idx="6">
                  <c:v>3.69061358519046</c:v>
                </c:pt>
                <c:pt idx="7">
                  <c:v>3.3424664174525525</c:v>
                </c:pt>
                <c:pt idx="8">
                  <c:v>2.5472304393617602</c:v>
                </c:pt>
              </c:numCache>
            </c:numRef>
          </c:xVal>
          <c:yVal>
            <c:numRef>
              <c:f>'Overall (0.5)'!$M$80:$M$88</c:f>
              <c:numCache>
                <c:formatCode>General</c:formatCode>
                <c:ptCount val="9"/>
                <c:pt idx="0">
                  <c:v>534.93965412718592</c:v>
                </c:pt>
                <c:pt idx="1">
                  <c:v>455.1477762194761</c:v>
                </c:pt>
                <c:pt idx="2">
                  <c:v>433.13431702395167</c:v>
                </c:pt>
                <c:pt idx="3">
                  <c:v>435.80333677080233</c:v>
                </c:pt>
                <c:pt idx="4">
                  <c:v>404.21583325687345</c:v>
                </c:pt>
                <c:pt idx="5">
                  <c:v>411.38884927145062</c:v>
                </c:pt>
                <c:pt idx="6">
                  <c:v>362.03189924269998</c:v>
                </c:pt>
                <c:pt idx="7">
                  <c:v>343.19032930307435</c:v>
                </c:pt>
                <c:pt idx="8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C-47CE-8E00-B123CDE9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55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Power</a:t>
                </a:r>
                <a:r>
                  <a:rPr lang="en-SG" baseline="0"/>
                  <a:t> (Nm)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436681496364447E-2"/>
              <c:y val="0.37548196359939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676666666666667"/>
          <c:y val="0.27424092592592592"/>
          <c:w val="0.11787402777777778"/>
          <c:h val="0.395073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(2)'!$A$49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(2)'!$D$48:$D$52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3.0036465230416134</c:v>
                </c:pt>
                <c:pt idx="4">
                  <c:v>2.3975521098447876</c:v>
                </c:pt>
              </c:numCache>
            </c:numRef>
          </c:xVal>
          <c:yVal>
            <c:numRef>
              <c:f>'Overall (2)'!$G$48:$G$52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D-459A-A1C9-90A9B3E0AA72}"/>
            </c:ext>
          </c:extLst>
        </c:ser>
        <c:ser>
          <c:idx val="4"/>
          <c:order val="1"/>
          <c:tx>
            <c:strRef>
              <c:f>'Overall (2)'!$A$56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(2)'!$D$55:$D$60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4.92509496623821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(2)'!$G$55:$G$60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D-459A-A1C9-90A9B3E0AA72}"/>
            </c:ext>
          </c:extLst>
        </c:ser>
        <c:ser>
          <c:idx val="5"/>
          <c:order val="2"/>
          <c:tx>
            <c:strRef>
              <c:f>'Overall (2)'!$A$64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(2)'!$D$63:$D$68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(2)'!$G$63:$G$68</c:f>
              <c:numCache>
                <c:formatCode>General</c:formatCode>
                <c:ptCount val="6"/>
                <c:pt idx="0">
                  <c:v>0.50962255574596027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D-459A-A1C9-90A9B3E0AA72}"/>
            </c:ext>
          </c:extLst>
        </c:ser>
        <c:ser>
          <c:idx val="3"/>
          <c:order val="3"/>
          <c:tx>
            <c:strRef>
              <c:f>'Overall (2)'!$A$71</c:f>
              <c:strCache>
                <c:ptCount val="1"/>
                <c:pt idx="0">
                  <c:v>1834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(2)'!$D$71:$D$79</c:f>
              <c:numCache>
                <c:formatCode>0.000</c:formatCode>
                <c:ptCount val="9"/>
                <c:pt idx="0">
                  <c:v>5.2919130000000001</c:v>
                </c:pt>
                <c:pt idx="1">
                  <c:v>5.0653949430406557</c:v>
                </c:pt>
                <c:pt idx="2">
                  <c:v>5.112710058958517</c:v>
                </c:pt>
                <c:pt idx="3">
                  <c:v>4.5816778072219542</c:v>
                </c:pt>
                <c:pt idx="4">
                  <c:v>4.0282260804900449</c:v>
                </c:pt>
                <c:pt idx="5">
                  <c:v>3.9074120702939243</c:v>
                </c:pt>
                <c:pt idx="6">
                  <c:v>3.6533986868675403</c:v>
                </c:pt>
                <c:pt idx="7">
                  <c:v>3.0732756854133072</c:v>
                </c:pt>
                <c:pt idx="8">
                  <c:v>2.6401044471753301</c:v>
                </c:pt>
              </c:numCache>
            </c:numRef>
          </c:xVal>
          <c:yVal>
            <c:numRef>
              <c:f>'Overall (2)'!$G$71:$G$79</c:f>
              <c:numCache>
                <c:formatCode>General</c:formatCode>
                <c:ptCount val="9"/>
                <c:pt idx="0">
                  <c:v>0.70111675620748892</c:v>
                </c:pt>
                <c:pt idx="1">
                  <c:v>0.85268071604110685</c:v>
                </c:pt>
                <c:pt idx="2">
                  <c:v>0.86721342675766289</c:v>
                </c:pt>
                <c:pt idx="3">
                  <c:v>0.85827402956532706</c:v>
                </c:pt>
                <c:pt idx="4">
                  <c:v>0.90545505322499509</c:v>
                </c:pt>
                <c:pt idx="5">
                  <c:v>1.021740907848405</c:v>
                </c:pt>
                <c:pt idx="6">
                  <c:v>1.0884625091260001</c:v>
                </c:pt>
                <c:pt idx="7">
                  <c:v>1.0201251626579322</c:v>
                </c:pt>
                <c:pt idx="8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D-459A-A1C9-90A9B3E0AA72}"/>
            </c:ext>
          </c:extLst>
        </c:ser>
        <c:ser>
          <c:idx val="1"/>
          <c:order val="4"/>
          <c:tx>
            <c:strRef>
              <c:f>'Overall (2)'!$A$82</c:f>
              <c:strCache>
                <c:ptCount val="1"/>
                <c:pt idx="0">
                  <c:v>2111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(2)'!$D$82:$D$90</c:f>
              <c:numCache>
                <c:formatCode>0.000</c:formatCode>
                <c:ptCount val="9"/>
                <c:pt idx="0">
                  <c:v>5.0545578692872928</c:v>
                </c:pt>
                <c:pt idx="1">
                  <c:v>4.4350470643170885</c:v>
                </c:pt>
                <c:pt idx="2">
                  <c:v>4.2201346805617597</c:v>
                </c:pt>
                <c:pt idx="3">
                  <c:v>4.1660023180827821</c:v>
                </c:pt>
                <c:pt idx="4">
                  <c:v>4.003856630921188</c:v>
                </c:pt>
                <c:pt idx="5">
                  <c:v>3.8882416114697662</c:v>
                </c:pt>
                <c:pt idx="6">
                  <c:v>3.6906135851904573</c:v>
                </c:pt>
                <c:pt idx="7">
                  <c:v>3.3424664174525525</c:v>
                </c:pt>
                <c:pt idx="8">
                  <c:v>2.547230439361762</c:v>
                </c:pt>
              </c:numCache>
            </c:numRef>
          </c:xVal>
          <c:yVal>
            <c:numRef>
              <c:f>'Overall (2)'!$G$82:$G$90</c:f>
              <c:numCache>
                <c:formatCode>General</c:formatCode>
                <c:ptCount val="9"/>
                <c:pt idx="0">
                  <c:v>0.94539291946511383</c:v>
                </c:pt>
                <c:pt idx="1">
                  <c:v>0.94847363500753468</c:v>
                </c:pt>
                <c:pt idx="2">
                  <c:v>0.94549204078864424</c:v>
                </c:pt>
                <c:pt idx="3">
                  <c:v>0.97229361350443488</c:v>
                </c:pt>
                <c:pt idx="4">
                  <c:v>1.042829287775632</c:v>
                </c:pt>
                <c:pt idx="5">
                  <c:v>1.1484048601961037</c:v>
                </c:pt>
                <c:pt idx="6">
                  <c:v>1.1631977237886615</c:v>
                </c:pt>
                <c:pt idx="7">
                  <c:v>1.1657191081274199</c:v>
                </c:pt>
                <c:pt idx="8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9D-459A-A1C9-90A9B3E0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834763632076E-2"/>
              <c:y val="0.17421799295052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(2)'!$A$49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(2)'!$D$48:$D$52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3.411492883316626</c:v>
                </c:pt>
                <c:pt idx="3">
                  <c:v>3.0036465230416134</c:v>
                </c:pt>
                <c:pt idx="4">
                  <c:v>2.3975521098447876</c:v>
                </c:pt>
              </c:numCache>
            </c:numRef>
          </c:xVal>
          <c:yVal>
            <c:numRef>
              <c:f>'Overall (2)'!$M$48:$M$52</c:f>
              <c:numCache>
                <c:formatCode>General</c:formatCode>
                <c:ptCount val="5"/>
                <c:pt idx="0">
                  <c:v>219.923995478764</c:v>
                </c:pt>
                <c:pt idx="1">
                  <c:v>201.06346911209982</c:v>
                </c:pt>
                <c:pt idx="2">
                  <c:v>193.63025834579085</c:v>
                </c:pt>
                <c:pt idx="3">
                  <c:v>176.89683334223687</c:v>
                </c:pt>
                <c:pt idx="4">
                  <c:v>150.01311193399283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A-4C5B-8496-8A7915A385EF}"/>
            </c:ext>
          </c:extLst>
        </c:ser>
        <c:ser>
          <c:idx val="4"/>
          <c:order val="1"/>
          <c:tx>
            <c:strRef>
              <c:f>'Overall (2)'!$A$56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(2)'!$D$55:$D$60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4.92509496623821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(2)'!$M$55:$M$60</c:f>
              <c:numCache>
                <c:formatCode>General</c:formatCode>
                <c:ptCount val="6"/>
                <c:pt idx="0">
                  <c:v>313.28825986228173</c:v>
                </c:pt>
                <c:pt idx="1">
                  <c:v>277.23925387205941</c:v>
                </c:pt>
                <c:pt idx="2">
                  <c:v>252.5835649599077</c:v>
                </c:pt>
                <c:pt idx="3">
                  <c:v>233.85095355199863</c:v>
                </c:pt>
                <c:pt idx="4">
                  <c:v>203.92491114934344</c:v>
                </c:pt>
                <c:pt idx="5">
                  <c:v>199.07794559162474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A-4C5B-8496-8A7915A385EF}"/>
            </c:ext>
          </c:extLst>
        </c:ser>
        <c:ser>
          <c:idx val="5"/>
          <c:order val="2"/>
          <c:tx>
            <c:strRef>
              <c:f>'Overall (2)'!$A$64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(2)'!$D$63:$D$68</c:f>
              <c:numCache>
                <c:formatCode>0.000</c:formatCode>
                <c:ptCount val="6"/>
                <c:pt idx="0">
                  <c:v>5.3598489235258446</c:v>
                </c:pt>
                <c:pt idx="1">
                  <c:v>4.5488778229227878</c:v>
                </c:pt>
                <c:pt idx="2">
                  <c:v>3.6851917499746314</c:v>
                </c:pt>
                <c:pt idx="3">
                  <c:v>3.2641584944265172</c:v>
                </c:pt>
                <c:pt idx="4">
                  <c:v>3.0682354873155337</c:v>
                </c:pt>
                <c:pt idx="5">
                  <c:v>2.8293806275398508</c:v>
                </c:pt>
              </c:numCache>
            </c:numRef>
          </c:xVal>
          <c:yVal>
            <c:numRef>
              <c:f>'Overall (2)'!$M$63:$M$68</c:f>
              <c:numCache>
                <c:formatCode>General</c:formatCode>
                <c:ptCount val="6"/>
                <c:pt idx="0">
                  <c:v>350.36119156039933</c:v>
                </c:pt>
                <c:pt idx="1">
                  <c:v>318.37107478027991</c:v>
                </c:pt>
                <c:pt idx="2">
                  <c:v>289.30173145285579</c:v>
                </c:pt>
                <c:pt idx="3">
                  <c:v>271.84554968579704</c:v>
                </c:pt>
                <c:pt idx="4">
                  <c:v>257.37260775625094</c:v>
                </c:pt>
                <c:pt idx="5">
                  <c:v>242.54161373792925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A-4C5B-8496-8A7915A385EF}"/>
            </c:ext>
          </c:extLst>
        </c:ser>
        <c:ser>
          <c:idx val="3"/>
          <c:order val="3"/>
          <c:tx>
            <c:strRef>
              <c:f>'Overall (2)'!$A$71</c:f>
              <c:strCache>
                <c:ptCount val="1"/>
                <c:pt idx="0">
                  <c:v>1834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(2)'!$D$72:$D$79</c:f>
              <c:numCache>
                <c:formatCode>0.000</c:formatCode>
                <c:ptCount val="8"/>
                <c:pt idx="0">
                  <c:v>5.0653949430406557</c:v>
                </c:pt>
                <c:pt idx="1">
                  <c:v>5.112710058958517</c:v>
                </c:pt>
                <c:pt idx="2">
                  <c:v>4.5816778072219542</c:v>
                </c:pt>
                <c:pt idx="3">
                  <c:v>4.0282260804900449</c:v>
                </c:pt>
                <c:pt idx="4">
                  <c:v>3.9074120702939243</c:v>
                </c:pt>
                <c:pt idx="5">
                  <c:v>3.6533986868675403</c:v>
                </c:pt>
                <c:pt idx="6">
                  <c:v>3.0732756854133072</c:v>
                </c:pt>
                <c:pt idx="7">
                  <c:v>2.6401044471753301</c:v>
                </c:pt>
              </c:numCache>
            </c:numRef>
          </c:xVal>
          <c:yVal>
            <c:numRef>
              <c:f>'Overall (2)'!$M$72:$M$79</c:f>
              <c:numCache>
                <c:formatCode>General</c:formatCode>
                <c:ptCount val="8"/>
                <c:pt idx="0">
                  <c:v>414.98108314334672</c:v>
                </c:pt>
                <c:pt idx="1">
                  <c:v>423.76836504432305</c:v>
                </c:pt>
                <c:pt idx="2">
                  <c:v>377.6009892173239</c:v>
                </c:pt>
                <c:pt idx="3">
                  <c:v>348.33822229195874</c:v>
                </c:pt>
                <c:pt idx="4">
                  <c:v>355.02095386164581</c:v>
                </c:pt>
                <c:pt idx="5">
                  <c:v>344.11790533548407</c:v>
                </c:pt>
                <c:pt idx="6">
                  <c:v>310.51013897327994</c:v>
                </c:pt>
                <c:pt idx="7">
                  <c:v>272.32024194294416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A-4C5B-8496-8A7915A385EF}"/>
            </c:ext>
          </c:extLst>
        </c:ser>
        <c:ser>
          <c:idx val="1"/>
          <c:order val="4"/>
          <c:tx>
            <c:strRef>
              <c:f>'Overall (2)'!$A$82</c:f>
              <c:strCache>
                <c:ptCount val="1"/>
                <c:pt idx="0">
                  <c:v>2111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(2)'!$D$82:$D$90</c:f>
              <c:numCache>
                <c:formatCode>0.000</c:formatCode>
                <c:ptCount val="9"/>
                <c:pt idx="0">
                  <c:v>5.0545578692872928</c:v>
                </c:pt>
                <c:pt idx="1">
                  <c:v>4.4350470643170885</c:v>
                </c:pt>
                <c:pt idx="2">
                  <c:v>4.2201346805617597</c:v>
                </c:pt>
                <c:pt idx="3">
                  <c:v>4.1660023180827821</c:v>
                </c:pt>
                <c:pt idx="4">
                  <c:v>4.003856630921188</c:v>
                </c:pt>
                <c:pt idx="5">
                  <c:v>3.8882416114697662</c:v>
                </c:pt>
                <c:pt idx="6">
                  <c:v>3.6906135851904573</c:v>
                </c:pt>
                <c:pt idx="7">
                  <c:v>3.3424664174525525</c:v>
                </c:pt>
                <c:pt idx="8">
                  <c:v>2.547230439361762</c:v>
                </c:pt>
              </c:numCache>
            </c:numRef>
          </c:xVal>
          <c:yVal>
            <c:numRef>
              <c:f>'Overall (2)'!$M$82:$M$90</c:f>
              <c:numCache>
                <c:formatCode>General</c:formatCode>
                <c:ptCount val="9"/>
                <c:pt idx="0">
                  <c:v>407.85866007740981</c:v>
                </c:pt>
                <c:pt idx="1">
                  <c:v>426.4361261643478</c:v>
                </c:pt>
                <c:pt idx="2">
                  <c:v>433.13431702395167</c:v>
                </c:pt>
                <c:pt idx="3">
                  <c:v>435.80333677080233</c:v>
                </c:pt>
                <c:pt idx="4">
                  <c:v>404.21583325687345</c:v>
                </c:pt>
                <c:pt idx="5">
                  <c:v>411.38884927145062</c:v>
                </c:pt>
                <c:pt idx="6">
                  <c:v>362.03189924269998</c:v>
                </c:pt>
                <c:pt idx="7">
                  <c:v>343.19032930307435</c:v>
                </c:pt>
                <c:pt idx="8">
                  <c:v>291.55202608163211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A-4C5B-8496-8A7915A3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/>
                  <a:t>Average</a:t>
                </a:r>
                <a:r>
                  <a:rPr lang="en-SG" baseline="0"/>
                  <a:t> Power (W)</a:t>
                </a:r>
              </a:p>
            </c:rich>
          </c:tx>
          <c:layout>
            <c:manualLayout>
              <c:xMode val="edge"/>
              <c:yMode val="edge"/>
              <c:x val="1.0942473717638205E-2"/>
              <c:y val="0.2803671869832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'Overall w heat (final) 050505'!$A$45</c:f>
              <c:strCache>
                <c:ptCount val="1"/>
                <c:pt idx="0">
                  <c:v>1216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12700">
                <a:solidFill>
                  <a:srgbClr val="44546A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050505'!$D$44:$D$48</c:f>
              <c:numCache>
                <c:formatCode>0.000</c:formatCode>
                <c:ptCount val="5"/>
                <c:pt idx="0">
                  <c:v>4.2632226981025712</c:v>
                </c:pt>
                <c:pt idx="1">
                  <c:v>3.7487816777695127</c:v>
                </c:pt>
                <c:pt idx="2">
                  <c:v>3.41149288331663</c:v>
                </c:pt>
                <c:pt idx="3">
                  <c:v>3.0036465230416098</c:v>
                </c:pt>
                <c:pt idx="4">
                  <c:v>2.3975521098447876</c:v>
                </c:pt>
              </c:numCache>
            </c:numRef>
          </c:xVal>
          <c:yVal>
            <c:numRef>
              <c:f>'Overall w heat (final) 050505'!$G$44:$G$48</c:f>
              <c:numCache>
                <c:formatCode>General</c:formatCode>
                <c:ptCount val="5"/>
                <c:pt idx="0">
                  <c:v>0.3247321478042306</c:v>
                </c:pt>
                <c:pt idx="1">
                  <c:v>0.35673312429200765</c:v>
                </c:pt>
                <c:pt idx="2">
                  <c:v>0.45316198723503576</c:v>
                </c:pt>
                <c:pt idx="3">
                  <c:v>0.45543527309811571</c:v>
                </c:pt>
                <c:pt idx="4">
                  <c:v>0.45359213147780497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3-4BAE-AC18-17866F5F9D2F}"/>
            </c:ext>
          </c:extLst>
        </c:ser>
        <c:ser>
          <c:idx val="4"/>
          <c:order val="1"/>
          <c:tx>
            <c:strRef>
              <c:f>'Overall w heat (final) 050505'!$A$52</c:f>
              <c:strCache>
                <c:ptCount val="1"/>
                <c:pt idx="0">
                  <c:v>1417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rgbClr val="ED7D31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050505'!$D$51:$D$56</c:f>
              <c:numCache>
                <c:formatCode>0.000</c:formatCode>
                <c:ptCount val="6"/>
                <c:pt idx="0">
                  <c:v>5.253362586763715</c:v>
                </c:pt>
                <c:pt idx="1">
                  <c:v>4.8223075689095696</c:v>
                </c:pt>
                <c:pt idx="2">
                  <c:v>4.236297847863618</c:v>
                </c:pt>
                <c:pt idx="3">
                  <c:v>3.661602244140135</c:v>
                </c:pt>
                <c:pt idx="4">
                  <c:v>2.9220510847489072</c:v>
                </c:pt>
                <c:pt idx="5">
                  <c:v>2.6698755104625538</c:v>
                </c:pt>
              </c:numCache>
            </c:numRef>
          </c:xVal>
          <c:yVal>
            <c:numRef>
              <c:f>'Overall w heat (final) 050505'!$G$51:$G$56</c:f>
              <c:numCache>
                <c:formatCode>General</c:formatCode>
                <c:ptCount val="6"/>
                <c:pt idx="0">
                  <c:v>0.49942621079699617</c:v>
                </c:pt>
                <c:pt idx="1">
                  <c:v>0.51458234662294589</c:v>
                </c:pt>
                <c:pt idx="2">
                  <c:v>0.48213212885652895</c:v>
                </c:pt>
                <c:pt idx="3">
                  <c:v>0.55282985811386409</c:v>
                </c:pt>
                <c:pt idx="4">
                  <c:v>0.55064360312853888</c:v>
                </c:pt>
                <c:pt idx="5">
                  <c:v>0.60090268980389583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3-4BAE-AC18-17866F5F9D2F}"/>
            </c:ext>
          </c:extLst>
        </c:ser>
        <c:ser>
          <c:idx val="5"/>
          <c:order val="2"/>
          <c:tx>
            <c:strRef>
              <c:f>'Overall w heat (final) 050505'!$A$60</c:f>
              <c:strCache>
                <c:ptCount val="1"/>
                <c:pt idx="0">
                  <c:v>1639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'Overall w heat (final) 050505'!$D$59:$D$64</c:f>
              <c:numCache>
                <c:formatCode>0.000</c:formatCode>
                <c:ptCount val="6"/>
                <c:pt idx="0">
                  <c:v>5.2676677023988514</c:v>
                </c:pt>
                <c:pt idx="1">
                  <c:v>4.5488778229227904</c:v>
                </c:pt>
                <c:pt idx="2">
                  <c:v>3.6851917499746301</c:v>
                </c:pt>
                <c:pt idx="3">
                  <c:v>3.2641584944265172</c:v>
                </c:pt>
                <c:pt idx="4">
                  <c:v>3.0682354873155302</c:v>
                </c:pt>
                <c:pt idx="5">
                  <c:v>2.8293806275398499</c:v>
                </c:pt>
              </c:numCache>
            </c:numRef>
          </c:xVal>
          <c:yVal>
            <c:numRef>
              <c:f>'Overall w heat (final) 050505'!$G$59:$G$64</c:f>
              <c:numCache>
                <c:formatCode>General</c:formatCode>
                <c:ptCount val="6"/>
                <c:pt idx="0">
                  <c:v>0.50071646745959986</c:v>
                </c:pt>
                <c:pt idx="1">
                  <c:v>0.60263466997840687</c:v>
                </c:pt>
                <c:pt idx="2">
                  <c:v>0.69666610752823155</c:v>
                </c:pt>
                <c:pt idx="3">
                  <c:v>0.73556884310464887</c:v>
                </c:pt>
                <c:pt idx="4">
                  <c:v>0.80311495788323939</c:v>
                </c:pt>
                <c:pt idx="5">
                  <c:v>0.84332212411016105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3-4BAE-AC18-17866F5F9D2F}"/>
            </c:ext>
          </c:extLst>
        </c:ser>
        <c:ser>
          <c:idx val="3"/>
          <c:order val="3"/>
          <c:tx>
            <c:strRef>
              <c:f>'Overall w heat (final) 050505'!$A$67</c:f>
              <c:strCache>
                <c:ptCount val="1"/>
                <c:pt idx="0">
                  <c:v>1839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50000"/>
                </a:schemeClr>
              </a:solidFill>
              <a:ln w="12700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'Overall w heat (final) 050505'!$D$67:$D$72</c:f>
              <c:numCache>
                <c:formatCode>0.000</c:formatCode>
                <c:ptCount val="6"/>
                <c:pt idx="0">
                  <c:v>5.0653949430406557</c:v>
                </c:pt>
                <c:pt idx="1">
                  <c:v>4.5816778072219542</c:v>
                </c:pt>
                <c:pt idx="2">
                  <c:v>4.0282260804900449</c:v>
                </c:pt>
                <c:pt idx="3">
                  <c:v>3.6533986868675403</c:v>
                </c:pt>
                <c:pt idx="4">
                  <c:v>3.0732756854133072</c:v>
                </c:pt>
                <c:pt idx="5">
                  <c:v>2.6401044471753301</c:v>
                </c:pt>
              </c:numCache>
            </c:numRef>
          </c:xVal>
          <c:yVal>
            <c:numRef>
              <c:f>'Overall w heat (final) 050505'!$G$67:$G$72</c:f>
              <c:numCache>
                <c:formatCode>General</c:formatCode>
                <c:ptCount val="6"/>
                <c:pt idx="0">
                  <c:v>0.80530956514993424</c:v>
                </c:pt>
                <c:pt idx="1">
                  <c:v>0.85827402956532706</c:v>
                </c:pt>
                <c:pt idx="2">
                  <c:v>0.90545505322499509</c:v>
                </c:pt>
                <c:pt idx="3">
                  <c:v>1.0884625091260001</c:v>
                </c:pt>
                <c:pt idx="4">
                  <c:v>1.0201251626579322</c:v>
                </c:pt>
                <c:pt idx="5">
                  <c:v>1.0094910734070963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3-4BAE-AC18-17866F5F9D2F}"/>
            </c:ext>
          </c:extLst>
        </c:ser>
        <c:ser>
          <c:idx val="1"/>
          <c:order val="4"/>
          <c:tx>
            <c:strRef>
              <c:f>'Overall w heat (final) 050505'!$A$75</c:f>
              <c:strCache>
                <c:ptCount val="1"/>
                <c:pt idx="0">
                  <c:v>2112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'Overall w heat (final) 050505'!$D$75:$D$82</c:f>
              <c:numCache>
                <c:formatCode>0.000</c:formatCode>
                <c:ptCount val="8"/>
                <c:pt idx="0">
                  <c:v>5.1395527310525901</c:v>
                </c:pt>
                <c:pt idx="1">
                  <c:v>4.4350470643170903</c:v>
                </c:pt>
                <c:pt idx="2">
                  <c:v>4.2201346805617597</c:v>
                </c:pt>
                <c:pt idx="3">
                  <c:v>4.0038566309211898</c:v>
                </c:pt>
                <c:pt idx="4">
                  <c:v>3.8882416114697702</c:v>
                </c:pt>
                <c:pt idx="5">
                  <c:v>3.69061358519046</c:v>
                </c:pt>
                <c:pt idx="6">
                  <c:v>3.3424664174525498</c:v>
                </c:pt>
                <c:pt idx="7">
                  <c:v>2.5472304393617602</c:v>
                </c:pt>
              </c:numCache>
            </c:numRef>
          </c:xVal>
          <c:yVal>
            <c:numRef>
              <c:f>'Overall w heat (final) 050505'!$G$75:$G$82</c:f>
              <c:numCache>
                <c:formatCode>General</c:formatCode>
                <c:ptCount val="8"/>
                <c:pt idx="0">
                  <c:v>0.86906064601320965</c:v>
                </c:pt>
                <c:pt idx="1">
                  <c:v>0.94847363500753468</c:v>
                </c:pt>
                <c:pt idx="2">
                  <c:v>0.94549204078864424</c:v>
                </c:pt>
                <c:pt idx="3">
                  <c:v>1.042829287775632</c:v>
                </c:pt>
                <c:pt idx="4">
                  <c:v>1.1484048601961037</c:v>
                </c:pt>
                <c:pt idx="5">
                  <c:v>1.1631977237886615</c:v>
                </c:pt>
                <c:pt idx="6">
                  <c:v>1.1657191081274199</c:v>
                </c:pt>
                <c:pt idx="7">
                  <c:v>1.1934902874269904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C3-4BAE-AC18-17866F5F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58888"/>
        <c:axId val="1117249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v>P_1216</c:v>
                </c:tx>
                <c:spPr>
                  <a:ln w="2540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'Overall w heat (final) 050505'!$D$44:$D$48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4.2632226981025712</c:v>
                      </c:pt>
                      <c:pt idx="1">
                        <c:v>3.7487816777695127</c:v>
                      </c:pt>
                      <c:pt idx="2">
                        <c:v>3.41149288331663</c:v>
                      </c:pt>
                      <c:pt idx="3">
                        <c:v>3.0036465230416098</c:v>
                      </c:pt>
                      <c:pt idx="4">
                        <c:v>2.3975521098447876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'Overall w heat (final) 050505'!$E$44:$E$48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0.49030000000000001</c:v>
                      </c:pt>
                      <c:pt idx="1">
                        <c:v>0.49919999999999998</c:v>
                      </c:pt>
                      <c:pt idx="2">
                        <c:v>0.50919999999999999</c:v>
                      </c:pt>
                      <c:pt idx="3">
                        <c:v>0.52070000000000005</c:v>
                      </c:pt>
                      <c:pt idx="4">
                        <c:v>0.54530000000000001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6C3-4BAE-AC18-17866F5F9D2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P_1639</c:v>
                </c:tx>
                <c:spPr>
                  <a:ln w="25400" cap="rnd">
                    <a:solidFill>
                      <a:srgbClr val="A5A5A5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050505'!$D$59:$D$64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5.2676677023988514</c:v>
                      </c:pt>
                      <c:pt idx="1">
                        <c:v>4.5488778229227904</c:v>
                      </c:pt>
                      <c:pt idx="2">
                        <c:v>3.6851917499746301</c:v>
                      </c:pt>
                      <c:pt idx="3">
                        <c:v>3.2641584944265172</c:v>
                      </c:pt>
                      <c:pt idx="4">
                        <c:v>3.0682354873155302</c:v>
                      </c:pt>
                      <c:pt idx="5">
                        <c:v>2.8293806275398499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050505'!$E$59:$E$64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0.72150000000000003</c:v>
                      </c:pt>
                      <c:pt idx="1">
                        <c:v>0.73440000000000005</c:v>
                      </c:pt>
                      <c:pt idx="2">
                        <c:v>0.75649999999999995</c:v>
                      </c:pt>
                      <c:pt idx="3">
                        <c:v>0.76780000000000004</c:v>
                      </c:pt>
                      <c:pt idx="4">
                        <c:v>0.77439999999999998</c:v>
                      </c:pt>
                      <c:pt idx="5">
                        <c:v>0.78300000000000003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C3-4BAE-AC18-17866F5F9D2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P_1417</c:v>
                </c:tx>
                <c:spPr>
                  <a:ln w="25400" cap="rnd">
                    <a:solidFill>
                      <a:srgbClr val="ED7D31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050505'!$D$51:$D$56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5.253362586763715</c:v>
                      </c:pt>
                      <c:pt idx="1">
                        <c:v>4.8223075689095696</c:v>
                      </c:pt>
                      <c:pt idx="2">
                        <c:v>4.236297847863618</c:v>
                      </c:pt>
                      <c:pt idx="3">
                        <c:v>3.661602244140135</c:v>
                      </c:pt>
                      <c:pt idx="4">
                        <c:v>2.9220510847489072</c:v>
                      </c:pt>
                      <c:pt idx="5">
                        <c:v>2.6698755104625538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050505'!$E$51:$E$56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0.59950000000000003</c:v>
                      </c:pt>
                      <c:pt idx="1">
                        <c:v>0.59489999999999998</c:v>
                      </c:pt>
                      <c:pt idx="2">
                        <c:v>0.60740000000000005</c:v>
                      </c:pt>
                      <c:pt idx="3">
                        <c:v>0.62160000000000004</c:v>
                      </c:pt>
                      <c:pt idx="4">
                        <c:v>0.64170000000000005</c:v>
                      </c:pt>
                      <c:pt idx="5">
                        <c:v>0.65810000000000002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C3-4BAE-AC18-17866F5F9D2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P_1839</c:v>
                </c:tx>
                <c:spPr>
                  <a:ln w="25400" cap="rnd">
                    <a:solidFill>
                      <a:srgbClr val="4472C4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050505'!$D$67:$D$72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5.0653949430406557</c:v>
                      </c:pt>
                      <c:pt idx="1">
                        <c:v>4.5816778072219542</c:v>
                      </c:pt>
                      <c:pt idx="2">
                        <c:v>4.0282260804900449</c:v>
                      </c:pt>
                      <c:pt idx="3">
                        <c:v>3.6533986868675403</c:v>
                      </c:pt>
                      <c:pt idx="4">
                        <c:v>3.0732756854133072</c:v>
                      </c:pt>
                      <c:pt idx="5">
                        <c:v>2.6401044471753301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050505'!$E$67:$E$72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0.84360000000000002</c:v>
                      </c:pt>
                      <c:pt idx="1">
                        <c:v>0.85299999999999998</c:v>
                      </c:pt>
                      <c:pt idx="2">
                        <c:v>0.86799999999999999</c:v>
                      </c:pt>
                      <c:pt idx="3">
                        <c:v>0.87719999999999998</c:v>
                      </c:pt>
                      <c:pt idx="4">
                        <c:v>0.89439999999999997</c:v>
                      </c:pt>
                      <c:pt idx="5">
                        <c:v>0.91010000000000002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C3-4BAE-AC18-17866F5F9D2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P_2112</c:v>
                </c:tx>
                <c:spPr>
                  <a:ln w="25400" cap="rnd">
                    <a:solidFill>
                      <a:srgbClr val="70AD47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050505'!$D$75:$D$82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5.1395527310525901</c:v>
                      </c:pt>
                      <c:pt idx="1">
                        <c:v>4.4350470643170903</c:v>
                      </c:pt>
                      <c:pt idx="2">
                        <c:v>4.2201346805617597</c:v>
                      </c:pt>
                      <c:pt idx="3">
                        <c:v>4.0038566309211898</c:v>
                      </c:pt>
                      <c:pt idx="4">
                        <c:v>3.8882416114697702</c:v>
                      </c:pt>
                      <c:pt idx="5">
                        <c:v>3.69061358519046</c:v>
                      </c:pt>
                      <c:pt idx="6">
                        <c:v>3.3424664174525498</c:v>
                      </c:pt>
                      <c:pt idx="7">
                        <c:v>2.5472304393617602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w heat (final) 050505'!$E$75:$E$82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0.99939999999999996</c:v>
                      </c:pt>
                      <c:pt idx="1">
                        <c:v>1.0165999999999999</c:v>
                      </c:pt>
                      <c:pt idx="2">
                        <c:v>1.0238</c:v>
                      </c:pt>
                      <c:pt idx="3">
                        <c:v>1.0290999999999999</c:v>
                      </c:pt>
                      <c:pt idx="4">
                        <c:v>1.0304</c:v>
                      </c:pt>
                      <c:pt idx="5">
                        <c:v>1.0348999999999999</c:v>
                      </c:pt>
                      <c:pt idx="6">
                        <c:v>1.0467</c:v>
                      </c:pt>
                      <c:pt idx="7">
                        <c:v>1.0748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C3-4BAE-AC18-17866F5F9D2F}"/>
                  </c:ext>
                </c:extLst>
              </c15:ser>
            </c15:filteredScatterSeries>
          </c:ext>
        </c:extLst>
      </c:scatterChart>
      <c:valAx>
        <c:axId val="111725888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(Abs. 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49704"/>
        <c:crosses val="autoZero"/>
        <c:crossBetween val="midCat"/>
        <c:minorUnit val="0.25"/>
      </c:valAx>
      <c:valAx>
        <c:axId val="1117249704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Flow Rate (g/s)</a:t>
                </a:r>
              </a:p>
            </c:rich>
          </c:tx>
          <c:layout>
            <c:manualLayout>
              <c:xMode val="edge"/>
              <c:yMode val="edge"/>
              <c:x val="1.4366799532373322E-2"/>
              <c:y val="0.34465899010791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258888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2768518518518541"/>
          <c:y val="0.21779638888888889"/>
          <c:w val="0.13233333333333333"/>
          <c:h val="0.42316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509789</xdr:colOff>
      <xdr:row>91</xdr:row>
      <xdr:rowOff>26831</xdr:rowOff>
    </xdr:from>
    <xdr:to>
      <xdr:col>9</xdr:col>
      <xdr:colOff>9296</xdr:colOff>
      <xdr:row>119</xdr:row>
      <xdr:rowOff>167958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00850-D943-4DDA-BAFA-9BDFA64FA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175741</xdr:colOff>
      <xdr:row>91</xdr:row>
      <xdr:rowOff>37027</xdr:rowOff>
    </xdr:from>
    <xdr:to>
      <xdr:col>20</xdr:col>
      <xdr:colOff>815565</xdr:colOff>
      <xdr:row>119</xdr:row>
      <xdr:rowOff>178154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EF53C-EFE2-4CDE-881C-AF7B4BA51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87967</xdr:colOff>
      <xdr:row>71</xdr:row>
      <xdr:rowOff>176509</xdr:rowOff>
    </xdr:from>
    <xdr:to>
      <xdr:col>5</xdr:col>
      <xdr:colOff>585108</xdr:colOff>
      <xdr:row>90</xdr:row>
      <xdr:rowOff>157009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404DB-4077-4F6F-B5C1-1900D6350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189539</xdr:colOff>
      <xdr:row>113</xdr:row>
      <xdr:rowOff>79918</xdr:rowOff>
    </xdr:from>
    <xdr:to>
      <xdr:col>18</xdr:col>
      <xdr:colOff>475611</xdr:colOff>
      <xdr:row>133</xdr:row>
      <xdr:rowOff>49918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81EAB-7D40-455A-B4CD-E3884F0FE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841342</xdr:colOff>
      <xdr:row>118</xdr:row>
      <xdr:rowOff>157765</xdr:rowOff>
    </xdr:from>
    <xdr:to>
      <xdr:col>10</xdr:col>
      <xdr:colOff>545414</xdr:colOff>
      <xdr:row>138</xdr:row>
      <xdr:rowOff>127765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91822-A0FF-4E74-A4BB-9C313314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488901</xdr:colOff>
      <xdr:row>78</xdr:row>
      <xdr:rowOff>189157</xdr:rowOff>
    </xdr:from>
    <xdr:to>
      <xdr:col>28</xdr:col>
      <xdr:colOff>165277</xdr:colOff>
      <xdr:row>98</xdr:row>
      <xdr:rowOff>30136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92DFA-C273-4ABB-A326-9DC5DA5C7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456891</xdr:colOff>
      <xdr:row>72</xdr:row>
      <xdr:rowOff>143778</xdr:rowOff>
    </xdr:from>
    <xdr:to>
      <xdr:col>13</xdr:col>
      <xdr:colOff>245713</xdr:colOff>
      <xdr:row>91</xdr:row>
      <xdr:rowOff>124278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5C056-6ED7-4B2B-AA8E-2D30C9A67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183696</xdr:colOff>
      <xdr:row>122</xdr:row>
      <xdr:rowOff>125185</xdr:rowOff>
    </xdr:from>
    <xdr:to>
      <xdr:col>5</xdr:col>
      <xdr:colOff>285481</xdr:colOff>
      <xdr:row>141</xdr:row>
      <xdr:rowOff>105685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65AD73-0853-4518-84AD-5F118C880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333377</xdr:colOff>
      <xdr:row>91</xdr:row>
      <xdr:rowOff>2721</xdr:rowOff>
    </xdr:from>
    <xdr:to>
      <xdr:col>7</xdr:col>
      <xdr:colOff>68519</xdr:colOff>
      <xdr:row>109</xdr:row>
      <xdr:rowOff>173721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E9D5DF-C236-4DFD-8B70-31391D685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272145</xdr:colOff>
      <xdr:row>74</xdr:row>
      <xdr:rowOff>27215</xdr:rowOff>
    </xdr:from>
    <xdr:to>
      <xdr:col>19</xdr:col>
      <xdr:colOff>659681</xdr:colOff>
      <xdr:row>93</xdr:row>
      <xdr:rowOff>7715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5AF1FE-5DA0-42AD-8399-54A789261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217715</xdr:colOff>
      <xdr:row>92</xdr:row>
      <xdr:rowOff>27214</xdr:rowOff>
    </xdr:from>
    <xdr:to>
      <xdr:col>13</xdr:col>
      <xdr:colOff>6537</xdr:colOff>
      <xdr:row>111</xdr:row>
      <xdr:rowOff>7714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607DC1-893A-415B-B1D7-47494AAD9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509789</xdr:colOff>
      <xdr:row>91</xdr:row>
      <xdr:rowOff>26831</xdr:rowOff>
    </xdr:from>
    <xdr:to>
      <xdr:col>9</xdr:col>
      <xdr:colOff>9296</xdr:colOff>
      <xdr:row>119</xdr:row>
      <xdr:rowOff>167958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D06CB-77F1-42A6-A439-FA43E210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175741</xdr:colOff>
      <xdr:row>91</xdr:row>
      <xdr:rowOff>37027</xdr:rowOff>
    </xdr:from>
    <xdr:to>
      <xdr:col>20</xdr:col>
      <xdr:colOff>815565</xdr:colOff>
      <xdr:row>119</xdr:row>
      <xdr:rowOff>178154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B0BDF-03E7-4803-8560-00D19005C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509789</xdr:colOff>
      <xdr:row>91</xdr:row>
      <xdr:rowOff>26831</xdr:rowOff>
    </xdr:from>
    <xdr:to>
      <xdr:col>9</xdr:col>
      <xdr:colOff>9296</xdr:colOff>
      <xdr:row>119</xdr:row>
      <xdr:rowOff>167958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71EF1-1022-46B5-BD0A-25733739B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175741</xdr:colOff>
      <xdr:row>91</xdr:row>
      <xdr:rowOff>37027</xdr:rowOff>
    </xdr:from>
    <xdr:to>
      <xdr:col>20</xdr:col>
      <xdr:colOff>815565</xdr:colOff>
      <xdr:row>119</xdr:row>
      <xdr:rowOff>178154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C2833-7C95-4E9D-8FC8-750DD81AD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509789</xdr:colOff>
      <xdr:row>93</xdr:row>
      <xdr:rowOff>26831</xdr:rowOff>
    </xdr:from>
    <xdr:to>
      <xdr:col>10</xdr:col>
      <xdr:colOff>40247</xdr:colOff>
      <xdr:row>126</xdr:row>
      <xdr:rowOff>13415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6A9BD-8CF3-476E-B36A-00DC76514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175741</xdr:colOff>
      <xdr:row>93</xdr:row>
      <xdr:rowOff>37027</xdr:rowOff>
    </xdr:from>
    <xdr:to>
      <xdr:col>22</xdr:col>
      <xdr:colOff>254894</xdr:colOff>
      <xdr:row>126</xdr:row>
      <xdr:rowOff>19515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9D02C-05A9-4F2A-B139-552C1D65B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509789</xdr:colOff>
      <xdr:row>85</xdr:row>
      <xdr:rowOff>26831</xdr:rowOff>
    </xdr:from>
    <xdr:to>
      <xdr:col>6</xdr:col>
      <xdr:colOff>557007</xdr:colOff>
      <xdr:row>104</xdr:row>
      <xdr:rowOff>58310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6DACB-1170-460D-A73C-B0DB6CCAD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175741</xdr:colOff>
      <xdr:row>85</xdr:row>
      <xdr:rowOff>37027</xdr:rowOff>
    </xdr:from>
    <xdr:to>
      <xdr:col>18</xdr:col>
      <xdr:colOff>491269</xdr:colOff>
      <xdr:row>104</xdr:row>
      <xdr:rowOff>68506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0D757-A272-40F3-893B-DF230CCB3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67076</xdr:colOff>
      <xdr:row>122</xdr:row>
      <xdr:rowOff>120739</xdr:rowOff>
    </xdr:from>
    <xdr:to>
      <xdr:col>18</xdr:col>
      <xdr:colOff>648590</xdr:colOff>
      <xdr:row>141</xdr:row>
      <xdr:rowOff>152218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0BA392-8FB5-4B52-A355-D1AC636F3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363559</xdr:colOff>
      <xdr:row>117</xdr:row>
      <xdr:rowOff>144350</xdr:rowOff>
    </xdr:from>
    <xdr:to>
      <xdr:col>12</xdr:col>
      <xdr:colOff>46235</xdr:colOff>
      <xdr:row>136</xdr:row>
      <xdr:rowOff>175828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77ACD-FFBD-4463-9576-0D7D6DE12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241481</xdr:colOff>
      <xdr:row>90</xdr:row>
      <xdr:rowOff>26830</xdr:rowOff>
    </xdr:from>
    <xdr:to>
      <xdr:col>27</xdr:col>
      <xdr:colOff>530178</xdr:colOff>
      <xdr:row>109</xdr:row>
      <xdr:rowOff>58309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3069ED-DB8A-495C-B1AD-BB0525B4E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509789</xdr:colOff>
      <xdr:row>85</xdr:row>
      <xdr:rowOff>26831</xdr:rowOff>
    </xdr:from>
    <xdr:to>
      <xdr:col>9</xdr:col>
      <xdr:colOff>9296</xdr:colOff>
      <xdr:row>113</xdr:row>
      <xdr:rowOff>167958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4FCC8AB2-BCBC-4972-952D-482E9CB58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175741</xdr:colOff>
      <xdr:row>85</xdr:row>
      <xdr:rowOff>37027</xdr:rowOff>
    </xdr:from>
    <xdr:to>
      <xdr:col>20</xdr:col>
      <xdr:colOff>815565</xdr:colOff>
      <xdr:row>113</xdr:row>
      <xdr:rowOff>178154</xdr:rowOff>
    </xdr:to>
    <xdr:graphicFrame macro="">
      <xdr:nvGraphicFramePr>
        <xdr:cNvPr id="24" name="Chart 2">
          <a:extLst>
            <a:ext uri="{FF2B5EF4-FFF2-40B4-BE49-F238E27FC236}">
              <a16:creationId xmlns:a16="http://schemas.microsoft.com/office/drawing/2014/main" id="{D1FC5B84-342D-482F-BE29-7788859ED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509789</xdr:colOff>
      <xdr:row>81</xdr:row>
      <xdr:rowOff>26831</xdr:rowOff>
    </xdr:from>
    <xdr:to>
      <xdr:col>6</xdr:col>
      <xdr:colOff>548574</xdr:colOff>
      <xdr:row>100</xdr:row>
      <xdr:rowOff>7331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ADC92-16CE-4377-872B-833B50328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403804</xdr:colOff>
      <xdr:row>89</xdr:row>
      <xdr:rowOff>157766</xdr:rowOff>
    </xdr:from>
    <xdr:to>
      <xdr:col>13</xdr:col>
      <xdr:colOff>202783</xdr:colOff>
      <xdr:row>109</xdr:row>
      <xdr:rowOff>1428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F4FB3-D003-40AF-ADD8-4174130B0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189539</xdr:colOff>
      <xdr:row>121</xdr:row>
      <xdr:rowOff>79918</xdr:rowOff>
    </xdr:from>
    <xdr:to>
      <xdr:col>18</xdr:col>
      <xdr:colOff>475611</xdr:colOff>
      <xdr:row>141</xdr:row>
      <xdr:rowOff>49918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54DD8-71F0-4200-A18A-D599A80D9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841342</xdr:colOff>
      <xdr:row>126</xdr:row>
      <xdr:rowOff>157765</xdr:rowOff>
    </xdr:from>
    <xdr:to>
      <xdr:col>10</xdr:col>
      <xdr:colOff>545414</xdr:colOff>
      <xdr:row>146</xdr:row>
      <xdr:rowOff>127765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85BF3E-3596-4C78-82CD-F79A82072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488901</xdr:colOff>
      <xdr:row>86</xdr:row>
      <xdr:rowOff>189157</xdr:rowOff>
    </xdr:from>
    <xdr:to>
      <xdr:col>28</xdr:col>
      <xdr:colOff>165277</xdr:colOff>
      <xdr:row>106</xdr:row>
      <xdr:rowOff>30136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850646-F2A3-4CB6-AA06-5B22F04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26831</xdr:colOff>
      <xdr:row>92</xdr:row>
      <xdr:rowOff>53661</xdr:rowOff>
    </xdr:from>
    <xdr:to>
      <xdr:col>20</xdr:col>
      <xdr:colOff>456339</xdr:colOff>
      <xdr:row>111</xdr:row>
      <xdr:rowOff>85140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7FF526-A552-4FD2-8D09-95BC7DB01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402463</xdr:colOff>
      <xdr:row>101</xdr:row>
      <xdr:rowOff>48527</xdr:rowOff>
    </xdr:from>
    <xdr:to>
      <xdr:col>5</xdr:col>
      <xdr:colOff>1122320</xdr:colOff>
      <xdr:row>120</xdr:row>
      <xdr:rowOff>82689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ADA1B4-2AD0-4C5E-BC31-441F8B03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394609</xdr:colOff>
      <xdr:row>122</xdr:row>
      <xdr:rowOff>57151</xdr:rowOff>
    </xdr:from>
    <xdr:to>
      <xdr:col>25</xdr:col>
      <xdr:colOff>210644</xdr:colOff>
      <xdr:row>141</xdr:row>
      <xdr:rowOff>37651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467982-0222-4E86-9D58-9318A47E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183696</xdr:colOff>
      <xdr:row>130</xdr:row>
      <xdr:rowOff>125185</xdr:rowOff>
    </xdr:from>
    <xdr:to>
      <xdr:col>5</xdr:col>
      <xdr:colOff>285481</xdr:colOff>
      <xdr:row>149</xdr:row>
      <xdr:rowOff>105685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D517AE-6C49-4DB2-94DF-0DBAC81BB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238125</xdr:colOff>
      <xdr:row>108</xdr:row>
      <xdr:rowOff>166007</xdr:rowOff>
    </xdr:from>
    <xdr:to>
      <xdr:col>12</xdr:col>
      <xdr:colOff>47625</xdr:colOff>
      <xdr:row>123</xdr:row>
      <xdr:rowOff>51707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17CF57-3FE8-4826-BF6E-1852FB21B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34020</xdr:colOff>
      <xdr:row>95</xdr:row>
      <xdr:rowOff>125185</xdr:rowOff>
    </xdr:from>
    <xdr:to>
      <xdr:col>6</xdr:col>
      <xdr:colOff>612805</xdr:colOff>
      <xdr:row>114</xdr:row>
      <xdr:rowOff>105685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E2B570-C5F0-42C6-86C0-F9F3E8D2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509789</xdr:colOff>
      <xdr:row>81</xdr:row>
      <xdr:rowOff>26831</xdr:rowOff>
    </xdr:from>
    <xdr:to>
      <xdr:col>6</xdr:col>
      <xdr:colOff>548574</xdr:colOff>
      <xdr:row>100</xdr:row>
      <xdr:rowOff>7331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034C9-E3BF-4D07-A1D6-9D4063CB3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403804</xdr:colOff>
      <xdr:row>89</xdr:row>
      <xdr:rowOff>157766</xdr:rowOff>
    </xdr:from>
    <xdr:to>
      <xdr:col>13</xdr:col>
      <xdr:colOff>202783</xdr:colOff>
      <xdr:row>109</xdr:row>
      <xdr:rowOff>1428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709F8-030F-4B05-9F4F-A1D370A29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189539</xdr:colOff>
      <xdr:row>121</xdr:row>
      <xdr:rowOff>79918</xdr:rowOff>
    </xdr:from>
    <xdr:to>
      <xdr:col>18</xdr:col>
      <xdr:colOff>475611</xdr:colOff>
      <xdr:row>141</xdr:row>
      <xdr:rowOff>49918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8B1A9-8B69-46B4-B7B9-6156E309F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841342</xdr:colOff>
      <xdr:row>126</xdr:row>
      <xdr:rowOff>157765</xdr:rowOff>
    </xdr:from>
    <xdr:to>
      <xdr:col>10</xdr:col>
      <xdr:colOff>545414</xdr:colOff>
      <xdr:row>146</xdr:row>
      <xdr:rowOff>127765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BA595A-BA34-49A9-870F-FFD0B734A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488901</xdr:colOff>
      <xdr:row>86</xdr:row>
      <xdr:rowOff>189157</xdr:rowOff>
    </xdr:from>
    <xdr:to>
      <xdr:col>28</xdr:col>
      <xdr:colOff>165277</xdr:colOff>
      <xdr:row>106</xdr:row>
      <xdr:rowOff>30136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79A95C-47BF-43EB-AF56-5C44062D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503081</xdr:colOff>
      <xdr:row>87</xdr:row>
      <xdr:rowOff>148911</xdr:rowOff>
    </xdr:from>
    <xdr:to>
      <xdr:col>20</xdr:col>
      <xdr:colOff>320267</xdr:colOff>
      <xdr:row>106</xdr:row>
      <xdr:rowOff>180390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3D89AB-8358-4C30-8A06-FA3D183EC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239177</xdr:colOff>
      <xdr:row>145</xdr:row>
      <xdr:rowOff>102956</xdr:rowOff>
    </xdr:from>
    <xdr:to>
      <xdr:col>10</xdr:col>
      <xdr:colOff>123249</xdr:colOff>
      <xdr:row>164</xdr:row>
      <xdr:rowOff>83456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546456-6E1C-47F5-A590-74A73C223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394609</xdr:colOff>
      <xdr:row>122</xdr:row>
      <xdr:rowOff>57151</xdr:rowOff>
    </xdr:from>
    <xdr:to>
      <xdr:col>25</xdr:col>
      <xdr:colOff>210644</xdr:colOff>
      <xdr:row>141</xdr:row>
      <xdr:rowOff>37651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B67C0-4A82-4149-A293-FB3195AF3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183696</xdr:colOff>
      <xdr:row>130</xdr:row>
      <xdr:rowOff>125185</xdr:rowOff>
    </xdr:from>
    <xdr:to>
      <xdr:col>5</xdr:col>
      <xdr:colOff>285481</xdr:colOff>
      <xdr:row>149</xdr:row>
      <xdr:rowOff>105685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2DB641-D5A7-410A-A329-C12938DBE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34020</xdr:colOff>
      <xdr:row>95</xdr:row>
      <xdr:rowOff>125185</xdr:rowOff>
    </xdr:from>
    <xdr:to>
      <xdr:col>6</xdr:col>
      <xdr:colOff>612805</xdr:colOff>
      <xdr:row>114</xdr:row>
      <xdr:rowOff>105685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9D4536-B9DC-4ED5-B635-D3397C0ED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190500</xdr:colOff>
      <xdr:row>145</xdr:row>
      <xdr:rowOff>54428</xdr:rowOff>
    </xdr:from>
    <xdr:to>
      <xdr:col>18</xdr:col>
      <xdr:colOff>836572</xdr:colOff>
      <xdr:row>164</xdr:row>
      <xdr:rowOff>34928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C40028-2474-40C1-A007-6AAE89B22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285751</xdr:colOff>
      <xdr:row>144</xdr:row>
      <xdr:rowOff>122464</xdr:rowOff>
    </xdr:from>
    <xdr:to>
      <xdr:col>24</xdr:col>
      <xdr:colOff>591643</xdr:colOff>
      <xdr:row>163</xdr:row>
      <xdr:rowOff>102964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620193D-3FA5-45BE-98C7-B98BF1CED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87967</xdr:colOff>
      <xdr:row>79</xdr:row>
      <xdr:rowOff>176509</xdr:rowOff>
    </xdr:from>
    <xdr:to>
      <xdr:col>6</xdr:col>
      <xdr:colOff>739074</xdr:colOff>
      <xdr:row>98</xdr:row>
      <xdr:rowOff>157009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0B354-A7AF-460D-A285-7287B8019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189539</xdr:colOff>
      <xdr:row>121</xdr:row>
      <xdr:rowOff>79918</xdr:rowOff>
    </xdr:from>
    <xdr:to>
      <xdr:col>18</xdr:col>
      <xdr:colOff>475611</xdr:colOff>
      <xdr:row>141</xdr:row>
      <xdr:rowOff>49918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F890D-E230-4CC0-9BB7-967BB063D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841342</xdr:colOff>
      <xdr:row>126</xdr:row>
      <xdr:rowOff>157765</xdr:rowOff>
    </xdr:from>
    <xdr:to>
      <xdr:col>10</xdr:col>
      <xdr:colOff>545414</xdr:colOff>
      <xdr:row>146</xdr:row>
      <xdr:rowOff>127765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0FAA6-33A4-4689-98EA-178EEA2CD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488901</xdr:colOff>
      <xdr:row>86</xdr:row>
      <xdr:rowOff>189157</xdr:rowOff>
    </xdr:from>
    <xdr:to>
      <xdr:col>28</xdr:col>
      <xdr:colOff>165277</xdr:colOff>
      <xdr:row>106</xdr:row>
      <xdr:rowOff>30136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C7B2F-2152-46BC-AD0F-8681FADB6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239177</xdr:colOff>
      <xdr:row>145</xdr:row>
      <xdr:rowOff>102956</xdr:rowOff>
    </xdr:from>
    <xdr:to>
      <xdr:col>10</xdr:col>
      <xdr:colOff>123249</xdr:colOff>
      <xdr:row>164</xdr:row>
      <xdr:rowOff>83456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1E5473-63A1-4B3A-938D-B6E95519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183696</xdr:colOff>
      <xdr:row>130</xdr:row>
      <xdr:rowOff>125185</xdr:rowOff>
    </xdr:from>
    <xdr:to>
      <xdr:col>5</xdr:col>
      <xdr:colOff>285481</xdr:colOff>
      <xdr:row>149</xdr:row>
      <xdr:rowOff>105685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76C31-F82C-4785-B72A-8179F49B9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34020</xdr:colOff>
      <xdr:row>95</xdr:row>
      <xdr:rowOff>125185</xdr:rowOff>
    </xdr:from>
    <xdr:to>
      <xdr:col>6</xdr:col>
      <xdr:colOff>612805</xdr:colOff>
      <xdr:row>114</xdr:row>
      <xdr:rowOff>105685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FCDC66-2279-446A-AA98-BC8A1A609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190500</xdr:colOff>
      <xdr:row>145</xdr:row>
      <xdr:rowOff>54428</xdr:rowOff>
    </xdr:from>
    <xdr:to>
      <xdr:col>18</xdr:col>
      <xdr:colOff>836572</xdr:colOff>
      <xdr:row>164</xdr:row>
      <xdr:rowOff>34928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AD9650-1CD0-40B8-A15E-EF4DF567E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285751</xdr:colOff>
      <xdr:row>144</xdr:row>
      <xdr:rowOff>122464</xdr:rowOff>
    </xdr:from>
    <xdr:to>
      <xdr:col>24</xdr:col>
      <xdr:colOff>591643</xdr:colOff>
      <xdr:row>163</xdr:row>
      <xdr:rowOff>102964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62BC5C-13FE-4B81-AA2B-3F2E0D5DC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0891-C7D8-476E-B52E-D9B363E03FDB}">
  <sheetPr codeName="Sheet4"/>
  <dimension ref="A1:Y88"/>
  <sheetViews>
    <sheetView topLeftCell="A37" zoomScale="71" zoomScaleNormal="71" workbookViewId="0">
      <selection activeCell="E74" sqref="E74"/>
    </sheetView>
  </sheetViews>
  <sheetFormatPr defaultRowHeight="15" x14ac:dyDescent="0.25"/>
  <cols>
    <col min="1" max="1" width="14.85546875" bestFit="1" customWidth="1"/>
    <col min="3" max="3" width="17.140625" customWidth="1"/>
    <col min="4" max="4" width="14.140625" bestFit="1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9" max="19" width="13" bestFit="1" customWidth="1"/>
    <col min="20" max="20" width="9.140625" customWidth="1"/>
    <col min="21" max="21" width="13.85546875" bestFit="1" customWidth="1"/>
    <col min="22" max="22" width="11.42578125" bestFit="1" customWidth="1"/>
    <col min="23" max="23" width="12.28515625" bestFit="1" customWidth="1"/>
    <col min="24" max="25" width="10.4257812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AVERAGE(B3:B10)</f>
        <v>1274</v>
      </c>
      <c r="B3" s="2">
        <v>1217</v>
      </c>
      <c r="C3">
        <f>B3*2*PI()/60</f>
        <v>127.44394198062595</v>
      </c>
      <c r="D3" s="5">
        <v>1.00932326805629</v>
      </c>
      <c r="E3" s="8">
        <v>30.5131669813081</v>
      </c>
      <c r="F3" s="5">
        <v>4.2632226981025703</v>
      </c>
      <c r="G3" s="8">
        <v>38.469673882555703</v>
      </c>
      <c r="H3">
        <f t="shared" ref="H3:H30" si="0">G3+273.15</f>
        <v>311.61967388255567</v>
      </c>
      <c r="I3">
        <v>4</v>
      </c>
      <c r="J3" s="1">
        <f t="shared" ref="J3:J30" si="1">I3/60/1000</f>
        <v>6.666666666666667E-5</v>
      </c>
      <c r="K3">
        <v>30.592198151939574</v>
      </c>
      <c r="L3">
        <v>4.251841012112453</v>
      </c>
      <c r="M3">
        <f t="shared" ref="M3:M30" si="2">K3+273.15</f>
        <v>303.74219815193953</v>
      </c>
      <c r="N3">
        <f t="shared" ref="N3:N30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4.3603999999999997E-2</v>
      </c>
      <c r="X3" s="10">
        <v>265</v>
      </c>
    </row>
    <row r="4" spans="1:24" x14ac:dyDescent="0.25">
      <c r="B4" s="2">
        <v>1214</v>
      </c>
      <c r="C4">
        <f t="shared" ref="C4:C30" si="4">B4*2*PI()/60</f>
        <v>127.12978271526696</v>
      </c>
      <c r="D4" s="5">
        <v>1.0093740377162599</v>
      </c>
      <c r="E4" s="8">
        <v>30.53840403258803</v>
      </c>
      <c r="F4" s="5">
        <v>3.7487816777695127</v>
      </c>
      <c r="G4" s="8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30" si="5">R4/60/1000</f>
        <v>8.3148759828451999E-5</v>
      </c>
      <c r="U4">
        <v>38</v>
      </c>
      <c r="V4">
        <v>48</v>
      </c>
      <c r="W4" s="8">
        <v>4.3603999999999997E-2</v>
      </c>
      <c r="X4" s="10">
        <v>240</v>
      </c>
    </row>
    <row r="5" spans="1:24" x14ac:dyDescent="0.25">
      <c r="A5" s="3">
        <f>AVERAGE(G3:G7)</f>
        <v>39.638566942886214</v>
      </c>
      <c r="B5" s="2">
        <v>1217</v>
      </c>
      <c r="C5">
        <f t="shared" si="4"/>
        <v>127.44394198062595</v>
      </c>
      <c r="D5" s="5">
        <v>1.0100027712944923</v>
      </c>
      <c r="E5" s="8">
        <v>30.523255059465928</v>
      </c>
      <c r="F5" s="5">
        <v>3.411492883316626</v>
      </c>
      <c r="G5" s="8">
        <v>39.278800793004258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4.3603999999999997E-2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5">
        <v>1.00926410736023</v>
      </c>
      <c r="E6" s="8">
        <v>30.568783382737202</v>
      </c>
      <c r="F6" s="5">
        <v>3.0036465230416098</v>
      </c>
      <c r="G6" s="8">
        <v>40.450708190043798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4.3603999999999997E-2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5">
        <v>1.0094537558613399</v>
      </c>
      <c r="E7" s="8">
        <v>30.5281956689855</v>
      </c>
      <c r="F7" s="5">
        <v>2.3975521098447898</v>
      </c>
      <c r="G7" s="8">
        <v>40.146233053990002</v>
      </c>
      <c r="H7">
        <f t="shared" si="0"/>
        <v>313.29623305398997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>R7/60/1000</f>
        <v>1.6632764895962928E-4</v>
      </c>
      <c r="U7">
        <v>38</v>
      </c>
      <c r="V7">
        <v>48</v>
      </c>
      <c r="W7" s="8">
        <v>4.3603999999999997E-2</v>
      </c>
      <c r="X7" s="10">
        <v>195</v>
      </c>
    </row>
    <row r="8" spans="1:24" x14ac:dyDescent="0.25">
      <c r="B8" s="12"/>
      <c r="D8" s="5"/>
      <c r="E8" s="8"/>
      <c r="F8" s="5"/>
      <c r="G8" s="8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 s="5">
        <v>1.0094287437153799</v>
      </c>
      <c r="E9" s="8">
        <v>30.612974840972779</v>
      </c>
      <c r="F9" s="5">
        <v>5.253362586763715</v>
      </c>
      <c r="G9" s="8">
        <v>42.253028073273747</v>
      </c>
      <c r="H9">
        <f t="shared" si="0"/>
        <v>315.40302807327373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43</v>
      </c>
      <c r="V9">
        <v>54</v>
      </c>
      <c r="W9" s="3">
        <v>3.1711999999999997E-2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5">
        <v>1.0092810759105539</v>
      </c>
      <c r="E10" s="8">
        <v>30.581004375999676</v>
      </c>
      <c r="F10" s="5">
        <v>4.8223075689095696</v>
      </c>
      <c r="G10" s="8">
        <v>42.953073171144517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43</v>
      </c>
      <c r="V10">
        <v>54</v>
      </c>
      <c r="W10" s="3">
        <v>3.1711999999999997E-2</v>
      </c>
      <c r="X10" s="10">
        <v>280</v>
      </c>
    </row>
    <row r="11" spans="1:24" x14ac:dyDescent="0.25">
      <c r="A11" s="3">
        <f>AVERAGE(G10:G14)</f>
        <v>44.384191269147763</v>
      </c>
      <c r="B11" s="2">
        <v>1412</v>
      </c>
      <c r="C11">
        <f t="shared" si="4"/>
        <v>147.86429422895961</v>
      </c>
      <c r="D11" s="5">
        <v>1.0086912644002075</v>
      </c>
      <c r="E11" s="8">
        <v>30.622728786584258</v>
      </c>
      <c r="F11" s="5">
        <v>4.236297847863618</v>
      </c>
      <c r="G11" s="8">
        <v>43.47355288963702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43</v>
      </c>
      <c r="V11">
        <v>54</v>
      </c>
      <c r="W11" s="3">
        <v>3.1711999999999997E-2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5">
        <v>1.0077573177644057</v>
      </c>
      <c r="E12" s="8">
        <v>30.816080276902358</v>
      </c>
      <c r="F12" s="5">
        <v>3.661602244140135</v>
      </c>
      <c r="G12" s="8">
        <v>46.069186852835934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43</v>
      </c>
      <c r="V12">
        <v>54</v>
      </c>
      <c r="W12" s="3">
        <v>3.1711999999999997E-2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5">
        <v>1.0085733794744123</v>
      </c>
      <c r="E13" s="8">
        <v>30.635044840682401</v>
      </c>
      <c r="F13" s="5">
        <v>2.9220510847489072</v>
      </c>
      <c r="G13" s="8">
        <v>45.018485236153708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43</v>
      </c>
      <c r="V13">
        <v>54</v>
      </c>
      <c r="W13" s="3">
        <v>3.1711999999999997E-2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5">
        <v>1.0101998654115738</v>
      </c>
      <c r="E14" s="8">
        <v>30.714603931016253</v>
      </c>
      <c r="F14" s="5">
        <v>2.6698755104625538</v>
      </c>
      <c r="G14" s="8">
        <v>44.406658195967637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43</v>
      </c>
      <c r="V14">
        <v>54</v>
      </c>
      <c r="W14" s="3">
        <v>3.1711999999999997E-2</v>
      </c>
      <c r="X14" s="10">
        <v>205</v>
      </c>
    </row>
    <row r="15" spans="1:24" x14ac:dyDescent="0.25">
      <c r="B15" s="14"/>
      <c r="D15" s="5"/>
      <c r="E15" s="8"/>
      <c r="F15" s="5"/>
      <c r="G15" s="8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5">
        <v>1.0083333009861652</v>
      </c>
      <c r="E16" s="8">
        <v>30.610294022691615</v>
      </c>
      <c r="F16" s="5">
        <v>5.3598489235258446</v>
      </c>
      <c r="G16" s="8">
        <v>43.470274717189263</v>
      </c>
      <c r="H16">
        <f t="shared" si="0"/>
        <v>316.62027471718926</v>
      </c>
      <c r="I16">
        <v>5</v>
      </c>
      <c r="J16" s="1">
        <f t="shared" si="1"/>
        <v>8.3333333333333331E-5</v>
      </c>
      <c r="K16">
        <v>31.301886563534723</v>
      </c>
      <c r="L16">
        <v>5.3499444016932181</v>
      </c>
      <c r="M16">
        <f t="shared" si="2"/>
        <v>304.45188656353469</v>
      </c>
      <c r="N16">
        <f t="shared" si="3"/>
        <v>0.53499444016932185</v>
      </c>
      <c r="O16">
        <v>6.1302000000000003</v>
      </c>
      <c r="Q16">
        <f t="shared" ref="Q16:Q21" si="11">SQRT(1.2/O16)*SQRT(N16/0.101325)*SQRT(293.15/M16)</f>
        <v>0.99759725114213604</v>
      </c>
      <c r="R16">
        <f t="shared" ref="R16:R21" si="12">I16*Q16</f>
        <v>4.9879862557106804</v>
      </c>
      <c r="S16" s="7">
        <f>R16/60/1000</f>
        <v>8.3133104261844674E-5</v>
      </c>
      <c r="U16">
        <v>45</v>
      </c>
      <c r="V16">
        <v>58</v>
      </c>
      <c r="W16" s="8">
        <v>2.7747999999999998E-2</v>
      </c>
      <c r="X16" s="10">
        <v>287</v>
      </c>
    </row>
    <row r="17" spans="1:25" x14ac:dyDescent="0.25">
      <c r="B17" s="2">
        <v>1638</v>
      </c>
      <c r="C17">
        <f t="shared" si="4"/>
        <v>171.53095888600271</v>
      </c>
      <c r="D17" s="5">
        <v>1.0076793956943377</v>
      </c>
      <c r="E17" s="8">
        <v>30.547663333782278</v>
      </c>
      <c r="F17" s="5">
        <v>4.5488778229227878</v>
      </c>
      <c r="G17" s="8">
        <v>43.94469464255323</v>
      </c>
      <c r="H17">
        <f t="shared" si="0"/>
        <v>317.09469464255324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58</v>
      </c>
      <c r="W17" s="8">
        <v>2.7747999999999998E-2</v>
      </c>
      <c r="X17" s="10">
        <v>270</v>
      </c>
    </row>
    <row r="18" spans="1:25" x14ac:dyDescent="0.25">
      <c r="A18" s="3">
        <f>AVERAGE(G16:G21)</f>
        <v>45.823425249720117</v>
      </c>
      <c r="B18" s="2">
        <v>1639</v>
      </c>
      <c r="C18">
        <f t="shared" si="4"/>
        <v>171.63567864112238</v>
      </c>
      <c r="D18" s="5">
        <v>1.0095081019886243</v>
      </c>
      <c r="E18" s="8">
        <v>30.628921865606085</v>
      </c>
      <c r="F18" s="5">
        <v>3.6851917499746314</v>
      </c>
      <c r="G18" s="8">
        <v>45.13479868010257</v>
      </c>
      <c r="H18">
        <f t="shared" si="0"/>
        <v>318.28479868010254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58</v>
      </c>
      <c r="W18" s="8">
        <v>2.7747999999999998E-2</v>
      </c>
      <c r="X18" s="10">
        <v>235</v>
      </c>
    </row>
    <row r="19" spans="1:25" x14ac:dyDescent="0.25">
      <c r="B19" s="2">
        <v>1639</v>
      </c>
      <c r="C19">
        <f t="shared" si="4"/>
        <v>171.63567864112238</v>
      </c>
      <c r="D19" s="5">
        <v>1.0086524685865665</v>
      </c>
      <c r="E19" s="8">
        <v>30.622924679670273</v>
      </c>
      <c r="F19" s="5">
        <v>3.2641584944265172</v>
      </c>
      <c r="G19" s="8">
        <v>46.943107203221921</v>
      </c>
      <c r="H19">
        <f t="shared" si="0"/>
        <v>320.0931072032219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58</v>
      </c>
      <c r="W19" s="8">
        <v>2.7747999999999998E-2</v>
      </c>
      <c r="X19" s="10">
        <v>220</v>
      </c>
    </row>
    <row r="20" spans="1:25" x14ac:dyDescent="0.25">
      <c r="B20" s="2">
        <v>1639</v>
      </c>
      <c r="C20">
        <f t="shared" si="4"/>
        <v>171.63567864112238</v>
      </c>
      <c r="D20" s="5">
        <v>1.0091083977955064</v>
      </c>
      <c r="E20" s="8">
        <v>30.616946893747738</v>
      </c>
      <c r="F20" s="5">
        <v>3.0682354873155337</v>
      </c>
      <c r="G20" s="8">
        <v>48.030195935011974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58</v>
      </c>
      <c r="W20" s="8">
        <v>2.7747999999999998E-2</v>
      </c>
      <c r="X20" s="10">
        <v>215</v>
      </c>
    </row>
    <row r="21" spans="1:25" x14ac:dyDescent="0.25">
      <c r="B21" s="2">
        <v>1640</v>
      </c>
      <c r="C21">
        <f t="shared" si="4"/>
        <v>171.74039839624203</v>
      </c>
      <c r="D21" s="5">
        <v>1.0089421600028088</v>
      </c>
      <c r="E21" s="8">
        <v>30.660577754608099</v>
      </c>
      <c r="F21" s="5">
        <v>2.8293806275398508</v>
      </c>
      <c r="G21" s="8">
        <v>47.417480320241744</v>
      </c>
      <c r="H21">
        <f t="shared" si="0"/>
        <v>320.56748032024171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58</v>
      </c>
      <c r="W21" s="8">
        <v>2.7747999999999998E-2</v>
      </c>
      <c r="X21" s="10">
        <v>205</v>
      </c>
    </row>
    <row r="22" spans="1:25" x14ac:dyDescent="0.25">
      <c r="B22" s="14"/>
      <c r="D22" s="5"/>
      <c r="E22" s="8"/>
      <c r="F22" s="5"/>
      <c r="G22" s="8"/>
      <c r="J22" s="1"/>
      <c r="S22" s="15"/>
    </row>
    <row r="23" spans="1:25" x14ac:dyDescent="0.25">
      <c r="A23" s="3">
        <f>AVERAGE(B23:B30)</f>
        <v>1838.5</v>
      </c>
      <c r="B23" s="2">
        <v>1837</v>
      </c>
      <c r="C23">
        <f t="shared" si="4"/>
        <v>192.37019015481502</v>
      </c>
      <c r="D23" s="5">
        <v>1.0074809569159044</v>
      </c>
      <c r="E23" s="8">
        <v>30.849170721143583</v>
      </c>
      <c r="F23" s="5">
        <v>5.0653949430406557</v>
      </c>
      <c r="G23" s="8">
        <v>49.552490253392484</v>
      </c>
      <c r="H23">
        <f t="shared" si="0"/>
        <v>322.70249025339245</v>
      </c>
      <c r="I23">
        <v>9</v>
      </c>
      <c r="J23" s="1">
        <f t="shared" ref="J23:J24" si="14">I23/60/1000</f>
        <v>1.4999999999999999E-4</v>
      </c>
      <c r="K23">
        <v>34.911742272595383</v>
      </c>
      <c r="L23">
        <v>5.0324751973883091</v>
      </c>
      <c r="M23">
        <f t="shared" ref="M23:M24" si="15">K23+273.15</f>
        <v>308.06174227259538</v>
      </c>
      <c r="N23">
        <f t="shared" ref="N23:N24" si="16">L23/10</f>
        <v>0.50324751973883086</v>
      </c>
      <c r="O23">
        <v>5.6976000000000004</v>
      </c>
      <c r="Q23">
        <f t="shared" ref="Q23:Q30" si="17">SQRT(1.2/O23)*SQRT(N23/0.101325)*SQRT(293.15/M23)</f>
        <v>0.99770747454028219</v>
      </c>
      <c r="R23">
        <f t="shared" ref="R23:R30" si="18">I23*Q23</f>
        <v>8.9793672708625394</v>
      </c>
      <c r="S23" s="7">
        <f t="shared" ref="S23:S24" si="19">R23/60/1000</f>
        <v>1.4965612118104232E-4</v>
      </c>
      <c r="U23">
        <v>48</v>
      </c>
      <c r="V23">
        <v>64</v>
      </c>
      <c r="W23" s="8">
        <v>2.1801999999999998E-2</v>
      </c>
      <c r="X23" s="10">
        <v>280</v>
      </c>
    </row>
    <row r="24" spans="1:25" x14ac:dyDescent="0.25">
      <c r="B24" s="2">
        <v>1838</v>
      </c>
      <c r="C24">
        <f t="shared" si="4"/>
        <v>192.47490990993464</v>
      </c>
      <c r="D24" s="5">
        <v>1.0063833162082423</v>
      </c>
      <c r="E24" s="8">
        <v>30.76201711395526</v>
      </c>
      <c r="F24" s="5">
        <v>5.112710058958517</v>
      </c>
      <c r="G24" s="8">
        <v>47.556274872386432</v>
      </c>
      <c r="H24">
        <f t="shared" si="0"/>
        <v>320.70627487238642</v>
      </c>
      <c r="I24">
        <v>9</v>
      </c>
      <c r="J24" s="1">
        <f t="shared" si="14"/>
        <v>1.4999999999999999E-4</v>
      </c>
      <c r="K24">
        <v>32.57027436070107</v>
      </c>
      <c r="L24">
        <v>5.079087990467352</v>
      </c>
      <c r="M24">
        <f t="shared" si="15"/>
        <v>305.72027436070107</v>
      </c>
      <c r="N24">
        <f t="shared" si="16"/>
        <v>0.50790879904673525</v>
      </c>
      <c r="O24">
        <v>5.7949999999999999</v>
      </c>
      <c r="Q24">
        <f t="shared" si="17"/>
        <v>0.99765709146696913</v>
      </c>
      <c r="R24">
        <f t="shared" si="18"/>
        <v>8.9789138232027224</v>
      </c>
      <c r="S24" s="7">
        <f t="shared" si="19"/>
        <v>1.4964856372004536E-4</v>
      </c>
      <c r="U24">
        <v>48</v>
      </c>
      <c r="V24">
        <v>64</v>
      </c>
      <c r="W24" s="8">
        <v>2.1801999999999998E-2</v>
      </c>
      <c r="X24" s="10">
        <v>280</v>
      </c>
    </row>
    <row r="25" spans="1:25" x14ac:dyDescent="0.25">
      <c r="A25" s="3">
        <f>AVERAGE(G23:G30)</f>
        <v>48.965377092856045</v>
      </c>
      <c r="B25" s="2">
        <v>1837</v>
      </c>
      <c r="C25">
        <f t="shared" si="4"/>
        <v>192.37019015481502</v>
      </c>
      <c r="D25" s="5">
        <v>1.0076637581773951</v>
      </c>
      <c r="E25" s="8">
        <v>30.854876597503971</v>
      </c>
      <c r="F25" s="5">
        <v>4.5816778072219542</v>
      </c>
      <c r="G25" s="8">
        <v>49.648556094417991</v>
      </c>
      <c r="H25">
        <f t="shared" si="0"/>
        <v>322.79855609441796</v>
      </c>
      <c r="I25">
        <v>10</v>
      </c>
      <c r="J25" s="1">
        <f t="shared" si="1"/>
        <v>1.6666666666666666E-4</v>
      </c>
      <c r="K25">
        <v>33.965123681967277</v>
      </c>
      <c r="L25">
        <v>4.5450850240495768</v>
      </c>
      <c r="M25">
        <f t="shared" si="2"/>
        <v>307.11512368196725</v>
      </c>
      <c r="N25">
        <f t="shared" si="3"/>
        <v>0.45450850240495766</v>
      </c>
      <c r="O25">
        <v>5.1612999999999998</v>
      </c>
      <c r="Q25">
        <f t="shared" si="17"/>
        <v>0.99774168860402668</v>
      </c>
      <c r="R25">
        <f t="shared" si="18"/>
        <v>9.9774168860402668</v>
      </c>
      <c r="S25" s="7">
        <f t="shared" si="5"/>
        <v>1.6629028143400445E-4</v>
      </c>
      <c r="U25">
        <v>48</v>
      </c>
      <c r="V25">
        <v>64</v>
      </c>
      <c r="W25" s="8">
        <v>2.1801999999999998E-2</v>
      </c>
      <c r="X25" s="10">
        <v>270</v>
      </c>
    </row>
    <row r="26" spans="1:25" x14ac:dyDescent="0.25">
      <c r="B26" s="2">
        <v>1839</v>
      </c>
      <c r="C26">
        <f>B26*2*PI()/60</f>
        <v>192.57962966505431</v>
      </c>
      <c r="D26" s="5">
        <v>1.007937890712175</v>
      </c>
      <c r="E26" s="8">
        <v>30.707389246709546</v>
      </c>
      <c r="F26" s="5">
        <v>4.0282260804900449</v>
      </c>
      <c r="G26" s="8">
        <v>47.598924246369272</v>
      </c>
      <c r="H26">
        <f t="shared" si="0"/>
        <v>320.74892424636926</v>
      </c>
      <c r="I26">
        <v>12</v>
      </c>
      <c r="J26" s="1">
        <f t="shared" si="1"/>
        <v>2.0000000000000001E-4</v>
      </c>
      <c r="K26">
        <v>32.938857350692899</v>
      </c>
      <c r="L26">
        <v>3.9826238950298061</v>
      </c>
      <c r="M26">
        <f t="shared" si="2"/>
        <v>306.08885735069288</v>
      </c>
      <c r="N26">
        <f t="shared" si="3"/>
        <v>0.3982623895029806</v>
      </c>
      <c r="O26">
        <v>4.5373000000000001</v>
      </c>
      <c r="Q26">
        <f t="shared" si="17"/>
        <v>0.99779059487469979</v>
      </c>
      <c r="R26">
        <f t="shared" si="18"/>
        <v>11.973487138496397</v>
      </c>
      <c r="S26" s="7">
        <f t="shared" si="5"/>
        <v>1.9955811897493994E-4</v>
      </c>
      <c r="U26">
        <v>48</v>
      </c>
      <c r="V26">
        <v>64</v>
      </c>
      <c r="W26" s="8">
        <v>2.1801999999999998E-2</v>
      </c>
      <c r="X26" s="10">
        <v>260</v>
      </c>
    </row>
    <row r="27" spans="1:25" x14ac:dyDescent="0.25">
      <c r="B27" s="2">
        <v>1839</v>
      </c>
      <c r="C27">
        <f t="shared" si="4"/>
        <v>192.57962966505431</v>
      </c>
      <c r="D27" s="5">
        <v>1.0083960489740302</v>
      </c>
      <c r="E27" s="8">
        <v>30.783007727180575</v>
      </c>
      <c r="F27" s="5">
        <v>3.9074120702939243</v>
      </c>
      <c r="G27" s="8">
        <v>50.371808006417567</v>
      </c>
      <c r="H27">
        <f t="shared" si="0"/>
        <v>323.52180800641753</v>
      </c>
      <c r="I27">
        <v>14</v>
      </c>
      <c r="J27" s="1">
        <f t="shared" si="1"/>
        <v>2.3333333333333333E-4</v>
      </c>
      <c r="K27">
        <v>33.085523294711152</v>
      </c>
      <c r="L27">
        <v>3.8540107834774919</v>
      </c>
      <c r="M27">
        <f t="shared" si="2"/>
        <v>306.23552329471113</v>
      </c>
      <c r="N27">
        <f t="shared" si="3"/>
        <v>0.38540107834774917</v>
      </c>
      <c r="O27">
        <v>4.3884999999999996</v>
      </c>
      <c r="Q27">
        <f t="shared" si="17"/>
        <v>0.99781009571940138</v>
      </c>
      <c r="R27">
        <f t="shared" si="18"/>
        <v>13.969341340071619</v>
      </c>
      <c r="S27" s="7">
        <f t="shared" si="5"/>
        <v>2.328223556678603E-4</v>
      </c>
      <c r="U27">
        <v>48</v>
      </c>
      <c r="V27">
        <v>64</v>
      </c>
      <c r="W27" s="8">
        <v>2.1801999999999998E-2</v>
      </c>
      <c r="X27" s="10">
        <v>255</v>
      </c>
    </row>
    <row r="28" spans="1:25" x14ac:dyDescent="0.25">
      <c r="B28" s="2">
        <v>1839</v>
      </c>
      <c r="C28">
        <f t="shared" si="4"/>
        <v>192.57962966505431</v>
      </c>
      <c r="D28" s="5">
        <v>1.0075465725805357</v>
      </c>
      <c r="E28" s="8">
        <v>30.654826109108207</v>
      </c>
      <c r="F28" s="5">
        <v>3.6533986868675403</v>
      </c>
      <c r="G28" s="8">
        <v>46.402179551899437</v>
      </c>
      <c r="H28">
        <f t="shared" si="0"/>
        <v>319.55217955189943</v>
      </c>
      <c r="I28">
        <v>16</v>
      </c>
      <c r="J28" s="1">
        <f t="shared" si="1"/>
        <v>2.6666666666666668E-4</v>
      </c>
      <c r="K28">
        <v>32.704388837077452</v>
      </c>
      <c r="L28">
        <v>3.5880844465849808</v>
      </c>
      <c r="M28">
        <f t="shared" si="2"/>
        <v>305.85438883707741</v>
      </c>
      <c r="N28">
        <f t="shared" si="3"/>
        <v>0.35880844465849809</v>
      </c>
      <c r="O28">
        <v>4.0906000000000002</v>
      </c>
      <c r="Q28">
        <f t="shared" si="17"/>
        <v>0.9978326918355499</v>
      </c>
      <c r="R28">
        <f t="shared" si="18"/>
        <v>15.965323069368798</v>
      </c>
      <c r="S28" s="7">
        <f t="shared" si="5"/>
        <v>2.6608871782281328E-4</v>
      </c>
      <c r="U28">
        <v>48</v>
      </c>
      <c r="V28">
        <v>64</v>
      </c>
      <c r="W28" s="8">
        <v>2.1801999999999998E-2</v>
      </c>
      <c r="X28" s="10">
        <v>235</v>
      </c>
    </row>
    <row r="29" spans="1:25" x14ac:dyDescent="0.25">
      <c r="B29" s="2">
        <v>1839</v>
      </c>
      <c r="C29">
        <f t="shared" si="4"/>
        <v>192.57962966505431</v>
      </c>
      <c r="D29" s="5">
        <v>1.007730407897355</v>
      </c>
      <c r="E29" s="8">
        <v>30.822986667073145</v>
      </c>
      <c r="F29" s="5">
        <v>3.0732756854133072</v>
      </c>
      <c r="G29" s="8">
        <v>50.602444253388761</v>
      </c>
      <c r="H29">
        <f t="shared" si="0"/>
        <v>323.75244425338872</v>
      </c>
      <c r="I29">
        <v>18</v>
      </c>
      <c r="J29" s="1">
        <f t="shared" si="1"/>
        <v>2.9999999999999997E-4</v>
      </c>
      <c r="K29">
        <v>34.160465950496068</v>
      </c>
      <c r="L29">
        <v>3.0036641094433802</v>
      </c>
      <c r="M29">
        <f t="shared" si="2"/>
        <v>307.31046595049605</v>
      </c>
      <c r="N29">
        <f t="shared" si="3"/>
        <v>0.30036641094433802</v>
      </c>
      <c r="O29">
        <v>3.4075000000000002</v>
      </c>
      <c r="Q29">
        <f t="shared" si="17"/>
        <v>0.99792141125745404</v>
      </c>
      <c r="R29">
        <f t="shared" si="18"/>
        <v>17.962585402634172</v>
      </c>
      <c r="S29" s="7">
        <f t="shared" si="5"/>
        <v>2.9937642337723617E-4</v>
      </c>
      <c r="U29">
        <v>48</v>
      </c>
      <c r="V29">
        <v>64</v>
      </c>
      <c r="W29" s="8">
        <v>2.1801999999999998E-2</v>
      </c>
      <c r="X29" s="10">
        <v>215</v>
      </c>
    </row>
    <row r="30" spans="1:25" x14ac:dyDescent="0.25">
      <c r="B30" s="2">
        <v>1840</v>
      </c>
      <c r="C30">
        <f t="shared" si="4"/>
        <v>192.68434942017399</v>
      </c>
      <c r="D30" s="5">
        <v>1.0069040471898754</v>
      </c>
      <c r="E30" s="8">
        <v>30.824160851514335</v>
      </c>
      <c r="F30" s="5">
        <v>2.6401044471753301</v>
      </c>
      <c r="G30" s="8">
        <v>49.990339464576451</v>
      </c>
      <c r="H30">
        <f t="shared" si="0"/>
        <v>323.14033946457641</v>
      </c>
      <c r="I30">
        <v>21</v>
      </c>
      <c r="J30" s="1">
        <f t="shared" si="1"/>
        <v>3.5E-4</v>
      </c>
      <c r="K30">
        <v>35.299841353881696</v>
      </c>
      <c r="L30">
        <v>2.5573256010264003</v>
      </c>
      <c r="M30">
        <f t="shared" si="2"/>
        <v>308.44984135388165</v>
      </c>
      <c r="N30">
        <f t="shared" si="3"/>
        <v>0.25573256010264001</v>
      </c>
      <c r="O30">
        <v>2.8900999999999999</v>
      </c>
      <c r="Q30">
        <f t="shared" si="17"/>
        <v>0.99797938124444174</v>
      </c>
      <c r="R30">
        <f t="shared" si="18"/>
        <v>20.957567006133278</v>
      </c>
      <c r="S30" s="7">
        <f t="shared" si="5"/>
        <v>3.4929278343555462E-4</v>
      </c>
      <c r="U30">
        <v>48</v>
      </c>
      <c r="V30">
        <v>64</v>
      </c>
      <c r="W30" s="8">
        <v>2.1801999999999998E-2</v>
      </c>
      <c r="X30" s="10">
        <v>205</v>
      </c>
    </row>
    <row r="31" spans="1:25" x14ac:dyDescent="0.25">
      <c r="D31" s="5"/>
      <c r="E31" s="8"/>
      <c r="F31" s="5"/>
      <c r="G31" s="8"/>
    </row>
    <row r="32" spans="1:25" x14ac:dyDescent="0.25">
      <c r="A32" s="3">
        <f>AVERAGE(B32:B40)</f>
        <v>2110.8888888888887</v>
      </c>
      <c r="B32" s="2">
        <v>2101</v>
      </c>
      <c r="C32">
        <f t="shared" ref="C32" si="20">B32*2*PI()/60</f>
        <v>220.01620550640519</v>
      </c>
      <c r="D32" s="5">
        <v>1.0059023703814414</v>
      </c>
      <c r="E32" s="8">
        <v>31.697879180218969</v>
      </c>
      <c r="F32" s="5">
        <v>5.0545578692872928</v>
      </c>
      <c r="G32" s="8">
        <v>50.736525871403359</v>
      </c>
      <c r="H32">
        <f t="shared" ref="H32:H40" si="21">G32+273.15</f>
        <v>323.88652587140336</v>
      </c>
      <c r="I32">
        <v>10</v>
      </c>
      <c r="J32" s="1">
        <f t="shared" ref="J32:J40" si="22">I32/60/1000</f>
        <v>1.6666666666666666E-4</v>
      </c>
      <c r="K32">
        <v>34.915330330526842</v>
      </c>
      <c r="L32">
        <v>5.0217427317420364</v>
      </c>
      <c r="M32">
        <f t="shared" ref="M32:M40" si="23">K32+273.15</f>
        <v>308.06533033052682</v>
      </c>
      <c r="N32">
        <f t="shared" ref="N32:N40" si="24">L32/10</f>
        <v>0.5021742731742036</v>
      </c>
      <c r="O32">
        <v>5.6853999999999996</v>
      </c>
      <c r="Q32">
        <f t="shared" ref="Q32:Q40" si="25">SQRT(1.2/O32)*SQRT(N32/0.101325)*SQRT(293.15/M32)</f>
        <v>0.99770596911223208</v>
      </c>
      <c r="R32">
        <f>I32*Q32</f>
        <v>9.9770596911223208</v>
      </c>
      <c r="S32" s="7">
        <f>R32/60/1000</f>
        <v>1.6628432818537199E-4</v>
      </c>
      <c r="U32">
        <v>55</v>
      </c>
      <c r="V32">
        <v>72</v>
      </c>
      <c r="W32" s="8">
        <v>1.7838E-2</v>
      </c>
      <c r="X32" s="10">
        <v>280</v>
      </c>
      <c r="Y32">
        <v>1.7838E-2</v>
      </c>
    </row>
    <row r="33" spans="1:25" x14ac:dyDescent="0.25">
      <c r="B33" s="2">
        <v>2112</v>
      </c>
      <c r="C33">
        <f>B33*2*PI()/60</f>
        <v>221.16812281272144</v>
      </c>
      <c r="D33" s="5">
        <v>1.0061059491213908</v>
      </c>
      <c r="E33" s="8">
        <v>32.0262582611306</v>
      </c>
      <c r="F33" s="5">
        <v>4.4350470643170885</v>
      </c>
      <c r="G33" s="8">
        <v>49.99081342244255</v>
      </c>
      <c r="H33">
        <f t="shared" si="21"/>
        <v>323.14081342244253</v>
      </c>
      <c r="I33">
        <v>11.5</v>
      </c>
      <c r="J33" s="1">
        <f t="shared" si="22"/>
        <v>1.9166666666666667E-4</v>
      </c>
      <c r="K33">
        <v>36.091330242567508</v>
      </c>
      <c r="L33">
        <v>4.398073191126322</v>
      </c>
      <c r="M33">
        <f t="shared" si="23"/>
        <v>309.24133024256747</v>
      </c>
      <c r="N33">
        <f t="shared" si="24"/>
        <v>0.43980731911263221</v>
      </c>
      <c r="O33">
        <v>4.9595000000000002</v>
      </c>
      <c r="Q33">
        <f t="shared" si="25"/>
        <v>0.99779374850115632</v>
      </c>
      <c r="R33">
        <f t="shared" ref="R33:R40" si="26">I33*Q33</f>
        <v>11.474628107763298</v>
      </c>
      <c r="S33" s="7">
        <f t="shared" ref="S33:S40" si="27">R33/60/1000</f>
        <v>1.9124380179605496E-4</v>
      </c>
      <c r="U33">
        <v>55</v>
      </c>
      <c r="V33">
        <v>72</v>
      </c>
      <c r="W33" s="8">
        <v>1.7838E-2</v>
      </c>
      <c r="X33" s="10">
        <v>270</v>
      </c>
      <c r="Y33">
        <v>1.7838E-2</v>
      </c>
    </row>
    <row r="34" spans="1:25" x14ac:dyDescent="0.25">
      <c r="B34" s="2">
        <v>2114</v>
      </c>
      <c r="C34">
        <f t="shared" ref="C34:C39" si="28">B34*2*PI()/60</f>
        <v>221.37756232296076</v>
      </c>
      <c r="D34" s="5">
        <v>1.0066583740337631</v>
      </c>
      <c r="E34" s="8">
        <v>32.048058065891794</v>
      </c>
      <c r="F34" s="5">
        <v>4.2201346805617597</v>
      </c>
      <c r="G34" s="8">
        <v>48.984398003218239</v>
      </c>
      <c r="H34">
        <f t="shared" si="21"/>
        <v>322.13439800321822</v>
      </c>
      <c r="I34">
        <v>12</v>
      </c>
      <c r="J34" s="1">
        <f t="shared" si="22"/>
        <v>2.0000000000000001E-4</v>
      </c>
      <c r="K34">
        <v>34.992384663945479</v>
      </c>
      <c r="L34">
        <v>4.1866511988703801</v>
      </c>
      <c r="M34">
        <f t="shared" si="23"/>
        <v>308.14238466394545</v>
      </c>
      <c r="N34">
        <f t="shared" si="24"/>
        <v>0.41866511988703803</v>
      </c>
      <c r="O34">
        <v>4.7378999999999998</v>
      </c>
      <c r="Q34">
        <f t="shared" si="25"/>
        <v>0.99779653516182709</v>
      </c>
      <c r="R34">
        <f t="shared" si="26"/>
        <v>11.973558421941926</v>
      </c>
      <c r="S34" s="7">
        <f t="shared" si="27"/>
        <v>1.9955930703236544E-4</v>
      </c>
      <c r="U34">
        <v>55</v>
      </c>
      <c r="V34">
        <v>72</v>
      </c>
      <c r="W34" s="8">
        <v>1.7838E-2</v>
      </c>
      <c r="X34" s="10">
        <v>265</v>
      </c>
      <c r="Y34">
        <v>1.7838E-2</v>
      </c>
    </row>
    <row r="35" spans="1:25" x14ac:dyDescent="0.25">
      <c r="A35" s="3">
        <f>AVERAGE(G32:G40)</f>
        <v>52.122160892238504</v>
      </c>
      <c r="B35" s="2">
        <v>2109</v>
      </c>
      <c r="C35">
        <f t="shared" si="28"/>
        <v>220.85396354736247</v>
      </c>
      <c r="D35" s="5">
        <v>1.0053780492937701</v>
      </c>
      <c r="E35" s="8">
        <v>31.985109146263699</v>
      </c>
      <c r="F35" s="5">
        <v>4.1660023180827803</v>
      </c>
      <c r="G35" s="8">
        <v>55.883603288041698</v>
      </c>
      <c r="H35">
        <f t="shared" si="21"/>
        <v>329.03360328804166</v>
      </c>
      <c r="I35">
        <v>12.5</v>
      </c>
      <c r="J35" s="1">
        <f t="shared" si="22"/>
        <v>2.0833333333333335E-4</v>
      </c>
      <c r="K35">
        <v>34.345290109700692</v>
      </c>
      <c r="L35">
        <v>4.1244500716481038</v>
      </c>
      <c r="M35">
        <f t="shared" si="23"/>
        <v>307.49529010970065</v>
      </c>
      <c r="N35">
        <f t="shared" si="24"/>
        <v>0.41244500716481036</v>
      </c>
      <c r="O35">
        <v>4.6772999999999998</v>
      </c>
      <c r="Q35">
        <f t="shared" si="25"/>
        <v>0.99779987275164905</v>
      </c>
      <c r="R35">
        <f t="shared" si="26"/>
        <v>12.472498409395612</v>
      </c>
      <c r="S35" s="7">
        <f t="shared" si="27"/>
        <v>2.0787497348992686E-4</v>
      </c>
      <c r="U35">
        <v>55</v>
      </c>
      <c r="V35">
        <v>72</v>
      </c>
      <c r="W35" s="8">
        <v>1.7838E-2</v>
      </c>
      <c r="X35" s="10">
        <v>265</v>
      </c>
      <c r="Y35">
        <v>1.7838E-2</v>
      </c>
    </row>
    <row r="36" spans="1:25" x14ac:dyDescent="0.25">
      <c r="A36" s="6"/>
      <c r="B36" s="2">
        <v>2114</v>
      </c>
      <c r="C36">
        <f t="shared" si="28"/>
        <v>221.37756232296076</v>
      </c>
      <c r="D36" s="5">
        <v>1.0066982516283061</v>
      </c>
      <c r="E36" s="8">
        <v>32.005684453369334</v>
      </c>
      <c r="F36" s="5">
        <v>4.003856630921188</v>
      </c>
      <c r="G36" s="8">
        <v>49.199552467406384</v>
      </c>
      <c r="H36">
        <f t="shared" si="21"/>
        <v>322.34955246740634</v>
      </c>
      <c r="I36">
        <v>14</v>
      </c>
      <c r="J36" s="1">
        <f t="shared" si="22"/>
        <v>2.3333333333333333E-4</v>
      </c>
      <c r="K36">
        <v>35.22898377743342</v>
      </c>
      <c r="L36">
        <v>3.9611569214138527</v>
      </c>
      <c r="M36">
        <f t="shared" si="23"/>
        <v>308.3789837774334</v>
      </c>
      <c r="N36">
        <f t="shared" si="24"/>
        <v>0.39611569214138526</v>
      </c>
      <c r="O36">
        <v>4.4790000000000001</v>
      </c>
      <c r="Q36">
        <f t="shared" si="25"/>
        <v>0.99782727755777623</v>
      </c>
      <c r="R36">
        <f t="shared" si="26"/>
        <v>13.969581885808868</v>
      </c>
      <c r="S36" s="7">
        <f t="shared" si="27"/>
        <v>2.3282636476348111E-4</v>
      </c>
      <c r="U36">
        <v>55</v>
      </c>
      <c r="V36">
        <v>72</v>
      </c>
      <c r="W36" s="8">
        <v>1.7838E-2</v>
      </c>
      <c r="X36" s="10">
        <v>260</v>
      </c>
      <c r="Y36">
        <v>1.7838E-2</v>
      </c>
    </row>
    <row r="37" spans="1:25" x14ac:dyDescent="0.25">
      <c r="B37" s="2">
        <v>2112</v>
      </c>
      <c r="C37">
        <f t="shared" si="28"/>
        <v>221.16812281272144</v>
      </c>
      <c r="D37" s="5">
        <v>1.0062165914400862</v>
      </c>
      <c r="E37" s="8">
        <v>31.970314452969511</v>
      </c>
      <c r="F37" s="5">
        <v>3.8882416114697662</v>
      </c>
      <c r="G37" s="8">
        <v>51.115333189585478</v>
      </c>
      <c r="H37">
        <f t="shared" si="21"/>
        <v>324.26533318958548</v>
      </c>
      <c r="I37">
        <v>16</v>
      </c>
      <c r="J37" s="1">
        <f t="shared" si="22"/>
        <v>2.6666666666666668E-4</v>
      </c>
      <c r="K37">
        <v>36.995893647839196</v>
      </c>
      <c r="L37">
        <v>3.838953350045629</v>
      </c>
      <c r="M37">
        <f t="shared" si="23"/>
        <v>310.14589364783916</v>
      </c>
      <c r="N37">
        <f t="shared" si="24"/>
        <v>0.38389533500456291</v>
      </c>
      <c r="O37">
        <v>4.3156999999999996</v>
      </c>
      <c r="Q37">
        <f t="shared" si="25"/>
        <v>0.99787247161187964</v>
      </c>
      <c r="R37">
        <f t="shared" si="26"/>
        <v>15.965959545790074</v>
      </c>
      <c r="S37" s="7">
        <f t="shared" si="27"/>
        <v>2.6609932576316791E-4</v>
      </c>
      <c r="U37">
        <v>55</v>
      </c>
      <c r="V37">
        <v>72</v>
      </c>
      <c r="W37" s="8">
        <v>1.7838E-2</v>
      </c>
      <c r="X37" s="10">
        <v>250</v>
      </c>
      <c r="Y37">
        <v>1.7838E-2</v>
      </c>
    </row>
    <row r="38" spans="1:25" x14ac:dyDescent="0.25">
      <c r="B38" s="2">
        <v>2111</v>
      </c>
      <c r="C38">
        <f t="shared" si="28"/>
        <v>221.06340305760176</v>
      </c>
      <c r="D38" s="5">
        <v>1.00622035047064</v>
      </c>
      <c r="E38" s="8">
        <v>32.022331469804698</v>
      </c>
      <c r="F38" s="5">
        <v>3.69061358519046</v>
      </c>
      <c r="G38" s="8">
        <v>55.823943947719599</v>
      </c>
      <c r="H38">
        <f t="shared" si="21"/>
        <v>328.97394394771959</v>
      </c>
      <c r="I38">
        <v>17</v>
      </c>
      <c r="J38" s="1">
        <f t="shared" si="22"/>
        <v>2.833333333333333E-4</v>
      </c>
      <c r="K38">
        <v>35.183946946549369</v>
      </c>
      <c r="L38">
        <v>3.6382551740685782</v>
      </c>
      <c r="M38">
        <f t="shared" si="23"/>
        <v>308.33394694654936</v>
      </c>
      <c r="N38">
        <f t="shared" si="24"/>
        <v>0.36382551740685781</v>
      </c>
      <c r="O38">
        <v>4.1142000000000003</v>
      </c>
      <c r="Q38">
        <f t="shared" si="25"/>
        <v>0.99786197341373895</v>
      </c>
      <c r="R38">
        <f t="shared" si="26"/>
        <v>16.963653548033562</v>
      </c>
      <c r="S38" s="7">
        <f t="shared" si="27"/>
        <v>2.827275591338927E-4</v>
      </c>
      <c r="U38">
        <v>55</v>
      </c>
      <c r="V38">
        <v>72</v>
      </c>
      <c r="W38" s="8">
        <v>1.7838E-2</v>
      </c>
      <c r="X38" s="10">
        <v>240</v>
      </c>
      <c r="Y38">
        <v>1.7838E-2</v>
      </c>
    </row>
    <row r="39" spans="1:25" x14ac:dyDescent="0.25">
      <c r="B39" s="2">
        <v>2112</v>
      </c>
      <c r="C39">
        <f t="shared" si="28"/>
        <v>221.16812281272144</v>
      </c>
      <c r="D39" s="5">
        <v>1.0075471234151576</v>
      </c>
      <c r="E39" s="8">
        <v>31.981519437650153</v>
      </c>
      <c r="F39" s="5">
        <v>3.3424664174525525</v>
      </c>
      <c r="G39" s="8">
        <v>54.463514185662618</v>
      </c>
      <c r="H39">
        <f t="shared" si="21"/>
        <v>327.61351418566261</v>
      </c>
      <c r="I39">
        <v>19</v>
      </c>
      <c r="J39" s="1">
        <f t="shared" si="22"/>
        <v>3.1666666666666665E-4</v>
      </c>
      <c r="K39">
        <v>36.165910744740373</v>
      </c>
      <c r="L39">
        <v>3.2729093370781328</v>
      </c>
      <c r="M39">
        <f t="shared" si="23"/>
        <v>309.31591074474034</v>
      </c>
      <c r="N39">
        <f t="shared" si="24"/>
        <v>0.32729093370781326</v>
      </c>
      <c r="O39">
        <v>3.6888999999999998</v>
      </c>
      <c r="Q39">
        <f t="shared" si="25"/>
        <v>0.99791760042068167</v>
      </c>
      <c r="R39">
        <f t="shared" si="26"/>
        <v>18.960434407992953</v>
      </c>
      <c r="S39" s="7">
        <f t="shared" si="27"/>
        <v>3.1600724013321587E-4</v>
      </c>
      <c r="U39">
        <v>55</v>
      </c>
      <c r="V39">
        <v>72</v>
      </c>
      <c r="W39" s="8">
        <v>1.7838E-2</v>
      </c>
      <c r="X39" s="10">
        <v>225</v>
      </c>
      <c r="Y39">
        <v>1.7838E-2</v>
      </c>
    </row>
    <row r="40" spans="1:25" x14ac:dyDescent="0.25">
      <c r="B40" s="2">
        <v>2113</v>
      </c>
      <c r="C40">
        <f>B40*2*PI()/60</f>
        <v>221.27284256784108</v>
      </c>
      <c r="D40" s="5">
        <v>1.00657455969937</v>
      </c>
      <c r="E40" s="8">
        <v>32.002248517148502</v>
      </c>
      <c r="F40" s="5">
        <v>2.5472304393617602</v>
      </c>
      <c r="G40" s="8">
        <v>52.901763654666603</v>
      </c>
      <c r="H40">
        <f t="shared" si="21"/>
        <v>326.05176365466656</v>
      </c>
      <c r="I40">
        <v>26</v>
      </c>
      <c r="J40" s="1">
        <f t="shared" si="22"/>
        <v>4.3333333333333337E-4</v>
      </c>
      <c r="K40">
        <v>37.109925562862749</v>
      </c>
      <c r="L40">
        <v>2.4564213377189379</v>
      </c>
      <c r="M40">
        <f t="shared" si="23"/>
        <v>310.25992556286275</v>
      </c>
      <c r="N40">
        <f t="shared" si="24"/>
        <v>0.24564213377189378</v>
      </c>
      <c r="O40">
        <v>2.7597</v>
      </c>
      <c r="Q40">
        <f t="shared" si="25"/>
        <v>0.99801005747028537</v>
      </c>
      <c r="R40">
        <f t="shared" si="26"/>
        <v>25.94826149422742</v>
      </c>
      <c r="S40" s="7">
        <f t="shared" si="27"/>
        <v>4.3247102490379037E-4</v>
      </c>
      <c r="U40">
        <v>55</v>
      </c>
      <c r="V40">
        <v>72</v>
      </c>
      <c r="W40" s="8">
        <v>1.7838E-2</v>
      </c>
      <c r="X40" s="10">
        <v>200</v>
      </c>
      <c r="Y40">
        <v>1.7838E-2</v>
      </c>
    </row>
    <row r="45" spans="1:25" ht="21" x14ac:dyDescent="0.35">
      <c r="D45" s="28"/>
      <c r="E45" s="60" t="s">
        <v>6</v>
      </c>
      <c r="F45" s="60"/>
      <c r="G45" s="60"/>
      <c r="H45" s="34"/>
      <c r="I45" s="34"/>
      <c r="J45" s="28"/>
      <c r="K45" s="61" t="s">
        <v>5</v>
      </c>
      <c r="L45" s="61"/>
      <c r="M45" s="61"/>
      <c r="N45" s="29"/>
      <c r="O45" s="60" t="s">
        <v>4</v>
      </c>
      <c r="P45" s="60"/>
      <c r="Q45" s="60"/>
      <c r="S45" s="13"/>
      <c r="T45" s="62" t="s">
        <v>19</v>
      </c>
      <c r="U45" s="62"/>
      <c r="V45" s="62"/>
      <c r="W45" s="62"/>
      <c r="X45" s="62"/>
      <c r="Y45" s="62"/>
    </row>
    <row r="46" spans="1:25" ht="18.75" x14ac:dyDescent="0.3">
      <c r="D46" s="30" t="s">
        <v>35</v>
      </c>
      <c r="E46" s="31" t="s">
        <v>23</v>
      </c>
      <c r="F46" s="31" t="s">
        <v>1</v>
      </c>
      <c r="G46" s="31" t="s">
        <v>0</v>
      </c>
      <c r="H46" s="35"/>
      <c r="I46" s="35"/>
      <c r="J46" s="30" t="s">
        <v>3</v>
      </c>
      <c r="K46" s="31" t="s">
        <v>23</v>
      </c>
      <c r="L46" s="31" t="s">
        <v>1</v>
      </c>
      <c r="M46" s="31" t="s">
        <v>2</v>
      </c>
      <c r="N46" s="31"/>
      <c r="O46" s="31" t="s">
        <v>23</v>
      </c>
      <c r="P46" s="31" t="s">
        <v>1</v>
      </c>
      <c r="Q46" s="31" t="s">
        <v>0</v>
      </c>
      <c r="T46" s="32" t="s">
        <v>21</v>
      </c>
      <c r="U46" s="33" t="s">
        <v>20</v>
      </c>
      <c r="V46" s="32" t="s">
        <v>24</v>
      </c>
      <c r="W46" s="33" t="s">
        <v>18</v>
      </c>
      <c r="X46" s="32" t="s">
        <v>25</v>
      </c>
      <c r="Y46" s="33" t="s">
        <v>22</v>
      </c>
    </row>
    <row r="47" spans="1:25" x14ac:dyDescent="0.25">
      <c r="B47" s="2">
        <f>B3</f>
        <v>1217</v>
      </c>
      <c r="C47" s="10">
        <f>B47*2*PI()/60</f>
        <v>127.44394198062595</v>
      </c>
      <c r="D47" s="25">
        <f>F3</f>
        <v>4.2632226981025703</v>
      </c>
      <c r="E47">
        <v>0.37519999999999998</v>
      </c>
      <c r="G47" s="5">
        <f>S3*O3*1000</f>
        <v>0.3247321478042306</v>
      </c>
      <c r="H47" s="36"/>
      <c r="I47" s="36"/>
      <c r="J47" s="25">
        <v>4.2444180924655104</v>
      </c>
      <c r="K47">
        <v>229.81809999999999</v>
      </c>
      <c r="M47" s="5">
        <f>C47*Q47</f>
        <v>219.923995478764</v>
      </c>
      <c r="O47">
        <v>1.8032999999999999</v>
      </c>
      <c r="Q47" s="5">
        <v>1.7256528012308101</v>
      </c>
      <c r="T47" s="9">
        <f>(E47-G47)/E47</f>
        <v>0.13450920094821264</v>
      </c>
      <c r="U47" s="4" t="e">
        <f>(F47-G47)/F47</f>
        <v>#DIV/0!</v>
      </c>
      <c r="V47" s="38">
        <f>(K47-M47)/M47</f>
        <v>4.498874486022772E-2</v>
      </c>
      <c r="W47" s="38">
        <f>(L47-M47)/M47</f>
        <v>-1</v>
      </c>
      <c r="X47" s="4">
        <f>(O47-Q47)/Q47</f>
        <v>4.4995840828356934E-2</v>
      </c>
      <c r="Y47" s="4">
        <f>(P47-Q47)/Q47</f>
        <v>-1</v>
      </c>
    </row>
    <row r="48" spans="1:25" x14ac:dyDescent="0.25">
      <c r="A48" s="22">
        <f>AVERAGE(B47:B51)</f>
        <v>1216</v>
      </c>
      <c r="B48" s="2">
        <f>B4</f>
        <v>1214</v>
      </c>
      <c r="C48" s="10">
        <f t="shared" ref="C48:C51" si="29">B48*2*PI()/60</f>
        <v>127.12978271526696</v>
      </c>
      <c r="D48" s="25">
        <f>F4</f>
        <v>3.7487816777695127</v>
      </c>
      <c r="G48" s="5">
        <f>S4*O4*1000</f>
        <v>0.35673312429200765</v>
      </c>
      <c r="H48" s="36"/>
      <c r="I48" s="36"/>
      <c r="J48" s="25">
        <v>3.7878232240313827</v>
      </c>
      <c r="M48" s="5">
        <f>C48*Q48</f>
        <v>201.06346911209982</v>
      </c>
      <c r="Q48" s="5">
        <v>1.5815607076307401</v>
      </c>
      <c r="T48" s="9" t="e">
        <f>(E48-G48)/E48</f>
        <v>#DIV/0!</v>
      </c>
      <c r="U48" s="4" t="e">
        <f>(F48-G48)/F48</f>
        <v>#DIV/0!</v>
      </c>
      <c r="V48" s="38">
        <f t="shared" ref="V48:V67" si="30">(K48-M48)/M48</f>
        <v>-1</v>
      </c>
      <c r="W48" s="38">
        <f t="shared" ref="W48:W67" si="31">(L48-M48)/M48</f>
        <v>-1</v>
      </c>
      <c r="X48" s="4">
        <f t="shared" ref="X48:X67" si="32">(O48-Q48)/Q48</f>
        <v>-1</v>
      </c>
      <c r="Y48" s="4">
        <f t="shared" ref="Y48:Y67" si="33">(P48-Q48)/Q48</f>
        <v>-1</v>
      </c>
    </row>
    <row r="49" spans="1:25" x14ac:dyDescent="0.25">
      <c r="A49" s="23"/>
      <c r="B49" s="2">
        <f>B5</f>
        <v>1217</v>
      </c>
      <c r="C49" s="10">
        <f t="shared" si="29"/>
        <v>127.44394198062595</v>
      </c>
      <c r="D49" s="25">
        <f>F5</f>
        <v>3.411492883316626</v>
      </c>
      <c r="G49" s="5">
        <f>S5*O5*1000</f>
        <v>0.45316198723503576</v>
      </c>
      <c r="H49" s="36"/>
      <c r="I49" s="36"/>
      <c r="J49" s="25">
        <v>3.4480098649583537</v>
      </c>
      <c r="M49" s="5">
        <f>C49*Q49</f>
        <v>193.63025834579085</v>
      </c>
      <c r="Q49" s="5">
        <v>1.5193367008000001</v>
      </c>
      <c r="T49" s="9" t="e">
        <f>(E49-G49)/E49</f>
        <v>#DIV/0!</v>
      </c>
      <c r="U49" s="4" t="e">
        <f>(F49-G49)/F49</f>
        <v>#DIV/0!</v>
      </c>
      <c r="V49" s="38">
        <f t="shared" si="30"/>
        <v>-1</v>
      </c>
      <c r="W49" s="38">
        <f t="shared" si="31"/>
        <v>-1</v>
      </c>
      <c r="X49" s="4">
        <f t="shared" si="32"/>
        <v>-1</v>
      </c>
      <c r="Y49" s="4">
        <f t="shared" si="33"/>
        <v>-1</v>
      </c>
    </row>
    <row r="50" spans="1:25" x14ac:dyDescent="0.25">
      <c r="A50" s="23"/>
      <c r="B50" s="2">
        <f>B6</f>
        <v>1215</v>
      </c>
      <c r="C50" s="10">
        <f t="shared" si="29"/>
        <v>127.23450247038662</v>
      </c>
      <c r="D50" s="25">
        <f>F6</f>
        <v>3.0036465230416098</v>
      </c>
      <c r="G50" s="5">
        <f>S6*O6*1000</f>
        <v>0.45543527309811571</v>
      </c>
      <c r="H50" s="36"/>
      <c r="I50" s="36"/>
      <c r="J50" s="25">
        <v>3.0515120209205819</v>
      </c>
      <c r="M50" s="5">
        <f>C50*Q50</f>
        <v>176.89683334223687</v>
      </c>
      <c r="Q50" s="5">
        <v>1.39032125648001</v>
      </c>
      <c r="T50" s="9" t="e">
        <f>(E50-G50)/E50</f>
        <v>#DIV/0!</v>
      </c>
      <c r="U50" s="4" t="e">
        <f>(F50-G50)/F50</f>
        <v>#DIV/0!</v>
      </c>
      <c r="V50" s="38">
        <f t="shared" si="30"/>
        <v>-1</v>
      </c>
      <c r="W50" s="38">
        <f t="shared" si="31"/>
        <v>-1</v>
      </c>
      <c r="X50" s="4">
        <f t="shared" si="32"/>
        <v>-1</v>
      </c>
      <c r="Y50" s="4">
        <f t="shared" si="33"/>
        <v>-1</v>
      </c>
    </row>
    <row r="51" spans="1:25" x14ac:dyDescent="0.25">
      <c r="A51" s="23"/>
      <c r="B51" s="2">
        <f>B7</f>
        <v>1217</v>
      </c>
      <c r="C51" s="10">
        <f t="shared" si="29"/>
        <v>127.44394198062595</v>
      </c>
      <c r="D51" s="25">
        <f>F7</f>
        <v>2.3975521098447898</v>
      </c>
      <c r="E51">
        <v>0.43459999999999999</v>
      </c>
      <c r="G51" s="5">
        <f>S7*O7*1000</f>
        <v>0.45359213147780497</v>
      </c>
      <c r="H51" s="36"/>
      <c r="I51" s="36"/>
      <c r="J51" s="25">
        <v>2.2725055761034807</v>
      </c>
      <c r="K51">
        <v>157.7713</v>
      </c>
      <c r="M51" s="5">
        <f>C51*Q51</f>
        <v>150.01311193399283</v>
      </c>
      <c r="O51">
        <v>1.238</v>
      </c>
      <c r="Q51" s="5">
        <v>1.1770909593866601</v>
      </c>
      <c r="T51" s="9">
        <f>(E51-G51)/E51</f>
        <v>-4.3700256506684278E-2</v>
      </c>
      <c r="U51" s="4" t="e">
        <f>(F51-G51)/F51</f>
        <v>#DIV/0!</v>
      </c>
      <c r="V51" s="38">
        <f t="shared" si="30"/>
        <v>5.1716733064112688E-2</v>
      </c>
      <c r="W51" s="38">
        <f t="shared" si="31"/>
        <v>-1</v>
      </c>
      <c r="X51" s="4">
        <f t="shared" si="32"/>
        <v>5.1745398371827969E-2</v>
      </c>
      <c r="Y51" s="4">
        <f t="shared" si="33"/>
        <v>-1</v>
      </c>
    </row>
    <row r="52" spans="1:25" x14ac:dyDescent="0.25">
      <c r="A52" s="24"/>
      <c r="B52" s="19"/>
      <c r="C52" s="16"/>
      <c r="D52" s="20"/>
      <c r="E52" s="16"/>
      <c r="F52" s="16"/>
      <c r="G52" s="16"/>
      <c r="H52" s="36"/>
      <c r="I52" s="36"/>
      <c r="J52" s="20"/>
      <c r="K52" s="16"/>
      <c r="L52" s="16"/>
      <c r="M52" s="16"/>
      <c r="N52" s="16"/>
      <c r="O52" s="16"/>
      <c r="P52" s="16"/>
      <c r="Q52" s="16"/>
      <c r="R52" s="16"/>
      <c r="S52" s="16"/>
      <c r="T52" s="17"/>
      <c r="U52" s="18"/>
      <c r="V52" s="18"/>
      <c r="W52" s="18"/>
      <c r="X52" s="18"/>
      <c r="Y52" s="18"/>
    </row>
    <row r="53" spans="1:25" x14ac:dyDescent="0.25">
      <c r="A53" s="24"/>
      <c r="B53" s="16"/>
      <c r="C53" s="16"/>
      <c r="D53" s="20"/>
      <c r="E53" s="16"/>
      <c r="F53" s="16"/>
      <c r="G53" s="16"/>
      <c r="H53" s="36"/>
      <c r="I53" s="36"/>
      <c r="J53" s="20"/>
      <c r="K53" s="16"/>
      <c r="L53" s="16"/>
      <c r="M53" s="16"/>
      <c r="N53" s="16"/>
      <c r="O53" s="16"/>
      <c r="P53" s="16"/>
      <c r="Q53" s="16"/>
      <c r="R53" s="16"/>
      <c r="S53" s="16"/>
      <c r="T53" s="17"/>
      <c r="U53" s="18"/>
      <c r="V53" s="18"/>
      <c r="W53" s="18"/>
      <c r="X53" s="18"/>
      <c r="Y53" s="18"/>
    </row>
    <row r="54" spans="1:25" x14ac:dyDescent="0.25">
      <c r="B54" s="2">
        <v>1427</v>
      </c>
      <c r="C54" s="10">
        <f>B54*2*PI()/60</f>
        <v>149.4350905557545</v>
      </c>
      <c r="D54" s="25">
        <f t="shared" ref="D54:D59" si="34">F9</f>
        <v>5.253362586763715</v>
      </c>
      <c r="E54">
        <v>0.47920000000000001</v>
      </c>
      <c r="G54" s="5">
        <f t="shared" ref="G54:G59" si="35">S9*O9*1000</f>
        <v>0.49942621079699617</v>
      </c>
      <c r="H54" s="36"/>
      <c r="I54" s="36"/>
      <c r="J54" s="25">
        <v>5.2406701587576698</v>
      </c>
      <c r="K54">
        <v>303.82069999999999</v>
      </c>
      <c r="M54" s="5">
        <f>C54*Q54</f>
        <v>312.41254145595809</v>
      </c>
      <c r="O54">
        <v>2.0331000000000001</v>
      </c>
      <c r="Q54" s="5">
        <v>2.0906236968444598</v>
      </c>
      <c r="T54" s="9">
        <f t="shared" ref="T54:T59" si="36">(E54-G54)/E54</f>
        <v>-4.2208286304249075E-2</v>
      </c>
      <c r="U54" s="4" t="e">
        <f t="shared" ref="U54:U59" si="37">(F54-G54)/F54</f>
        <v>#DIV/0!</v>
      </c>
      <c r="V54" s="38">
        <f t="shared" ref="V54:V58" si="38">(K54-M54)/M54</f>
        <v>-2.7501589455778384E-2</v>
      </c>
      <c r="W54" s="38">
        <f t="shared" ref="W54:W58" si="39">(L54-M54)/M54</f>
        <v>-1</v>
      </c>
      <c r="X54" s="4">
        <f t="shared" ref="X54:X58" si="40">(O54-Q54)/Q54</f>
        <v>-2.7515088885333428E-2</v>
      </c>
      <c r="Y54" s="4">
        <f>(P54-Q54)/Q54</f>
        <v>-1</v>
      </c>
    </row>
    <row r="55" spans="1:25" x14ac:dyDescent="0.25">
      <c r="A55" s="22">
        <f>AVERAGE(B54:B59)</f>
        <v>1416.6666666666667</v>
      </c>
      <c r="B55" s="2">
        <f>B10</f>
        <v>1411</v>
      </c>
      <c r="C55" s="10">
        <f>B55*2*PI()/60</f>
        <v>147.75957447383993</v>
      </c>
      <c r="D55" s="25">
        <f t="shared" si="34"/>
        <v>4.8223075689095696</v>
      </c>
      <c r="E55">
        <v>0.47799999999999998</v>
      </c>
      <c r="G55" s="5">
        <f t="shared" si="35"/>
        <v>0.51458234662294589</v>
      </c>
      <c r="H55" s="36"/>
      <c r="I55" s="36"/>
      <c r="J55" s="25">
        <v>4.8223075689095696</v>
      </c>
      <c r="K55">
        <v>286.3227</v>
      </c>
      <c r="M55" s="5">
        <f>Q55*C55</f>
        <v>277.23925387205941</v>
      </c>
      <c r="O55">
        <v>1.9378</v>
      </c>
      <c r="Q55" s="5">
        <v>1.8762862228000201</v>
      </c>
      <c r="T55" s="9">
        <f t="shared" si="36"/>
        <v>-7.653210590574458E-2</v>
      </c>
      <c r="U55" s="4" t="e">
        <f t="shared" si="37"/>
        <v>#DIV/0!</v>
      </c>
      <c r="V55" s="38">
        <f t="shared" si="38"/>
        <v>3.2763925025322806E-2</v>
      </c>
      <c r="W55" s="38">
        <f t="shared" si="39"/>
        <v>-1</v>
      </c>
      <c r="X55" s="4">
        <f t="shared" si="40"/>
        <v>3.2784857903066407E-2</v>
      </c>
      <c r="Y55" s="4">
        <f t="shared" ref="Y55:Y58" si="41">(P55-Q55)/Q55</f>
        <v>-1</v>
      </c>
    </row>
    <row r="56" spans="1:25" x14ac:dyDescent="0.25">
      <c r="A56" s="23"/>
      <c r="B56" s="2">
        <f>B11</f>
        <v>1412</v>
      </c>
      <c r="C56" s="10">
        <f t="shared" ref="C56:C59" si="42">B56*2*PI()/60</f>
        <v>147.86429422895961</v>
      </c>
      <c r="D56" s="25">
        <f t="shared" si="34"/>
        <v>4.236297847863618</v>
      </c>
      <c r="G56" s="5">
        <f t="shared" si="35"/>
        <v>0.48213212885652895</v>
      </c>
      <c r="H56" s="36"/>
      <c r="I56" s="36"/>
      <c r="J56" s="25">
        <v>4.2133657686475736</v>
      </c>
      <c r="M56" s="5">
        <f>C56*Q56</f>
        <v>252.5835649599077</v>
      </c>
      <c r="Q56" s="5">
        <v>1.7082120215499501</v>
      </c>
      <c r="T56" s="9" t="e">
        <f t="shared" si="36"/>
        <v>#DIV/0!</v>
      </c>
      <c r="U56" s="4" t="e">
        <f t="shared" si="37"/>
        <v>#DIV/0!</v>
      </c>
      <c r="V56" s="38">
        <f t="shared" si="38"/>
        <v>-1</v>
      </c>
      <c r="W56" s="38">
        <f t="shared" si="39"/>
        <v>-1</v>
      </c>
      <c r="X56" s="4">
        <f t="shared" si="40"/>
        <v>-1</v>
      </c>
      <c r="Y56" s="4">
        <f t="shared" si="41"/>
        <v>-1</v>
      </c>
    </row>
    <row r="57" spans="1:25" x14ac:dyDescent="0.25">
      <c r="A57" s="23"/>
      <c r="B57" s="2">
        <f>B12</f>
        <v>1415</v>
      </c>
      <c r="C57" s="10">
        <f t="shared" si="42"/>
        <v>148.17845349431857</v>
      </c>
      <c r="D57" s="25">
        <f t="shared" si="34"/>
        <v>3.661602244140135</v>
      </c>
      <c r="G57" s="5">
        <f t="shared" si="35"/>
        <v>0.55282985811386409</v>
      </c>
      <c r="H57" s="36"/>
      <c r="I57" s="36"/>
      <c r="J57" s="25">
        <v>3.6648343363992262</v>
      </c>
      <c r="M57" s="5">
        <f>C57*Q57</f>
        <v>233.85095355199863</v>
      </c>
      <c r="Q57" s="5">
        <v>1.5781711040800199</v>
      </c>
      <c r="T57" s="9" t="e">
        <f t="shared" si="36"/>
        <v>#DIV/0!</v>
      </c>
      <c r="U57" s="4" t="e">
        <f t="shared" si="37"/>
        <v>#DIV/0!</v>
      </c>
      <c r="V57" s="38">
        <f t="shared" si="38"/>
        <v>-1</v>
      </c>
      <c r="W57" s="38">
        <f t="shared" si="39"/>
        <v>-1</v>
      </c>
      <c r="X57" s="4">
        <f t="shared" si="40"/>
        <v>-1</v>
      </c>
      <c r="Y57" s="4">
        <f t="shared" si="41"/>
        <v>-1</v>
      </c>
    </row>
    <row r="58" spans="1:25" x14ac:dyDescent="0.25">
      <c r="A58" s="23"/>
      <c r="B58" s="2">
        <f>B13</f>
        <v>1412</v>
      </c>
      <c r="C58" s="10">
        <f t="shared" si="42"/>
        <v>147.86429422895961</v>
      </c>
      <c r="D58" s="25">
        <f t="shared" si="34"/>
        <v>2.9220510847489072</v>
      </c>
      <c r="G58" s="5">
        <f t="shared" si="35"/>
        <v>0.55064360312853888</v>
      </c>
      <c r="H58" s="36"/>
      <c r="I58" s="36"/>
      <c r="J58" s="25">
        <v>2.9593285147529595</v>
      </c>
      <c r="M58" s="5">
        <f>C58*Q58</f>
        <v>203.92491114934344</v>
      </c>
      <c r="Q58" s="5">
        <v>1.37913559330001</v>
      </c>
      <c r="T58" s="9" t="e">
        <f t="shared" si="36"/>
        <v>#DIV/0!</v>
      </c>
      <c r="U58" s="4" t="e">
        <f t="shared" si="37"/>
        <v>#DIV/0!</v>
      </c>
      <c r="V58" s="38">
        <f t="shared" si="38"/>
        <v>-1</v>
      </c>
      <c r="W58" s="38">
        <f t="shared" si="39"/>
        <v>-1</v>
      </c>
      <c r="X58" s="4">
        <f t="shared" si="40"/>
        <v>-1</v>
      </c>
      <c r="Y58" s="4">
        <f t="shared" si="41"/>
        <v>-1</v>
      </c>
    </row>
    <row r="59" spans="1:25" x14ac:dyDescent="0.25">
      <c r="A59" s="23"/>
      <c r="B59" s="2">
        <f>B14</f>
        <v>1423</v>
      </c>
      <c r="C59" s="10">
        <f t="shared" si="42"/>
        <v>149.01621153527586</v>
      </c>
      <c r="D59" s="25">
        <f t="shared" si="34"/>
        <v>2.6698755104625538</v>
      </c>
      <c r="E59">
        <v>0.54700000000000004</v>
      </c>
      <c r="G59" s="5">
        <f t="shared" si="35"/>
        <v>0.60090268980389583</v>
      </c>
      <c r="H59" s="36"/>
      <c r="I59" s="36"/>
      <c r="J59" s="25">
        <v>2.6546208338669319</v>
      </c>
      <c r="K59">
        <v>196.13929999999999</v>
      </c>
      <c r="M59" s="5">
        <f>C59*Q59</f>
        <v>199.07794559162474</v>
      </c>
      <c r="O59">
        <v>1.3162</v>
      </c>
      <c r="Q59" s="5">
        <v>1.3359482403999918</v>
      </c>
      <c r="T59" s="9">
        <f t="shared" si="36"/>
        <v>-9.8542394522661392E-2</v>
      </c>
      <c r="U59" s="4" t="e">
        <f t="shared" si="37"/>
        <v>#DIV/0!</v>
      </c>
      <c r="V59" s="38">
        <f t="shared" si="30"/>
        <v>-1.4761281481439891E-2</v>
      </c>
      <c r="W59" s="38">
        <f t="shared" si="31"/>
        <v>-1</v>
      </c>
      <c r="X59" s="4">
        <f>(O59-Q59)/Q59</f>
        <v>-1.4782189760644495E-2</v>
      </c>
      <c r="Y59" s="4">
        <f t="shared" si="33"/>
        <v>-1</v>
      </c>
    </row>
    <row r="60" spans="1:25" x14ac:dyDescent="0.25">
      <c r="A60" s="24"/>
      <c r="B60" s="16"/>
      <c r="C60" s="16"/>
      <c r="D60" s="20"/>
      <c r="E60" s="16"/>
      <c r="F60" s="16"/>
      <c r="G60" s="16"/>
      <c r="H60" s="36"/>
      <c r="I60" s="36"/>
      <c r="J60" s="20"/>
      <c r="K60" s="16"/>
      <c r="L60" s="16"/>
      <c r="M60" s="16"/>
      <c r="N60" s="16"/>
      <c r="O60" s="16"/>
      <c r="P60" s="16"/>
      <c r="Q60" s="16"/>
      <c r="R60" s="16"/>
      <c r="S60" s="16"/>
      <c r="T60" s="17"/>
      <c r="U60" s="18"/>
      <c r="V60" s="18"/>
      <c r="W60" s="18"/>
      <c r="X60" s="18"/>
      <c r="Y60" s="18"/>
    </row>
    <row r="61" spans="1:25" x14ac:dyDescent="0.25">
      <c r="A61" s="24"/>
      <c r="B61" s="16"/>
      <c r="C61" s="16"/>
      <c r="D61" s="20"/>
      <c r="E61" s="16"/>
      <c r="F61" s="16"/>
      <c r="G61" s="16"/>
      <c r="H61" s="36"/>
      <c r="I61" s="36"/>
      <c r="J61" s="20"/>
      <c r="K61" s="16"/>
      <c r="L61" s="16"/>
      <c r="M61" s="16"/>
      <c r="N61" s="16"/>
      <c r="O61" s="16"/>
      <c r="P61" s="16"/>
      <c r="Q61" s="16"/>
      <c r="R61" s="16"/>
      <c r="S61" s="16"/>
      <c r="T61" s="17"/>
      <c r="U61" s="18"/>
      <c r="V61" s="18"/>
      <c r="W61" s="18"/>
      <c r="X61" s="18"/>
      <c r="Y61" s="18"/>
    </row>
    <row r="62" spans="1:25" x14ac:dyDescent="0.25">
      <c r="B62" s="2">
        <f t="shared" ref="B62:B67" si="43">B16</f>
        <v>1638</v>
      </c>
      <c r="C62" s="10">
        <f t="shared" ref="C62:C67" si="44">B62*2*PI()/60</f>
        <v>171.53095888600271</v>
      </c>
      <c r="D62" s="25">
        <f t="shared" ref="D62:D67" si="45">F16</f>
        <v>5.3598489235258446</v>
      </c>
      <c r="G62" s="5">
        <f t="shared" ref="G62:G67" si="46">S16*O16*1000</f>
        <v>0.50962255574596027</v>
      </c>
      <c r="H62" s="36"/>
      <c r="I62" s="36"/>
      <c r="J62" s="25">
        <v>5.2676677023988514</v>
      </c>
      <c r="M62" s="5">
        <f t="shared" ref="M62:M67" si="47">C62*Q62</f>
        <v>350.36119156039933</v>
      </c>
      <c r="Q62" s="5">
        <v>2.0425536814799998</v>
      </c>
      <c r="T62" s="9" t="e">
        <f t="shared" ref="T62:T67" si="48">(E62-G62)/E62</f>
        <v>#DIV/0!</v>
      </c>
      <c r="U62" s="4" t="e">
        <f t="shared" ref="U62:U67" si="49">(F62-G62)/F62</f>
        <v>#DIV/0!</v>
      </c>
      <c r="V62" s="38">
        <f t="shared" si="30"/>
        <v>-1</v>
      </c>
      <c r="W62" s="38">
        <f t="shared" si="31"/>
        <v>-1</v>
      </c>
      <c r="X62" s="4">
        <f t="shared" si="32"/>
        <v>-1</v>
      </c>
      <c r="Y62" s="4">
        <f t="shared" si="33"/>
        <v>-1</v>
      </c>
    </row>
    <row r="63" spans="1:25" x14ac:dyDescent="0.25">
      <c r="A63" s="22">
        <f>AVERAGE(B62:B67)</f>
        <v>1638.8333333333333</v>
      </c>
      <c r="B63" s="2">
        <f t="shared" si="43"/>
        <v>1638</v>
      </c>
      <c r="C63" s="10">
        <f t="shared" si="44"/>
        <v>171.53095888600271</v>
      </c>
      <c r="D63" s="25">
        <f t="shared" si="45"/>
        <v>4.5488778229227878</v>
      </c>
      <c r="G63" s="5">
        <f t="shared" si="46"/>
        <v>0.60263466997840687</v>
      </c>
      <c r="H63" s="36"/>
      <c r="I63" s="36"/>
      <c r="J63" s="25">
        <v>4.5360871409008512</v>
      </c>
      <c r="M63" s="5">
        <f t="shared" si="47"/>
        <v>318.37107478027991</v>
      </c>
      <c r="Q63" s="5">
        <v>1.85605605453337</v>
      </c>
      <c r="T63" s="9" t="e">
        <f t="shared" si="48"/>
        <v>#DIV/0!</v>
      </c>
      <c r="U63" s="4" t="e">
        <f t="shared" si="49"/>
        <v>#DIV/0!</v>
      </c>
      <c r="V63" s="38">
        <f t="shared" si="30"/>
        <v>-1</v>
      </c>
      <c r="W63" s="38">
        <f t="shared" si="31"/>
        <v>-1</v>
      </c>
      <c r="X63" s="4">
        <f t="shared" si="32"/>
        <v>-1</v>
      </c>
      <c r="Y63" s="4">
        <f t="shared" si="33"/>
        <v>-1</v>
      </c>
    </row>
    <row r="64" spans="1:25" x14ac:dyDescent="0.25">
      <c r="A64" s="22"/>
      <c r="B64" s="2">
        <f t="shared" si="43"/>
        <v>1639</v>
      </c>
      <c r="C64" s="10">
        <f t="shared" si="44"/>
        <v>171.63567864112238</v>
      </c>
      <c r="D64" s="25">
        <f t="shared" si="45"/>
        <v>3.6851917499746314</v>
      </c>
      <c r="G64" s="5">
        <f t="shared" si="46"/>
        <v>0.69666610752823155</v>
      </c>
      <c r="H64" s="36"/>
      <c r="I64" s="36"/>
      <c r="J64" s="25">
        <v>3.6590501925338441</v>
      </c>
      <c r="M64" s="5">
        <f t="shared" si="47"/>
        <v>289.30173145285579</v>
      </c>
      <c r="Q64" s="5">
        <v>1.6855570691555599</v>
      </c>
      <c r="T64" s="9" t="e">
        <f t="shared" si="48"/>
        <v>#DIV/0!</v>
      </c>
      <c r="U64" s="4" t="e">
        <f t="shared" si="49"/>
        <v>#DIV/0!</v>
      </c>
      <c r="V64" s="38">
        <f t="shared" si="30"/>
        <v>-1</v>
      </c>
      <c r="W64" s="38">
        <f t="shared" si="31"/>
        <v>-1</v>
      </c>
      <c r="X64" s="4">
        <f t="shared" si="32"/>
        <v>-1</v>
      </c>
      <c r="Y64" s="4">
        <f t="shared" si="33"/>
        <v>-1</v>
      </c>
    </row>
    <row r="65" spans="1:25" x14ac:dyDescent="0.25">
      <c r="A65" s="23"/>
      <c r="B65" s="2">
        <f t="shared" si="43"/>
        <v>1639</v>
      </c>
      <c r="C65" s="10">
        <f t="shared" si="44"/>
        <v>171.63567864112238</v>
      </c>
      <c r="D65" s="25">
        <f t="shared" si="45"/>
        <v>3.2641584944265172</v>
      </c>
      <c r="G65" s="5">
        <f t="shared" si="46"/>
        <v>0.73556884310464887</v>
      </c>
      <c r="H65" s="36"/>
      <c r="I65" s="36"/>
      <c r="J65" s="25">
        <v>3.2748617732348366</v>
      </c>
      <c r="M65" s="5">
        <f t="shared" si="47"/>
        <v>271.84554968579704</v>
      </c>
      <c r="Q65" s="5">
        <v>1.58385221440005</v>
      </c>
      <c r="T65" s="9" t="e">
        <f t="shared" si="48"/>
        <v>#DIV/0!</v>
      </c>
      <c r="U65" s="4" t="e">
        <f t="shared" si="49"/>
        <v>#DIV/0!</v>
      </c>
      <c r="V65" s="38">
        <f t="shared" si="30"/>
        <v>-1</v>
      </c>
      <c r="W65" s="38">
        <f>(L65-M65)/M65</f>
        <v>-1</v>
      </c>
      <c r="X65" s="4">
        <f t="shared" si="32"/>
        <v>-1</v>
      </c>
      <c r="Y65" s="4">
        <f t="shared" si="33"/>
        <v>-1</v>
      </c>
    </row>
    <row r="66" spans="1:25" x14ac:dyDescent="0.25">
      <c r="A66" s="23"/>
      <c r="B66" s="2">
        <f t="shared" si="43"/>
        <v>1639</v>
      </c>
      <c r="C66" s="10">
        <f t="shared" si="44"/>
        <v>171.63567864112238</v>
      </c>
      <c r="D66" s="25">
        <f t="shared" si="45"/>
        <v>3.0682354873155337</v>
      </c>
      <c r="G66" s="5">
        <f t="shared" si="46"/>
        <v>0.80311495788323939</v>
      </c>
      <c r="H66" s="36"/>
      <c r="I66" s="36"/>
      <c r="J66" s="25">
        <v>3.0456727654803633</v>
      </c>
      <c r="M66" s="5">
        <f t="shared" si="47"/>
        <v>257.37260775625094</v>
      </c>
      <c r="Q66" s="5">
        <v>1.49952859332003</v>
      </c>
      <c r="T66" s="9" t="e">
        <f t="shared" si="48"/>
        <v>#DIV/0!</v>
      </c>
      <c r="U66" s="4" t="e">
        <f t="shared" si="49"/>
        <v>#DIV/0!</v>
      </c>
      <c r="V66" s="38">
        <f t="shared" si="30"/>
        <v>-1</v>
      </c>
      <c r="W66" s="38">
        <f>(L66-M66)/M66</f>
        <v>-1</v>
      </c>
      <c r="X66" s="4">
        <f t="shared" si="32"/>
        <v>-1</v>
      </c>
      <c r="Y66" s="4">
        <f t="shared" si="33"/>
        <v>-1</v>
      </c>
    </row>
    <row r="67" spans="1:25" x14ac:dyDescent="0.25">
      <c r="A67" s="23"/>
      <c r="B67" s="2">
        <f t="shared" si="43"/>
        <v>1640</v>
      </c>
      <c r="C67" s="10">
        <f t="shared" si="44"/>
        <v>171.74039839624203</v>
      </c>
      <c r="D67" s="25">
        <f t="shared" si="45"/>
        <v>2.8293806275398508</v>
      </c>
      <c r="G67" s="5">
        <f t="shared" si="46"/>
        <v>0.84332212411016105</v>
      </c>
      <c r="H67" s="36"/>
      <c r="I67" s="36"/>
      <c r="J67" s="25">
        <v>2.8706691758127212</v>
      </c>
      <c r="M67" s="5">
        <f t="shared" si="47"/>
        <v>242.54161373792925</v>
      </c>
      <c r="Q67" s="5">
        <v>1.4122571975076801</v>
      </c>
      <c r="T67" s="9" t="e">
        <f t="shared" si="48"/>
        <v>#DIV/0!</v>
      </c>
      <c r="U67" s="4" t="e">
        <f t="shared" si="49"/>
        <v>#DIV/0!</v>
      </c>
      <c r="V67" s="38">
        <f t="shared" si="30"/>
        <v>-1</v>
      </c>
      <c r="W67" s="38">
        <f t="shared" si="31"/>
        <v>-1</v>
      </c>
      <c r="X67" s="4">
        <f t="shared" si="32"/>
        <v>-1</v>
      </c>
      <c r="Y67" s="4">
        <f t="shared" si="33"/>
        <v>-1</v>
      </c>
    </row>
    <row r="68" spans="1:25" x14ac:dyDescent="0.25">
      <c r="A68" s="24"/>
      <c r="B68" s="16"/>
      <c r="C68" s="16"/>
      <c r="D68" s="20"/>
      <c r="E68" s="16"/>
      <c r="F68" s="16"/>
      <c r="G68" s="16"/>
      <c r="H68" s="36"/>
      <c r="I68" s="36"/>
      <c r="J68" s="20"/>
      <c r="K68" s="16"/>
      <c r="L68" s="16"/>
      <c r="M68" s="16"/>
      <c r="N68" s="16"/>
      <c r="O68" s="16"/>
      <c r="P68" s="16"/>
      <c r="Q68" s="16"/>
      <c r="R68" s="16"/>
      <c r="S68" s="16"/>
      <c r="T68" s="17"/>
      <c r="U68" s="18"/>
      <c r="V68" s="18"/>
      <c r="W68" s="18"/>
      <c r="X68" s="18"/>
      <c r="Y68" s="18"/>
    </row>
    <row r="69" spans="1:25" x14ac:dyDescent="0.25">
      <c r="A69" s="24"/>
      <c r="B69" s="16"/>
      <c r="C69" s="16"/>
      <c r="D69" s="20"/>
      <c r="E69" s="16"/>
      <c r="F69" s="16"/>
      <c r="G69" s="16"/>
      <c r="H69" s="36"/>
      <c r="I69" s="36"/>
      <c r="J69" s="20"/>
      <c r="K69" s="16"/>
      <c r="L69" s="16"/>
      <c r="M69" s="16"/>
      <c r="N69" s="16"/>
      <c r="O69" s="16"/>
      <c r="P69" s="16"/>
      <c r="Q69" s="16"/>
      <c r="R69" s="26" t="s">
        <v>40</v>
      </c>
      <c r="S69" s="16"/>
      <c r="T69" s="16"/>
      <c r="U69" s="16"/>
      <c r="V69" s="16"/>
      <c r="W69" s="16"/>
      <c r="X69" s="16"/>
      <c r="Y69" s="16"/>
    </row>
    <row r="70" spans="1:25" x14ac:dyDescent="0.25">
      <c r="A70" s="22">
        <f>AVERAGE(B70:B77)</f>
        <v>1838.5</v>
      </c>
      <c r="B70" s="2">
        <f t="shared" ref="B70:B77" si="50">B23</f>
        <v>1837</v>
      </c>
      <c r="C70" s="10">
        <f t="shared" ref="C70:C77" si="51">B70*2*PI()/60</f>
        <v>192.37019015481502</v>
      </c>
      <c r="D70" s="25">
        <f t="shared" ref="D70:D77" si="52">F23</f>
        <v>5.0653949430406557</v>
      </c>
      <c r="G70" s="5">
        <f t="shared" ref="G70:G77" si="53">S23*O23*1000</f>
        <v>0.85268071604110685</v>
      </c>
      <c r="H70" s="36"/>
      <c r="I70" s="36"/>
      <c r="J70" s="25">
        <v>5.0955470072880154</v>
      </c>
      <c r="M70" s="5">
        <f t="shared" ref="M70:M77" si="54">C70*Q70</f>
        <v>414.98108314334672</v>
      </c>
      <c r="Q70" s="5">
        <f>R70*-1</f>
        <v>2.15720056631113</v>
      </c>
      <c r="R70">
        <v>-2.15720056631113</v>
      </c>
      <c r="T70" s="9" t="e">
        <f t="shared" ref="T70:T77" si="55">(E70-G70)/E70</f>
        <v>#DIV/0!</v>
      </c>
      <c r="U70" s="4" t="e">
        <f t="shared" ref="U70:U77" si="56">(F70-G70)/F70</f>
        <v>#DIV/0!</v>
      </c>
      <c r="V70" s="38">
        <f t="shared" ref="V70:V77" si="57">(K70-M70)/M70</f>
        <v>-1</v>
      </c>
      <c r="W70" s="38">
        <f t="shared" ref="W70:W77" si="58">(L70-M70)/M70</f>
        <v>-1</v>
      </c>
      <c r="X70" s="4">
        <f t="shared" ref="X70:X71" si="59">(O70-Q70)/Q70</f>
        <v>-1</v>
      </c>
      <c r="Y70" s="4">
        <f>(P70-Q70)/Q70</f>
        <v>-1</v>
      </c>
    </row>
    <row r="71" spans="1:25" x14ac:dyDescent="0.25">
      <c r="A71" s="21">
        <v>1.1637999999999999</v>
      </c>
      <c r="B71" s="2">
        <f t="shared" si="50"/>
        <v>1838</v>
      </c>
      <c r="C71" s="10">
        <f t="shared" si="51"/>
        <v>192.47490990993464</v>
      </c>
      <c r="D71" s="25">
        <f t="shared" si="52"/>
        <v>5.112710058958517</v>
      </c>
      <c r="G71" s="5">
        <f t="shared" si="53"/>
        <v>0.86721342675766289</v>
      </c>
      <c r="H71" s="36"/>
      <c r="I71" s="36"/>
      <c r="J71" s="25">
        <v>5.09872372707712</v>
      </c>
      <c r="M71" s="5">
        <f t="shared" si="54"/>
        <v>423.76836504432305</v>
      </c>
      <c r="Q71" s="5">
        <f t="shared" ref="Q71:Q77" si="60">R71*-1</f>
        <v>2.20168106711996</v>
      </c>
      <c r="R71">
        <v>-2.20168106711996</v>
      </c>
      <c r="T71" s="9" t="e">
        <f t="shared" si="55"/>
        <v>#DIV/0!</v>
      </c>
      <c r="U71" s="4" t="e">
        <f t="shared" si="56"/>
        <v>#DIV/0!</v>
      </c>
      <c r="V71" s="38">
        <f t="shared" si="57"/>
        <v>-1</v>
      </c>
      <c r="W71" s="38">
        <f t="shared" si="58"/>
        <v>-1</v>
      </c>
      <c r="X71" s="4">
        <f t="shared" si="59"/>
        <v>-1</v>
      </c>
      <c r="Y71" s="4">
        <f t="shared" ref="Y71:Y77" si="61">(P71-Q71)/Q71</f>
        <v>-1</v>
      </c>
    </row>
    <row r="72" spans="1:25" x14ac:dyDescent="0.25">
      <c r="A72" s="23"/>
      <c r="B72" s="2">
        <f t="shared" si="50"/>
        <v>1837</v>
      </c>
      <c r="C72" s="10">
        <f t="shared" si="51"/>
        <v>192.37019015481502</v>
      </c>
      <c r="D72" s="25">
        <f t="shared" si="52"/>
        <v>4.5816778072219542</v>
      </c>
      <c r="G72" s="5">
        <f t="shared" si="53"/>
        <v>0.85827402956532706</v>
      </c>
      <c r="H72" s="36"/>
      <c r="I72" s="36"/>
      <c r="J72" s="25">
        <v>4.5563243588018114</v>
      </c>
      <c r="M72" s="5">
        <f t="shared" si="54"/>
        <v>377.6009892173239</v>
      </c>
      <c r="N72">
        <v>12</v>
      </c>
      <c r="Q72" s="5">
        <f t="shared" si="60"/>
        <v>1.9628872275555764</v>
      </c>
      <c r="R72">
        <v>-1.9628872275555764</v>
      </c>
      <c r="T72" s="9" t="e">
        <f t="shared" si="55"/>
        <v>#DIV/0!</v>
      </c>
      <c r="U72" s="4" t="e">
        <f t="shared" si="56"/>
        <v>#DIV/0!</v>
      </c>
      <c r="V72" s="38">
        <f t="shared" si="57"/>
        <v>-1</v>
      </c>
      <c r="W72" s="38">
        <f t="shared" si="58"/>
        <v>-1</v>
      </c>
      <c r="X72" s="4">
        <f>(O72-Q72)/Q72</f>
        <v>-1</v>
      </c>
      <c r="Y72" s="4">
        <f t="shared" si="61"/>
        <v>-1</v>
      </c>
    </row>
    <row r="73" spans="1:25" x14ac:dyDescent="0.25">
      <c r="A73" s="23"/>
      <c r="B73" s="2">
        <f t="shared" si="50"/>
        <v>1839</v>
      </c>
      <c r="C73" s="10">
        <f t="shared" si="51"/>
        <v>192.57962966505431</v>
      </c>
      <c r="D73" s="25">
        <f t="shared" si="52"/>
        <v>4.0282260804900449</v>
      </c>
      <c r="G73" s="5">
        <f t="shared" si="53"/>
        <v>0.90545505322499509</v>
      </c>
      <c r="H73" s="36"/>
      <c r="I73" s="36"/>
      <c r="J73" s="25">
        <v>3.9555644863642447</v>
      </c>
      <c r="M73" s="5">
        <f t="shared" si="54"/>
        <v>348.33822229195874</v>
      </c>
      <c r="Q73" s="5">
        <f t="shared" si="60"/>
        <v>1.8088009770182278</v>
      </c>
      <c r="R73">
        <v>-1.8088009770182278</v>
      </c>
      <c r="T73" s="9" t="e">
        <f t="shared" si="55"/>
        <v>#DIV/0!</v>
      </c>
      <c r="U73" s="4" t="e">
        <f t="shared" si="56"/>
        <v>#DIV/0!</v>
      </c>
      <c r="V73" s="38">
        <f t="shared" si="57"/>
        <v>-1</v>
      </c>
      <c r="W73" s="38">
        <f t="shared" si="58"/>
        <v>-1</v>
      </c>
      <c r="X73" s="4">
        <f t="shared" ref="X73:X77" si="62">(O73-Q73)/Q73</f>
        <v>-1</v>
      </c>
      <c r="Y73" s="4">
        <f t="shared" si="61"/>
        <v>-1</v>
      </c>
    </row>
    <row r="74" spans="1:25" x14ac:dyDescent="0.25">
      <c r="A74" s="23"/>
      <c r="B74" s="2">
        <f t="shared" si="50"/>
        <v>1839</v>
      </c>
      <c r="C74" s="10">
        <f t="shared" si="51"/>
        <v>192.57962966505431</v>
      </c>
      <c r="D74" s="25">
        <f t="shared" si="52"/>
        <v>3.9074120702939243</v>
      </c>
      <c r="G74" s="5">
        <f t="shared" si="53"/>
        <v>1.021740907848405</v>
      </c>
      <c r="H74" s="36"/>
      <c r="I74" s="36"/>
      <c r="J74" s="25">
        <v>3.889458719246051</v>
      </c>
      <c r="M74" s="5">
        <f t="shared" si="54"/>
        <v>355.02095386164581</v>
      </c>
      <c r="Q74" s="5">
        <f t="shared" si="60"/>
        <v>1.8435021112000209</v>
      </c>
      <c r="R74">
        <v>-1.8435021112000209</v>
      </c>
      <c r="T74" s="9" t="e">
        <f t="shared" si="55"/>
        <v>#DIV/0!</v>
      </c>
      <c r="U74" s="4" t="e">
        <f t="shared" si="56"/>
        <v>#DIV/0!</v>
      </c>
      <c r="V74" s="38">
        <f t="shared" si="57"/>
        <v>-1</v>
      </c>
      <c r="W74" s="38">
        <f t="shared" si="58"/>
        <v>-1</v>
      </c>
      <c r="X74" s="4">
        <f t="shared" si="62"/>
        <v>-1</v>
      </c>
      <c r="Y74" s="4">
        <f t="shared" si="61"/>
        <v>-1</v>
      </c>
    </row>
    <row r="75" spans="1:25" x14ac:dyDescent="0.25">
      <c r="A75" s="23"/>
      <c r="B75" s="2">
        <f t="shared" si="50"/>
        <v>1839</v>
      </c>
      <c r="C75" s="10">
        <f t="shared" si="51"/>
        <v>192.57962966505431</v>
      </c>
      <c r="D75" s="25">
        <f t="shared" si="52"/>
        <v>3.6533986868675403</v>
      </c>
      <c r="G75" s="5">
        <f t="shared" si="53"/>
        <v>1.0884625091260001</v>
      </c>
      <c r="H75" s="36"/>
      <c r="I75" s="36"/>
      <c r="J75" s="25">
        <v>3.5979343489934528</v>
      </c>
      <c r="M75" s="5">
        <f t="shared" si="54"/>
        <v>344.11790533548407</v>
      </c>
      <c r="Q75" s="5">
        <f t="shared" si="60"/>
        <v>1.7868863178000391</v>
      </c>
      <c r="R75">
        <v>-1.7868863178000391</v>
      </c>
      <c r="T75" s="9" t="e">
        <f t="shared" si="55"/>
        <v>#DIV/0!</v>
      </c>
      <c r="U75" s="4" t="e">
        <f t="shared" si="56"/>
        <v>#DIV/0!</v>
      </c>
      <c r="V75" s="38">
        <f t="shared" si="57"/>
        <v>-1</v>
      </c>
      <c r="W75" s="38">
        <f t="shared" si="58"/>
        <v>-1</v>
      </c>
      <c r="X75" s="4">
        <f t="shared" si="62"/>
        <v>-1</v>
      </c>
      <c r="Y75" s="4">
        <f t="shared" si="61"/>
        <v>-1</v>
      </c>
    </row>
    <row r="76" spans="1:25" x14ac:dyDescent="0.25">
      <c r="A76" s="23"/>
      <c r="B76" s="2">
        <f t="shared" si="50"/>
        <v>1839</v>
      </c>
      <c r="C76" s="10">
        <f t="shared" si="51"/>
        <v>192.57962966505431</v>
      </c>
      <c r="D76" s="25">
        <f t="shared" si="52"/>
        <v>3.0732756854133072</v>
      </c>
      <c r="G76" s="5">
        <f t="shared" si="53"/>
        <v>1.0201251626579322</v>
      </c>
      <c r="H76" s="36"/>
      <c r="I76" s="36"/>
      <c r="J76" s="25">
        <v>3.1121112229606274</v>
      </c>
      <c r="M76" s="5">
        <f t="shared" si="54"/>
        <v>310.51013897327994</v>
      </c>
      <c r="Q76" s="5">
        <f t="shared" si="60"/>
        <v>1.612372707920029</v>
      </c>
      <c r="R76">
        <v>-1.612372707920029</v>
      </c>
      <c r="T76" s="9" t="e">
        <f t="shared" si="55"/>
        <v>#DIV/0!</v>
      </c>
      <c r="U76" s="4" t="e">
        <f t="shared" si="56"/>
        <v>#DIV/0!</v>
      </c>
      <c r="V76" s="38">
        <f t="shared" si="57"/>
        <v>-1</v>
      </c>
      <c r="W76" s="38">
        <f t="shared" si="58"/>
        <v>-1</v>
      </c>
      <c r="X76" s="4">
        <f t="shared" si="62"/>
        <v>-1</v>
      </c>
      <c r="Y76" s="4">
        <f t="shared" si="61"/>
        <v>-1</v>
      </c>
    </row>
    <row r="77" spans="1:25" x14ac:dyDescent="0.25">
      <c r="A77" s="23"/>
      <c r="B77" s="2">
        <f t="shared" si="50"/>
        <v>1840</v>
      </c>
      <c r="C77" s="10">
        <f t="shared" si="51"/>
        <v>192.68434942017399</v>
      </c>
      <c r="D77" s="25">
        <f t="shared" si="52"/>
        <v>2.6401044471753301</v>
      </c>
      <c r="E77">
        <v>0.90859999999999996</v>
      </c>
      <c r="G77" s="5">
        <f t="shared" si="53"/>
        <v>1.0094910734070963</v>
      </c>
      <c r="H77" s="36"/>
      <c r="I77" s="36"/>
      <c r="J77" s="25">
        <v>2.6186306105362576</v>
      </c>
      <c r="K77">
        <v>273.20260000000002</v>
      </c>
      <c r="M77" s="5">
        <f t="shared" si="54"/>
        <v>272.32024194294416</v>
      </c>
      <c r="O77">
        <v>1.4178999999999999</v>
      </c>
      <c r="Q77" s="5">
        <f t="shared" si="60"/>
        <v>1.4132971503000145</v>
      </c>
      <c r="R77">
        <v>-1.4132971503000145</v>
      </c>
      <c r="T77" s="9">
        <f t="shared" si="55"/>
        <v>-0.11104014242471534</v>
      </c>
      <c r="U77" s="4" t="e">
        <f t="shared" si="56"/>
        <v>#DIV/0!</v>
      </c>
      <c r="V77" s="38">
        <f t="shared" si="57"/>
        <v>3.2401486234017183E-3</v>
      </c>
      <c r="W77" s="38">
        <f t="shared" si="58"/>
        <v>-1</v>
      </c>
      <c r="X77" s="4">
        <f t="shared" si="62"/>
        <v>3.2568166567153883E-3</v>
      </c>
      <c r="Y77" s="4">
        <f t="shared" si="61"/>
        <v>-1</v>
      </c>
    </row>
    <row r="78" spans="1:25" x14ac:dyDescent="0.25">
      <c r="A78" s="24"/>
      <c r="B78" s="16"/>
      <c r="C78" s="16"/>
      <c r="D78" s="20"/>
      <c r="E78" s="16"/>
      <c r="F78" s="16"/>
      <c r="G78" s="16"/>
      <c r="H78" s="36"/>
      <c r="I78" s="36"/>
      <c r="J78" s="20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x14ac:dyDescent="0.25">
      <c r="A79" s="24"/>
      <c r="B79" s="16"/>
      <c r="C79" s="16"/>
      <c r="D79" s="20"/>
      <c r="E79" s="16"/>
      <c r="F79" s="16"/>
      <c r="G79" s="16"/>
      <c r="H79" s="36"/>
      <c r="I79" s="36"/>
      <c r="J79" s="20"/>
      <c r="K79" s="16"/>
      <c r="L79" s="16"/>
      <c r="M79" s="16"/>
      <c r="N79" s="16"/>
      <c r="O79" s="16"/>
      <c r="P79" s="16"/>
      <c r="Q79" s="16"/>
      <c r="R79" s="26" t="s">
        <v>40</v>
      </c>
      <c r="S79" s="16"/>
      <c r="T79" s="16"/>
      <c r="U79" s="16"/>
      <c r="V79" s="16"/>
      <c r="W79" s="16"/>
      <c r="X79" s="16"/>
      <c r="Y79" s="16"/>
    </row>
    <row r="80" spans="1:25" x14ac:dyDescent="0.25">
      <c r="A80" s="22">
        <f>AVERAGE(B80:B88)</f>
        <v>2110.8888888888887</v>
      </c>
      <c r="B80" s="2">
        <f t="shared" ref="B80:B88" si="63">B32</f>
        <v>2101</v>
      </c>
      <c r="C80" s="10">
        <f t="shared" ref="C80:C88" si="64">B80*2*PI()/60</f>
        <v>220.01620550640519</v>
      </c>
      <c r="D80" s="25">
        <f t="shared" ref="D80:D88" si="65">F32</f>
        <v>5.0545578692872928</v>
      </c>
      <c r="E80">
        <v>0.97430000000000005</v>
      </c>
      <c r="F80">
        <v>1.3131999999999999</v>
      </c>
      <c r="G80" s="5">
        <f t="shared" ref="G80:G88" si="66">S32*O32*1000</f>
        <v>0.94539291946511383</v>
      </c>
      <c r="H80" s="37">
        <v>2052</v>
      </c>
      <c r="I80" s="37">
        <f>H80/60*2*PI()</f>
        <v>214.88493750554187</v>
      </c>
      <c r="J80" s="25">
        <f>D80</f>
        <v>5.0545578692872928</v>
      </c>
      <c r="K80">
        <v>475.12529999999998</v>
      </c>
      <c r="L80">
        <v>496.07130000000001</v>
      </c>
      <c r="M80" s="5">
        <f t="shared" ref="M80:M88" si="67">C80*Q80</f>
        <v>534.93965412718592</v>
      </c>
      <c r="O80">
        <v>2.1595</v>
      </c>
      <c r="P80">
        <v>2.2547000000000001</v>
      </c>
      <c r="Q80" s="5">
        <f t="shared" ref="Q80:Q82" si="68">R80*-1</f>
        <v>2.4313647846799746</v>
      </c>
      <c r="R80">
        <v>-2.4313647846799746</v>
      </c>
      <c r="T80" s="9">
        <f t="shared" ref="T80:T88" si="69">(E80-G80)/E80</f>
        <v>2.9669588971452551E-2</v>
      </c>
      <c r="U80" s="4">
        <f t="shared" ref="U80:U88" si="70">(F80-G80)/F80</f>
        <v>0.28008458767505795</v>
      </c>
      <c r="V80" s="38">
        <f>(K80-M80)/M80</f>
        <v>-0.11181514338244333</v>
      </c>
      <c r="W80" s="38">
        <f>(L80-M80)/M80</f>
        <v>-7.2659324892644178E-2</v>
      </c>
      <c r="X80" s="4">
        <f t="shared" ref="X80:X86" si="71">(O80-Q80)/Q80</f>
        <v>-0.11181571206138799</v>
      </c>
      <c r="Y80" s="4">
        <f>(P80-Q80)/Q80</f>
        <v>-7.2660748314337276E-2</v>
      </c>
    </row>
    <row r="81" spans="1:25" x14ac:dyDescent="0.25">
      <c r="A81" s="21">
        <v>1.33</v>
      </c>
      <c r="B81" s="2">
        <f t="shared" si="63"/>
        <v>2112</v>
      </c>
      <c r="C81" s="10">
        <f t="shared" si="64"/>
        <v>221.16812281272144</v>
      </c>
      <c r="D81" s="25">
        <f t="shared" si="65"/>
        <v>4.4350470643170885</v>
      </c>
      <c r="G81" s="5">
        <f t="shared" si="66"/>
        <v>0.94847363500753468</v>
      </c>
      <c r="H81" s="36"/>
      <c r="I81" s="36"/>
      <c r="J81" s="25">
        <v>4.430646488532715</v>
      </c>
      <c r="K81">
        <v>446.54399999999998</v>
      </c>
      <c r="L81">
        <v>461.0378</v>
      </c>
      <c r="M81" s="5">
        <f t="shared" si="67"/>
        <v>455.1477762194761</v>
      </c>
      <c r="O81">
        <v>2.0190000000000001</v>
      </c>
      <c r="P81">
        <v>2.0846</v>
      </c>
      <c r="Q81" s="5">
        <f t="shared" si="68"/>
        <v>2.0579266597333361</v>
      </c>
      <c r="R81">
        <v>-2.0579266597333361</v>
      </c>
      <c r="T81" s="9" t="e">
        <f t="shared" si="69"/>
        <v>#DIV/0!</v>
      </c>
      <c r="U81" s="4" t="e">
        <f t="shared" si="70"/>
        <v>#DIV/0!</v>
      </c>
      <c r="V81" s="38">
        <f>(K81-M81)/M81</f>
        <v>-1.8903258829341844E-2</v>
      </c>
      <c r="W81" s="38">
        <f>(L81-M81)/M81</f>
        <v>1.2940904225540334E-2</v>
      </c>
      <c r="X81" s="4">
        <f t="shared" si="71"/>
        <v>-1.8915474732408614E-2</v>
      </c>
      <c r="Y81" s="4">
        <f>(P81-Q81)/Q81</f>
        <v>1.2961268634383795E-2</v>
      </c>
    </row>
    <row r="82" spans="1:25" x14ac:dyDescent="0.25">
      <c r="A82" s="23"/>
      <c r="B82" s="2">
        <f t="shared" si="63"/>
        <v>2114</v>
      </c>
      <c r="C82" s="10">
        <f t="shared" si="64"/>
        <v>221.37756232296076</v>
      </c>
      <c r="D82" s="25">
        <f t="shared" si="65"/>
        <v>4.2201346805617597</v>
      </c>
      <c r="G82" s="5">
        <f t="shared" si="66"/>
        <v>0.94549204078864424</v>
      </c>
      <c r="H82" s="36"/>
      <c r="I82" s="36"/>
      <c r="J82" s="25">
        <v>4.2042450945562058</v>
      </c>
      <c r="M82" s="5">
        <f t="shared" si="67"/>
        <v>433.13431702395167</v>
      </c>
      <c r="Q82" s="5">
        <f t="shared" si="68"/>
        <v>1.9565411800499712</v>
      </c>
      <c r="R82">
        <v>-1.9565411800499712</v>
      </c>
      <c r="T82" s="9" t="e">
        <f t="shared" si="69"/>
        <v>#DIV/0!</v>
      </c>
      <c r="U82" s="4" t="e">
        <f t="shared" si="70"/>
        <v>#DIV/0!</v>
      </c>
      <c r="V82" s="38">
        <f t="shared" ref="V82:V88" si="72">(K82-M82)/M82</f>
        <v>-1</v>
      </c>
      <c r="W82" s="38">
        <f t="shared" ref="W82:W88" si="73">(L82-M82)/M82</f>
        <v>-1</v>
      </c>
      <c r="X82" s="4">
        <f t="shared" si="71"/>
        <v>-1</v>
      </c>
      <c r="Y82" s="4">
        <f t="shared" ref="Y82:Y88" si="74">(P82-Q82)/Q82</f>
        <v>-1</v>
      </c>
    </row>
    <row r="83" spans="1:25" x14ac:dyDescent="0.25">
      <c r="A83" s="23"/>
      <c r="B83" s="2">
        <f t="shared" si="63"/>
        <v>2109</v>
      </c>
      <c r="C83" s="10">
        <f t="shared" si="64"/>
        <v>220.85396354736247</v>
      </c>
      <c r="D83" s="25">
        <f t="shared" si="65"/>
        <v>4.1660023180827803</v>
      </c>
      <c r="G83" s="5">
        <f t="shared" si="66"/>
        <v>0.97229361350443488</v>
      </c>
      <c r="H83" s="36"/>
      <c r="I83" s="36"/>
      <c r="J83" s="25">
        <v>4.1579790556525804</v>
      </c>
      <c r="K83">
        <v>429.25970000000001</v>
      </c>
      <c r="M83" s="5">
        <f t="shared" si="67"/>
        <v>435.80333677080233</v>
      </c>
      <c r="O83">
        <v>1.9436</v>
      </c>
      <c r="Q83" s="5">
        <f>R83*-1</f>
        <v>1.9732647301000041</v>
      </c>
      <c r="R83">
        <v>-1.9732647301000041</v>
      </c>
      <c r="T83" s="9" t="e">
        <f t="shared" si="69"/>
        <v>#DIV/0!</v>
      </c>
      <c r="U83" s="4" t="e">
        <f t="shared" si="70"/>
        <v>#DIV/0!</v>
      </c>
      <c r="V83" s="38">
        <f>(K83-M83)/M83</f>
        <v>-1.5015113971565922E-2</v>
      </c>
      <c r="W83" s="38">
        <f>(L83-M83)/M83</f>
        <v>-1</v>
      </c>
      <c r="X83" s="4">
        <f>(O83-Q83)/Q83</f>
        <v>-1.5033325051373492E-2</v>
      </c>
      <c r="Y83" s="4">
        <f>(P83-R83)/R83</f>
        <v>-1</v>
      </c>
    </row>
    <row r="84" spans="1:25" x14ac:dyDescent="0.25">
      <c r="A84" s="23"/>
      <c r="B84" s="2">
        <f t="shared" si="63"/>
        <v>2114</v>
      </c>
      <c r="C84" s="10">
        <f t="shared" si="64"/>
        <v>221.37756232296076</v>
      </c>
      <c r="D84" s="25">
        <f t="shared" si="65"/>
        <v>4.003856630921188</v>
      </c>
      <c r="G84" s="5">
        <f t="shared" si="66"/>
        <v>1.042829287775632</v>
      </c>
      <c r="H84" s="36"/>
      <c r="I84" s="36"/>
      <c r="J84" s="25">
        <v>4.017045492351957</v>
      </c>
      <c r="K84">
        <v>420.72710000000001</v>
      </c>
      <c r="M84" s="5">
        <f t="shared" si="67"/>
        <v>404.21583325687345</v>
      </c>
      <c r="O84">
        <v>1.9005000000000001</v>
      </c>
      <c r="Q84" s="5">
        <f t="shared" ref="Q84:Q88" si="75">R84*-1</f>
        <v>1.8259114836000212</v>
      </c>
      <c r="R84">
        <v>-1.8259114836000212</v>
      </c>
      <c r="T84" s="9" t="e">
        <f t="shared" si="69"/>
        <v>#DIV/0!</v>
      </c>
      <c r="U84" s="4" t="e">
        <f t="shared" si="70"/>
        <v>#DIV/0!</v>
      </c>
      <c r="V84" s="38">
        <f t="shared" ref="V84" si="76">(K84-M84)/M84</f>
        <v>4.0847649658082241E-2</v>
      </c>
      <c r="W84" s="38">
        <f t="shared" ref="W84" si="77">(L84-M84)/M84</f>
        <v>-1</v>
      </c>
      <c r="X84" s="4">
        <f t="shared" si="71"/>
        <v>4.0850017687011832E-2</v>
      </c>
      <c r="Y84" s="4">
        <f t="shared" ref="Y84" si="78">(P84-Q84)/Q84</f>
        <v>-1</v>
      </c>
    </row>
    <row r="85" spans="1:25" x14ac:dyDescent="0.25">
      <c r="A85" s="23"/>
      <c r="B85" s="2">
        <f t="shared" si="63"/>
        <v>2112</v>
      </c>
      <c r="C85" s="10">
        <f t="shared" si="64"/>
        <v>221.16812281272144</v>
      </c>
      <c r="D85" s="25">
        <f t="shared" si="65"/>
        <v>3.8882416114697662</v>
      </c>
      <c r="G85" s="5">
        <f t="shared" si="66"/>
        <v>1.1484048601961037</v>
      </c>
      <c r="H85" s="36"/>
      <c r="I85" s="36"/>
      <c r="J85" s="25">
        <v>3.898510452844163</v>
      </c>
      <c r="M85" s="5">
        <f t="shared" si="67"/>
        <v>411.38884927145062</v>
      </c>
      <c r="Q85" s="5">
        <f t="shared" si="75"/>
        <v>1.8600729799556259</v>
      </c>
      <c r="R85">
        <v>-1.8600729799556259</v>
      </c>
      <c r="T85" s="9" t="e">
        <f t="shared" si="69"/>
        <v>#DIV/0!</v>
      </c>
      <c r="U85" s="4" t="e">
        <f t="shared" si="70"/>
        <v>#DIV/0!</v>
      </c>
      <c r="V85" s="38">
        <f t="shared" si="72"/>
        <v>-1</v>
      </c>
      <c r="W85" s="38">
        <f t="shared" si="73"/>
        <v>-1</v>
      </c>
      <c r="X85" s="4">
        <f t="shared" si="71"/>
        <v>-1</v>
      </c>
      <c r="Y85" s="4">
        <f t="shared" si="74"/>
        <v>-1</v>
      </c>
    </row>
    <row r="86" spans="1:25" x14ac:dyDescent="0.25">
      <c r="A86" s="23"/>
      <c r="B86" s="2">
        <f t="shared" si="63"/>
        <v>2111</v>
      </c>
      <c r="C86" s="10">
        <f t="shared" si="64"/>
        <v>221.06340305760176</v>
      </c>
      <c r="D86" s="25">
        <f t="shared" si="65"/>
        <v>3.69061358519046</v>
      </c>
      <c r="G86" s="5">
        <f t="shared" si="66"/>
        <v>1.1631977237886615</v>
      </c>
      <c r="H86" s="36"/>
      <c r="I86" s="36"/>
      <c r="J86" s="25">
        <v>3.6982373185992503</v>
      </c>
      <c r="K86">
        <v>395.76510000000002</v>
      </c>
      <c r="M86" s="5">
        <f t="shared" si="67"/>
        <v>362.03189924269998</v>
      </c>
      <c r="O86">
        <v>1.7903</v>
      </c>
      <c r="Q86" s="5">
        <f t="shared" si="75"/>
        <v>1.6376835524800391</v>
      </c>
      <c r="R86">
        <v>-1.6376835524800391</v>
      </c>
      <c r="T86" s="9" t="e">
        <f t="shared" si="69"/>
        <v>#DIV/0!</v>
      </c>
      <c r="U86" s="4" t="e">
        <f t="shared" si="70"/>
        <v>#DIV/0!</v>
      </c>
      <c r="V86" s="38">
        <f t="shared" si="72"/>
        <v>9.3177426707047928E-2</v>
      </c>
      <c r="W86" s="38">
        <f t="shared" si="73"/>
        <v>-1</v>
      </c>
      <c r="X86" s="4">
        <f t="shared" si="71"/>
        <v>9.319043797493419E-2</v>
      </c>
      <c r="Y86" s="4">
        <f t="shared" si="74"/>
        <v>-1</v>
      </c>
    </row>
    <row r="87" spans="1:25" x14ac:dyDescent="0.25">
      <c r="A87" s="23"/>
      <c r="B87" s="2">
        <f t="shared" si="63"/>
        <v>2112</v>
      </c>
      <c r="C87" s="10">
        <f t="shared" si="64"/>
        <v>221.16812281272144</v>
      </c>
      <c r="D87" s="25">
        <f t="shared" si="65"/>
        <v>3.3424664174525525</v>
      </c>
      <c r="G87" s="5">
        <f t="shared" si="66"/>
        <v>1.1657191081274199</v>
      </c>
      <c r="H87" s="36"/>
      <c r="I87" s="36"/>
      <c r="J87" s="25">
        <v>3.3621021478520641</v>
      </c>
      <c r="M87" s="5">
        <f t="shared" si="67"/>
        <v>343.19032930307435</v>
      </c>
      <c r="Q87" s="5">
        <f t="shared" si="75"/>
        <v>1.5517169695999893</v>
      </c>
      <c r="R87">
        <v>-1.5517169695999893</v>
      </c>
      <c r="T87" s="9" t="e">
        <f t="shared" si="69"/>
        <v>#DIV/0!</v>
      </c>
      <c r="U87" s="4" t="e">
        <f t="shared" si="70"/>
        <v>#DIV/0!</v>
      </c>
      <c r="V87" s="38">
        <f>(K87-M87)/M87</f>
        <v>-1</v>
      </c>
      <c r="W87" s="38">
        <f>(L87-M87)/M87</f>
        <v>-1</v>
      </c>
      <c r="X87" s="4">
        <f>(O87-Q87)/Q87</f>
        <v>-1</v>
      </c>
      <c r="Y87" s="4">
        <f>(P87-Q87)/Q87</f>
        <v>-1</v>
      </c>
    </row>
    <row r="88" spans="1:25" x14ac:dyDescent="0.25">
      <c r="A88" s="23"/>
      <c r="B88" s="2">
        <f t="shared" si="63"/>
        <v>2113</v>
      </c>
      <c r="C88" s="10">
        <f t="shared" si="64"/>
        <v>221.27284256784108</v>
      </c>
      <c r="D88" s="25">
        <f t="shared" si="65"/>
        <v>2.5472304393617602</v>
      </c>
      <c r="E88">
        <v>1.0601</v>
      </c>
      <c r="F88">
        <v>1.3250999999999999</v>
      </c>
      <c r="G88" s="5">
        <f t="shared" si="66"/>
        <v>1.1934902874269904</v>
      </c>
      <c r="H88" s="36"/>
      <c r="I88" s="36"/>
      <c r="J88" s="25">
        <v>2.5797622364794712</v>
      </c>
      <c r="K88">
        <v>302.33370000000002</v>
      </c>
      <c r="L88">
        <v>299.39389999999997</v>
      </c>
      <c r="M88" s="5">
        <f t="shared" si="67"/>
        <v>291.55202608163211</v>
      </c>
      <c r="O88">
        <v>1.3663000000000001</v>
      </c>
      <c r="P88">
        <v>1.3531</v>
      </c>
      <c r="Q88" s="5">
        <f t="shared" si="75"/>
        <v>1.317613235760027</v>
      </c>
      <c r="R88">
        <v>-1.317613235760027</v>
      </c>
      <c r="T88" s="9">
        <f t="shared" si="69"/>
        <v>-0.12582802323081815</v>
      </c>
      <c r="U88" s="4">
        <f t="shared" si="70"/>
        <v>9.9320589067247445E-2</v>
      </c>
      <c r="V88" s="38">
        <f t="shared" si="72"/>
        <v>3.6980274372537328E-2</v>
      </c>
      <c r="W88" s="38">
        <f t="shared" si="73"/>
        <v>2.6896996819950784E-2</v>
      </c>
      <c r="X88" s="4">
        <f>(O88-Q88)/Q88</f>
        <v>3.695072493096925E-2</v>
      </c>
      <c r="Y88" s="4">
        <f t="shared" si="74"/>
        <v>2.6932610630238153E-2</v>
      </c>
    </row>
  </sheetData>
  <mergeCells count="5">
    <mergeCell ref="Q2:S2"/>
    <mergeCell ref="E45:G45"/>
    <mergeCell ref="K45:M45"/>
    <mergeCell ref="O45:Q45"/>
    <mergeCell ref="T45:Y4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06EE-F2C4-4871-ABEB-7883DA84FD55}">
  <dimension ref="A1:AM127"/>
  <sheetViews>
    <sheetView topLeftCell="A94" zoomScale="70" zoomScaleNormal="70" workbookViewId="0">
      <selection activeCell="J87" sqref="J87"/>
    </sheetView>
  </sheetViews>
  <sheetFormatPr defaultRowHeight="15" x14ac:dyDescent="0.25"/>
  <cols>
    <col min="1" max="1" width="14.85546875" bestFit="1" customWidth="1"/>
    <col min="3" max="3" width="17.140625" customWidth="1"/>
    <col min="4" max="4" width="14.140625" bestFit="1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9" max="19" width="13" bestFit="1" customWidth="1"/>
    <col min="20" max="20" width="12.140625" customWidth="1"/>
    <col min="21" max="21" width="13.85546875" bestFit="1" customWidth="1"/>
    <col min="22" max="22" width="11.42578125" bestFit="1" customWidth="1"/>
    <col min="23" max="23" width="12.28515625" bestFit="1" customWidth="1"/>
    <col min="24" max="25" width="10.42578125" bestFit="1" customWidth="1"/>
    <col min="30" max="30" width="15.5703125" customWidth="1"/>
    <col min="31" max="31" width="3.5703125" bestFit="1" customWidth="1"/>
    <col min="32" max="32" width="24.7109375" bestFit="1" customWidth="1"/>
    <col min="37" max="37" width="14.8554687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AVERAGE(B3:B7)</f>
        <v>1216</v>
      </c>
      <c r="B3" s="2">
        <v>1217</v>
      </c>
      <c r="C3">
        <f>B3*2*PI()/60</f>
        <v>127.44394198062595</v>
      </c>
      <c r="D3" s="5">
        <v>1.00932326805629</v>
      </c>
      <c r="E3" s="8">
        <v>30.5131669813081</v>
      </c>
      <c r="F3" s="5">
        <v>4.2632226981025703</v>
      </c>
      <c r="G3" s="8">
        <v>38.469673882555703</v>
      </c>
      <c r="H3">
        <f t="shared" ref="H3:H28" si="0">G3+273.15</f>
        <v>311.61967388255567</v>
      </c>
      <c r="I3">
        <v>4</v>
      </c>
      <c r="J3" s="1">
        <f t="shared" ref="J3:J28" si="1">I3/60/1000</f>
        <v>6.666666666666667E-5</v>
      </c>
      <c r="K3">
        <v>30.592198151939574</v>
      </c>
      <c r="L3">
        <v>4.251841012112453</v>
      </c>
      <c r="M3">
        <f t="shared" ref="M3:M28" si="2">K3+273.15</f>
        <v>303.74219815193953</v>
      </c>
      <c r="N3">
        <f t="shared" ref="N3:N28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4.3603999999999997E-2</v>
      </c>
      <c r="X3" s="10">
        <v>265</v>
      </c>
    </row>
    <row r="4" spans="1:24" x14ac:dyDescent="0.25">
      <c r="B4" s="2">
        <v>1214</v>
      </c>
      <c r="C4">
        <f t="shared" ref="C4:C28" si="4">B4*2*PI()/60</f>
        <v>127.12978271526696</v>
      </c>
      <c r="D4" s="5">
        <v>1.0093740377162599</v>
      </c>
      <c r="E4" s="8">
        <v>30.53840403258803</v>
      </c>
      <c r="F4" s="5">
        <v>3.7487816777695127</v>
      </c>
      <c r="G4" s="8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28" si="5">R4/60/1000</f>
        <v>8.3148759828451999E-5</v>
      </c>
      <c r="U4">
        <v>38</v>
      </c>
      <c r="V4">
        <v>48</v>
      </c>
      <c r="W4" s="8">
        <v>4.3603999999999997E-2</v>
      </c>
      <c r="X4" s="10">
        <v>240</v>
      </c>
    </row>
    <row r="5" spans="1:24" x14ac:dyDescent="0.25">
      <c r="A5" s="3">
        <f>AVERAGE(G3:G7)</f>
        <v>39.638566942886222</v>
      </c>
      <c r="B5" s="2">
        <v>1217</v>
      </c>
      <c r="C5">
        <f t="shared" si="4"/>
        <v>127.44394198062595</v>
      </c>
      <c r="D5" s="5">
        <v>1.0100027712944899</v>
      </c>
      <c r="E5" s="8">
        <v>30.5232550594659</v>
      </c>
      <c r="F5" s="5">
        <v>3.41149288331663</v>
      </c>
      <c r="G5" s="8">
        <v>39.278800793004301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4.3603999999999997E-2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5">
        <v>1.00926410736023</v>
      </c>
      <c r="E6" s="8">
        <v>30.568783382737202</v>
      </c>
      <c r="F6" s="5">
        <v>3.0036465230416098</v>
      </c>
      <c r="G6" s="8">
        <v>40.450708190043798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4.3603999999999997E-2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5">
        <v>1.0094537558613399</v>
      </c>
      <c r="E7" s="8">
        <v>30.5281956689855</v>
      </c>
      <c r="F7" s="5">
        <v>2.3975521098447898</v>
      </c>
      <c r="G7" s="8">
        <v>40.146233053990002</v>
      </c>
      <c r="H7">
        <f t="shared" si="0"/>
        <v>313.29623305398997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 t="shared" si="5"/>
        <v>1.6632764895962928E-4</v>
      </c>
      <c r="U7">
        <v>38</v>
      </c>
      <c r="V7">
        <v>48</v>
      </c>
      <c r="W7" s="8">
        <v>4.3603999999999997E-2</v>
      </c>
      <c r="X7" s="10">
        <v>195</v>
      </c>
    </row>
    <row r="8" spans="1:24" x14ac:dyDescent="0.25">
      <c r="B8" s="12"/>
      <c r="D8" s="5"/>
      <c r="E8" s="8"/>
      <c r="F8" s="5"/>
      <c r="G8" s="8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 s="5">
        <v>1.0094287437153799</v>
      </c>
      <c r="E9" s="8">
        <v>30.6129748409728</v>
      </c>
      <c r="F9" s="5">
        <v>5.2533625867637204</v>
      </c>
      <c r="G9" s="8">
        <v>42.253028073273697</v>
      </c>
      <c r="H9">
        <f t="shared" si="0"/>
        <v>315.40302807327367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43</v>
      </c>
      <c r="V9">
        <v>55</v>
      </c>
      <c r="W9" s="3">
        <v>3.1711999999999997E-2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5">
        <v>1.0092810759105499</v>
      </c>
      <c r="E10" s="8">
        <v>30.581004375999701</v>
      </c>
      <c r="F10" s="5">
        <v>4.8223075689095696</v>
      </c>
      <c r="G10" s="8">
        <v>42.953073171144503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43</v>
      </c>
      <c r="V10">
        <v>55</v>
      </c>
      <c r="W10" s="3">
        <v>3.1711999999999997E-2</v>
      </c>
      <c r="X10" s="10">
        <v>275</v>
      </c>
    </row>
    <row r="11" spans="1:24" x14ac:dyDescent="0.25">
      <c r="A11" s="3">
        <f>AVERAGE(G10:G14)</f>
        <v>44.384191269147735</v>
      </c>
      <c r="B11" s="2">
        <v>1412</v>
      </c>
      <c r="C11">
        <f t="shared" si="4"/>
        <v>147.86429422895961</v>
      </c>
      <c r="D11" s="5">
        <v>1.00869126440021</v>
      </c>
      <c r="E11" s="8">
        <v>30.6227287865843</v>
      </c>
      <c r="F11" s="5">
        <v>4.2362978478636197</v>
      </c>
      <c r="G11" s="8">
        <v>43.473552889636998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43</v>
      </c>
      <c r="V11">
        <v>55</v>
      </c>
      <c r="W11" s="3">
        <v>3.1711999999999997E-2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5">
        <v>1.0077573177644099</v>
      </c>
      <c r="E12" s="8">
        <v>30.816080276902401</v>
      </c>
      <c r="F12" s="5">
        <v>3.6616022441401399</v>
      </c>
      <c r="G12" s="8">
        <v>46.069186852835898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43</v>
      </c>
      <c r="V12">
        <v>55</v>
      </c>
      <c r="W12" s="3">
        <v>3.1711999999999997E-2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5">
        <v>1.0085733794744101</v>
      </c>
      <c r="E13" s="8">
        <v>30.635044840682401</v>
      </c>
      <c r="F13" s="5">
        <v>2.9220510847489098</v>
      </c>
      <c r="G13" s="8">
        <v>45.018485236153701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43</v>
      </c>
      <c r="V13">
        <v>55</v>
      </c>
      <c r="W13" s="3">
        <v>3.1711999999999997E-2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5">
        <v>1.01019986541157</v>
      </c>
      <c r="E14" s="8">
        <v>30.714603931016299</v>
      </c>
      <c r="F14" s="5">
        <v>2.6698755104625498</v>
      </c>
      <c r="G14" s="8">
        <v>44.406658195967601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43</v>
      </c>
      <c r="V14">
        <v>55</v>
      </c>
      <c r="W14" s="3">
        <v>3.1711999999999997E-2</v>
      </c>
      <c r="X14" s="10">
        <v>205</v>
      </c>
    </row>
    <row r="15" spans="1:24" x14ac:dyDescent="0.25">
      <c r="B15" s="14"/>
      <c r="D15" s="5"/>
      <c r="E15" s="8"/>
      <c r="F15" s="5"/>
      <c r="G15" s="8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5">
        <v>1.0083333009861699</v>
      </c>
      <c r="E16" s="8">
        <v>30.610294022691601</v>
      </c>
      <c r="F16" s="5">
        <v>5.2676677023988496</v>
      </c>
      <c r="G16" s="8">
        <v>43.470274717189298</v>
      </c>
      <c r="H16">
        <f t="shared" si="0"/>
        <v>316.62027471718926</v>
      </c>
      <c r="I16">
        <v>5.5</v>
      </c>
      <c r="J16" s="1">
        <f t="shared" si="1"/>
        <v>9.1666666666666654E-5</v>
      </c>
      <c r="K16">
        <v>31.301886563534723</v>
      </c>
      <c r="L16">
        <v>5.2565102493546449</v>
      </c>
      <c r="M16">
        <f t="shared" si="2"/>
        <v>304.45188656353469</v>
      </c>
      <c r="N16">
        <f t="shared" si="3"/>
        <v>0.52565102493546445</v>
      </c>
      <c r="O16">
        <v>6.0229999999999997</v>
      </c>
      <c r="Q16">
        <f t="shared" ref="Q16:Q21" si="11">SQRT(1.2/O16)*SQRT(N16/0.101325)*SQRT(293.15/M16)</f>
        <v>0.99760876797529452</v>
      </c>
      <c r="R16">
        <f t="shared" ref="R16:R21" si="12">I16*Q16</f>
        <v>5.4868482238641203</v>
      </c>
      <c r="S16" s="7">
        <f>R16/60/1000</f>
        <v>9.1447470397735338E-5</v>
      </c>
      <c r="U16">
        <v>45</v>
      </c>
      <c r="V16">
        <v>60</v>
      </c>
      <c r="W16" s="8">
        <v>2.7747999999999998E-2</v>
      </c>
      <c r="X16" s="10">
        <v>285</v>
      </c>
    </row>
    <row r="17" spans="1:25" x14ac:dyDescent="0.25">
      <c r="B17" s="2">
        <v>1638</v>
      </c>
      <c r="C17">
        <f t="shared" si="4"/>
        <v>171.53095888600271</v>
      </c>
      <c r="D17" s="5">
        <v>1.00767939569434</v>
      </c>
      <c r="E17" s="8">
        <v>30.5476633337823</v>
      </c>
      <c r="F17" s="5">
        <v>4.5488778229227904</v>
      </c>
      <c r="G17" s="8">
        <v>43.944694642553202</v>
      </c>
      <c r="H17">
        <f t="shared" si="0"/>
        <v>317.09469464255318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60</v>
      </c>
      <c r="W17" s="8">
        <v>2.7747999999999998E-2</v>
      </c>
      <c r="X17" s="10">
        <v>270</v>
      </c>
    </row>
    <row r="18" spans="1:25" x14ac:dyDescent="0.25">
      <c r="A18" s="3">
        <f>AVERAGE(G16:G21)</f>
        <v>45.823425249720117</v>
      </c>
      <c r="B18" s="2">
        <v>1639</v>
      </c>
      <c r="C18">
        <f t="shared" si="4"/>
        <v>171.63567864112238</v>
      </c>
      <c r="D18" s="5">
        <v>1.0095081019886201</v>
      </c>
      <c r="E18" s="8">
        <v>30.628921865606099</v>
      </c>
      <c r="F18" s="5">
        <v>3.6851917499746301</v>
      </c>
      <c r="G18" s="8">
        <v>45.134798680102598</v>
      </c>
      <c r="H18">
        <f t="shared" si="0"/>
        <v>318.2847986801026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60</v>
      </c>
      <c r="W18" s="8">
        <v>2.7747999999999998E-2</v>
      </c>
      <c r="X18" s="10">
        <v>235</v>
      </c>
    </row>
    <row r="19" spans="1:25" x14ac:dyDescent="0.25">
      <c r="B19" s="2">
        <v>1639</v>
      </c>
      <c r="C19">
        <f t="shared" si="4"/>
        <v>171.63567864112238</v>
      </c>
      <c r="D19" s="5">
        <v>1.0086524685865701</v>
      </c>
      <c r="E19" s="8">
        <v>30.622924679670302</v>
      </c>
      <c r="F19" s="5">
        <v>3.2641584944265198</v>
      </c>
      <c r="G19" s="8">
        <v>46.943107203221899</v>
      </c>
      <c r="H19">
        <f t="shared" si="0"/>
        <v>320.09310720322185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60</v>
      </c>
      <c r="W19" s="8">
        <v>2.7747999999999998E-2</v>
      </c>
      <c r="X19" s="10">
        <v>220</v>
      </c>
    </row>
    <row r="20" spans="1:25" x14ac:dyDescent="0.25">
      <c r="B20" s="2">
        <v>1639</v>
      </c>
      <c r="C20">
        <f t="shared" si="4"/>
        <v>171.63567864112238</v>
      </c>
      <c r="D20" s="5">
        <v>1.00910839779551</v>
      </c>
      <c r="E20" s="8">
        <v>30.616946893747699</v>
      </c>
      <c r="F20" s="5">
        <v>3.0682354873155302</v>
      </c>
      <c r="G20" s="8">
        <v>48.030195935012003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60</v>
      </c>
      <c r="W20" s="8">
        <v>2.7747999999999998E-2</v>
      </c>
      <c r="X20" s="10">
        <v>215</v>
      </c>
    </row>
    <row r="21" spans="1:25" x14ac:dyDescent="0.25">
      <c r="B21" s="2">
        <v>1640</v>
      </c>
      <c r="C21">
        <f t="shared" si="4"/>
        <v>171.74039839624203</v>
      </c>
      <c r="D21" s="5">
        <v>1.0089421600028099</v>
      </c>
      <c r="E21" s="8">
        <v>30.660577754608099</v>
      </c>
      <c r="F21" s="5">
        <v>2.8293806275398499</v>
      </c>
      <c r="G21" s="8">
        <v>47.417480320241701</v>
      </c>
      <c r="H21">
        <f t="shared" si="0"/>
        <v>320.56748032024166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60</v>
      </c>
      <c r="W21" s="8">
        <v>2.7747999999999998E-2</v>
      </c>
      <c r="X21" s="10">
        <v>205</v>
      </c>
    </row>
    <row r="22" spans="1:25" x14ac:dyDescent="0.25">
      <c r="B22" s="14"/>
      <c r="D22" s="5"/>
      <c r="E22" s="8"/>
      <c r="F22" s="5"/>
      <c r="G22" s="8"/>
      <c r="J22" s="1"/>
      <c r="S22" s="15"/>
    </row>
    <row r="23" spans="1:25" x14ac:dyDescent="0.25">
      <c r="A23" s="3">
        <f>AVERAGE(B23:B28)</f>
        <v>1838.5</v>
      </c>
      <c r="B23" s="2">
        <v>1837</v>
      </c>
      <c r="C23">
        <f t="shared" si="4"/>
        <v>192.37019015481502</v>
      </c>
      <c r="D23" s="5">
        <v>1.0074809569159</v>
      </c>
      <c r="E23" s="8">
        <v>30.849170721143601</v>
      </c>
      <c r="F23" s="5">
        <v>5.0653949430406602</v>
      </c>
      <c r="G23" s="8">
        <v>49.552490253392499</v>
      </c>
      <c r="H23">
        <f t="shared" si="0"/>
        <v>322.70249025339245</v>
      </c>
      <c r="I23">
        <v>8.5</v>
      </c>
      <c r="J23" s="1">
        <f t="shared" ref="J23" si="14">I23/60/1000</f>
        <v>1.4166666666666665E-4</v>
      </c>
      <c r="K23">
        <v>34.911742272595383</v>
      </c>
      <c r="L23">
        <v>5.0324751973883091</v>
      </c>
      <c r="M23">
        <f t="shared" ref="M23" si="15">K23+273.15</f>
        <v>308.06174227259538</v>
      </c>
      <c r="N23">
        <f t="shared" ref="N23" si="16">L23/10</f>
        <v>0.50324751973883086</v>
      </c>
      <c r="O23">
        <v>5.6976000000000004</v>
      </c>
      <c r="Q23">
        <f t="shared" ref="Q23:Q28" si="17">SQRT(1.2/O23)*SQRT(N23/0.101325)*SQRT(293.15/M23)</f>
        <v>0.99770747454028219</v>
      </c>
      <c r="R23">
        <f t="shared" ref="R23:R28" si="18">I23*Q23</f>
        <v>8.4805135335923989</v>
      </c>
      <c r="S23" s="7">
        <f t="shared" ref="S23" si="19">R23/60/1000</f>
        <v>1.4134189222653998E-4</v>
      </c>
      <c r="U23">
        <v>48</v>
      </c>
      <c r="V23">
        <v>64</v>
      </c>
      <c r="W23" s="8">
        <v>2.1801999999999998E-2</v>
      </c>
      <c r="X23" s="10">
        <v>280</v>
      </c>
    </row>
    <row r="24" spans="1:25" x14ac:dyDescent="0.25">
      <c r="A24" s="3">
        <f>AVERAGE(G23:G28)</f>
        <v>48.965822310674078</v>
      </c>
      <c r="B24" s="2">
        <v>1837</v>
      </c>
      <c r="C24">
        <f t="shared" si="4"/>
        <v>192.37019015481502</v>
      </c>
      <c r="D24" s="5">
        <v>1.0076637581773999</v>
      </c>
      <c r="E24" s="8">
        <v>30.854876597503999</v>
      </c>
      <c r="F24" s="5">
        <v>4.5816778072219497</v>
      </c>
      <c r="G24" s="8">
        <v>49.648556094417998</v>
      </c>
      <c r="H24">
        <f t="shared" si="0"/>
        <v>322.79855609441796</v>
      </c>
      <c r="I24">
        <v>10</v>
      </c>
      <c r="J24" s="1">
        <f t="shared" si="1"/>
        <v>1.6666666666666666E-4</v>
      </c>
      <c r="K24">
        <v>33.965123681967277</v>
      </c>
      <c r="L24">
        <v>4.5450850240495768</v>
      </c>
      <c r="M24">
        <f t="shared" si="2"/>
        <v>307.11512368196725</v>
      </c>
      <c r="N24">
        <f t="shared" si="3"/>
        <v>0.45450850240495766</v>
      </c>
      <c r="O24">
        <v>5.1612999999999998</v>
      </c>
      <c r="Q24">
        <f t="shared" si="17"/>
        <v>0.99774168860402668</v>
      </c>
      <c r="R24">
        <f t="shared" si="18"/>
        <v>9.9774168860402668</v>
      </c>
      <c r="S24" s="7">
        <f t="shared" si="5"/>
        <v>1.6629028143400445E-4</v>
      </c>
      <c r="U24">
        <v>48</v>
      </c>
      <c r="V24">
        <v>64</v>
      </c>
      <c r="W24" s="8">
        <v>2.1801999999999998E-2</v>
      </c>
      <c r="X24" s="10">
        <v>270</v>
      </c>
    </row>
    <row r="25" spans="1:25" x14ac:dyDescent="0.25">
      <c r="B25" s="2">
        <v>1839</v>
      </c>
      <c r="C25">
        <f>B25*2*PI()/60</f>
        <v>192.57962966505431</v>
      </c>
      <c r="D25" s="5">
        <v>1.0079378907121701</v>
      </c>
      <c r="E25" s="8">
        <v>30.7073892467095</v>
      </c>
      <c r="F25" s="5">
        <v>4.0282260804900396</v>
      </c>
      <c r="G25" s="8">
        <v>47.5989242463693</v>
      </c>
      <c r="H25">
        <f t="shared" si="0"/>
        <v>320.74892424636926</v>
      </c>
      <c r="I25">
        <v>12</v>
      </c>
      <c r="J25" s="1">
        <f t="shared" si="1"/>
        <v>2.0000000000000001E-4</v>
      </c>
      <c r="K25">
        <v>32.938857350692899</v>
      </c>
      <c r="L25">
        <v>3.9826238950298061</v>
      </c>
      <c r="M25">
        <f t="shared" si="2"/>
        <v>306.08885735069288</v>
      </c>
      <c r="N25">
        <f t="shared" si="3"/>
        <v>0.3982623895029806</v>
      </c>
      <c r="O25">
        <v>4.5373000000000001</v>
      </c>
      <c r="Q25">
        <f t="shared" si="17"/>
        <v>0.99779059487469979</v>
      </c>
      <c r="R25">
        <f t="shared" si="18"/>
        <v>11.973487138496397</v>
      </c>
      <c r="S25" s="7">
        <f t="shared" si="5"/>
        <v>1.9955811897493994E-4</v>
      </c>
      <c r="U25">
        <v>48</v>
      </c>
      <c r="V25">
        <v>64</v>
      </c>
      <c r="W25" s="8">
        <v>2.1801999999999998E-2</v>
      </c>
      <c r="X25" s="10">
        <v>260</v>
      </c>
    </row>
    <row r="26" spans="1:25" x14ac:dyDescent="0.25">
      <c r="B26" s="2">
        <v>1839</v>
      </c>
      <c r="C26">
        <f t="shared" si="4"/>
        <v>192.57962966505431</v>
      </c>
      <c r="D26" s="5">
        <v>1.0075465725805399</v>
      </c>
      <c r="E26" s="8">
        <v>30.6548261091082</v>
      </c>
      <c r="F26" s="5">
        <v>3.6533986868675399</v>
      </c>
      <c r="G26" s="8">
        <v>46.402179551899401</v>
      </c>
      <c r="H26">
        <f t="shared" si="0"/>
        <v>319.55217955189937</v>
      </c>
      <c r="I26">
        <v>15</v>
      </c>
      <c r="J26" s="1">
        <f t="shared" si="1"/>
        <v>2.5000000000000001E-4</v>
      </c>
      <c r="K26">
        <v>32.704388837077452</v>
      </c>
      <c r="L26">
        <v>3.5880844465849808</v>
      </c>
      <c r="M26">
        <f t="shared" si="2"/>
        <v>305.85438883707741</v>
      </c>
      <c r="N26">
        <f t="shared" si="3"/>
        <v>0.35880844465849809</v>
      </c>
      <c r="O26">
        <v>4.0906000000000002</v>
      </c>
      <c r="Q26">
        <f t="shared" si="17"/>
        <v>0.9978326918355499</v>
      </c>
      <c r="R26">
        <f t="shared" si="18"/>
        <v>14.967490377533249</v>
      </c>
      <c r="S26" s="7">
        <f t="shared" si="5"/>
        <v>2.4945817295888748E-4</v>
      </c>
      <c r="U26">
        <v>48</v>
      </c>
      <c r="V26">
        <v>64</v>
      </c>
      <c r="W26" s="8">
        <v>2.1801999999999998E-2</v>
      </c>
      <c r="X26" s="10">
        <v>235</v>
      </c>
    </row>
    <row r="27" spans="1:25" x14ac:dyDescent="0.25">
      <c r="B27" s="2">
        <v>1839</v>
      </c>
      <c r="C27">
        <f t="shared" si="4"/>
        <v>192.57962966505431</v>
      </c>
      <c r="D27" s="5">
        <v>1.0077304078973599</v>
      </c>
      <c r="E27" s="8">
        <v>30.822986667073099</v>
      </c>
      <c r="F27" s="5">
        <v>3.0732756854133099</v>
      </c>
      <c r="G27" s="8">
        <v>50.602444253388803</v>
      </c>
      <c r="H27">
        <f t="shared" si="0"/>
        <v>323.75244425338877</v>
      </c>
      <c r="I27">
        <v>18</v>
      </c>
      <c r="J27" s="1">
        <f t="shared" si="1"/>
        <v>2.9999999999999997E-4</v>
      </c>
      <c r="K27">
        <v>34.160465950496068</v>
      </c>
      <c r="L27">
        <v>3.0036641094433802</v>
      </c>
      <c r="M27">
        <f t="shared" si="2"/>
        <v>307.31046595049605</v>
      </c>
      <c r="N27">
        <f t="shared" si="3"/>
        <v>0.30036641094433802</v>
      </c>
      <c r="O27">
        <v>3.4075000000000002</v>
      </c>
      <c r="Q27">
        <f t="shared" si="17"/>
        <v>0.99792141125745404</v>
      </c>
      <c r="R27">
        <f t="shared" si="18"/>
        <v>17.962585402634172</v>
      </c>
      <c r="S27" s="7">
        <f t="shared" si="5"/>
        <v>2.9937642337723617E-4</v>
      </c>
      <c r="U27">
        <v>48</v>
      </c>
      <c r="V27">
        <v>64</v>
      </c>
      <c r="W27" s="8">
        <v>2.1801999999999998E-2</v>
      </c>
      <c r="X27" s="10">
        <v>215</v>
      </c>
    </row>
    <row r="28" spans="1:25" x14ac:dyDescent="0.25">
      <c r="B28" s="2">
        <v>1840</v>
      </c>
      <c r="C28">
        <f t="shared" si="4"/>
        <v>192.68434942017399</v>
      </c>
      <c r="D28" s="5">
        <v>1.00690404718988</v>
      </c>
      <c r="E28" s="8">
        <v>30.8241608515143</v>
      </c>
      <c r="F28" s="5">
        <v>2.6401044471753301</v>
      </c>
      <c r="G28" s="8">
        <v>49.9903394645765</v>
      </c>
      <c r="H28">
        <f t="shared" si="0"/>
        <v>323.14033946457647</v>
      </c>
      <c r="I28">
        <v>21</v>
      </c>
      <c r="J28" s="1">
        <f t="shared" si="1"/>
        <v>3.5E-4</v>
      </c>
      <c r="K28">
        <v>35.299841353881696</v>
      </c>
      <c r="L28">
        <v>2.5573256010264003</v>
      </c>
      <c r="M28">
        <f t="shared" si="2"/>
        <v>308.44984135388165</v>
      </c>
      <c r="N28">
        <f t="shared" si="3"/>
        <v>0.25573256010264001</v>
      </c>
      <c r="O28">
        <v>2.8900999999999999</v>
      </c>
      <c r="Q28">
        <f t="shared" si="17"/>
        <v>0.99797938124444174</v>
      </c>
      <c r="R28">
        <f t="shared" si="18"/>
        <v>20.957567006133278</v>
      </c>
      <c r="S28" s="7">
        <f t="shared" si="5"/>
        <v>3.4929278343555462E-4</v>
      </c>
      <c r="U28">
        <v>48</v>
      </c>
      <c r="V28">
        <v>64</v>
      </c>
      <c r="W28" s="8">
        <v>2.1801999999999998E-2</v>
      </c>
      <c r="X28" s="10">
        <v>205</v>
      </c>
    </row>
    <row r="29" spans="1:25" x14ac:dyDescent="0.25">
      <c r="D29" s="5"/>
      <c r="E29" s="8"/>
      <c r="F29" s="5"/>
      <c r="G29" s="8"/>
    </row>
    <row r="30" spans="1:25" x14ac:dyDescent="0.25">
      <c r="A30" s="3">
        <f>AVERAGE(B30:B35)</f>
        <v>2111.5</v>
      </c>
      <c r="B30" s="2">
        <v>2107</v>
      </c>
      <c r="C30">
        <f t="shared" ref="C30" si="20">B30*2*PI()/60</f>
        <v>220.64452403712315</v>
      </c>
      <c r="D30" s="5">
        <v>1.00664348651146</v>
      </c>
      <c r="E30" s="8">
        <v>31.8755210636795</v>
      </c>
      <c r="F30" s="5">
        <v>5.1395527310525901</v>
      </c>
      <c r="G30" s="8">
        <v>53.790427815977402</v>
      </c>
      <c r="H30">
        <f t="shared" ref="H30:H35" si="21">G30+273.15</f>
        <v>326.94042781597739</v>
      </c>
      <c r="I30">
        <v>9</v>
      </c>
      <c r="J30" s="1">
        <f t="shared" ref="J30:J35" si="22">I30/60/1000</f>
        <v>1.4999999999999999E-4</v>
      </c>
      <c r="K30">
        <v>34.091203107820157</v>
      </c>
      <c r="L30">
        <v>5.1153551515503608</v>
      </c>
      <c r="M30">
        <f t="shared" ref="M30:M35" si="23">K30+273.15</f>
        <v>307.24120310782013</v>
      </c>
      <c r="N30">
        <f t="shared" ref="N30:N35" si="24">L30/10</f>
        <v>0.51153551515503604</v>
      </c>
      <c r="O30">
        <v>5.8071999999999999</v>
      </c>
      <c r="Q30">
        <f t="shared" ref="Q30:Q35" si="25">SQRT(1.2/O30)*SQRT(N30/0.101325)*SQRT(293.15/M30)</f>
        <v>0.9976817812522496</v>
      </c>
      <c r="R30">
        <f>I30*Q30</f>
        <v>8.9791360312702473</v>
      </c>
      <c r="S30" s="7">
        <f>R30/60/1000</f>
        <v>1.4965226718783746E-4</v>
      </c>
      <c r="U30">
        <v>50</v>
      </c>
      <c r="V30">
        <v>70</v>
      </c>
      <c r="W30" s="8">
        <v>1.8828999999999999E-2</v>
      </c>
      <c r="X30" s="10">
        <v>280</v>
      </c>
      <c r="Y30">
        <v>1.7838E-2</v>
      </c>
    </row>
    <row r="31" spans="1:25" x14ac:dyDescent="0.25">
      <c r="A31" s="3">
        <f>AVERAGE(G30:G35)</f>
        <v>52.695002582312505</v>
      </c>
      <c r="B31" s="2">
        <v>2112</v>
      </c>
      <c r="C31">
        <f>B31*2*PI()/60</f>
        <v>221.16812281272144</v>
      </c>
      <c r="D31" s="5">
        <v>1.00610594912139</v>
      </c>
      <c r="E31" s="8">
        <v>32.0262582611306</v>
      </c>
      <c r="F31" s="5">
        <v>4.4350470643170903</v>
      </c>
      <c r="G31" s="8">
        <v>49.9908134224425</v>
      </c>
      <c r="H31">
        <f t="shared" si="21"/>
        <v>323.14081342244248</v>
      </c>
      <c r="I31">
        <v>11.5</v>
      </c>
      <c r="J31" s="1">
        <f t="shared" si="22"/>
        <v>1.9166666666666667E-4</v>
      </c>
      <c r="K31">
        <v>36.091330242567508</v>
      </c>
      <c r="L31">
        <v>4.398073191126322</v>
      </c>
      <c r="M31">
        <f t="shared" si="23"/>
        <v>309.24133024256747</v>
      </c>
      <c r="N31">
        <f t="shared" si="24"/>
        <v>0.43980731911263221</v>
      </c>
      <c r="O31">
        <v>4.9595000000000002</v>
      </c>
      <c r="Q31">
        <f t="shared" si="25"/>
        <v>0.99779374850115632</v>
      </c>
      <c r="R31">
        <f t="shared" ref="R31:R35" si="26">I31*Q31</f>
        <v>11.474628107763298</v>
      </c>
      <c r="S31" s="7">
        <f t="shared" ref="S31:S35" si="27">R31/60/1000</f>
        <v>1.9124380179605496E-4</v>
      </c>
      <c r="U31">
        <v>50</v>
      </c>
      <c r="V31">
        <v>70</v>
      </c>
      <c r="W31" s="8">
        <v>1.8828999999999999E-2</v>
      </c>
      <c r="X31" s="10">
        <v>270</v>
      </c>
      <c r="Y31">
        <v>1.7838E-2</v>
      </c>
    </row>
    <row r="32" spans="1:25" x14ac:dyDescent="0.25">
      <c r="A32" s="6"/>
      <c r="B32" s="2">
        <v>2114</v>
      </c>
      <c r="C32">
        <f t="shared" ref="C32:C34" si="28">B32*2*PI()/60</f>
        <v>221.37756232296076</v>
      </c>
      <c r="D32" s="5">
        <v>1.0066982516283101</v>
      </c>
      <c r="E32" s="8">
        <v>32.005684453369298</v>
      </c>
      <c r="F32" s="5">
        <v>4.0038566309211898</v>
      </c>
      <c r="G32" s="8">
        <v>49.199552467406399</v>
      </c>
      <c r="H32">
        <f t="shared" si="21"/>
        <v>322.3495524674064</v>
      </c>
      <c r="I32">
        <v>14</v>
      </c>
      <c r="J32" s="1">
        <f t="shared" si="22"/>
        <v>2.3333333333333333E-4</v>
      </c>
      <c r="K32">
        <v>35.22898377743342</v>
      </c>
      <c r="L32">
        <v>3.9611569214138527</v>
      </c>
      <c r="M32">
        <f t="shared" si="23"/>
        <v>308.3789837774334</v>
      </c>
      <c r="N32">
        <f t="shared" si="24"/>
        <v>0.39611569214138526</v>
      </c>
      <c r="O32">
        <v>4.4790000000000001</v>
      </c>
      <c r="Q32">
        <f t="shared" si="25"/>
        <v>0.99782727755777623</v>
      </c>
      <c r="R32">
        <f t="shared" si="26"/>
        <v>13.969581885808868</v>
      </c>
      <c r="S32" s="7">
        <f t="shared" si="27"/>
        <v>2.3282636476348111E-4</v>
      </c>
      <c r="U32">
        <v>50</v>
      </c>
      <c r="V32">
        <v>70</v>
      </c>
      <c r="W32" s="8">
        <v>1.8828999999999999E-2</v>
      </c>
      <c r="X32" s="10">
        <v>260</v>
      </c>
      <c r="Y32">
        <v>1.7838E-2</v>
      </c>
    </row>
    <row r="33" spans="1:39" x14ac:dyDescent="0.25">
      <c r="B33" s="2">
        <v>2111</v>
      </c>
      <c r="C33">
        <f t="shared" si="28"/>
        <v>221.06340305760176</v>
      </c>
      <c r="D33" s="5">
        <v>1.00622035047064</v>
      </c>
      <c r="E33" s="8">
        <v>32.022331469804698</v>
      </c>
      <c r="F33" s="5">
        <v>3.69061358519046</v>
      </c>
      <c r="G33" s="8">
        <v>55.823943947719599</v>
      </c>
      <c r="H33">
        <f t="shared" si="21"/>
        <v>328.97394394771959</v>
      </c>
      <c r="I33">
        <v>17</v>
      </c>
      <c r="J33" s="1">
        <f t="shared" si="22"/>
        <v>2.833333333333333E-4</v>
      </c>
      <c r="K33">
        <v>35.183946946549369</v>
      </c>
      <c r="L33">
        <v>3.6382551740685782</v>
      </c>
      <c r="M33">
        <f t="shared" si="23"/>
        <v>308.33394694654936</v>
      </c>
      <c r="N33">
        <f t="shared" si="24"/>
        <v>0.36382551740685781</v>
      </c>
      <c r="O33">
        <v>4.1142000000000003</v>
      </c>
      <c r="Q33">
        <f t="shared" si="25"/>
        <v>0.99786197341373895</v>
      </c>
      <c r="R33">
        <f t="shared" si="26"/>
        <v>16.963653548033562</v>
      </c>
      <c r="S33" s="7">
        <f t="shared" si="27"/>
        <v>2.827275591338927E-4</v>
      </c>
      <c r="U33">
        <v>50</v>
      </c>
      <c r="V33">
        <v>70</v>
      </c>
      <c r="W33" s="8">
        <v>1.8828999999999999E-2</v>
      </c>
      <c r="X33" s="10">
        <v>240</v>
      </c>
      <c r="Y33">
        <v>1.7838E-2</v>
      </c>
    </row>
    <row r="34" spans="1:39" x14ac:dyDescent="0.25">
      <c r="B34" s="2">
        <v>2112</v>
      </c>
      <c r="C34">
        <f t="shared" si="28"/>
        <v>221.16812281272144</v>
      </c>
      <c r="D34" s="5">
        <v>1.0075471234151601</v>
      </c>
      <c r="E34" s="8">
        <v>31.981519437650199</v>
      </c>
      <c r="F34" s="5">
        <v>3.3424664174525498</v>
      </c>
      <c r="G34" s="8">
        <v>54.463514185662603</v>
      </c>
      <c r="H34">
        <f t="shared" si="21"/>
        <v>327.61351418566255</v>
      </c>
      <c r="I34">
        <v>19</v>
      </c>
      <c r="J34" s="1">
        <f t="shared" si="22"/>
        <v>3.1666666666666665E-4</v>
      </c>
      <c r="K34">
        <v>36.165910744740373</v>
      </c>
      <c r="L34">
        <v>3.2729093370781328</v>
      </c>
      <c r="M34">
        <f t="shared" si="23"/>
        <v>309.31591074474034</v>
      </c>
      <c r="N34">
        <f t="shared" si="24"/>
        <v>0.32729093370781326</v>
      </c>
      <c r="O34">
        <v>3.6888999999999998</v>
      </c>
      <c r="Q34">
        <f t="shared" si="25"/>
        <v>0.99791760042068167</v>
      </c>
      <c r="R34">
        <f t="shared" si="26"/>
        <v>18.960434407992953</v>
      </c>
      <c r="S34" s="7">
        <f t="shared" si="27"/>
        <v>3.1600724013321587E-4</v>
      </c>
      <c r="U34">
        <v>50</v>
      </c>
      <c r="V34">
        <v>70</v>
      </c>
      <c r="W34" s="8">
        <v>1.8828999999999999E-2</v>
      </c>
      <c r="X34" s="10">
        <v>225</v>
      </c>
      <c r="Y34">
        <v>1.7838E-2</v>
      </c>
    </row>
    <row r="35" spans="1:39" x14ac:dyDescent="0.25">
      <c r="B35" s="2">
        <v>2113</v>
      </c>
      <c r="C35">
        <f>B35*2*PI()/60</f>
        <v>221.27284256784108</v>
      </c>
      <c r="D35" s="5">
        <v>1.00657455969937</v>
      </c>
      <c r="E35" s="8">
        <v>32.002248517148502</v>
      </c>
      <c r="F35" s="5">
        <v>2.5472304393617602</v>
      </c>
      <c r="G35" s="8">
        <v>52.901763654666603</v>
      </c>
      <c r="H35">
        <f t="shared" si="21"/>
        <v>326.05176365466656</v>
      </c>
      <c r="I35">
        <v>26</v>
      </c>
      <c r="J35" s="1">
        <f t="shared" si="22"/>
        <v>4.3333333333333337E-4</v>
      </c>
      <c r="K35">
        <v>37.109925562862749</v>
      </c>
      <c r="L35">
        <v>2.4564213377189379</v>
      </c>
      <c r="M35">
        <f t="shared" si="23"/>
        <v>310.25992556286275</v>
      </c>
      <c r="N35">
        <f t="shared" si="24"/>
        <v>0.24564213377189378</v>
      </c>
      <c r="O35">
        <v>2.7597</v>
      </c>
      <c r="Q35">
        <f t="shared" si="25"/>
        <v>0.99801005747028537</v>
      </c>
      <c r="R35">
        <f t="shared" si="26"/>
        <v>25.94826149422742</v>
      </c>
      <c r="S35" s="7">
        <f t="shared" si="27"/>
        <v>4.3247102490379037E-4</v>
      </c>
      <c r="U35">
        <v>50</v>
      </c>
      <c r="V35">
        <v>70</v>
      </c>
      <c r="W35" s="8">
        <v>1.8828999999999999E-2</v>
      </c>
      <c r="X35" s="10">
        <v>200</v>
      </c>
      <c r="Y35">
        <v>1.7838E-2</v>
      </c>
    </row>
    <row r="40" spans="1:39" ht="21" x14ac:dyDescent="0.35">
      <c r="D40" s="28"/>
      <c r="E40" s="60" t="s">
        <v>6</v>
      </c>
      <c r="F40" s="60"/>
      <c r="G40" s="60"/>
      <c r="H40" s="34"/>
      <c r="I40" s="34"/>
      <c r="J40" s="28"/>
      <c r="K40" s="61" t="s">
        <v>5</v>
      </c>
      <c r="L40" s="61"/>
      <c r="M40" s="61"/>
      <c r="N40" s="29"/>
      <c r="O40" s="60" t="s">
        <v>4</v>
      </c>
      <c r="P40" s="60"/>
      <c r="Q40" s="60"/>
      <c r="S40" s="13"/>
      <c r="T40" s="62" t="s">
        <v>19</v>
      </c>
      <c r="U40" s="62"/>
      <c r="V40" s="62"/>
      <c r="W40" s="62"/>
      <c r="X40" s="62"/>
      <c r="Y40" s="62"/>
    </row>
    <row r="41" spans="1:39" ht="18.75" x14ac:dyDescent="0.3">
      <c r="D41" s="30" t="s">
        <v>35</v>
      </c>
      <c r="E41" s="31" t="s">
        <v>23</v>
      </c>
      <c r="F41" s="31" t="s">
        <v>1</v>
      </c>
      <c r="G41" s="31" t="s">
        <v>0</v>
      </c>
      <c r="H41" s="35"/>
      <c r="I41" s="35"/>
      <c r="J41" s="30" t="s">
        <v>3</v>
      </c>
      <c r="K41" s="31" t="s">
        <v>23</v>
      </c>
      <c r="L41" s="31" t="s">
        <v>1</v>
      </c>
      <c r="M41" s="31" t="s">
        <v>2</v>
      </c>
      <c r="N41" s="31"/>
      <c r="O41" s="31" t="s">
        <v>23</v>
      </c>
      <c r="P41" s="31" t="s">
        <v>1</v>
      </c>
      <c r="Q41" s="31" t="s">
        <v>0</v>
      </c>
      <c r="T41" s="32" t="s">
        <v>21</v>
      </c>
      <c r="U41" s="33" t="s">
        <v>20</v>
      </c>
      <c r="V41" s="32" t="s">
        <v>24</v>
      </c>
      <c r="W41" s="33" t="s">
        <v>18</v>
      </c>
      <c r="X41" s="32" t="s">
        <v>25</v>
      </c>
      <c r="Y41" s="33" t="s">
        <v>22</v>
      </c>
      <c r="AA41" t="s">
        <v>50</v>
      </c>
      <c r="AC41" t="s">
        <v>56</v>
      </c>
      <c r="AH41" t="s">
        <v>55</v>
      </c>
      <c r="AK41" t="s">
        <v>62</v>
      </c>
      <c r="AM41" t="s">
        <v>63</v>
      </c>
    </row>
    <row r="42" spans="1:39" x14ac:dyDescent="0.25">
      <c r="B42" s="2">
        <f>B3</f>
        <v>1217</v>
      </c>
      <c r="C42" s="10">
        <f>B42*2*PI()/60</f>
        <v>127.44394198062595</v>
      </c>
      <c r="D42" s="25">
        <f>F3</f>
        <v>4.2632226981025703</v>
      </c>
      <c r="E42">
        <v>0.36599999999999999</v>
      </c>
      <c r="F42">
        <v>0.74839999999999995</v>
      </c>
      <c r="G42" s="5">
        <f>S3*O3*1000</f>
        <v>0.3247321478042306</v>
      </c>
      <c r="H42" s="36"/>
      <c r="I42" s="36"/>
      <c r="J42" s="25">
        <v>4.2444180924655104</v>
      </c>
      <c r="K42">
        <v>232.79490000000001</v>
      </c>
      <c r="L42">
        <v>251.22190000000001</v>
      </c>
      <c r="M42" s="5">
        <f>C42*Q42</f>
        <v>219.923995478764</v>
      </c>
      <c r="O42">
        <v>1.8266</v>
      </c>
      <c r="P42">
        <v>1.9712000000000001</v>
      </c>
      <c r="Q42" s="5">
        <v>1.7256528012308101</v>
      </c>
      <c r="T42" s="9">
        <f>(E42-G42)/G42</f>
        <v>0.12708274334652048</v>
      </c>
      <c r="U42" s="4">
        <f>(F42-G42)/G42</f>
        <v>1.3046686478703167</v>
      </c>
      <c r="V42" s="38">
        <f>(K42-M42)/M42</f>
        <v>5.8524330158774493E-2</v>
      </c>
      <c r="W42" s="38">
        <f>(L42-M42)/M42</f>
        <v>0.14231236774823941</v>
      </c>
      <c r="X42" s="4">
        <f>(O42-Q42)/Q42</f>
        <v>5.8497977517371971E-2</v>
      </c>
      <c r="Y42" s="4">
        <f>(P42-Q42)/Q42</f>
        <v>0.14229235370756799</v>
      </c>
      <c r="AA42">
        <v>8.8492944187253499</v>
      </c>
      <c r="AC42">
        <v>0.50214350843484812</v>
      </c>
      <c r="AD42" s="4">
        <f>V42-AA42/100</f>
        <v>-2.9968614028479001E-2</v>
      </c>
      <c r="AF42" s="4">
        <f>ABS(T42)-AC42</f>
        <v>-0.37506076508832764</v>
      </c>
      <c r="AG42" s="4">
        <f>E42/F42</f>
        <v>0.48904329235702837</v>
      </c>
      <c r="AH42" s="4">
        <f>G42/F42</f>
        <v>0.43390185436161227</v>
      </c>
      <c r="AK42">
        <f>T42^2</f>
        <v>1.6150023656477594E-2</v>
      </c>
      <c r="AM42">
        <f>V42^2</f>
        <v>3.4250972205332416E-3</v>
      </c>
    </row>
    <row r="43" spans="1:39" x14ac:dyDescent="0.25">
      <c r="A43" s="22">
        <f>AVERAGE(B42:B46)</f>
        <v>1216</v>
      </c>
      <c r="B43" s="2">
        <f>B4</f>
        <v>1214</v>
      </c>
      <c r="C43" s="10">
        <f t="shared" ref="C43:C46" si="29">B43*2*PI()/60</f>
        <v>127.12978271526696</v>
      </c>
      <c r="D43" s="25">
        <f>F4</f>
        <v>3.7487816777695127</v>
      </c>
      <c r="E43">
        <v>0.39850000000000002</v>
      </c>
      <c r="F43">
        <v>0.74750000000000005</v>
      </c>
      <c r="G43" s="5">
        <f>S4*O4*1000</f>
        <v>0.35673312429200765</v>
      </c>
      <c r="H43" s="36"/>
      <c r="I43" s="36"/>
      <c r="J43" s="25">
        <v>3.7878232240313827</v>
      </c>
      <c r="K43">
        <v>202.07579999999999</v>
      </c>
      <c r="L43">
        <v>227.9221</v>
      </c>
      <c r="M43" s="5">
        <f>C43*Q43</f>
        <v>201.06346911209982</v>
      </c>
      <c r="O43">
        <v>1.5894999999999999</v>
      </c>
      <c r="P43">
        <v>1.7927999999999999</v>
      </c>
      <c r="Q43" s="5">
        <v>1.5815607076307401</v>
      </c>
      <c r="T43" s="9">
        <f t="shared" ref="T43:T46" si="30">(E43-G43)/G43</f>
        <v>0.11708157405030785</v>
      </c>
      <c r="U43" s="4">
        <f t="shared" ref="U43:U46" si="31">(F43-G43)/G43</f>
        <v>1.0954039563427984</v>
      </c>
      <c r="V43" s="38">
        <f t="shared" ref="V43:V62" si="32">(K43-M43)/M43</f>
        <v>5.0348822308231098E-3</v>
      </c>
      <c r="W43" s="38">
        <f t="shared" ref="W43:W62" si="33">(L43-M43)/M43</f>
        <v>0.13358284827427086</v>
      </c>
      <c r="X43" s="4">
        <f t="shared" ref="X43:X62" si="34">(O43-Q43)/Q43</f>
        <v>5.0199099730754582E-3</v>
      </c>
      <c r="Y43" s="4">
        <f t="shared" ref="Y43:Y62" si="35">(P43-Q43)/Q43</f>
        <v>0.13356382170476863</v>
      </c>
      <c r="AA43">
        <v>9.6416219387958275</v>
      </c>
      <c r="AC43">
        <v>0.40189013925896322</v>
      </c>
      <c r="AD43" s="4">
        <f t="shared" ref="AD43:AD78" si="36">V43-AA43/100</f>
        <v>-9.1381337157135159E-2</v>
      </c>
      <c r="AF43" s="4">
        <f t="shared" ref="AF43:AF78" si="37">ABS(T43)-AC43</f>
        <v>-0.28480856520865538</v>
      </c>
      <c r="AG43" s="4">
        <f t="shared" ref="AG43:AG78" si="38">E43/F43</f>
        <v>0.53311036789297661</v>
      </c>
      <c r="AH43" s="4">
        <f t="shared" ref="AH43:AH78" si="39">G43/F43</f>
        <v>0.47723494888562895</v>
      </c>
      <c r="AK43">
        <f t="shared" ref="AK43:AK78" si="40">T43^2</f>
        <v>1.370809498209772E-2</v>
      </c>
      <c r="AM43">
        <f t="shared" ref="AM43:AM78" si="41">V43^2</f>
        <v>2.5350039078258295E-5</v>
      </c>
    </row>
    <row r="44" spans="1:39" x14ac:dyDescent="0.25">
      <c r="A44" s="23"/>
      <c r="B44" s="2">
        <f>B5</f>
        <v>1217</v>
      </c>
      <c r="C44" s="10">
        <f t="shared" si="29"/>
        <v>127.44394198062595</v>
      </c>
      <c r="D44" s="25">
        <f>F5</f>
        <v>3.41149288331663</v>
      </c>
      <c r="E44">
        <v>0.40029999999999999</v>
      </c>
      <c r="F44">
        <v>0.75039999999999996</v>
      </c>
      <c r="G44" s="5">
        <f>S5*O5*1000</f>
        <v>0.45316198723503576</v>
      </c>
      <c r="H44" s="36"/>
      <c r="I44" s="36"/>
      <c r="J44" s="25">
        <v>3.4480098649583537</v>
      </c>
      <c r="K44">
        <v>200.8391</v>
      </c>
      <c r="L44">
        <v>213.35659999999999</v>
      </c>
      <c r="M44" s="5">
        <f>C44*Q44</f>
        <v>193.63025834579085</v>
      </c>
      <c r="O44">
        <v>1.5759000000000001</v>
      </c>
      <c r="P44">
        <v>1.6740999999999999</v>
      </c>
      <c r="Q44" s="5">
        <v>1.5193367008000001</v>
      </c>
      <c r="T44" s="9">
        <f t="shared" si="30"/>
        <v>-0.11665141544102753</v>
      </c>
      <c r="U44" s="4">
        <f t="shared" si="31"/>
        <v>0.65592000462916045</v>
      </c>
      <c r="V44" s="38">
        <f t="shared" si="32"/>
        <v>3.7229933564078513E-2</v>
      </c>
      <c r="W44" s="38">
        <f t="shared" si="33"/>
        <v>0.10187633804103711</v>
      </c>
      <c r="X44" s="4">
        <f t="shared" si="34"/>
        <v>3.7228942847373381E-2</v>
      </c>
      <c r="Y44" s="4">
        <f t="shared" si="35"/>
        <v>0.10186241082605978</v>
      </c>
      <c r="AA44">
        <v>10.029661068040429</v>
      </c>
      <c r="AC44">
        <v>0.28733834405326064</v>
      </c>
      <c r="AD44" s="4">
        <f t="shared" si="36"/>
        <v>-6.3066677116325784E-2</v>
      </c>
      <c r="AF44" s="4">
        <f t="shared" si="37"/>
        <v>-0.17068692861223311</v>
      </c>
      <c r="AG44" s="4">
        <f t="shared" si="38"/>
        <v>0.53344882729211085</v>
      </c>
      <c r="AH44" s="4">
        <f t="shared" si="39"/>
        <v>0.60389390623005834</v>
      </c>
      <c r="AK44">
        <f t="shared" si="40"/>
        <v>1.3607552724395195E-2</v>
      </c>
      <c r="AM44">
        <f t="shared" si="41"/>
        <v>1.3860679531856998E-3</v>
      </c>
    </row>
    <row r="45" spans="1:39" x14ac:dyDescent="0.25">
      <c r="A45" s="23"/>
      <c r="B45" s="2">
        <f>B6</f>
        <v>1215</v>
      </c>
      <c r="C45" s="10">
        <f t="shared" si="29"/>
        <v>127.23450247038662</v>
      </c>
      <c r="D45" s="25">
        <f>F6</f>
        <v>3.0036465230416098</v>
      </c>
      <c r="E45">
        <v>0.41959999999999997</v>
      </c>
      <c r="F45">
        <v>0.74929999999999997</v>
      </c>
      <c r="G45" s="5">
        <f>S6*O6*1000</f>
        <v>0.45543527309811571</v>
      </c>
      <c r="H45" s="36"/>
      <c r="I45" s="36"/>
      <c r="J45" s="25">
        <v>3.0515120209205819</v>
      </c>
      <c r="K45">
        <v>184.05609999999999</v>
      </c>
      <c r="L45">
        <v>193.81049999999999</v>
      </c>
      <c r="M45" s="5">
        <f>C45*Q45</f>
        <v>176.89683334223687</v>
      </c>
      <c r="O45">
        <v>1.4466000000000001</v>
      </c>
      <c r="P45">
        <v>1.5233000000000001</v>
      </c>
      <c r="Q45" s="5">
        <v>1.39032125648001</v>
      </c>
      <c r="T45" s="9">
        <f t="shared" si="30"/>
        <v>-7.8683569795428746E-2</v>
      </c>
      <c r="U45" s="4">
        <f t="shared" si="31"/>
        <v>0.6452392782466283</v>
      </c>
      <c r="V45" s="38">
        <f t="shared" si="32"/>
        <v>4.0471423498646235E-2</v>
      </c>
      <c r="W45" s="38">
        <f t="shared" si="33"/>
        <v>9.5613168072040969E-2</v>
      </c>
      <c r="X45" s="4">
        <f t="shared" si="34"/>
        <v>4.0478949205218634E-2</v>
      </c>
      <c r="Y45" s="4">
        <f t="shared" si="35"/>
        <v>9.564605511150942E-2</v>
      </c>
      <c r="AA45">
        <v>10.94606345179313</v>
      </c>
      <c r="AC45">
        <v>0.25153168137532639</v>
      </c>
      <c r="AD45" s="4">
        <f t="shared" si="36"/>
        <v>-6.8989211019285068E-2</v>
      </c>
      <c r="AF45" s="4">
        <f t="shared" si="37"/>
        <v>-0.17284811157989766</v>
      </c>
      <c r="AG45" s="4">
        <f t="shared" si="38"/>
        <v>0.55998932336847729</v>
      </c>
      <c r="AH45" s="4">
        <f t="shared" si="39"/>
        <v>0.60781432416670989</v>
      </c>
      <c r="AK45">
        <f t="shared" si="40"/>
        <v>6.1911041557521067E-3</v>
      </c>
      <c r="AM45">
        <f t="shared" si="41"/>
        <v>1.6379361200067747E-3</v>
      </c>
    </row>
    <row r="46" spans="1:39" x14ac:dyDescent="0.25">
      <c r="A46" s="23"/>
      <c r="B46" s="2">
        <f>B7</f>
        <v>1217</v>
      </c>
      <c r="C46" s="10">
        <f t="shared" si="29"/>
        <v>127.44394198062595</v>
      </c>
      <c r="D46" s="25">
        <f>F7</f>
        <v>2.3975521098447898</v>
      </c>
      <c r="E46">
        <v>0.45810000000000001</v>
      </c>
      <c r="F46">
        <v>0.75209999999999999</v>
      </c>
      <c r="G46" s="5">
        <f>S7*O7*1000</f>
        <v>0.45359213147780497</v>
      </c>
      <c r="H46" s="36"/>
      <c r="I46" s="36"/>
      <c r="J46" s="25">
        <v>2.2725055761034807</v>
      </c>
      <c r="K46">
        <v>158.24770000000001</v>
      </c>
      <c r="L46">
        <v>163.9101</v>
      </c>
      <c r="M46" s="5">
        <f>C46*Q46</f>
        <v>150.01311193399283</v>
      </c>
      <c r="O46">
        <v>1.2417</v>
      </c>
      <c r="P46">
        <v>1.2861</v>
      </c>
      <c r="Q46" s="5">
        <v>1.1770909593866601</v>
      </c>
      <c r="T46" s="9">
        <f t="shared" si="30"/>
        <v>9.9381541463437247E-3</v>
      </c>
      <c r="U46" s="4">
        <f t="shared" si="31"/>
        <v>0.65809754580542479</v>
      </c>
      <c r="V46" s="38">
        <f t="shared" si="32"/>
        <v>5.4892455465029431E-2</v>
      </c>
      <c r="W46" s="38">
        <f t="shared" si="33"/>
        <v>9.2638489308334404E-2</v>
      </c>
      <c r="X46" s="4">
        <f t="shared" si="34"/>
        <v>5.488874083869049E-2</v>
      </c>
      <c r="Y46" s="4">
        <f t="shared" si="35"/>
        <v>9.2608850441040377E-2</v>
      </c>
      <c r="AA46">
        <v>12.900212014457967</v>
      </c>
      <c r="AC46">
        <v>0.20140968870503939</v>
      </c>
      <c r="AD46" s="4">
        <f t="shared" si="36"/>
        <v>-7.4109664679550241E-2</v>
      </c>
      <c r="AF46" s="4">
        <f t="shared" si="37"/>
        <v>-0.19147153455869567</v>
      </c>
      <c r="AG46" s="4">
        <f t="shared" si="38"/>
        <v>0.60909453530115676</v>
      </c>
      <c r="AH46" s="4">
        <f t="shared" si="39"/>
        <v>0.60310082632336792</v>
      </c>
      <c r="AK46">
        <f>T46^2</f>
        <v>9.8766907836488963E-5</v>
      </c>
      <c r="AM46">
        <f t="shared" si="41"/>
        <v>3.0131816669802395E-3</v>
      </c>
    </row>
    <row r="47" spans="1:39" x14ac:dyDescent="0.25">
      <c r="A47" s="24"/>
      <c r="B47" s="19"/>
      <c r="C47" s="16"/>
      <c r="D47" s="20"/>
      <c r="E47" s="16"/>
      <c r="F47" s="16"/>
      <c r="G47" s="16"/>
      <c r="H47" s="36"/>
      <c r="I47" s="36"/>
      <c r="J47" s="20"/>
      <c r="K47" s="16"/>
      <c r="L47" s="16"/>
      <c r="M47" s="16"/>
      <c r="N47" s="16"/>
      <c r="O47" s="16"/>
      <c r="P47" s="16"/>
      <c r="Q47" s="16"/>
      <c r="R47" s="16"/>
      <c r="S47" s="16"/>
      <c r="T47" s="17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 spans="1:39" x14ac:dyDescent="0.25">
      <c r="A48" s="24"/>
      <c r="B48" s="16"/>
      <c r="C48" s="16"/>
      <c r="D48" s="20"/>
      <c r="E48" s="16"/>
      <c r="F48" s="16"/>
      <c r="G48" s="16"/>
      <c r="H48" s="36"/>
      <c r="I48" s="36"/>
      <c r="J48" s="20"/>
      <c r="K48" s="16"/>
      <c r="L48" s="16"/>
      <c r="M48" s="16"/>
      <c r="N48" s="16"/>
      <c r="O48" s="16"/>
      <c r="P48" s="16"/>
      <c r="Q48" s="16"/>
      <c r="R48" s="16"/>
      <c r="S48" s="16"/>
      <c r="T48" s="17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 spans="1:39" x14ac:dyDescent="0.25">
      <c r="B49" s="2">
        <v>1427</v>
      </c>
      <c r="C49" s="10">
        <f>B49*2*PI()/60</f>
        <v>149.4350905557545</v>
      </c>
      <c r="D49" s="25">
        <f t="shared" ref="D49:D54" si="42">F9</f>
        <v>5.2533625867637204</v>
      </c>
      <c r="E49">
        <v>0.46139999999999998</v>
      </c>
      <c r="F49">
        <v>0.87549999999999994</v>
      </c>
      <c r="G49" s="5">
        <f>S9*O9*1000</f>
        <v>0.49942621079699617</v>
      </c>
      <c r="H49" s="36"/>
      <c r="I49" s="36"/>
      <c r="J49" s="25">
        <v>5.2406701587576698</v>
      </c>
      <c r="K49">
        <v>309.57740000000001</v>
      </c>
      <c r="L49">
        <v>333.73149999999998</v>
      </c>
      <c r="M49" s="5">
        <f>C49*Q49</f>
        <v>312.41254145595809</v>
      </c>
      <c r="O49">
        <v>2.0716999999999999</v>
      </c>
      <c r="P49">
        <v>2.2332999999999998</v>
      </c>
      <c r="Q49" s="5">
        <v>2.0906236968444598</v>
      </c>
      <c r="T49" s="9">
        <f>(E49-G49)/G49</f>
        <v>-7.6139797981994314E-2</v>
      </c>
      <c r="U49" s="4">
        <f>(F49-G49)/G49</f>
        <v>0.75301171839350667</v>
      </c>
      <c r="V49" s="38">
        <f t="shared" ref="V49:V53" si="43">(K49-M49)/M49</f>
        <v>-9.0749924530726962E-3</v>
      </c>
      <c r="W49" s="38">
        <f t="shared" ref="W49:W53" si="44">(L49-M49)/M49</f>
        <v>6.8239765422628842E-2</v>
      </c>
      <c r="X49" s="4">
        <f t="shared" ref="X49:X53" si="45">(O49-Q49)/Q49</f>
        <v>-9.0516992001109225E-3</v>
      </c>
      <c r="Y49" s="4">
        <f>(P49-Q49)/Q49</f>
        <v>6.8245807875847012E-2</v>
      </c>
      <c r="AA49">
        <v>7.3087297380316496</v>
      </c>
      <c r="AC49">
        <v>0.4019625335234957</v>
      </c>
      <c r="AD49" s="4">
        <f t="shared" si="36"/>
        <v>-8.216228983338919E-2</v>
      </c>
      <c r="AF49" s="4">
        <f t="shared" si="37"/>
        <v>-0.32582273554150137</v>
      </c>
      <c r="AG49" s="4">
        <f t="shared" si="38"/>
        <v>0.52701313535122785</v>
      </c>
      <c r="AH49" s="4">
        <f t="shared" si="39"/>
        <v>0.57044684271501567</v>
      </c>
      <c r="AK49">
        <f t="shared" si="40"/>
        <v>5.7972688367389051E-3</v>
      </c>
      <c r="AM49">
        <f t="shared" si="41"/>
        <v>8.2355488023326388E-5</v>
      </c>
    </row>
    <row r="50" spans="1:39" x14ac:dyDescent="0.25">
      <c r="A50" s="22">
        <f>AVERAGE(B49:B54)</f>
        <v>1416.6666666666667</v>
      </c>
      <c r="B50" s="2">
        <f>B10</f>
        <v>1411</v>
      </c>
      <c r="C50" s="10">
        <f>B50*2*PI()/60</f>
        <v>147.75957447383993</v>
      </c>
      <c r="D50" s="25">
        <f t="shared" si="42"/>
        <v>4.8223075689095696</v>
      </c>
      <c r="E50">
        <v>0.46139999999999998</v>
      </c>
      <c r="F50">
        <v>0.86650000000000005</v>
      </c>
      <c r="G50" s="5">
        <f t="shared" ref="G50:G54" si="46">S10*O10*1000</f>
        <v>0.51458234662294589</v>
      </c>
      <c r="H50" s="36"/>
      <c r="I50" s="36"/>
      <c r="J50" s="25">
        <v>4.8223075689095696</v>
      </c>
      <c r="K50">
        <v>290.935</v>
      </c>
      <c r="L50">
        <v>311.86959999999999</v>
      </c>
      <c r="M50" s="5">
        <f>Q50*C50</f>
        <v>277.23925387205941</v>
      </c>
      <c r="O50">
        <v>1.9690000000000001</v>
      </c>
      <c r="P50">
        <v>2.1107</v>
      </c>
      <c r="Q50" s="5">
        <v>1.8762862228000201</v>
      </c>
      <c r="T50" s="9">
        <f t="shared" ref="T50:T54" si="47">(E50-G50)/G50</f>
        <v>-0.10335050740074191</v>
      </c>
      <c r="U50" s="4">
        <f t="shared" ref="U50:U54" si="48">(F50-G50)/G50</f>
        <v>0.68388986852461464</v>
      </c>
      <c r="V50" s="38">
        <f t="shared" si="43"/>
        <v>4.9400458039974809E-2</v>
      </c>
      <c r="W50" s="38">
        <f t="shared" si="44"/>
        <v>0.12491141007009715</v>
      </c>
      <c r="X50" s="4">
        <f t="shared" si="45"/>
        <v>4.9413450929475633E-2</v>
      </c>
      <c r="Y50" s="4">
        <f t="shared" ref="Y50:Y53" si="49">(P50-Q50)/Q50</f>
        <v>0.12493497759108387</v>
      </c>
      <c r="AA50">
        <v>8.129870897011358</v>
      </c>
      <c r="AC50">
        <v>0.36549861015308549</v>
      </c>
      <c r="AD50" s="4">
        <f t="shared" si="36"/>
        <v>-3.1898250930138775E-2</v>
      </c>
      <c r="AF50" s="4">
        <f t="shared" si="37"/>
        <v>-0.26214810275234357</v>
      </c>
      <c r="AG50" s="4">
        <f t="shared" si="38"/>
        <v>0.53248701673398724</v>
      </c>
      <c r="AH50" s="4">
        <f t="shared" si="39"/>
        <v>0.59386306592376903</v>
      </c>
      <c r="AK50">
        <f t="shared" si="40"/>
        <v>1.0681327379990807E-2</v>
      </c>
      <c r="AM50">
        <f t="shared" si="41"/>
        <v>2.4404052545593117E-3</v>
      </c>
    </row>
    <row r="51" spans="1:39" x14ac:dyDescent="0.25">
      <c r="A51" s="23"/>
      <c r="B51" s="2">
        <f>B11</f>
        <v>1412</v>
      </c>
      <c r="C51" s="10">
        <f t="shared" ref="C51:C54" si="50">B51*2*PI()/60</f>
        <v>147.86429422895961</v>
      </c>
      <c r="D51" s="25">
        <f t="shared" si="42"/>
        <v>4.2362978478636197</v>
      </c>
      <c r="E51">
        <v>0.48</v>
      </c>
      <c r="F51">
        <v>0.86750000000000005</v>
      </c>
      <c r="G51" s="5">
        <f t="shared" si="46"/>
        <v>0.48213212885652895</v>
      </c>
      <c r="H51" s="36"/>
      <c r="I51" s="36"/>
      <c r="J51" s="25">
        <v>4.2133657686475736</v>
      </c>
      <c r="K51">
        <v>270.149</v>
      </c>
      <c r="L51">
        <v>287.29450000000003</v>
      </c>
      <c r="M51" s="5">
        <f>C51*Q51</f>
        <v>252.5835649599077</v>
      </c>
      <c r="O51">
        <v>1.827</v>
      </c>
      <c r="P51">
        <v>1.9430000000000001</v>
      </c>
      <c r="Q51" s="5">
        <v>1.7082120215499501</v>
      </c>
      <c r="T51" s="9">
        <f t="shared" si="47"/>
        <v>-4.4222915854741562E-3</v>
      </c>
      <c r="U51" s="4">
        <f t="shared" si="48"/>
        <v>0.79929929593666926</v>
      </c>
      <c r="V51" s="38">
        <f>(K51-M51)/M51</f>
        <v>6.9543064066264315E-2</v>
      </c>
      <c r="W51" s="38">
        <f t="shared" si="44"/>
        <v>0.13742356928726518</v>
      </c>
      <c r="X51" s="4">
        <f t="shared" si="45"/>
        <v>6.9539364523536901E-2</v>
      </c>
      <c r="Y51" s="4">
        <f t="shared" si="49"/>
        <v>0.13744662576312661</v>
      </c>
      <c r="AA51">
        <v>8.9163705256233552</v>
      </c>
      <c r="AC51">
        <v>0.33509464936476585</v>
      </c>
      <c r="AD51" s="4">
        <f t="shared" si="36"/>
        <v>-1.9620641189969243E-2</v>
      </c>
      <c r="AF51" s="4">
        <f t="shared" si="37"/>
        <v>-0.33067235777929171</v>
      </c>
      <c r="AG51" s="4">
        <f t="shared" si="38"/>
        <v>0.55331412103746391</v>
      </c>
      <c r="AH51" s="4">
        <f t="shared" si="39"/>
        <v>0.55577190646285757</v>
      </c>
      <c r="AK51">
        <f t="shared" si="40"/>
        <v>1.9556662866955526E-5</v>
      </c>
      <c r="AM51">
        <f t="shared" si="41"/>
        <v>4.836237759724543E-3</v>
      </c>
    </row>
    <row r="52" spans="1:39" x14ac:dyDescent="0.25">
      <c r="A52" s="23"/>
      <c r="B52" s="2">
        <f>B12</f>
        <v>1415</v>
      </c>
      <c r="C52" s="10">
        <f t="shared" si="50"/>
        <v>148.17845349431857</v>
      </c>
      <c r="D52" s="25">
        <f t="shared" si="42"/>
        <v>3.6616022441401399</v>
      </c>
      <c r="E52">
        <v>0.50439999999999996</v>
      </c>
      <c r="F52">
        <v>0.86899999999999999</v>
      </c>
      <c r="G52" s="5">
        <f t="shared" si="46"/>
        <v>0.55282985811386409</v>
      </c>
      <c r="H52" s="36"/>
      <c r="I52" s="36"/>
      <c r="J52" s="25">
        <v>3.6648343363992262</v>
      </c>
      <c r="K52">
        <v>245.24430000000001</v>
      </c>
      <c r="L52">
        <v>259.06330000000003</v>
      </c>
      <c r="M52" s="5">
        <f>C52*Q52</f>
        <v>233.85095355199863</v>
      </c>
      <c r="O52">
        <v>1.6551</v>
      </c>
      <c r="P52">
        <v>1.7483</v>
      </c>
      <c r="Q52" s="5">
        <v>1.5781711040800199</v>
      </c>
      <c r="T52" s="9">
        <f>(E52-G52)/G52</f>
        <v>-8.7603549994742208E-2</v>
      </c>
      <c r="U52" s="4">
        <f t="shared" si="48"/>
        <v>0.57191220272515675</v>
      </c>
      <c r="V52" s="38">
        <f t="shared" si="43"/>
        <v>4.8720547318478136E-2</v>
      </c>
      <c r="W52" s="38">
        <f t="shared" si="44"/>
        <v>0.10781374232196676</v>
      </c>
      <c r="X52" s="4">
        <f t="shared" si="45"/>
        <v>4.8745599080541442E-2</v>
      </c>
      <c r="Y52" s="4">
        <f t="shared" si="49"/>
        <v>0.1078012995423301</v>
      </c>
      <c r="AA52">
        <v>9.6396452110045843</v>
      </c>
      <c r="AC52">
        <v>0.25154943778625932</v>
      </c>
      <c r="AD52" s="4">
        <f t="shared" si="36"/>
        <v>-4.7675904791567705E-2</v>
      </c>
      <c r="AF52" s="4">
        <f t="shared" si="37"/>
        <v>-0.16394588779151711</v>
      </c>
      <c r="AG52" s="4">
        <f t="shared" si="38"/>
        <v>0.58043728423475249</v>
      </c>
      <c r="AH52" s="4">
        <f>G52/F52</f>
        <v>0.63616784593079878</v>
      </c>
      <c r="AK52">
        <f t="shared" si="40"/>
        <v>7.6743819716812971E-3</v>
      </c>
      <c r="AM52">
        <f t="shared" si="41"/>
        <v>2.3736917310120671E-3</v>
      </c>
    </row>
    <row r="53" spans="1:39" x14ac:dyDescent="0.25">
      <c r="A53" s="23"/>
      <c r="B53" s="2">
        <f>B13</f>
        <v>1412</v>
      </c>
      <c r="C53" s="10">
        <f t="shared" si="50"/>
        <v>147.86429422895961</v>
      </c>
      <c r="D53" s="25">
        <f t="shared" si="42"/>
        <v>2.9220510847489098</v>
      </c>
      <c r="E53">
        <v>0.54159999999999997</v>
      </c>
      <c r="F53">
        <v>0.86970000000000003</v>
      </c>
      <c r="G53" s="5">
        <f t="shared" si="46"/>
        <v>0.55064360312853888</v>
      </c>
      <c r="H53" s="36"/>
      <c r="I53" s="36"/>
      <c r="J53" s="25">
        <v>2.9593285147529595</v>
      </c>
      <c r="K53">
        <v>209.3767</v>
      </c>
      <c r="L53">
        <v>220.36109999999999</v>
      </c>
      <c r="M53" s="5">
        <f>C53*Q53</f>
        <v>203.92491114934344</v>
      </c>
      <c r="O53">
        <v>1.4159999999999999</v>
      </c>
      <c r="P53">
        <v>1.4903</v>
      </c>
      <c r="Q53" s="5">
        <v>1.37913559330001</v>
      </c>
      <c r="T53" s="9">
        <f t="shared" si="47"/>
        <v>-1.6423695975321864E-2</v>
      </c>
      <c r="U53" s="4">
        <f t="shared" si="48"/>
        <v>0.57942450445026339</v>
      </c>
      <c r="V53" s="38">
        <f t="shared" si="43"/>
        <v>2.6734295579336865E-2</v>
      </c>
      <c r="W53" s="38">
        <f t="shared" si="44"/>
        <v>8.0599220360182397E-2</v>
      </c>
      <c r="X53" s="4">
        <f t="shared" si="45"/>
        <v>2.6730081421349135E-2</v>
      </c>
      <c r="Y53" s="4">
        <f t="shared" si="49"/>
        <v>8.0604407021353575E-2</v>
      </c>
      <c r="AA53">
        <v>11.011637139593399</v>
      </c>
      <c r="AC53">
        <v>0.20142211653752642</v>
      </c>
      <c r="AD53" s="4">
        <f t="shared" si="36"/>
        <v>-8.3382075816597123E-2</v>
      </c>
      <c r="AF53" s="4">
        <f t="shared" si="37"/>
        <v>-0.18499842056220456</v>
      </c>
      <c r="AG53" s="4">
        <f t="shared" si="38"/>
        <v>0.6227434747614119</v>
      </c>
      <c r="AH53" s="4">
        <f t="shared" si="39"/>
        <v>0.63314200658679876</v>
      </c>
      <c r="AK53">
        <f t="shared" si="40"/>
        <v>2.6973778948980359E-4</v>
      </c>
      <c r="AM53">
        <f t="shared" si="41"/>
        <v>7.1472256012335069E-4</v>
      </c>
    </row>
    <row r="54" spans="1:39" x14ac:dyDescent="0.25">
      <c r="A54" s="23"/>
      <c r="B54" s="2">
        <f>B14</f>
        <v>1423</v>
      </c>
      <c r="C54" s="10">
        <f t="shared" si="50"/>
        <v>149.01621153527586</v>
      </c>
      <c r="D54" s="25">
        <f t="shared" si="42"/>
        <v>2.6698755104625498</v>
      </c>
      <c r="E54">
        <v>0.56530000000000002</v>
      </c>
      <c r="F54">
        <v>0.87819999999999998</v>
      </c>
      <c r="G54" s="5">
        <f t="shared" si="46"/>
        <v>0.60090268980389583</v>
      </c>
      <c r="H54" s="36"/>
      <c r="I54" s="36"/>
      <c r="J54" s="25">
        <v>2.6546208338669319</v>
      </c>
      <c r="K54">
        <v>198.50360000000001</v>
      </c>
      <c r="L54">
        <v>208.6319</v>
      </c>
      <c r="M54" s="5">
        <f>C54*Q54</f>
        <v>199.07794559162474</v>
      </c>
      <c r="O54">
        <v>1.3321000000000001</v>
      </c>
      <c r="P54">
        <v>1.4000999999999999</v>
      </c>
      <c r="Q54" s="5">
        <v>1.3359482403999918</v>
      </c>
      <c r="T54" s="9">
        <f t="shared" si="47"/>
        <v>-5.9248677711052876E-2</v>
      </c>
      <c r="U54" s="4">
        <f t="shared" si="48"/>
        <v>0.4614679130269827</v>
      </c>
      <c r="V54" s="38">
        <f t="shared" si="32"/>
        <v>-2.8850287253963758E-3</v>
      </c>
      <c r="W54" s="38">
        <f t="shared" si="33"/>
        <v>4.7991023716778797E-2</v>
      </c>
      <c r="X54" s="4">
        <f>(O54-Q54)/Q54</f>
        <v>-2.8805310592269471E-3</v>
      </c>
      <c r="Y54" s="4">
        <f t="shared" si="35"/>
        <v>4.8019644519162366E-2</v>
      </c>
      <c r="AA54">
        <v>11.362193492177061</v>
      </c>
      <c r="AC54">
        <v>0.16801190671923019</v>
      </c>
      <c r="AD54" s="4">
        <f t="shared" si="36"/>
        <v>-0.11650696364716699</v>
      </c>
      <c r="AF54" s="4">
        <f t="shared" si="37"/>
        <v>-0.10876322900817731</v>
      </c>
      <c r="AG54" s="4">
        <f t="shared" si="38"/>
        <v>0.64370302892279663</v>
      </c>
      <c r="AH54" s="4">
        <f t="shared" si="39"/>
        <v>0.68424355477555887</v>
      </c>
      <c r="AK54">
        <f t="shared" si="40"/>
        <v>3.5104058105082138E-3</v>
      </c>
      <c r="AM54">
        <f t="shared" si="41"/>
        <v>8.3233907463622361E-6</v>
      </c>
    </row>
    <row r="55" spans="1:39" x14ac:dyDescent="0.25">
      <c r="A55" s="24"/>
      <c r="B55" s="16"/>
      <c r="C55" s="16"/>
      <c r="D55" s="20"/>
      <c r="E55" s="16"/>
      <c r="F55" s="16"/>
      <c r="G55" s="16"/>
      <c r="H55" s="36"/>
      <c r="I55" s="36"/>
      <c r="J55" s="20"/>
      <c r="K55" s="16"/>
      <c r="L55" s="16"/>
      <c r="M55" s="16"/>
      <c r="N55" s="16"/>
      <c r="O55" s="16"/>
      <c r="P55" s="16"/>
      <c r="Q55" s="16"/>
      <c r="R55" s="16"/>
      <c r="S55" s="16"/>
      <c r="T55" s="17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 spans="1:39" x14ac:dyDescent="0.25">
      <c r="A56" s="24"/>
      <c r="B56" s="16"/>
      <c r="C56" s="16"/>
      <c r="D56" s="20"/>
      <c r="E56" s="16"/>
      <c r="F56" s="16"/>
      <c r="G56" s="16"/>
      <c r="H56" s="36"/>
      <c r="I56" s="36"/>
      <c r="J56" s="20"/>
      <c r="K56" s="16"/>
      <c r="L56" s="16"/>
      <c r="M56" s="16"/>
      <c r="N56" s="16"/>
      <c r="O56" s="16"/>
      <c r="P56" s="16"/>
      <c r="Q56" s="16"/>
      <c r="R56" s="16"/>
      <c r="S56" s="16"/>
      <c r="T56" s="17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 spans="1:39" x14ac:dyDescent="0.25">
      <c r="B57" s="2">
        <f t="shared" ref="B57:B62" si="51">B16</f>
        <v>1638</v>
      </c>
      <c r="C57" s="10">
        <f t="shared" ref="C57:C62" si="52">B57*2*PI()/60</f>
        <v>171.53095888600271</v>
      </c>
      <c r="D57" s="25">
        <f t="shared" ref="D57:D62" si="53">F16</f>
        <v>5.2676677023988496</v>
      </c>
      <c r="E57">
        <v>0.58279999999999998</v>
      </c>
      <c r="F57">
        <v>1.004</v>
      </c>
      <c r="G57" s="5">
        <f t="shared" ref="G57:G62" si="54">S16*O16*1000</f>
        <v>0.55078811420555995</v>
      </c>
      <c r="H57" s="36"/>
      <c r="I57" s="36"/>
      <c r="J57" s="25">
        <v>5.2676677023988514</v>
      </c>
      <c r="K57">
        <v>363.91309999999999</v>
      </c>
      <c r="L57">
        <v>387.78339999999997</v>
      </c>
      <c r="M57" s="5">
        <f t="shared" ref="M57:M62" si="55">C57*Q57</f>
        <v>350.36119156039933</v>
      </c>
      <c r="O57">
        <v>2.1215999999999999</v>
      </c>
      <c r="P57">
        <v>2.2606999999999999</v>
      </c>
      <c r="Q57" s="5">
        <v>2.0425536814799998</v>
      </c>
      <c r="T57" s="9">
        <f>(E57-G57)/G57</f>
        <v>5.8120146329978459E-2</v>
      </c>
      <c r="U57" s="4">
        <f>(F57-G57)/G57</f>
        <v>0.82284253074004532</v>
      </c>
      <c r="V57" s="38">
        <f t="shared" si="32"/>
        <v>3.8679821755499472E-2</v>
      </c>
      <c r="W57" s="38">
        <f t="shared" si="33"/>
        <v>0.10681036981560031</v>
      </c>
      <c r="X57" s="4">
        <f t="shared" si="34"/>
        <v>3.8699750825018454E-2</v>
      </c>
      <c r="Y57" s="4">
        <f t="shared" si="35"/>
        <v>0.10680077615484504</v>
      </c>
      <c r="AA57">
        <v>7.4603452662052065</v>
      </c>
      <c r="AC57">
        <v>0.40196118245216816</v>
      </c>
      <c r="AD57" s="4">
        <f t="shared" si="36"/>
        <v>-3.5923630906552595E-2</v>
      </c>
      <c r="AF57" s="4">
        <f t="shared" si="37"/>
        <v>-0.34384103612218969</v>
      </c>
      <c r="AG57" s="4">
        <f t="shared" si="38"/>
        <v>0.58047808764940234</v>
      </c>
      <c r="AH57" s="4">
        <f>G57/F57</f>
        <v>0.54859373924856569</v>
      </c>
      <c r="AK57">
        <f t="shared" si="40"/>
        <v>3.3779514094181085E-3</v>
      </c>
      <c r="AM57">
        <f t="shared" si="41"/>
        <v>1.4961286110372102E-3</v>
      </c>
    </row>
    <row r="58" spans="1:39" x14ac:dyDescent="0.25">
      <c r="A58" s="22">
        <f>AVERAGE(B57:B62)</f>
        <v>1638.8333333333333</v>
      </c>
      <c r="B58" s="2">
        <f t="shared" si="51"/>
        <v>1638</v>
      </c>
      <c r="C58" s="10">
        <f t="shared" si="52"/>
        <v>171.53095888600271</v>
      </c>
      <c r="D58" s="25">
        <f t="shared" si="53"/>
        <v>4.5488778229227904</v>
      </c>
      <c r="E58">
        <v>0.60209999999999997</v>
      </c>
      <c r="F58">
        <v>1.0038</v>
      </c>
      <c r="G58" s="5">
        <f t="shared" si="54"/>
        <v>0.60263466997840687</v>
      </c>
      <c r="H58" s="36"/>
      <c r="I58" s="36"/>
      <c r="J58" s="25">
        <v>4.5360871409008512</v>
      </c>
      <c r="K58">
        <v>334.74979999999999</v>
      </c>
      <c r="L58">
        <v>354.00470000000001</v>
      </c>
      <c r="M58" s="5">
        <f t="shared" si="55"/>
        <v>318.37107478027991</v>
      </c>
      <c r="O58">
        <v>1.9515</v>
      </c>
      <c r="P58">
        <v>2.0638000000000001</v>
      </c>
      <c r="Q58" s="5">
        <v>1.85605605453337</v>
      </c>
      <c r="T58" s="9">
        <f t="shared" ref="T58:T62" si="56">(E58-G58)/G58</f>
        <v>-8.8722074092759476E-4</v>
      </c>
      <c r="U58" s="4">
        <f t="shared" ref="U58:U62" si="57">(F58-G58)/G58</f>
        <v>0.66568577947227525</v>
      </c>
      <c r="V58" s="38">
        <f t="shared" si="32"/>
        <v>5.1445393495698905E-2</v>
      </c>
      <c r="W58" s="38">
        <f t="shared" si="33"/>
        <v>0.11192481994261644</v>
      </c>
      <c r="X58" s="4">
        <f t="shared" si="34"/>
        <v>5.142298651676528E-2</v>
      </c>
      <c r="Y58" s="4">
        <f t="shared" si="35"/>
        <v>0.11192762468526787</v>
      </c>
      <c r="AA58">
        <v>8.1982494992110322</v>
      </c>
      <c r="AC58">
        <v>0.28737258844766644</v>
      </c>
      <c r="AD58" s="4">
        <f t="shared" si="36"/>
        <v>-3.0537101496411423E-2</v>
      </c>
      <c r="AF58" s="4">
        <f t="shared" si="37"/>
        <v>-0.28648536770673882</v>
      </c>
      <c r="AG58" s="4">
        <f t="shared" si="38"/>
        <v>0.59982068141063949</v>
      </c>
      <c r="AH58" s="4">
        <f t="shared" si="39"/>
        <v>0.60035332733453561</v>
      </c>
      <c r="AK58">
        <f t="shared" si="40"/>
        <v>7.8716064313211027E-7</v>
      </c>
      <c r="AM58">
        <f t="shared" si="41"/>
        <v>2.646628511927299E-3</v>
      </c>
    </row>
    <row r="59" spans="1:39" x14ac:dyDescent="0.25">
      <c r="A59" s="22"/>
      <c r="B59" s="2">
        <f t="shared" si="51"/>
        <v>1639</v>
      </c>
      <c r="C59" s="10">
        <f t="shared" si="52"/>
        <v>171.63567864112238</v>
      </c>
      <c r="D59" s="25">
        <f t="shared" si="53"/>
        <v>3.6851917499746301</v>
      </c>
      <c r="E59">
        <v>0.63590000000000002</v>
      </c>
      <c r="F59">
        <v>1.0079</v>
      </c>
      <c r="G59" s="5">
        <f t="shared" si="54"/>
        <v>0.69666610752823155</v>
      </c>
      <c r="H59" s="36"/>
      <c r="I59" s="36"/>
      <c r="J59" s="25">
        <v>3.6590501925338441</v>
      </c>
      <c r="K59">
        <v>292.31700000000001</v>
      </c>
      <c r="L59">
        <v>305.76870000000002</v>
      </c>
      <c r="M59" s="5">
        <f t="shared" si="55"/>
        <v>289.30173145285579</v>
      </c>
      <c r="O59">
        <v>1.7031000000000001</v>
      </c>
      <c r="P59">
        <v>1.7815000000000001</v>
      </c>
      <c r="Q59" s="5">
        <v>1.6855570691555599</v>
      </c>
      <c r="T59" s="9">
        <f>(E59-G59)/G59</f>
        <v>-8.7224147797040713E-2</v>
      </c>
      <c r="U59" s="4">
        <f t="shared" si="57"/>
        <v>0.44674757262991455</v>
      </c>
      <c r="V59" s="38">
        <f t="shared" si="32"/>
        <v>1.0422573456445355E-2</v>
      </c>
      <c r="W59" s="38">
        <f t="shared" si="33"/>
        <v>5.6919702707785791E-2</v>
      </c>
      <c r="X59" s="4">
        <f t="shared" si="34"/>
        <v>1.0407794055426968E-2</v>
      </c>
      <c r="Y59" s="4">
        <f t="shared" si="35"/>
        <v>5.6920606605450751E-2</v>
      </c>
      <c r="AA59">
        <v>9.015660942993641</v>
      </c>
      <c r="AC59">
        <v>0.20144255402048961</v>
      </c>
      <c r="AD59" s="4">
        <f t="shared" si="36"/>
        <v>-7.9734035973491046E-2</v>
      </c>
      <c r="AF59" s="4">
        <f t="shared" si="37"/>
        <v>-0.11421840622344889</v>
      </c>
      <c r="AG59" s="4">
        <f t="shared" si="38"/>
        <v>0.63091576545292194</v>
      </c>
      <c r="AH59" s="4">
        <f t="shared" si="39"/>
        <v>0.69120558341921967</v>
      </c>
      <c r="AK59">
        <f t="shared" si="40"/>
        <v>7.6080519589200027E-3</v>
      </c>
      <c r="AM59">
        <f t="shared" si="41"/>
        <v>1.0863003745499926E-4</v>
      </c>
    </row>
    <row r="60" spans="1:39" x14ac:dyDescent="0.25">
      <c r="A60" s="23"/>
      <c r="B60" s="2">
        <f t="shared" si="51"/>
        <v>1639</v>
      </c>
      <c r="C60" s="10">
        <f t="shared" si="52"/>
        <v>171.63567864112238</v>
      </c>
      <c r="D60" s="25">
        <f t="shared" si="53"/>
        <v>3.2641584944265198</v>
      </c>
      <c r="E60">
        <v>0.65600000000000003</v>
      </c>
      <c r="F60">
        <v>1.0081</v>
      </c>
      <c r="G60" s="5">
        <f t="shared" si="54"/>
        <v>0.73556884310464887</v>
      </c>
      <c r="H60" s="36"/>
      <c r="I60" s="36"/>
      <c r="J60" s="25">
        <v>3.2748617732348366</v>
      </c>
      <c r="K60">
        <v>269.29259999999999</v>
      </c>
      <c r="L60">
        <v>280.15960000000001</v>
      </c>
      <c r="M60" s="5">
        <f t="shared" si="55"/>
        <v>271.84554968579704</v>
      </c>
      <c r="O60">
        <v>1.569</v>
      </c>
      <c r="P60">
        <v>1.6323000000000001</v>
      </c>
      <c r="Q60" s="5">
        <v>1.58385221440005</v>
      </c>
      <c r="T60" s="9">
        <f t="shared" si="56"/>
        <v>-0.10817321023115799</v>
      </c>
      <c r="U60" s="4">
        <f t="shared" si="57"/>
        <v>0.37050394324080732</v>
      </c>
      <c r="V60" s="38">
        <f t="shared" si="32"/>
        <v>-9.3911770442730493E-3</v>
      </c>
      <c r="W60" s="38">
        <f>(L60-M60)/M60</f>
        <v>3.0583727869786616E-2</v>
      </c>
      <c r="X60" s="4">
        <f t="shared" si="34"/>
        <v>-9.377272869916034E-3</v>
      </c>
      <c r="Y60" s="4">
        <f t="shared" si="35"/>
        <v>3.0588577115638109E-2</v>
      </c>
      <c r="AA60">
        <v>9.5871064540770803</v>
      </c>
      <c r="AC60">
        <v>0.16802479852872595</v>
      </c>
      <c r="AD60" s="4">
        <f t="shared" si="36"/>
        <v>-0.10526224158504385</v>
      </c>
      <c r="AF60" s="4">
        <f t="shared" si="37"/>
        <v>-5.9851588297567968E-2</v>
      </c>
      <c r="AG60" s="4">
        <f t="shared" si="38"/>
        <v>0.65072909433587944</v>
      </c>
      <c r="AH60" s="4">
        <f t="shared" si="39"/>
        <v>0.72965860837679686</v>
      </c>
      <c r="AK60">
        <f t="shared" si="40"/>
        <v>1.1701443411714304E-2</v>
      </c>
      <c r="AM60">
        <f t="shared" si="41"/>
        <v>8.8194206276881091E-5</v>
      </c>
    </row>
    <row r="61" spans="1:39" x14ac:dyDescent="0.25">
      <c r="A61" s="23"/>
      <c r="B61" s="2">
        <f t="shared" si="51"/>
        <v>1639</v>
      </c>
      <c r="C61" s="10">
        <f t="shared" si="52"/>
        <v>171.63567864112238</v>
      </c>
      <c r="D61" s="25">
        <f t="shared" si="53"/>
        <v>3.0682354873155302</v>
      </c>
      <c r="E61">
        <v>0.66739999999999999</v>
      </c>
      <c r="F61">
        <v>1.0089999999999999</v>
      </c>
      <c r="G61" s="5">
        <f t="shared" si="54"/>
        <v>0.80311495788323939</v>
      </c>
      <c r="H61" s="36"/>
      <c r="I61" s="36"/>
      <c r="J61" s="25">
        <v>3.0456727654803633</v>
      </c>
      <c r="K61">
        <v>258.2851</v>
      </c>
      <c r="L61">
        <v>267.96559999999999</v>
      </c>
      <c r="M61" s="5">
        <f t="shared" si="55"/>
        <v>257.37260775625094</v>
      </c>
      <c r="O61">
        <v>1.5047999999999999</v>
      </c>
      <c r="P61">
        <v>1.5611999999999999</v>
      </c>
      <c r="Q61" s="5">
        <v>1.49952859332003</v>
      </c>
      <c r="T61" s="9">
        <f t="shared" si="56"/>
        <v>-0.16898571811057</v>
      </c>
      <c r="U61" s="4">
        <f t="shared" si="57"/>
        <v>0.25635812170577582</v>
      </c>
      <c r="V61" s="38">
        <f t="shared" si="32"/>
        <v>3.5454132112351594E-3</v>
      </c>
      <c r="W61" s="38">
        <f>(L61-M61)/M61</f>
        <v>4.1158196033749338E-2</v>
      </c>
      <c r="X61" s="4">
        <f t="shared" si="34"/>
        <v>3.5153759011015552E-3</v>
      </c>
      <c r="Y61" s="4">
        <f t="shared" si="35"/>
        <v>4.112719620999452E-2</v>
      </c>
      <c r="AA61">
        <v>10.119669587953572</v>
      </c>
      <c r="AC61">
        <v>0.14416136261715479</v>
      </c>
      <c r="AD61" s="4">
        <f t="shared" si="36"/>
        <v>-9.765128266830056E-2</v>
      </c>
      <c r="AF61" s="4">
        <f t="shared" si="37"/>
        <v>2.4824355493415218E-2</v>
      </c>
      <c r="AG61" s="4">
        <f t="shared" si="38"/>
        <v>0.66144697720515366</v>
      </c>
      <c r="AH61" s="4">
        <f t="shared" si="39"/>
        <v>0.79595139532531167</v>
      </c>
      <c r="AK61">
        <f t="shared" si="40"/>
        <v>2.8556172925345027E-2</v>
      </c>
      <c r="AM61">
        <f t="shared" si="41"/>
        <v>1.2569954838400805E-5</v>
      </c>
    </row>
    <row r="62" spans="1:39" x14ac:dyDescent="0.25">
      <c r="A62" s="23"/>
      <c r="B62" s="2">
        <f t="shared" si="51"/>
        <v>1640</v>
      </c>
      <c r="C62" s="10">
        <f t="shared" si="52"/>
        <v>171.74039839624203</v>
      </c>
      <c r="D62" s="25">
        <f t="shared" si="53"/>
        <v>2.8293806275398499</v>
      </c>
      <c r="E62">
        <v>0.68220000000000003</v>
      </c>
      <c r="F62">
        <v>1.01</v>
      </c>
      <c r="G62" s="5">
        <f t="shared" si="54"/>
        <v>0.84332212411016105</v>
      </c>
      <c r="H62" s="36"/>
      <c r="I62" s="36"/>
      <c r="J62" s="25">
        <v>2.8706691758127212</v>
      </c>
      <c r="K62">
        <v>243.74799999999999</v>
      </c>
      <c r="L62">
        <v>252.03149999999999</v>
      </c>
      <c r="M62" s="5">
        <f t="shared" si="55"/>
        <v>242.54161373792925</v>
      </c>
      <c r="O62">
        <v>1.4193</v>
      </c>
      <c r="P62">
        <v>1.4675</v>
      </c>
      <c r="Q62" s="5">
        <v>1.4122571975076801</v>
      </c>
      <c r="T62" s="9">
        <f t="shared" si="56"/>
        <v>-0.191056441546782</v>
      </c>
      <c r="U62" s="4">
        <f t="shared" si="57"/>
        <v>0.19764437707087387</v>
      </c>
      <c r="V62" s="38">
        <f t="shared" si="32"/>
        <v>4.9739351671596434E-3</v>
      </c>
      <c r="W62" s="38">
        <f t="shared" si="33"/>
        <v>3.9126837311822045E-2</v>
      </c>
      <c r="X62" s="4">
        <f t="shared" si="34"/>
        <v>4.9869120899145719E-3</v>
      </c>
      <c r="Y62" s="4">
        <f t="shared" si="35"/>
        <v>3.9116672649862363E-2</v>
      </c>
      <c r="AA62">
        <v>10.737749616475439</v>
      </c>
      <c r="AC62">
        <v>0.12626065053416172</v>
      </c>
      <c r="AD62" s="4">
        <f t="shared" si="36"/>
        <v>-0.10240356099759475</v>
      </c>
      <c r="AF62" s="4">
        <f t="shared" si="37"/>
        <v>6.4795791012620285E-2</v>
      </c>
      <c r="AG62" s="4">
        <f t="shared" si="38"/>
        <v>0.67544554455445549</v>
      </c>
      <c r="AH62" s="4">
        <f t="shared" si="39"/>
        <v>0.83497240010907037</v>
      </c>
      <c r="AK62">
        <f t="shared" si="40"/>
        <v>3.6502563856518927E-2</v>
      </c>
      <c r="AM62">
        <f t="shared" si="41"/>
        <v>2.4740031047107431E-5</v>
      </c>
    </row>
    <row r="63" spans="1:39" x14ac:dyDescent="0.25">
      <c r="A63" s="24"/>
      <c r="B63" s="16"/>
      <c r="C63" s="16"/>
      <c r="D63" s="20"/>
      <c r="E63" s="16"/>
      <c r="F63" s="16"/>
      <c r="G63" s="16"/>
      <c r="H63" s="36"/>
      <c r="I63" s="36"/>
      <c r="J63" s="20"/>
      <c r="K63" s="16"/>
      <c r="L63" s="16"/>
      <c r="M63" s="16"/>
      <c r="N63" s="16"/>
      <c r="O63" s="16"/>
      <c r="P63" s="16"/>
      <c r="Q63" s="16"/>
      <c r="R63" s="16"/>
      <c r="S63" s="16"/>
      <c r="T63" s="17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 spans="1:39" x14ac:dyDescent="0.25">
      <c r="A64" s="24"/>
      <c r="B64" s="16"/>
      <c r="C64" s="16"/>
      <c r="D64" s="20"/>
      <c r="E64" s="16"/>
      <c r="F64" s="16"/>
      <c r="G64" s="16"/>
      <c r="H64" s="36"/>
      <c r="I64" s="36"/>
      <c r="J64" s="20"/>
      <c r="K64" s="16"/>
      <c r="L64" s="16"/>
      <c r="M64" s="16"/>
      <c r="N64" s="16"/>
      <c r="O64" s="16"/>
      <c r="P64" s="16"/>
      <c r="Q64" s="16"/>
      <c r="R64" s="26" t="s">
        <v>40</v>
      </c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spans="1:39" x14ac:dyDescent="0.25">
      <c r="A65" s="22">
        <f>AVERAGE(B65:B70)</f>
        <v>1838.5</v>
      </c>
      <c r="B65" s="2">
        <f t="shared" ref="B65:B70" si="58">B23</f>
        <v>1837</v>
      </c>
      <c r="C65" s="10">
        <f t="shared" ref="C65:C70" si="59">B65*2*PI()/60</f>
        <v>192.37019015481502</v>
      </c>
      <c r="D65" s="25">
        <f t="shared" ref="D65:D70" si="60">F23</f>
        <v>5.0653949430406602</v>
      </c>
      <c r="E65">
        <v>0.70299999999999996</v>
      </c>
      <c r="F65">
        <v>1.1208</v>
      </c>
      <c r="G65" s="5">
        <f t="shared" ref="G65:G70" si="61">S23*O23*1000</f>
        <v>0.80530956514993424</v>
      </c>
      <c r="H65" s="36"/>
      <c r="I65" s="36"/>
      <c r="J65" s="25">
        <v>5.0955470072880154</v>
      </c>
      <c r="K65">
        <v>402.21280000000002</v>
      </c>
      <c r="L65">
        <v>434.6696</v>
      </c>
      <c r="M65" s="5">
        <f t="shared" ref="M65:M70" si="62">C65*Q65</f>
        <v>414.98108314334672</v>
      </c>
      <c r="O65">
        <v>2.0908000000000002</v>
      </c>
      <c r="P65">
        <v>2.2595000000000001</v>
      </c>
      <c r="Q65" s="5">
        <f>R65*-1</f>
        <v>2.15720056631113</v>
      </c>
      <c r="R65">
        <v>-2.15720056631113</v>
      </c>
      <c r="T65" s="9">
        <f>(E65-G65)/G65</f>
        <v>-0.12704377245399545</v>
      </c>
      <c r="U65" s="4">
        <f t="shared" ref="U65:U70" si="63">(F65-G65)/F65</f>
        <v>0.28148682624024429</v>
      </c>
      <c r="V65" s="38">
        <f t="shared" ref="V65:V70" si="64">(K65-M65)/M65</f>
        <v>-3.0768349840506259E-2</v>
      </c>
      <c r="W65" s="38">
        <f t="shared" ref="W65:W70" si="65">(L65-M65)/M65</f>
        <v>4.7444371939846436E-2</v>
      </c>
      <c r="X65" s="4">
        <f t="shared" ref="X65" si="66">(O65-Q65)/Q65</f>
        <v>-3.0780896013149352E-2</v>
      </c>
      <c r="Y65" s="4">
        <f>(P65-Q65)/Q65</f>
        <v>4.742230986143528E-2</v>
      </c>
      <c r="AA65">
        <v>7.0574225732520661</v>
      </c>
      <c r="AC65">
        <v>0.23683707266595058</v>
      </c>
      <c r="AD65" s="4">
        <f t="shared" si="36"/>
        <v>-0.10134257557302692</v>
      </c>
      <c r="AF65" s="4">
        <f t="shared" si="37"/>
        <v>-0.10979330021195513</v>
      </c>
      <c r="AG65" s="4">
        <f t="shared" si="38"/>
        <v>0.62723054960742319</v>
      </c>
      <c r="AH65" s="4">
        <f t="shared" si="39"/>
        <v>0.71851317375975576</v>
      </c>
      <c r="AK65">
        <f t="shared" si="40"/>
        <v>1.6140120119342575E-2</v>
      </c>
      <c r="AM65">
        <f t="shared" si="41"/>
        <v>9.466913519077815E-4</v>
      </c>
    </row>
    <row r="66" spans="1:39" x14ac:dyDescent="0.25">
      <c r="A66" s="21">
        <v>1.1637999999999999</v>
      </c>
      <c r="B66" s="2">
        <f t="shared" si="58"/>
        <v>1837</v>
      </c>
      <c r="C66" s="10">
        <f t="shared" si="59"/>
        <v>192.37019015481502</v>
      </c>
      <c r="D66" s="25">
        <f t="shared" si="60"/>
        <v>4.5816778072219497</v>
      </c>
      <c r="E66">
        <v>0.71909999999999996</v>
      </c>
      <c r="F66">
        <v>1.1220000000000001</v>
      </c>
      <c r="G66" s="5">
        <f t="shared" si="61"/>
        <v>0.85827402956532706</v>
      </c>
      <c r="H66" s="36"/>
      <c r="I66" s="36"/>
      <c r="J66" s="25">
        <v>4.5563243588018114</v>
      </c>
      <c r="K66">
        <v>379.46269999999998</v>
      </c>
      <c r="L66">
        <v>408.47840000000002</v>
      </c>
      <c r="M66" s="5">
        <f t="shared" si="62"/>
        <v>377.6009892173239</v>
      </c>
      <c r="O66">
        <v>1.9725999999999999</v>
      </c>
      <c r="P66">
        <v>2.1234000000000002</v>
      </c>
      <c r="Q66" s="5">
        <f t="shared" ref="Q66:Q70" si="67">R66*-1</f>
        <v>1.9628872275555764</v>
      </c>
      <c r="R66">
        <v>-1.9628872275555764</v>
      </c>
      <c r="T66" s="9">
        <f t="shared" ref="T66:T70" si="68">(E66-G66)/G66</f>
        <v>-0.1621557040888349</v>
      </c>
      <c r="U66" s="4">
        <f t="shared" si="63"/>
        <v>0.23504988452288147</v>
      </c>
      <c r="V66" s="38">
        <f t="shared" si="64"/>
        <v>4.9303652157664185E-3</v>
      </c>
      <c r="W66" s="38">
        <f t="shared" si="65"/>
        <v>8.1772589755862601E-2</v>
      </c>
      <c r="X66" s="4">
        <f>(O66-Q66)/Q66</f>
        <v>4.9482070635912144E-3</v>
      </c>
      <c r="Y66" s="4">
        <f t="shared" ref="Y66:Y70" si="69">(P66-Q66)/Q66</f>
        <v>8.1773812673035517E-2</v>
      </c>
      <c r="AA66">
        <v>7.7457704836413859</v>
      </c>
      <c r="AC66">
        <v>0.20145494800485458</v>
      </c>
      <c r="AD66" s="4">
        <f t="shared" si="36"/>
        <v>-7.2527339620647432E-2</v>
      </c>
      <c r="AF66" s="4">
        <f t="shared" si="37"/>
        <v>-3.9299243916019688E-2</v>
      </c>
      <c r="AG66" s="4">
        <f t="shared" si="38"/>
        <v>0.64090909090909076</v>
      </c>
      <c r="AH66" s="4">
        <f t="shared" si="39"/>
        <v>0.76495011547711855</v>
      </c>
      <c r="AK66">
        <f t="shared" si="40"/>
        <v>2.6294472368545787E-2</v>
      </c>
      <c r="AM66">
        <f t="shared" si="41"/>
        <v>2.4308501160839443E-5</v>
      </c>
    </row>
    <row r="67" spans="1:39" x14ac:dyDescent="0.25">
      <c r="A67" s="23"/>
      <c r="B67" s="2">
        <f t="shared" si="58"/>
        <v>1839</v>
      </c>
      <c r="C67" s="10">
        <f t="shared" si="59"/>
        <v>192.57962966505431</v>
      </c>
      <c r="D67" s="25">
        <f t="shared" si="60"/>
        <v>4.0282260804900396</v>
      </c>
      <c r="E67">
        <v>0.73750000000000004</v>
      </c>
      <c r="F67">
        <v>1.1254</v>
      </c>
      <c r="G67" s="5">
        <f t="shared" si="61"/>
        <v>0.90545505322499509</v>
      </c>
      <c r="H67" s="36"/>
      <c r="I67" s="36"/>
      <c r="J67" s="25">
        <v>3.9555644863642447</v>
      </c>
      <c r="K67">
        <v>352.13600000000002</v>
      </c>
      <c r="L67">
        <v>379.15190000000001</v>
      </c>
      <c r="M67" s="5">
        <f t="shared" si="62"/>
        <v>348.33822229195874</v>
      </c>
      <c r="O67">
        <v>1.8285</v>
      </c>
      <c r="P67">
        <v>1.9688000000000001</v>
      </c>
      <c r="Q67" s="5">
        <f t="shared" si="67"/>
        <v>1.8088009770182278</v>
      </c>
      <c r="R67">
        <v>-1.8088009770182278</v>
      </c>
      <c r="T67" s="9">
        <f t="shared" si="68"/>
        <v>-0.1854924246397244</v>
      </c>
      <c r="U67" s="4">
        <f t="shared" si="63"/>
        <v>0.19543713059801393</v>
      </c>
      <c r="V67" s="38">
        <f t="shared" si="64"/>
        <v>1.0902558103021447E-2</v>
      </c>
      <c r="W67" s="38">
        <f t="shared" si="65"/>
        <v>8.8459077230447797E-2</v>
      </c>
      <c r="X67" s="4">
        <f t="shared" ref="X67:X70" si="70">(O67-Q67)/Q67</f>
        <v>1.089065255495694E-2</v>
      </c>
      <c r="Y67" s="4">
        <f t="shared" si="69"/>
        <v>8.8455847279299601E-2</v>
      </c>
      <c r="AA67">
        <v>8.3966394651480627</v>
      </c>
      <c r="AC67">
        <v>0.16803793053162808</v>
      </c>
      <c r="AD67" s="4">
        <f t="shared" si="36"/>
        <v>-7.3063836548459188E-2</v>
      </c>
      <c r="AF67" s="4">
        <f t="shared" si="37"/>
        <v>1.7454494108096325E-2</v>
      </c>
      <c r="AG67" s="4">
        <f t="shared" si="38"/>
        <v>0.65532255198151779</v>
      </c>
      <c r="AH67" s="4">
        <f t="shared" si="39"/>
        <v>0.80456286940198607</v>
      </c>
      <c r="AK67">
        <f t="shared" si="40"/>
        <v>3.4407439598723839E-2</v>
      </c>
      <c r="AM67">
        <f t="shared" si="41"/>
        <v>1.1886577318975862E-4</v>
      </c>
    </row>
    <row r="68" spans="1:39" x14ac:dyDescent="0.25">
      <c r="A68" s="23"/>
      <c r="B68" s="2">
        <f t="shared" si="58"/>
        <v>1839</v>
      </c>
      <c r="C68" s="10">
        <f t="shared" si="59"/>
        <v>192.57962966505431</v>
      </c>
      <c r="D68" s="25">
        <f t="shared" si="60"/>
        <v>3.6533986868675399</v>
      </c>
      <c r="E68">
        <v>0.75470000000000004</v>
      </c>
      <c r="F68">
        <v>1.1255999999999999</v>
      </c>
      <c r="G68" s="5">
        <f t="shared" si="61"/>
        <v>1.0204336023056251</v>
      </c>
      <c r="H68" s="36"/>
      <c r="I68" s="36"/>
      <c r="J68" s="25">
        <v>3.5979343489934528</v>
      </c>
      <c r="K68">
        <v>328.50850000000003</v>
      </c>
      <c r="L68">
        <v>350.7996</v>
      </c>
      <c r="M68" s="5">
        <f t="shared" si="62"/>
        <v>344.11790533548407</v>
      </c>
      <c r="O68">
        <v>1.7058</v>
      </c>
      <c r="P68">
        <v>1.8216000000000001</v>
      </c>
      <c r="Q68" s="5">
        <f t="shared" si="67"/>
        <v>1.7868863178000391</v>
      </c>
      <c r="R68">
        <v>-1.7868863178000391</v>
      </c>
      <c r="T68" s="9">
        <f t="shared" si="68"/>
        <v>-0.26041243810985015</v>
      </c>
      <c r="U68" s="4">
        <f t="shared" si="63"/>
        <v>9.343141230843538E-2</v>
      </c>
      <c r="V68" s="38">
        <f t="shared" si="64"/>
        <v>-4.5360631032164027E-2</v>
      </c>
      <c r="W68" s="38">
        <f t="shared" si="65"/>
        <v>1.9416875904791638E-2</v>
      </c>
      <c r="X68" s="4">
        <f t="shared" si="70"/>
        <v>-4.537855429990096E-2</v>
      </c>
      <c r="Y68" s="4">
        <f t="shared" si="69"/>
        <v>1.9426911412416769E-2</v>
      </c>
      <c r="AA68">
        <v>8.4983435211857312</v>
      </c>
      <c r="AC68">
        <v>0.12627367396453848</v>
      </c>
      <c r="AD68" s="4">
        <f t="shared" si="36"/>
        <v>-0.13034406624402134</v>
      </c>
      <c r="AF68" s="4">
        <f t="shared" si="37"/>
        <v>0.13413876414531167</v>
      </c>
      <c r="AG68" s="4">
        <f t="shared" si="38"/>
        <v>0.67048685145700082</v>
      </c>
      <c r="AH68" s="4">
        <f t="shared" si="39"/>
        <v>0.90656858769156456</v>
      </c>
      <c r="AK68">
        <f>T68^2</f>
        <v>6.781463792231654E-2</v>
      </c>
      <c r="AM68">
        <f t="shared" si="41"/>
        <v>2.057586847636122E-3</v>
      </c>
    </row>
    <row r="69" spans="1:39" x14ac:dyDescent="0.25">
      <c r="A69" s="23"/>
      <c r="B69" s="2">
        <f t="shared" si="58"/>
        <v>1839</v>
      </c>
      <c r="C69" s="10">
        <f t="shared" si="59"/>
        <v>192.57962966505431</v>
      </c>
      <c r="D69" s="25">
        <f t="shared" si="60"/>
        <v>3.0732756854133099</v>
      </c>
      <c r="E69">
        <v>0.78520000000000001</v>
      </c>
      <c r="F69">
        <v>1.127</v>
      </c>
      <c r="G69" s="5">
        <f t="shared" si="61"/>
        <v>1.0201251626579322</v>
      </c>
      <c r="H69" s="36"/>
      <c r="I69" s="36"/>
      <c r="J69" s="25">
        <v>3.1121112229606274</v>
      </c>
      <c r="K69">
        <v>291.82490000000001</v>
      </c>
      <c r="L69">
        <v>310.60730000000001</v>
      </c>
      <c r="M69" s="5">
        <f t="shared" si="62"/>
        <v>310.51013897327994</v>
      </c>
      <c r="O69">
        <v>1.5153000000000001</v>
      </c>
      <c r="P69">
        <v>1.6129</v>
      </c>
      <c r="Q69" s="5">
        <f t="shared" si="67"/>
        <v>1.612372707920029</v>
      </c>
      <c r="R69">
        <v>-1.612372707920029</v>
      </c>
      <c r="T69" s="9">
        <f t="shared" si="68"/>
        <v>-0.23029052831697197</v>
      </c>
      <c r="U69" s="4">
        <f t="shared" si="63"/>
        <v>9.4831266496954586E-2</v>
      </c>
      <c r="V69" s="38">
        <f t="shared" si="64"/>
        <v>-6.017593832866059E-2</v>
      </c>
      <c r="W69" s="38">
        <f t="shared" si="65"/>
        <v>3.1290774285613269E-4</v>
      </c>
      <c r="X69" s="4">
        <f t="shared" si="70"/>
        <v>-6.0204881565660631E-2</v>
      </c>
      <c r="Y69" s="4">
        <f t="shared" si="69"/>
        <v>3.270286562039694E-4</v>
      </c>
      <c r="AA69">
        <v>9.4069131165651516</v>
      </c>
      <c r="AC69">
        <v>0.11234462939305302</v>
      </c>
      <c r="AD69" s="4">
        <f t="shared" si="36"/>
        <v>-0.1542450694943121</v>
      </c>
      <c r="AF69" s="4">
        <f t="shared" si="37"/>
        <v>0.11794589892391895</v>
      </c>
      <c r="AG69" s="4">
        <f t="shared" si="38"/>
        <v>0.69671694764862468</v>
      </c>
      <c r="AH69" s="4">
        <f t="shared" si="39"/>
        <v>0.90516873350304539</v>
      </c>
      <c r="AK69">
        <f t="shared" si="40"/>
        <v>5.3033727432510072E-2</v>
      </c>
      <c r="AM69">
        <f t="shared" si="41"/>
        <v>3.6211435537347627E-3</v>
      </c>
    </row>
    <row r="70" spans="1:39" x14ac:dyDescent="0.25">
      <c r="A70" s="23"/>
      <c r="B70" s="2">
        <f t="shared" si="58"/>
        <v>1840</v>
      </c>
      <c r="C70" s="10">
        <f t="shared" si="59"/>
        <v>192.68434942017399</v>
      </c>
      <c r="D70" s="25">
        <f t="shared" si="60"/>
        <v>2.6401044471753301</v>
      </c>
      <c r="E70">
        <v>0.81389999999999996</v>
      </c>
      <c r="F70">
        <v>1.1279999999999999</v>
      </c>
      <c r="G70" s="5">
        <f t="shared" si="61"/>
        <v>1.0094910734070963</v>
      </c>
      <c r="H70" s="36"/>
      <c r="I70" s="36"/>
      <c r="J70" s="25">
        <v>2.6186306105362576</v>
      </c>
      <c r="K70">
        <v>262.67219999999998</v>
      </c>
      <c r="L70">
        <v>279.0224</v>
      </c>
      <c r="M70" s="5">
        <f t="shared" si="62"/>
        <v>272.32024194294416</v>
      </c>
      <c r="O70">
        <v>1.3632</v>
      </c>
      <c r="P70">
        <v>1.4480999999999999</v>
      </c>
      <c r="Q70" s="5">
        <f t="shared" si="67"/>
        <v>1.4132971503000145</v>
      </c>
      <c r="R70">
        <v>-1.4132971503000145</v>
      </c>
      <c r="T70" s="9">
        <f t="shared" si="68"/>
        <v>-0.19375215745788033</v>
      </c>
      <c r="U70" s="4">
        <f t="shared" si="63"/>
        <v>0.10506110513555282</v>
      </c>
      <c r="V70" s="38">
        <f t="shared" si="64"/>
        <v>-3.5429029711884663E-2</v>
      </c>
      <c r="W70" s="38">
        <f t="shared" si="65"/>
        <v>2.4611310599746233E-2</v>
      </c>
      <c r="X70" s="4">
        <f t="shared" si="70"/>
        <v>-3.5447004396336523E-2</v>
      </c>
      <c r="Y70" s="4">
        <f t="shared" si="69"/>
        <v>2.4625288243592326E-2</v>
      </c>
      <c r="AA70">
        <v>10.717275967021553</v>
      </c>
      <c r="AC70">
        <v>9.6432949464436882E-2</v>
      </c>
      <c r="AD70" s="4">
        <f t="shared" si="36"/>
        <v>-0.14260178938210019</v>
      </c>
      <c r="AF70" s="4">
        <f t="shared" si="37"/>
        <v>9.7319207993443443E-2</v>
      </c>
      <c r="AG70" s="4">
        <f t="shared" si="38"/>
        <v>0.72154255319148941</v>
      </c>
      <c r="AH70" s="4">
        <f t="shared" si="39"/>
        <v>0.89493889486444722</v>
      </c>
      <c r="AK70">
        <f t="shared" si="40"/>
        <v>3.7539898519583254E-2</v>
      </c>
      <c r="AM70">
        <f t="shared" si="41"/>
        <v>1.2552161463256063E-3</v>
      </c>
    </row>
    <row r="71" spans="1:39" x14ac:dyDescent="0.25">
      <c r="A71" s="24"/>
      <c r="B71" s="16"/>
      <c r="C71" s="16"/>
      <c r="D71" s="20"/>
      <c r="E71" s="16"/>
      <c r="F71" s="16"/>
      <c r="G71" s="16"/>
      <c r="H71" s="36"/>
      <c r="I71" s="36"/>
      <c r="J71" s="20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</row>
    <row r="72" spans="1:39" x14ac:dyDescent="0.25">
      <c r="A72" s="24"/>
      <c r="B72" s="16"/>
      <c r="C72" s="16"/>
      <c r="D72" s="20"/>
      <c r="E72" s="16"/>
      <c r="F72" s="16"/>
      <c r="G72" s="16"/>
      <c r="H72" s="36"/>
      <c r="I72" s="36"/>
      <c r="J72" s="20"/>
      <c r="K72" s="16"/>
      <c r="L72" s="16"/>
      <c r="M72" s="16"/>
      <c r="N72" s="16"/>
      <c r="O72" s="16"/>
      <c r="P72" s="16"/>
      <c r="Q72" s="16"/>
      <c r="R72" s="26" t="s">
        <v>40</v>
      </c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73" spans="1:39" x14ac:dyDescent="0.25">
      <c r="A73" s="22">
        <f>AVERAGE(B73:B78)</f>
        <v>2111.5</v>
      </c>
      <c r="B73" s="2">
        <v>2107</v>
      </c>
      <c r="C73" s="10">
        <f t="shared" ref="C73:C78" si="71">B73*2*PI()/60</f>
        <v>220.64452403712315</v>
      </c>
      <c r="D73" s="25">
        <f t="shared" ref="D73:D78" si="72">F30</f>
        <v>5.1395527310525901</v>
      </c>
      <c r="E73">
        <v>0.85709999999999997</v>
      </c>
      <c r="F73">
        <v>1.2824</v>
      </c>
      <c r="G73" s="5">
        <f t="shared" ref="G73:G78" si="73">S30*O30*1000</f>
        <v>0.86906064601320965</v>
      </c>
      <c r="H73" s="37">
        <v>2052</v>
      </c>
      <c r="I73" s="37">
        <f>H73/60*2*PI()</f>
        <v>214.88493750554187</v>
      </c>
      <c r="J73" s="25">
        <v>5.1081324714812002</v>
      </c>
      <c r="K73">
        <v>476.0367</v>
      </c>
      <c r="L73">
        <v>500.786</v>
      </c>
      <c r="M73" s="5">
        <f>C73*Q73</f>
        <v>496.993999338386</v>
      </c>
      <c r="O73">
        <v>2.1575000000000002</v>
      </c>
      <c r="P73">
        <v>2.2696999999999998</v>
      </c>
      <c r="Q73" s="5">
        <f t="shared" ref="Q73:Q78" si="74">R73*-1</f>
        <v>2.2524646895599703</v>
      </c>
      <c r="R73">
        <v>-2.2524646895599703</v>
      </c>
      <c r="T73" s="9">
        <f>(E73-G73)/G73</f>
        <v>-1.376272883610458E-2</v>
      </c>
      <c r="U73" s="4">
        <f t="shared" ref="U73:U78" si="75">(F73-G73)/F73</f>
        <v>0.32231702587865746</v>
      </c>
      <c r="V73" s="38">
        <f>(K73-M73)/M73</f>
        <v>-4.2168113430514298E-2</v>
      </c>
      <c r="W73" s="38">
        <f>(L73-M73)/M73</f>
        <v>7.62987212453677E-3</v>
      </c>
      <c r="X73" s="4">
        <f>(O73-Q73)/Q73</f>
        <v>-4.2160345509576827E-2</v>
      </c>
      <c r="Y73" s="4">
        <f>(P73-Q73)/Q73</f>
        <v>7.6517561051740934E-3</v>
      </c>
      <c r="AA73">
        <v>6.7500154102744725</v>
      </c>
      <c r="AC73">
        <v>0.22374090257721529</v>
      </c>
      <c r="AD73" s="4">
        <f t="shared" si="36"/>
        <v>-0.10966826753325902</v>
      </c>
      <c r="AF73" s="4">
        <f t="shared" si="37"/>
        <v>-0.20997817374111072</v>
      </c>
      <c r="AG73" s="4">
        <f t="shared" si="38"/>
        <v>0.66835620711166566</v>
      </c>
      <c r="AH73" s="4">
        <f t="shared" si="39"/>
        <v>0.67768297412134249</v>
      </c>
      <c r="AK73">
        <f t="shared" si="40"/>
        <v>1.8941270501614453E-4</v>
      </c>
      <c r="AM73">
        <f t="shared" si="41"/>
        <v>1.7781497902887202E-3</v>
      </c>
    </row>
    <row r="74" spans="1:39" x14ac:dyDescent="0.25">
      <c r="A74" s="21">
        <v>1.33</v>
      </c>
      <c r="B74" s="2">
        <f>B31</f>
        <v>2112</v>
      </c>
      <c r="C74" s="10">
        <f t="shared" si="71"/>
        <v>221.16812281272144</v>
      </c>
      <c r="D74" s="25">
        <f t="shared" si="72"/>
        <v>4.4350470643170903</v>
      </c>
      <c r="E74">
        <v>0.88080000000000003</v>
      </c>
      <c r="F74">
        <v>1.2858000000000001</v>
      </c>
      <c r="G74" s="5">
        <f t="shared" si="73"/>
        <v>0.94847363500753468</v>
      </c>
      <c r="H74" s="36"/>
      <c r="I74" s="36"/>
      <c r="J74" s="25">
        <v>4.430646488532715</v>
      </c>
      <c r="K74">
        <v>439.1995</v>
      </c>
      <c r="L74">
        <v>459.31459999999998</v>
      </c>
      <c r="M74" s="5">
        <f t="shared" ref="M74:M78" si="76">C74*Q74</f>
        <v>455.1477762194761</v>
      </c>
      <c r="O74">
        <v>1.9858</v>
      </c>
      <c r="P74">
        <v>2.0768</v>
      </c>
      <c r="Q74" s="5">
        <f t="shared" si="74"/>
        <v>2.0579266597333361</v>
      </c>
      <c r="R74">
        <v>-2.0579266597333361</v>
      </c>
      <c r="T74" s="9">
        <f t="shared" ref="T74:T77" si="77">(E74-G74)/G74</f>
        <v>-7.1350043385230266E-2</v>
      </c>
      <c r="U74" s="4">
        <f t="shared" si="75"/>
        <v>0.26234746071898069</v>
      </c>
      <c r="V74" s="38">
        <f>(K74-M74)/M74</f>
        <v>-3.5039776206191343E-2</v>
      </c>
      <c r="W74" s="38">
        <f>(L74-M74)/M74</f>
        <v>9.1548811138530244E-3</v>
      </c>
      <c r="X74" s="4">
        <f t="shared" ref="X74:X76" si="78">(O74-Q74)/Q74</f>
        <v>-3.5048216802187789E-2</v>
      </c>
      <c r="Y74" s="4">
        <f>(P74-Q74)/Q74</f>
        <v>9.1710460999176041E-3</v>
      </c>
      <c r="AA74">
        <v>7.3793184342966098</v>
      </c>
      <c r="AC74">
        <v>0.17529979892238035</v>
      </c>
      <c r="AD74" s="4">
        <f t="shared" si="36"/>
        <v>-0.10883296054915745</v>
      </c>
      <c r="AF74" s="4">
        <f t="shared" si="37"/>
        <v>-0.10394975553715008</v>
      </c>
      <c r="AG74" s="4">
        <f t="shared" si="38"/>
        <v>0.68502099860009336</v>
      </c>
      <c r="AH74" s="4">
        <f t="shared" si="39"/>
        <v>0.73765253928101937</v>
      </c>
      <c r="AK74">
        <f t="shared" si="40"/>
        <v>5.0908286910742416E-3</v>
      </c>
      <c r="AM74">
        <f>V74^2</f>
        <v>1.2277859165799731E-3</v>
      </c>
    </row>
    <row r="75" spans="1:39" x14ac:dyDescent="0.25">
      <c r="A75" s="23"/>
      <c r="B75" s="2">
        <f>B32</f>
        <v>2114</v>
      </c>
      <c r="C75" s="10">
        <f t="shared" si="71"/>
        <v>221.37756232296076</v>
      </c>
      <c r="D75" s="25">
        <f t="shared" si="72"/>
        <v>4.0038566309211898</v>
      </c>
      <c r="E75">
        <v>0.89670000000000005</v>
      </c>
      <c r="F75">
        <v>1.2889999999999999</v>
      </c>
      <c r="G75" s="5">
        <f t="shared" si="73"/>
        <v>1.042829287775632</v>
      </c>
      <c r="H75" s="36"/>
      <c r="I75" s="36"/>
      <c r="J75" s="25">
        <v>4.017045492351957</v>
      </c>
      <c r="K75">
        <v>413.53059999999999</v>
      </c>
      <c r="L75">
        <v>430.43549999999999</v>
      </c>
      <c r="M75" s="5">
        <f t="shared" si="76"/>
        <v>404.21583325687345</v>
      </c>
      <c r="O75">
        <v>1.8680000000000001</v>
      </c>
      <c r="P75">
        <v>1.9443999999999999</v>
      </c>
      <c r="Q75" s="5">
        <f t="shared" si="74"/>
        <v>1.8259114836000212</v>
      </c>
      <c r="R75">
        <v>-1.8259114836000212</v>
      </c>
      <c r="T75" s="9">
        <f t="shared" si="77"/>
        <v>-0.14012771744004962</v>
      </c>
      <c r="U75" s="4">
        <f t="shared" si="75"/>
        <v>0.19097805447972688</v>
      </c>
      <c r="V75" s="38">
        <f t="shared" ref="V75:V78" si="79">(K75-M75)/M75</f>
        <v>2.3044042258500888E-2</v>
      </c>
      <c r="W75" s="38">
        <f t="shared" ref="W75:W78" si="80">(L75-M75)/M75</f>
        <v>6.4865511407279072E-2</v>
      </c>
      <c r="X75" s="4">
        <f t="shared" si="78"/>
        <v>2.305068826063569E-2</v>
      </c>
      <c r="Y75" s="4">
        <f t="shared" ref="Y75:Y78" si="81">(P75-Q75)/Q75</f>
        <v>6.4892804204485982E-2</v>
      </c>
      <c r="AA75">
        <v>8.3054185123494904</v>
      </c>
      <c r="AC75">
        <v>0.1441703850883283</v>
      </c>
      <c r="AD75" s="4">
        <f t="shared" si="36"/>
        <v>-6.0010142864994009E-2</v>
      </c>
      <c r="AF75" s="4">
        <f t="shared" si="37"/>
        <v>-4.0426676482786805E-3</v>
      </c>
      <c r="AG75" s="4">
        <f t="shared" si="38"/>
        <v>0.69565554693560905</v>
      </c>
      <c r="AH75" s="4">
        <f t="shared" si="39"/>
        <v>0.80902194552027318</v>
      </c>
      <c r="AK75">
        <f t="shared" si="40"/>
        <v>1.9635777194958386E-2</v>
      </c>
      <c r="AM75">
        <f t="shared" si="41"/>
        <v>5.3102788361157475E-4</v>
      </c>
    </row>
    <row r="76" spans="1:39" x14ac:dyDescent="0.25">
      <c r="A76" s="23"/>
      <c r="B76" s="2">
        <f>B33</f>
        <v>2111</v>
      </c>
      <c r="C76" s="10">
        <f t="shared" si="71"/>
        <v>221.06340305760176</v>
      </c>
      <c r="D76" s="25">
        <f t="shared" si="72"/>
        <v>3.69061358519046</v>
      </c>
      <c r="E76">
        <v>0.91059999999999997</v>
      </c>
      <c r="F76">
        <v>1.2874000000000001</v>
      </c>
      <c r="G76" s="5">
        <f t="shared" si="73"/>
        <v>1.1631977237886615</v>
      </c>
      <c r="H76" s="36"/>
      <c r="I76" s="36"/>
      <c r="J76" s="25">
        <v>3.6982373185992503</v>
      </c>
      <c r="K76">
        <v>389.93310000000002</v>
      </c>
      <c r="L76">
        <v>404.46960000000001</v>
      </c>
      <c r="M76" s="5">
        <f t="shared" si="76"/>
        <v>362.03189924269998</v>
      </c>
      <c r="O76">
        <v>1.7639</v>
      </c>
      <c r="P76">
        <v>1.8297000000000001</v>
      </c>
      <c r="Q76" s="5">
        <f t="shared" si="74"/>
        <v>1.6376835524800391</v>
      </c>
      <c r="R76">
        <v>-1.6376835524800391</v>
      </c>
      <c r="T76" s="9">
        <f t="shared" si="77"/>
        <v>-0.21715802792832439</v>
      </c>
      <c r="U76" s="4">
        <f t="shared" si="75"/>
        <v>9.6475280574288183E-2</v>
      </c>
      <c r="V76" s="38">
        <f t="shared" si="79"/>
        <v>7.7068348992627198E-2</v>
      </c>
      <c r="W76" s="38">
        <f t="shared" si="80"/>
        <v>0.11722088812082973</v>
      </c>
      <c r="X76" s="4">
        <f t="shared" si="78"/>
        <v>7.707010754844798E-2</v>
      </c>
      <c r="Y76" s="4">
        <f t="shared" si="81"/>
        <v>0.1172488098993114</v>
      </c>
      <c r="AA76">
        <v>9.2497504333691669</v>
      </c>
      <c r="AC76">
        <v>0.11890127290614302</v>
      </c>
      <c r="AD76" s="4">
        <f t="shared" si="36"/>
        <v>-1.5429155341064468E-2</v>
      </c>
      <c r="AF76" s="4">
        <f t="shared" si="37"/>
        <v>9.8256755022181369E-2</v>
      </c>
      <c r="AG76" s="4">
        <f t="shared" si="38"/>
        <v>0.70731707317073167</v>
      </c>
      <c r="AH76" s="4">
        <f t="shared" si="39"/>
        <v>0.90352471942571178</v>
      </c>
      <c r="AK76">
        <f t="shared" si="40"/>
        <v>4.7157609093718918E-2</v>
      </c>
      <c r="AM76">
        <f t="shared" si="41"/>
        <v>5.9395304164493812E-3</v>
      </c>
    </row>
    <row r="77" spans="1:39" x14ac:dyDescent="0.25">
      <c r="A77" s="23"/>
      <c r="B77" s="2">
        <f>B34</f>
        <v>2112</v>
      </c>
      <c r="C77" s="10">
        <f t="shared" si="71"/>
        <v>221.16812281272144</v>
      </c>
      <c r="D77" s="25">
        <f t="shared" si="72"/>
        <v>3.3424664174525498</v>
      </c>
      <c r="E77">
        <v>0.93010000000000004</v>
      </c>
      <c r="F77">
        <v>1.2907</v>
      </c>
      <c r="G77" s="5">
        <f t="shared" si="73"/>
        <v>1.1657191081274199</v>
      </c>
      <c r="H77" s="36"/>
      <c r="I77" s="36"/>
      <c r="J77" s="25">
        <v>3.3621021478520641</v>
      </c>
      <c r="K77">
        <v>365.04919999999998</v>
      </c>
      <c r="L77">
        <v>377.05149999999998</v>
      </c>
      <c r="M77" s="5">
        <f t="shared" si="76"/>
        <v>343.19032930307435</v>
      </c>
      <c r="O77">
        <v>1.6506000000000001</v>
      </c>
      <c r="P77">
        <v>1.7048000000000001</v>
      </c>
      <c r="Q77" s="5">
        <f t="shared" si="74"/>
        <v>1.5517169695999893</v>
      </c>
      <c r="R77">
        <v>-1.5517169695999893</v>
      </c>
      <c r="T77" s="9">
        <f t="shared" si="77"/>
        <v>-0.20212339875419225</v>
      </c>
      <c r="U77" s="4">
        <f t="shared" si="75"/>
        <v>9.6831867879894715E-2</v>
      </c>
      <c r="V77" s="38">
        <f>(K77-M77)/M77</f>
        <v>6.3693142931256302E-2</v>
      </c>
      <c r="W77" s="38">
        <f>(L77-M77)/M77</f>
        <v>9.8665864990101548E-2</v>
      </c>
      <c r="X77" s="4">
        <f>(O77-Q77)/Q77</f>
        <v>6.372491397416466E-2</v>
      </c>
      <c r="Y77" s="4">
        <f>(P77-Q77)/Q77</f>
        <v>9.8653964220983839E-2</v>
      </c>
      <c r="AA77">
        <v>9.7571402678590111</v>
      </c>
      <c r="AC77">
        <v>0.106484902009886</v>
      </c>
      <c r="AD77" s="4">
        <f t="shared" si="36"/>
        <v>-3.3878259747333814E-2</v>
      </c>
      <c r="AF77" s="4">
        <f t="shared" si="37"/>
        <v>9.5638496744306245E-2</v>
      </c>
      <c r="AG77" s="4">
        <f t="shared" si="38"/>
        <v>0.72061671960951423</v>
      </c>
      <c r="AH77" s="4">
        <f t="shared" si="39"/>
        <v>0.90316813212010527</v>
      </c>
      <c r="AK77">
        <f t="shared" si="40"/>
        <v>4.0853868323946205E-2</v>
      </c>
      <c r="AM77">
        <f t="shared" si="41"/>
        <v>4.0568164564614446E-3</v>
      </c>
    </row>
    <row r="78" spans="1:39" x14ac:dyDescent="0.25">
      <c r="A78" s="23"/>
      <c r="B78" s="2">
        <f>B35</f>
        <v>2113</v>
      </c>
      <c r="C78" s="10">
        <f t="shared" si="71"/>
        <v>221.27284256784108</v>
      </c>
      <c r="D78" s="25">
        <f t="shared" si="72"/>
        <v>2.5472304393617602</v>
      </c>
      <c r="E78">
        <v>0.98280000000000001</v>
      </c>
      <c r="F78">
        <v>1.2927</v>
      </c>
      <c r="G78" s="5">
        <f t="shared" si="73"/>
        <v>1.1934902874269904</v>
      </c>
      <c r="H78" s="36"/>
      <c r="I78" s="36"/>
      <c r="J78" s="25">
        <v>2.5797622364794712</v>
      </c>
      <c r="K78">
        <v>303.41419999999999</v>
      </c>
      <c r="L78">
        <v>310.22949999999997</v>
      </c>
      <c r="M78" s="5">
        <f t="shared" si="76"/>
        <v>291.55202608163211</v>
      </c>
      <c r="O78">
        <v>1.3712</v>
      </c>
      <c r="P78">
        <v>1.4019999999999999</v>
      </c>
      <c r="Q78" s="5">
        <f t="shared" si="74"/>
        <v>1.317613235760027</v>
      </c>
      <c r="R78">
        <v>-1.317613235760027</v>
      </c>
      <c r="T78" s="9">
        <f>(E78-G78)/G78</f>
        <v>-0.17653288815714721</v>
      </c>
      <c r="U78" s="4">
        <f t="shared" si="75"/>
        <v>7.6746122513351583E-2</v>
      </c>
      <c r="V78" s="38">
        <f t="shared" si="79"/>
        <v>4.0686302468179655E-2</v>
      </c>
      <c r="W78" s="38">
        <f t="shared" si="80"/>
        <v>6.406223331522426E-2</v>
      </c>
      <c r="X78" s="4">
        <f>(O78-Q78)/Q78</f>
        <v>4.0669570391089024E-2</v>
      </c>
      <c r="Y78" s="4">
        <f t="shared" si="81"/>
        <v>6.404517042612802E-2</v>
      </c>
      <c r="AA78">
        <v>11.474606944752018</v>
      </c>
      <c r="AC78">
        <v>7.8078448548497686E-2</v>
      </c>
      <c r="AD78" s="4">
        <f t="shared" si="36"/>
        <v>-7.4059766979340524E-2</v>
      </c>
      <c r="AF78" s="4">
        <f t="shared" si="37"/>
        <v>9.8454439608649524E-2</v>
      </c>
      <c r="AG78" s="4">
        <f t="shared" si="38"/>
        <v>0.76026920399164544</v>
      </c>
      <c r="AH78" s="4">
        <f t="shared" si="39"/>
        <v>0.92325387748664844</v>
      </c>
      <c r="AK78">
        <f t="shared" si="40"/>
        <v>3.1163860601103845E-2</v>
      </c>
      <c r="AM78">
        <f t="shared" si="41"/>
        <v>1.6553752085322019E-3</v>
      </c>
    </row>
    <row r="79" spans="1:39" x14ac:dyDescent="0.25">
      <c r="T79" s="4"/>
      <c r="V79" s="4"/>
      <c r="AK79">
        <f>AVERAGE(AK42:AK78)</f>
        <v>1.8785408419697738E-2</v>
      </c>
      <c r="AM79">
        <f>AVERAGE(AM42:AM78)</f>
        <v>1.6390606338770081E-3</v>
      </c>
    </row>
    <row r="80" spans="1:39" x14ac:dyDescent="0.25">
      <c r="G80" s="5"/>
      <c r="M80" s="5"/>
      <c r="T80" s="9"/>
      <c r="U80" s="9"/>
      <c r="V80" s="9"/>
      <c r="W80" s="9"/>
      <c r="X80" s="9"/>
      <c r="Y80" s="9"/>
      <c r="AK80">
        <f>SQRT(AK79)</f>
        <v>0.13705987166088307</v>
      </c>
      <c r="AM80">
        <f>SQRT(AM79)</f>
        <v>4.0485313804847899E-2</v>
      </c>
    </row>
    <row r="81" spans="22:22" x14ac:dyDescent="0.25">
      <c r="V81" s="4"/>
    </row>
    <row r="82" spans="22:22" x14ac:dyDescent="0.25">
      <c r="V82" s="4">
        <f>MAX(V42:V78)</f>
        <v>7.7068348992627198E-2</v>
      </c>
    </row>
    <row r="122" spans="1:6" x14ac:dyDescent="0.25">
      <c r="A122">
        <v>0.3</v>
      </c>
      <c r="B122">
        <v>0.3</v>
      </c>
      <c r="C122">
        <v>0.2</v>
      </c>
      <c r="D122">
        <f>0.2*1.15</f>
        <v>0.22999999999999998</v>
      </c>
      <c r="E122">
        <v>0.2</v>
      </c>
      <c r="F122">
        <f>E122*0.85</f>
        <v>0.17</v>
      </c>
    </row>
    <row r="123" spans="1:6" x14ac:dyDescent="0.25">
      <c r="A123">
        <v>1.4</v>
      </c>
      <c r="B123">
        <v>1.4</v>
      </c>
      <c r="C123">
        <v>1.4</v>
      </c>
      <c r="D123">
        <f>B123*1.15</f>
        <v>1.6099999999999999</v>
      </c>
      <c r="E123">
        <v>1.4</v>
      </c>
      <c r="F123">
        <f>E123*0.85</f>
        <v>1.19</v>
      </c>
    </row>
    <row r="126" spans="1:6" x14ac:dyDescent="0.25">
      <c r="A126">
        <v>100</v>
      </c>
      <c r="B126">
        <v>100</v>
      </c>
      <c r="C126">
        <v>100</v>
      </c>
      <c r="D126">
        <v>109</v>
      </c>
      <c r="E126">
        <v>100</v>
      </c>
      <c r="F126">
        <v>91</v>
      </c>
    </row>
    <row r="127" spans="1:6" x14ac:dyDescent="0.25">
      <c r="A127">
        <v>600</v>
      </c>
      <c r="B127">
        <v>600</v>
      </c>
      <c r="C127">
        <v>600</v>
      </c>
      <c r="D127">
        <v>654</v>
      </c>
      <c r="E127">
        <v>600</v>
      </c>
      <c r="F127">
        <v>546</v>
      </c>
    </row>
  </sheetData>
  <mergeCells count="5">
    <mergeCell ref="Q2:S2"/>
    <mergeCell ref="E40:G40"/>
    <mergeCell ref="K40:M40"/>
    <mergeCell ref="O40:Q40"/>
    <mergeCell ref="T40:Y4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7C79-3AE8-442D-A706-AD9F55610537}">
  <dimension ref="A1:AM127"/>
  <sheetViews>
    <sheetView topLeftCell="A82" zoomScale="70" zoomScaleNormal="70" workbookViewId="0">
      <selection activeCell="M106" sqref="M106"/>
    </sheetView>
  </sheetViews>
  <sheetFormatPr defaultRowHeight="15" x14ac:dyDescent="0.25"/>
  <cols>
    <col min="1" max="1" width="14.85546875" bestFit="1" customWidth="1"/>
    <col min="3" max="3" width="17.140625" customWidth="1"/>
    <col min="4" max="4" width="14.140625" bestFit="1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9" max="19" width="13" bestFit="1" customWidth="1"/>
    <col min="20" max="20" width="12.140625" customWidth="1"/>
    <col min="21" max="21" width="13.85546875" bestFit="1" customWidth="1"/>
    <col min="22" max="22" width="11.42578125" bestFit="1" customWidth="1"/>
    <col min="23" max="23" width="12.28515625" bestFit="1" customWidth="1"/>
    <col min="24" max="25" width="10.42578125" bestFit="1" customWidth="1"/>
    <col min="30" max="30" width="15.5703125" customWidth="1"/>
    <col min="31" max="31" width="3.5703125" bestFit="1" customWidth="1"/>
    <col min="32" max="32" width="24.7109375" bestFit="1" customWidth="1"/>
    <col min="37" max="37" width="14.8554687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AVERAGE(B3:B7)</f>
        <v>1216</v>
      </c>
      <c r="B3" s="2">
        <v>1217</v>
      </c>
      <c r="C3">
        <f>B3*2*PI()/60</f>
        <v>127.44394198062595</v>
      </c>
      <c r="D3" s="5">
        <v>1.00932326805629</v>
      </c>
      <c r="E3" s="8">
        <v>30.5131669813081</v>
      </c>
      <c r="F3" s="5">
        <v>4.2632226981025703</v>
      </c>
      <c r="G3" s="8">
        <v>38.469673882555703</v>
      </c>
      <c r="H3">
        <f t="shared" ref="H3:H28" si="0">G3+273.15</f>
        <v>311.61967388255567</v>
      </c>
      <c r="I3">
        <v>4</v>
      </c>
      <c r="J3" s="1">
        <f t="shared" ref="J3:J28" si="1">I3/60/1000</f>
        <v>6.666666666666667E-5</v>
      </c>
      <c r="K3">
        <v>30.592198151939574</v>
      </c>
      <c r="L3">
        <v>4.251841012112453</v>
      </c>
      <c r="M3">
        <f t="shared" ref="M3:M28" si="2">K3+273.15</f>
        <v>303.74219815193953</v>
      </c>
      <c r="N3">
        <f t="shared" ref="N3:N28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4.3603999999999997E-2</v>
      </c>
      <c r="X3" s="10">
        <v>265</v>
      </c>
    </row>
    <row r="4" spans="1:24" x14ac:dyDescent="0.25">
      <c r="B4" s="2">
        <v>1214</v>
      </c>
      <c r="C4">
        <f t="shared" ref="C4:C28" si="4">B4*2*PI()/60</f>
        <v>127.12978271526696</v>
      </c>
      <c r="D4" s="5">
        <v>1.0093740377162601</v>
      </c>
      <c r="E4" s="8">
        <v>30.538404032588002</v>
      </c>
      <c r="F4" s="5">
        <v>3.74878167776951</v>
      </c>
      <c r="G4" s="8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28" si="5">R4/60/1000</f>
        <v>8.3148759828451999E-5</v>
      </c>
      <c r="U4">
        <v>38</v>
      </c>
      <c r="V4">
        <v>48</v>
      </c>
      <c r="W4" s="8">
        <v>4.3603999999999997E-2</v>
      </c>
      <c r="X4" s="10">
        <v>240</v>
      </c>
    </row>
    <row r="5" spans="1:24" x14ac:dyDescent="0.25">
      <c r="A5" s="3">
        <f>AVERAGE(G3:G7)</f>
        <v>39.638566942886222</v>
      </c>
      <c r="B5" s="2">
        <v>1217</v>
      </c>
      <c r="C5">
        <f t="shared" si="4"/>
        <v>127.44394198062595</v>
      </c>
      <c r="D5" s="5">
        <v>1.0100027712944899</v>
      </c>
      <c r="E5" s="8">
        <v>30.5232550594659</v>
      </c>
      <c r="F5" s="5">
        <v>3.41149288331663</v>
      </c>
      <c r="G5" s="8">
        <v>39.278800793004301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4.3603999999999997E-2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5">
        <v>1.00926410736023</v>
      </c>
      <c r="E6" s="8">
        <v>30.568783382737202</v>
      </c>
      <c r="F6" s="5">
        <v>3.0036465230416098</v>
      </c>
      <c r="G6" s="8">
        <v>40.450708190043798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4.3603999999999997E-2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5">
        <v>1.0094537558613399</v>
      </c>
      <c r="E7" s="8">
        <v>30.5281956689855</v>
      </c>
      <c r="F7" s="5">
        <v>2.3975521098447898</v>
      </c>
      <c r="G7" s="8">
        <v>40.146233053990002</v>
      </c>
      <c r="H7">
        <f t="shared" si="0"/>
        <v>313.29623305398997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 t="shared" si="5"/>
        <v>1.6632764895962928E-4</v>
      </c>
      <c r="U7">
        <v>38</v>
      </c>
      <c r="V7">
        <v>48</v>
      </c>
      <c r="W7" s="8">
        <v>4.3603999999999997E-2</v>
      </c>
      <c r="X7" s="10">
        <v>195</v>
      </c>
    </row>
    <row r="8" spans="1:24" x14ac:dyDescent="0.25">
      <c r="B8" s="12"/>
      <c r="D8" s="5"/>
      <c r="E8" s="8"/>
      <c r="F8" s="5"/>
      <c r="G8" s="8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 s="5">
        <v>1.0094287437153799</v>
      </c>
      <c r="E9" s="8">
        <v>30.6129748409728</v>
      </c>
      <c r="F9" s="5">
        <v>5.2533625867637204</v>
      </c>
      <c r="G9" s="8">
        <v>42.253028073273697</v>
      </c>
      <c r="H9">
        <f t="shared" si="0"/>
        <v>315.40302807327367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43</v>
      </c>
      <c r="V9">
        <v>55</v>
      </c>
      <c r="W9" s="3">
        <v>3.1711999999999997E-2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5">
        <v>1.0092810759105499</v>
      </c>
      <c r="E10" s="8">
        <v>30.581004375999701</v>
      </c>
      <c r="F10" s="5">
        <v>4.8223075689095696</v>
      </c>
      <c r="G10" s="8">
        <v>42.953073171144503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43</v>
      </c>
      <c r="V10">
        <v>55</v>
      </c>
      <c r="W10" s="3">
        <v>3.1711999999999997E-2</v>
      </c>
      <c r="X10" s="10">
        <v>275</v>
      </c>
    </row>
    <row r="11" spans="1:24" x14ac:dyDescent="0.25">
      <c r="A11" s="3">
        <f>AVERAGE(G10:G14)</f>
        <v>44.384191269147735</v>
      </c>
      <c r="B11" s="2">
        <v>1412</v>
      </c>
      <c r="C11">
        <f t="shared" si="4"/>
        <v>147.86429422895961</v>
      </c>
      <c r="D11" s="5">
        <v>1.00869126440021</v>
      </c>
      <c r="E11" s="8">
        <v>30.6227287865843</v>
      </c>
      <c r="F11" s="5">
        <v>4.2362978478636197</v>
      </c>
      <c r="G11" s="8">
        <v>43.473552889636998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43</v>
      </c>
      <c r="V11">
        <v>55</v>
      </c>
      <c r="W11" s="3">
        <v>3.1711999999999997E-2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5">
        <v>1.0077573177644099</v>
      </c>
      <c r="E12" s="8">
        <v>30.816080276902401</v>
      </c>
      <c r="F12" s="5">
        <v>3.6616022441401399</v>
      </c>
      <c r="G12" s="8">
        <v>46.069186852835898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43</v>
      </c>
      <c r="V12">
        <v>55</v>
      </c>
      <c r="W12" s="3">
        <v>3.1711999999999997E-2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5">
        <v>1.0085733794744101</v>
      </c>
      <c r="E13" s="8">
        <v>30.635044840682401</v>
      </c>
      <c r="F13" s="5">
        <v>2.9220510847489098</v>
      </c>
      <c r="G13" s="8">
        <v>45.018485236153701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43</v>
      </c>
      <c r="V13">
        <v>55</v>
      </c>
      <c r="W13" s="3">
        <v>3.1711999999999997E-2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5">
        <v>1.01019986541157</v>
      </c>
      <c r="E14" s="8">
        <v>30.714603931016299</v>
      </c>
      <c r="F14" s="5">
        <v>2.6698755104625498</v>
      </c>
      <c r="G14" s="8">
        <v>44.406658195967601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43</v>
      </c>
      <c r="V14">
        <v>55</v>
      </c>
      <c r="W14" s="3">
        <v>3.1711999999999997E-2</v>
      </c>
      <c r="X14" s="10">
        <v>205</v>
      </c>
    </row>
    <row r="15" spans="1:24" x14ac:dyDescent="0.25">
      <c r="B15" s="14"/>
      <c r="D15" s="5"/>
      <c r="E15" s="8"/>
      <c r="F15" s="5"/>
      <c r="G15" s="8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5">
        <v>1.0083333009861699</v>
      </c>
      <c r="E16" s="8">
        <v>30.610294022691601</v>
      </c>
      <c r="F16" s="5">
        <v>5.2676677023988496</v>
      </c>
      <c r="G16" s="8">
        <v>43.470274717189298</v>
      </c>
      <c r="H16">
        <f t="shared" si="0"/>
        <v>316.62027471718926</v>
      </c>
      <c r="I16">
        <v>5.5</v>
      </c>
      <c r="J16" s="1">
        <f t="shared" si="1"/>
        <v>9.1666666666666654E-5</v>
      </c>
      <c r="K16">
        <v>31.301886563534723</v>
      </c>
      <c r="L16">
        <v>5.2565102493546449</v>
      </c>
      <c r="M16">
        <f t="shared" si="2"/>
        <v>304.45188656353469</v>
      </c>
      <c r="N16">
        <f t="shared" si="3"/>
        <v>0.52565102493546445</v>
      </c>
      <c r="O16">
        <v>6.0229999999999997</v>
      </c>
      <c r="Q16">
        <f t="shared" ref="Q16:Q21" si="11">SQRT(1.2/O16)*SQRT(N16/0.101325)*SQRT(293.15/M16)</f>
        <v>0.99760876797529452</v>
      </c>
      <c r="R16">
        <f t="shared" ref="R16:R21" si="12">I16*Q16</f>
        <v>5.4868482238641203</v>
      </c>
      <c r="S16" s="7">
        <f>R16/60/1000</f>
        <v>9.1447470397735338E-5</v>
      </c>
      <c r="U16">
        <v>45</v>
      </c>
      <c r="V16">
        <v>60</v>
      </c>
      <c r="W16" s="8">
        <v>2.7747999999999998E-2</v>
      </c>
      <c r="X16" s="10">
        <v>285</v>
      </c>
    </row>
    <row r="17" spans="1:25" x14ac:dyDescent="0.25">
      <c r="B17" s="2">
        <v>1638</v>
      </c>
      <c r="C17">
        <f t="shared" si="4"/>
        <v>171.53095888600271</v>
      </c>
      <c r="D17" s="5">
        <v>1.00767939569434</v>
      </c>
      <c r="E17" s="8">
        <v>30.5476633337823</v>
      </c>
      <c r="F17" s="5">
        <v>4.5488778229227904</v>
      </c>
      <c r="G17" s="8">
        <v>43.944694642553202</v>
      </c>
      <c r="H17">
        <f t="shared" si="0"/>
        <v>317.09469464255318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60</v>
      </c>
      <c r="W17" s="8">
        <v>2.7747999999999998E-2</v>
      </c>
      <c r="X17" s="10">
        <v>270</v>
      </c>
    </row>
    <row r="18" spans="1:25" x14ac:dyDescent="0.25">
      <c r="A18" s="3">
        <f>AVERAGE(G16:G21)</f>
        <v>45.823425249720117</v>
      </c>
      <c r="B18" s="2">
        <v>1639</v>
      </c>
      <c r="C18">
        <f t="shared" si="4"/>
        <v>171.63567864112238</v>
      </c>
      <c r="D18" s="5">
        <v>1.0095081019886201</v>
      </c>
      <c r="E18" s="8">
        <v>30.628921865606099</v>
      </c>
      <c r="F18" s="5">
        <v>3.6851917499746301</v>
      </c>
      <c r="G18" s="8">
        <v>45.134798680102598</v>
      </c>
      <c r="H18">
        <f t="shared" si="0"/>
        <v>318.2847986801026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60</v>
      </c>
      <c r="W18" s="8">
        <v>2.7747999999999998E-2</v>
      </c>
      <c r="X18" s="10">
        <v>235</v>
      </c>
    </row>
    <row r="19" spans="1:25" x14ac:dyDescent="0.25">
      <c r="B19" s="2">
        <v>1639</v>
      </c>
      <c r="C19">
        <f t="shared" si="4"/>
        <v>171.63567864112238</v>
      </c>
      <c r="D19" s="5">
        <v>1.0086524685865701</v>
      </c>
      <c r="E19" s="8">
        <v>30.622924679670302</v>
      </c>
      <c r="F19" s="5">
        <v>3.2641584944265198</v>
      </c>
      <c r="G19" s="8">
        <v>46.943107203221899</v>
      </c>
      <c r="H19">
        <f t="shared" si="0"/>
        <v>320.09310720322185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60</v>
      </c>
      <c r="W19" s="8">
        <v>2.7747999999999998E-2</v>
      </c>
      <c r="X19" s="10">
        <v>220</v>
      </c>
    </row>
    <row r="20" spans="1:25" x14ac:dyDescent="0.25">
      <c r="B20" s="2">
        <v>1639</v>
      </c>
      <c r="C20">
        <f t="shared" si="4"/>
        <v>171.63567864112238</v>
      </c>
      <c r="D20" s="5">
        <v>1.00910839779551</v>
      </c>
      <c r="E20" s="8">
        <v>30.616946893747699</v>
      </c>
      <c r="F20" s="5">
        <v>3.0682354873155302</v>
      </c>
      <c r="G20" s="8">
        <v>48.030195935012003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60</v>
      </c>
      <c r="W20" s="8">
        <v>2.7747999999999998E-2</v>
      </c>
      <c r="X20" s="10">
        <v>215</v>
      </c>
    </row>
    <row r="21" spans="1:25" x14ac:dyDescent="0.25">
      <c r="B21" s="2">
        <v>1640</v>
      </c>
      <c r="C21">
        <f t="shared" si="4"/>
        <v>171.74039839624203</v>
      </c>
      <c r="D21" s="5">
        <v>1.0089421600028099</v>
      </c>
      <c r="E21" s="8">
        <v>30.660577754608099</v>
      </c>
      <c r="F21" s="5">
        <v>2.8293806275398499</v>
      </c>
      <c r="G21" s="8">
        <v>47.417480320241701</v>
      </c>
      <c r="H21">
        <f t="shared" si="0"/>
        <v>320.56748032024166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60</v>
      </c>
      <c r="W21" s="8">
        <v>2.7747999999999998E-2</v>
      </c>
      <c r="X21" s="10">
        <v>205</v>
      </c>
    </row>
    <row r="22" spans="1:25" x14ac:dyDescent="0.25">
      <c r="B22" s="14"/>
      <c r="D22" s="5"/>
      <c r="E22" s="8"/>
      <c r="F22" s="5"/>
      <c r="G22" s="8"/>
      <c r="J22" s="1"/>
      <c r="S22" s="15"/>
    </row>
    <row r="23" spans="1:25" x14ac:dyDescent="0.25">
      <c r="A23" s="3">
        <f>AVERAGE(B23:B28)</f>
        <v>1838.5</v>
      </c>
      <c r="B23" s="2">
        <v>1837</v>
      </c>
      <c r="C23">
        <f t="shared" si="4"/>
        <v>192.37019015481502</v>
      </c>
      <c r="D23" s="5">
        <v>1.0074809569159</v>
      </c>
      <c r="E23" s="8">
        <v>30.849170721143601</v>
      </c>
      <c r="F23" s="5">
        <v>5.0653949430406602</v>
      </c>
      <c r="G23" s="8">
        <v>49.552490253392499</v>
      </c>
      <c r="H23">
        <f t="shared" si="0"/>
        <v>322.70249025339245</v>
      </c>
      <c r="I23">
        <v>8.5</v>
      </c>
      <c r="J23" s="1">
        <f t="shared" ref="J23" si="14">I23/60/1000</f>
        <v>1.4166666666666665E-4</v>
      </c>
      <c r="K23">
        <v>34.911742272595383</v>
      </c>
      <c r="L23">
        <v>5.0324751973883091</v>
      </c>
      <c r="M23">
        <f t="shared" ref="M23" si="15">K23+273.15</f>
        <v>308.06174227259538</v>
      </c>
      <c r="N23">
        <f t="shared" ref="N23" si="16">L23/10</f>
        <v>0.50324751973883086</v>
      </c>
      <c r="O23">
        <v>5.6976000000000004</v>
      </c>
      <c r="Q23">
        <f t="shared" ref="Q23:Q28" si="17">SQRT(1.2/O23)*SQRT(N23/0.101325)*SQRT(293.15/M23)</f>
        <v>0.99770747454028219</v>
      </c>
      <c r="R23">
        <f t="shared" ref="R23:R28" si="18">I23*Q23</f>
        <v>8.4805135335923989</v>
      </c>
      <c r="S23" s="7">
        <f t="shared" ref="S23" si="19">R23/60/1000</f>
        <v>1.4134189222653998E-4</v>
      </c>
      <c r="U23">
        <v>48</v>
      </c>
      <c r="V23">
        <v>64</v>
      </c>
      <c r="W23" s="8">
        <v>2.1801999999999998E-2</v>
      </c>
      <c r="X23" s="10">
        <v>280</v>
      </c>
    </row>
    <row r="24" spans="1:25" x14ac:dyDescent="0.25">
      <c r="A24" s="3">
        <f>AVERAGE(G23:G28)</f>
        <v>48.965822310674078</v>
      </c>
      <c r="B24" s="2">
        <v>1837</v>
      </c>
      <c r="C24">
        <f t="shared" si="4"/>
        <v>192.37019015481502</v>
      </c>
      <c r="D24" s="5">
        <v>1.0076637581773999</v>
      </c>
      <c r="E24" s="8">
        <v>30.854876597503999</v>
      </c>
      <c r="F24" s="5">
        <v>4.5816778072219497</v>
      </c>
      <c r="G24" s="8">
        <v>49.648556094417998</v>
      </c>
      <c r="H24">
        <f t="shared" si="0"/>
        <v>322.79855609441796</v>
      </c>
      <c r="I24">
        <v>10</v>
      </c>
      <c r="J24" s="1">
        <f t="shared" si="1"/>
        <v>1.6666666666666666E-4</v>
      </c>
      <c r="K24">
        <v>33.965123681967277</v>
      </c>
      <c r="L24">
        <v>4.5450850240495768</v>
      </c>
      <c r="M24">
        <f t="shared" si="2"/>
        <v>307.11512368196725</v>
      </c>
      <c r="N24">
        <f t="shared" si="3"/>
        <v>0.45450850240495766</v>
      </c>
      <c r="O24">
        <v>5.1612999999999998</v>
      </c>
      <c r="Q24">
        <f t="shared" si="17"/>
        <v>0.99774168860402668</v>
      </c>
      <c r="R24">
        <f t="shared" si="18"/>
        <v>9.9774168860402668</v>
      </c>
      <c r="S24" s="7">
        <f t="shared" si="5"/>
        <v>1.6629028143400445E-4</v>
      </c>
      <c r="U24">
        <v>48</v>
      </c>
      <c r="V24">
        <v>64</v>
      </c>
      <c r="W24" s="8">
        <v>2.1801999999999998E-2</v>
      </c>
      <c r="X24" s="10">
        <v>270</v>
      </c>
    </row>
    <row r="25" spans="1:25" x14ac:dyDescent="0.25">
      <c r="B25" s="2">
        <v>1839</v>
      </c>
      <c r="C25">
        <f>B25*2*PI()/60</f>
        <v>192.57962966505431</v>
      </c>
      <c r="D25" s="5">
        <v>1.0079378907121701</v>
      </c>
      <c r="E25" s="8">
        <v>30.7073892467095</v>
      </c>
      <c r="F25" s="5">
        <v>4.0282260804900396</v>
      </c>
      <c r="G25" s="8">
        <v>47.5989242463693</v>
      </c>
      <c r="H25">
        <f t="shared" si="0"/>
        <v>320.74892424636926</v>
      </c>
      <c r="I25">
        <v>12</v>
      </c>
      <c r="J25" s="1">
        <f t="shared" si="1"/>
        <v>2.0000000000000001E-4</v>
      </c>
      <c r="K25">
        <v>32.938857350692899</v>
      </c>
      <c r="L25">
        <v>3.9826238950298061</v>
      </c>
      <c r="M25">
        <f t="shared" si="2"/>
        <v>306.08885735069288</v>
      </c>
      <c r="N25">
        <f t="shared" si="3"/>
        <v>0.3982623895029806</v>
      </c>
      <c r="O25">
        <v>4.5373000000000001</v>
      </c>
      <c r="Q25">
        <f t="shared" si="17"/>
        <v>0.99779059487469979</v>
      </c>
      <c r="R25">
        <f t="shared" si="18"/>
        <v>11.973487138496397</v>
      </c>
      <c r="S25" s="7">
        <f t="shared" si="5"/>
        <v>1.9955811897493994E-4</v>
      </c>
      <c r="U25">
        <v>48</v>
      </c>
      <c r="V25">
        <v>64</v>
      </c>
      <c r="W25" s="8">
        <v>2.1801999999999998E-2</v>
      </c>
      <c r="X25" s="10">
        <v>260</v>
      </c>
    </row>
    <row r="26" spans="1:25" x14ac:dyDescent="0.25">
      <c r="B26" s="2">
        <v>1839</v>
      </c>
      <c r="C26">
        <f t="shared" si="4"/>
        <v>192.57962966505431</v>
      </c>
      <c r="D26" s="5">
        <v>1.0075465725805399</v>
      </c>
      <c r="E26" s="8">
        <v>30.6548261091082</v>
      </c>
      <c r="F26" s="5">
        <v>3.6533986868675399</v>
      </c>
      <c r="G26" s="8">
        <v>46.402179551899401</v>
      </c>
      <c r="H26">
        <f t="shared" si="0"/>
        <v>319.55217955189937</v>
      </c>
      <c r="I26">
        <v>15</v>
      </c>
      <c r="J26" s="1">
        <f t="shared" si="1"/>
        <v>2.5000000000000001E-4</v>
      </c>
      <c r="K26">
        <v>32.704388837077452</v>
      </c>
      <c r="L26">
        <v>3.5880844465849808</v>
      </c>
      <c r="M26">
        <f t="shared" si="2"/>
        <v>305.85438883707741</v>
      </c>
      <c r="N26">
        <f t="shared" si="3"/>
        <v>0.35880844465849809</v>
      </c>
      <c r="O26">
        <v>4.0906000000000002</v>
      </c>
      <c r="Q26">
        <f t="shared" si="17"/>
        <v>0.9978326918355499</v>
      </c>
      <c r="R26">
        <f t="shared" si="18"/>
        <v>14.967490377533249</v>
      </c>
      <c r="S26" s="7">
        <f t="shared" si="5"/>
        <v>2.4945817295888748E-4</v>
      </c>
      <c r="U26">
        <v>48</v>
      </c>
      <c r="V26">
        <v>64</v>
      </c>
      <c r="W26" s="8">
        <v>2.1801999999999998E-2</v>
      </c>
      <c r="X26" s="10">
        <v>235</v>
      </c>
    </row>
    <row r="27" spans="1:25" x14ac:dyDescent="0.25">
      <c r="B27" s="2">
        <v>1839</v>
      </c>
      <c r="C27">
        <f t="shared" si="4"/>
        <v>192.57962966505431</v>
      </c>
      <c r="D27" s="5">
        <v>1.0077304078973599</v>
      </c>
      <c r="E27" s="8">
        <v>30.822986667073099</v>
      </c>
      <c r="F27" s="5">
        <v>3.0732756854133099</v>
      </c>
      <c r="G27" s="8">
        <v>50.602444253388803</v>
      </c>
      <c r="H27">
        <f t="shared" si="0"/>
        <v>323.75244425338877</v>
      </c>
      <c r="I27">
        <v>18</v>
      </c>
      <c r="J27" s="1">
        <f t="shared" si="1"/>
        <v>2.9999999999999997E-4</v>
      </c>
      <c r="K27">
        <v>34.160465950496068</v>
      </c>
      <c r="L27">
        <v>3.0036641094433802</v>
      </c>
      <c r="M27">
        <f t="shared" si="2"/>
        <v>307.31046595049605</v>
      </c>
      <c r="N27">
        <f t="shared" si="3"/>
        <v>0.30036641094433802</v>
      </c>
      <c r="O27">
        <v>3.4075000000000002</v>
      </c>
      <c r="Q27">
        <f t="shared" si="17"/>
        <v>0.99792141125745404</v>
      </c>
      <c r="R27">
        <f t="shared" si="18"/>
        <v>17.962585402634172</v>
      </c>
      <c r="S27" s="7">
        <f t="shared" si="5"/>
        <v>2.9937642337723617E-4</v>
      </c>
      <c r="U27">
        <v>48</v>
      </c>
      <c r="V27">
        <v>64</v>
      </c>
      <c r="W27" s="8">
        <v>2.1801999999999998E-2</v>
      </c>
      <c r="X27" s="10">
        <v>215</v>
      </c>
    </row>
    <row r="28" spans="1:25" x14ac:dyDescent="0.25">
      <c r="B28" s="2">
        <v>1840</v>
      </c>
      <c r="C28">
        <f t="shared" si="4"/>
        <v>192.68434942017399</v>
      </c>
      <c r="D28" s="5">
        <v>1.00690404718988</v>
      </c>
      <c r="E28" s="8">
        <v>30.8241608515143</v>
      </c>
      <c r="F28" s="5">
        <v>2.6401044471753301</v>
      </c>
      <c r="G28" s="8">
        <v>49.9903394645765</v>
      </c>
      <c r="H28">
        <f t="shared" si="0"/>
        <v>323.14033946457647</v>
      </c>
      <c r="I28">
        <v>21</v>
      </c>
      <c r="J28" s="1">
        <f t="shared" si="1"/>
        <v>3.5E-4</v>
      </c>
      <c r="K28">
        <v>35.299841353881696</v>
      </c>
      <c r="L28">
        <v>2.5573256010264003</v>
      </c>
      <c r="M28">
        <f t="shared" si="2"/>
        <v>308.44984135388165</v>
      </c>
      <c r="N28">
        <f t="shared" si="3"/>
        <v>0.25573256010264001</v>
      </c>
      <c r="O28">
        <v>2.8900999999999999</v>
      </c>
      <c r="Q28">
        <f t="shared" si="17"/>
        <v>0.99797938124444174</v>
      </c>
      <c r="R28">
        <f t="shared" si="18"/>
        <v>20.957567006133278</v>
      </c>
      <c r="S28" s="7">
        <f t="shared" si="5"/>
        <v>3.4929278343555462E-4</v>
      </c>
      <c r="U28">
        <v>48</v>
      </c>
      <c r="V28">
        <v>64</v>
      </c>
      <c r="W28" s="8">
        <v>2.1801999999999998E-2</v>
      </c>
      <c r="X28" s="10">
        <v>205</v>
      </c>
    </row>
    <row r="29" spans="1:25" x14ac:dyDescent="0.25">
      <c r="D29" s="5"/>
      <c r="E29" s="8"/>
      <c r="F29" s="5"/>
      <c r="G29" s="8"/>
    </row>
    <row r="30" spans="1:25" x14ac:dyDescent="0.25">
      <c r="A30" s="3">
        <f>AVERAGE(B30:B35)</f>
        <v>2111.5</v>
      </c>
      <c r="B30" s="2">
        <v>2107</v>
      </c>
      <c r="C30">
        <f t="shared" ref="C30" si="20">B30*2*PI()/60</f>
        <v>220.64452403712315</v>
      </c>
      <c r="D30" s="5">
        <v>1.00664348651146</v>
      </c>
      <c r="E30" s="8">
        <v>31.8755210636795</v>
      </c>
      <c r="F30" s="5">
        <v>5.1395527310525901</v>
      </c>
      <c r="G30" s="8">
        <v>53.790427815977402</v>
      </c>
      <c r="H30">
        <f t="shared" ref="H30:H35" si="21">G30+273.15</f>
        <v>326.94042781597739</v>
      </c>
      <c r="I30">
        <v>9</v>
      </c>
      <c r="J30" s="1">
        <f t="shared" ref="J30:J35" si="22">I30/60/1000</f>
        <v>1.4999999999999999E-4</v>
      </c>
      <c r="K30">
        <v>34.091203107820157</v>
      </c>
      <c r="L30">
        <v>5.1153551515503608</v>
      </c>
      <c r="M30">
        <f t="shared" ref="M30:M35" si="23">K30+273.15</f>
        <v>307.24120310782013</v>
      </c>
      <c r="N30">
        <f t="shared" ref="N30:N35" si="24">L30/10</f>
        <v>0.51153551515503604</v>
      </c>
      <c r="O30">
        <v>5.8071999999999999</v>
      </c>
      <c r="Q30">
        <f t="shared" ref="Q30:Q35" si="25">SQRT(1.2/O30)*SQRT(N30/0.101325)*SQRT(293.15/M30)</f>
        <v>0.9976817812522496</v>
      </c>
      <c r="R30">
        <f>I30*Q30</f>
        <v>8.9791360312702473</v>
      </c>
      <c r="S30" s="7">
        <f>R30/60/1000</f>
        <v>1.4965226718783746E-4</v>
      </c>
      <c r="U30">
        <v>50</v>
      </c>
      <c r="V30">
        <v>70</v>
      </c>
      <c r="W30" s="8">
        <v>1.8828999999999999E-2</v>
      </c>
      <c r="X30" s="10">
        <v>280</v>
      </c>
      <c r="Y30">
        <v>1.7838E-2</v>
      </c>
    </row>
    <row r="31" spans="1:25" x14ac:dyDescent="0.25">
      <c r="A31" s="3">
        <f>AVERAGE(G30:G35)</f>
        <v>52.695002582312505</v>
      </c>
      <c r="B31" s="2">
        <v>2112</v>
      </c>
      <c r="C31">
        <f>B31*2*PI()/60</f>
        <v>221.16812281272144</v>
      </c>
      <c r="D31" s="5">
        <v>1.00610594912139</v>
      </c>
      <c r="E31" s="8">
        <v>32.0262582611306</v>
      </c>
      <c r="F31" s="5">
        <v>4.4350470643170903</v>
      </c>
      <c r="G31" s="8">
        <v>49.9908134224425</v>
      </c>
      <c r="H31">
        <f t="shared" si="21"/>
        <v>323.14081342244248</v>
      </c>
      <c r="I31">
        <v>11.5</v>
      </c>
      <c r="J31" s="1">
        <f t="shared" si="22"/>
        <v>1.9166666666666667E-4</v>
      </c>
      <c r="K31">
        <v>36.091330242567508</v>
      </c>
      <c r="L31">
        <v>4.398073191126322</v>
      </c>
      <c r="M31">
        <f t="shared" si="23"/>
        <v>309.24133024256747</v>
      </c>
      <c r="N31">
        <f t="shared" si="24"/>
        <v>0.43980731911263221</v>
      </c>
      <c r="O31">
        <v>4.9595000000000002</v>
      </c>
      <c r="Q31">
        <f t="shared" si="25"/>
        <v>0.99779374850115632</v>
      </c>
      <c r="R31">
        <f t="shared" ref="R31:R35" si="26">I31*Q31</f>
        <v>11.474628107763298</v>
      </c>
      <c r="S31" s="7">
        <f t="shared" ref="S31:S35" si="27">R31/60/1000</f>
        <v>1.9124380179605496E-4</v>
      </c>
      <c r="U31">
        <v>50</v>
      </c>
      <c r="V31">
        <v>70</v>
      </c>
      <c r="W31" s="8">
        <v>1.8828999999999999E-2</v>
      </c>
      <c r="X31" s="10">
        <v>270</v>
      </c>
      <c r="Y31">
        <v>1.7838E-2</v>
      </c>
    </row>
    <row r="32" spans="1:25" x14ac:dyDescent="0.25">
      <c r="A32" s="6"/>
      <c r="B32" s="2">
        <v>2114</v>
      </c>
      <c r="C32">
        <f t="shared" ref="C32:C34" si="28">B32*2*PI()/60</f>
        <v>221.37756232296076</v>
      </c>
      <c r="D32" s="5">
        <v>1.0066982516283101</v>
      </c>
      <c r="E32" s="8">
        <v>32.005684453369298</v>
      </c>
      <c r="F32" s="5">
        <v>4.0038566309211898</v>
      </c>
      <c r="G32" s="8">
        <v>49.199552467406399</v>
      </c>
      <c r="H32">
        <f t="shared" si="21"/>
        <v>322.3495524674064</v>
      </c>
      <c r="I32">
        <v>14</v>
      </c>
      <c r="J32" s="1">
        <f t="shared" si="22"/>
        <v>2.3333333333333333E-4</v>
      </c>
      <c r="K32">
        <v>35.22898377743342</v>
      </c>
      <c r="L32">
        <v>3.9611569214138527</v>
      </c>
      <c r="M32">
        <f t="shared" si="23"/>
        <v>308.3789837774334</v>
      </c>
      <c r="N32">
        <f t="shared" si="24"/>
        <v>0.39611569214138526</v>
      </c>
      <c r="O32">
        <v>4.4790000000000001</v>
      </c>
      <c r="Q32">
        <f t="shared" si="25"/>
        <v>0.99782727755777623</v>
      </c>
      <c r="R32">
        <f t="shared" si="26"/>
        <v>13.969581885808868</v>
      </c>
      <c r="S32" s="7">
        <f t="shared" si="27"/>
        <v>2.3282636476348111E-4</v>
      </c>
      <c r="U32">
        <v>50</v>
      </c>
      <c r="V32">
        <v>70</v>
      </c>
      <c r="W32" s="8">
        <v>1.8828999999999999E-2</v>
      </c>
      <c r="X32" s="10">
        <v>260</v>
      </c>
      <c r="Y32">
        <v>1.7838E-2</v>
      </c>
    </row>
    <row r="33" spans="1:39" x14ac:dyDescent="0.25">
      <c r="B33" s="2">
        <v>2111</v>
      </c>
      <c r="C33">
        <f t="shared" si="28"/>
        <v>221.06340305760176</v>
      </c>
      <c r="D33" s="5">
        <v>1.00622035047064</v>
      </c>
      <c r="E33" s="8">
        <v>32.022331469804698</v>
      </c>
      <c r="F33" s="5">
        <v>3.69061358519046</v>
      </c>
      <c r="G33" s="8">
        <v>55.823943947719599</v>
      </c>
      <c r="H33">
        <f t="shared" si="21"/>
        <v>328.97394394771959</v>
      </c>
      <c r="I33">
        <v>17</v>
      </c>
      <c r="J33" s="1">
        <f t="shared" si="22"/>
        <v>2.833333333333333E-4</v>
      </c>
      <c r="K33">
        <v>35.183946946549369</v>
      </c>
      <c r="L33">
        <v>3.6382551740685782</v>
      </c>
      <c r="M33">
        <f t="shared" si="23"/>
        <v>308.33394694654936</v>
      </c>
      <c r="N33">
        <f t="shared" si="24"/>
        <v>0.36382551740685781</v>
      </c>
      <c r="O33">
        <v>4.1142000000000003</v>
      </c>
      <c r="Q33">
        <f t="shared" si="25"/>
        <v>0.99786197341373895</v>
      </c>
      <c r="R33">
        <f t="shared" si="26"/>
        <v>16.963653548033562</v>
      </c>
      <c r="S33" s="7">
        <f t="shared" si="27"/>
        <v>2.827275591338927E-4</v>
      </c>
      <c r="U33">
        <v>50</v>
      </c>
      <c r="V33">
        <v>70</v>
      </c>
      <c r="W33" s="8">
        <v>1.8828999999999999E-2</v>
      </c>
      <c r="X33" s="10">
        <v>240</v>
      </c>
      <c r="Y33">
        <v>1.7838E-2</v>
      </c>
    </row>
    <row r="34" spans="1:39" x14ac:dyDescent="0.25">
      <c r="B34" s="2">
        <v>2112</v>
      </c>
      <c r="C34">
        <f t="shared" si="28"/>
        <v>221.16812281272144</v>
      </c>
      <c r="D34" s="5">
        <v>1.0075471234151601</v>
      </c>
      <c r="E34" s="8">
        <v>31.981519437650199</v>
      </c>
      <c r="F34" s="5">
        <v>3.3424664174525498</v>
      </c>
      <c r="G34" s="8">
        <v>54.463514185662603</v>
      </c>
      <c r="H34">
        <f t="shared" si="21"/>
        <v>327.61351418566255</v>
      </c>
      <c r="I34">
        <v>19</v>
      </c>
      <c r="J34" s="1">
        <f t="shared" si="22"/>
        <v>3.1666666666666665E-4</v>
      </c>
      <c r="K34">
        <v>36.165910744740373</v>
      </c>
      <c r="L34">
        <v>3.2729093370781328</v>
      </c>
      <c r="M34">
        <f t="shared" si="23"/>
        <v>309.31591074474034</v>
      </c>
      <c r="N34">
        <f t="shared" si="24"/>
        <v>0.32729093370781326</v>
      </c>
      <c r="O34">
        <v>3.6888999999999998</v>
      </c>
      <c r="Q34">
        <f t="shared" si="25"/>
        <v>0.99791760042068167</v>
      </c>
      <c r="R34">
        <f t="shared" si="26"/>
        <v>18.960434407992953</v>
      </c>
      <c r="S34" s="7">
        <f t="shared" si="27"/>
        <v>3.1600724013321587E-4</v>
      </c>
      <c r="U34">
        <v>50</v>
      </c>
      <c r="V34">
        <v>70</v>
      </c>
      <c r="W34" s="8">
        <v>1.8828999999999999E-2</v>
      </c>
      <c r="X34" s="10">
        <v>225</v>
      </c>
      <c r="Y34">
        <v>1.7838E-2</v>
      </c>
    </row>
    <row r="35" spans="1:39" x14ac:dyDescent="0.25">
      <c r="B35" s="2">
        <v>2113</v>
      </c>
      <c r="C35">
        <f>B35*2*PI()/60</f>
        <v>221.27284256784108</v>
      </c>
      <c r="D35" s="5">
        <v>1.00657455969937</v>
      </c>
      <c r="E35" s="8">
        <v>32.002248517148502</v>
      </c>
      <c r="F35" s="5">
        <v>2.5472304393617602</v>
      </c>
      <c r="G35" s="8">
        <v>52.901763654666603</v>
      </c>
      <c r="H35">
        <f t="shared" si="21"/>
        <v>326.05176365466656</v>
      </c>
      <c r="I35">
        <v>26</v>
      </c>
      <c r="J35" s="1">
        <f t="shared" si="22"/>
        <v>4.3333333333333337E-4</v>
      </c>
      <c r="K35">
        <v>37.109925562862749</v>
      </c>
      <c r="L35">
        <v>2.4564213377189379</v>
      </c>
      <c r="M35">
        <f t="shared" si="23"/>
        <v>310.25992556286275</v>
      </c>
      <c r="N35">
        <f t="shared" si="24"/>
        <v>0.24564213377189378</v>
      </c>
      <c r="O35">
        <v>2.7597</v>
      </c>
      <c r="Q35">
        <f t="shared" si="25"/>
        <v>0.99801005747028537</v>
      </c>
      <c r="R35">
        <f t="shared" si="26"/>
        <v>25.94826149422742</v>
      </c>
      <c r="S35" s="7">
        <f t="shared" si="27"/>
        <v>4.3247102490379037E-4</v>
      </c>
      <c r="U35">
        <v>50</v>
      </c>
      <c r="V35">
        <v>70</v>
      </c>
      <c r="W35" s="8">
        <v>1.8828999999999999E-2</v>
      </c>
      <c r="X35" s="10">
        <v>200</v>
      </c>
      <c r="Y35">
        <v>1.7838E-2</v>
      </c>
    </row>
    <row r="40" spans="1:39" ht="21" x14ac:dyDescent="0.35">
      <c r="D40" s="28"/>
      <c r="E40" s="60" t="s">
        <v>6</v>
      </c>
      <c r="F40" s="60"/>
      <c r="G40" s="60"/>
      <c r="H40" s="34"/>
      <c r="I40" s="34"/>
      <c r="J40" s="28"/>
      <c r="K40" s="61" t="s">
        <v>5</v>
      </c>
      <c r="L40" s="61"/>
      <c r="M40" s="61"/>
      <c r="N40" s="29"/>
      <c r="O40" s="60" t="s">
        <v>4</v>
      </c>
      <c r="P40" s="60"/>
      <c r="Q40" s="60"/>
      <c r="S40" s="13"/>
      <c r="T40" s="62" t="s">
        <v>19</v>
      </c>
      <c r="U40" s="62"/>
      <c r="V40" s="62"/>
      <c r="W40" s="62"/>
      <c r="X40" s="62"/>
      <c r="Y40" s="62"/>
    </row>
    <row r="41" spans="1:39" ht="18.75" x14ac:dyDescent="0.3">
      <c r="D41" s="30" t="s">
        <v>35</v>
      </c>
      <c r="E41" s="31" t="s">
        <v>23</v>
      </c>
      <c r="F41" s="31" t="s">
        <v>1</v>
      </c>
      <c r="G41" s="31" t="s">
        <v>0</v>
      </c>
      <c r="H41" s="35"/>
      <c r="I41" s="35"/>
      <c r="J41" s="30" t="s">
        <v>3</v>
      </c>
      <c r="K41" s="31" t="s">
        <v>23</v>
      </c>
      <c r="L41" s="31" t="s">
        <v>1</v>
      </c>
      <c r="M41" s="31" t="s">
        <v>2</v>
      </c>
      <c r="N41" s="31"/>
      <c r="O41" s="31" t="s">
        <v>23</v>
      </c>
      <c r="P41" s="31" t="s">
        <v>1</v>
      </c>
      <c r="Q41" s="31" t="s">
        <v>0</v>
      </c>
      <c r="T41" s="32" t="s">
        <v>21</v>
      </c>
      <c r="U41" s="33" t="s">
        <v>20</v>
      </c>
      <c r="V41" s="32" t="s">
        <v>24</v>
      </c>
      <c r="W41" s="33" t="s">
        <v>18</v>
      </c>
      <c r="X41" s="32" t="s">
        <v>25</v>
      </c>
      <c r="Y41" s="33" t="s">
        <v>22</v>
      </c>
      <c r="AA41" t="s">
        <v>50</v>
      </c>
      <c r="AC41" t="s">
        <v>56</v>
      </c>
      <c r="AH41" t="s">
        <v>55</v>
      </c>
      <c r="AK41" t="s">
        <v>62</v>
      </c>
      <c r="AM41" t="s">
        <v>63</v>
      </c>
    </row>
    <row r="42" spans="1:39" x14ac:dyDescent="0.25">
      <c r="B42" s="2">
        <f>B3</f>
        <v>1217</v>
      </c>
      <c r="C42" s="10">
        <f>B42*2*PI()/60</f>
        <v>127.44394198062595</v>
      </c>
      <c r="D42" s="25">
        <f>F3</f>
        <v>4.2632226981025703</v>
      </c>
      <c r="E42">
        <v>0.4249</v>
      </c>
      <c r="F42">
        <v>0.74839999999999995</v>
      </c>
      <c r="G42" s="5">
        <f>S3*O3*1000</f>
        <v>0.3247321478042306</v>
      </c>
      <c r="H42" s="36"/>
      <c r="I42" s="36"/>
      <c r="J42" s="25">
        <v>4.2444180924655104</v>
      </c>
      <c r="K42">
        <v>233.37180000000001</v>
      </c>
      <c r="L42">
        <v>251.22190000000001</v>
      </c>
      <c r="M42" s="5">
        <f>C42*Q42</f>
        <v>219.923995478764</v>
      </c>
      <c r="O42">
        <v>1.8311999999999999</v>
      </c>
      <c r="P42">
        <v>1.9712000000000001</v>
      </c>
      <c r="Q42" s="5">
        <v>1.7256528012308101</v>
      </c>
      <c r="T42" s="9">
        <f>(E42-G42)/G42</f>
        <v>0.30846299903807806</v>
      </c>
      <c r="U42" s="4">
        <f>(F42-G42)/G42</f>
        <v>1.3046686478703167</v>
      </c>
      <c r="V42" s="38">
        <f>(K42-M42)/M42</f>
        <v>6.1147509129055165E-2</v>
      </c>
      <c r="W42" s="38">
        <f>(L42-M42)/M42</f>
        <v>0.14231236774823941</v>
      </c>
      <c r="X42" s="4">
        <f>(O42-Q42)/Q42</f>
        <v>6.1163635404473608E-2</v>
      </c>
      <c r="Y42" s="4">
        <f>(P42-Q42)/Q42</f>
        <v>0.14229235370756799</v>
      </c>
      <c r="AA42">
        <v>8.8492944187253499</v>
      </c>
      <c r="AC42">
        <v>0.50214350843484812</v>
      </c>
      <c r="AD42" s="4">
        <f>V42-AA42/100</f>
        <v>-2.7345435058198329E-2</v>
      </c>
      <c r="AF42" s="4">
        <f>ABS(T42)-AC42</f>
        <v>-0.19368050939677006</v>
      </c>
      <c r="AG42" s="4">
        <f>E42/F42</f>
        <v>0.5677445216461785</v>
      </c>
      <c r="AH42" s="4">
        <f>G42/F42</f>
        <v>0.43390185436161227</v>
      </c>
      <c r="AK42">
        <f>T42^2</f>
        <v>9.5149421775565346E-2</v>
      </c>
      <c r="AM42">
        <f>V42^2</f>
        <v>3.7390178726878849E-3</v>
      </c>
    </row>
    <row r="43" spans="1:39" x14ac:dyDescent="0.25">
      <c r="A43" s="22">
        <f>AVERAGE(B42:B46)</f>
        <v>1216</v>
      </c>
      <c r="B43" s="2">
        <f>B4</f>
        <v>1214</v>
      </c>
      <c r="C43" s="10">
        <f t="shared" ref="C43:C46" si="29">B43*2*PI()/60</f>
        <v>127.12978271526696</v>
      </c>
      <c r="D43" s="25">
        <f>F4</f>
        <v>3.74878167776951</v>
      </c>
      <c r="E43">
        <v>0.43070000000000003</v>
      </c>
      <c r="F43">
        <v>0.74750000000000005</v>
      </c>
      <c r="G43" s="5">
        <f>S4*O4*1000</f>
        <v>0.35673312429200765</v>
      </c>
      <c r="H43" s="36"/>
      <c r="I43" s="36"/>
      <c r="J43" s="25">
        <v>3.7878232240313827</v>
      </c>
      <c r="K43">
        <v>212.68780000000001</v>
      </c>
      <c r="L43">
        <v>227.9221</v>
      </c>
      <c r="M43" s="5">
        <f>C43*Q43</f>
        <v>201.06346911209982</v>
      </c>
      <c r="O43">
        <v>1.673</v>
      </c>
      <c r="P43">
        <v>1.7927999999999999</v>
      </c>
      <c r="Q43" s="5">
        <v>1.5815607076307401</v>
      </c>
      <c r="T43" s="9">
        <f t="shared" ref="T43:T46" si="30">(E43-G43)/G43</f>
        <v>0.20734512909276687</v>
      </c>
      <c r="U43" s="4">
        <f t="shared" ref="U43:U46" si="31">(F43-G43)/G43</f>
        <v>1.0954039563427984</v>
      </c>
      <c r="V43" s="38">
        <f t="shared" ref="V43:V62" si="32">(K43-M43)/M43</f>
        <v>5.7814236167482123E-2</v>
      </c>
      <c r="W43" s="38">
        <f t="shared" ref="W43:W62" si="33">(L43-M43)/M43</f>
        <v>0.13358284827427086</v>
      </c>
      <c r="X43" s="4">
        <f t="shared" ref="X43:X62" si="34">(O43-Q43)/Q43</f>
        <v>5.781585994649599E-2</v>
      </c>
      <c r="Y43" s="4">
        <f t="shared" ref="Y43:Y62" si="35">(P43-Q43)/Q43</f>
        <v>0.13356382170476863</v>
      </c>
      <c r="AA43">
        <v>9.6416219387958275</v>
      </c>
      <c r="AC43">
        <v>0.40189013925896322</v>
      </c>
      <c r="AD43" s="4">
        <f t="shared" ref="AD43:AD78" si="36">V43-AA43/100</f>
        <v>-3.8601983220476151E-2</v>
      </c>
      <c r="AF43" s="4">
        <f t="shared" ref="AF43:AF78" si="37">ABS(T43)-AC43</f>
        <v>-0.19454501016619635</v>
      </c>
      <c r="AG43" s="4">
        <f t="shared" ref="AG43:AG78" si="38">E43/F43</f>
        <v>0.57618729096989962</v>
      </c>
      <c r="AH43" s="4">
        <f t="shared" ref="AH43:AH78" si="39">G43/F43</f>
        <v>0.47723494888562895</v>
      </c>
      <c r="AK43">
        <f t="shared" ref="AK43:AK78" si="40">T43^2</f>
        <v>4.2992002558496153E-2</v>
      </c>
      <c r="AM43">
        <f t="shared" ref="AM43:AM78" si="41">V43^2</f>
        <v>3.3424859036293979E-3</v>
      </c>
    </row>
    <row r="44" spans="1:39" x14ac:dyDescent="0.25">
      <c r="A44" s="23"/>
      <c r="B44" s="2">
        <f>B5</f>
        <v>1217</v>
      </c>
      <c r="C44" s="10">
        <f t="shared" si="29"/>
        <v>127.44394198062595</v>
      </c>
      <c r="D44" s="25">
        <f>F5</f>
        <v>3.41149288331663</v>
      </c>
      <c r="E44">
        <v>0.45669999999999999</v>
      </c>
      <c r="F44">
        <v>0.75039999999999996</v>
      </c>
      <c r="G44" s="5">
        <f>S5*O5*1000</f>
        <v>0.45316198723503576</v>
      </c>
      <c r="H44" s="36"/>
      <c r="I44" s="36"/>
      <c r="J44" s="25">
        <v>3.4480098649583537</v>
      </c>
      <c r="K44">
        <v>200.4435</v>
      </c>
      <c r="L44">
        <v>213.35659999999999</v>
      </c>
      <c r="M44" s="5">
        <f>C44*Q44</f>
        <v>193.63025834579085</v>
      </c>
      <c r="O44">
        <v>1.5728</v>
      </c>
      <c r="P44">
        <v>1.6740999999999999</v>
      </c>
      <c r="Q44" s="5">
        <v>1.5193367008000001</v>
      </c>
      <c r="T44" s="9">
        <f t="shared" si="30"/>
        <v>7.807390877049054E-3</v>
      </c>
      <c r="U44" s="4">
        <f t="shared" si="31"/>
        <v>0.65592000462916045</v>
      </c>
      <c r="V44" s="38">
        <f t="shared" si="32"/>
        <v>3.5186864451948699E-2</v>
      </c>
      <c r="W44" s="38">
        <f t="shared" si="33"/>
        <v>0.10187633804103711</v>
      </c>
      <c r="X44" s="4">
        <f t="shared" si="34"/>
        <v>3.5188578786946346E-2</v>
      </c>
      <c r="Y44" s="4">
        <f t="shared" si="35"/>
        <v>0.10186241082605978</v>
      </c>
      <c r="AA44">
        <v>10.029661068040429</v>
      </c>
      <c r="AC44">
        <v>0.28733834405326064</v>
      </c>
      <c r="AD44" s="4">
        <f t="shared" si="36"/>
        <v>-6.5109746228455598E-2</v>
      </c>
      <c r="AF44" s="4">
        <f t="shared" si="37"/>
        <v>-0.27953095317621157</v>
      </c>
      <c r="AG44" s="4">
        <f t="shared" si="38"/>
        <v>0.6086087420042644</v>
      </c>
      <c r="AH44" s="4">
        <f t="shared" si="39"/>
        <v>0.60389390623005834</v>
      </c>
      <c r="AK44">
        <f t="shared" si="40"/>
        <v>6.0955352307028794E-5</v>
      </c>
      <c r="AM44">
        <f t="shared" si="41"/>
        <v>1.2381154299598109E-3</v>
      </c>
    </row>
    <row r="45" spans="1:39" x14ac:dyDescent="0.25">
      <c r="A45" s="23"/>
      <c r="B45" s="2">
        <f>B6</f>
        <v>1215</v>
      </c>
      <c r="C45" s="10">
        <f t="shared" si="29"/>
        <v>127.23450247038662</v>
      </c>
      <c r="D45" s="25">
        <f>F6</f>
        <v>3.0036465230416098</v>
      </c>
      <c r="E45">
        <v>0.46329999999999999</v>
      </c>
      <c r="F45">
        <v>0.74929999999999997</v>
      </c>
      <c r="G45" s="5">
        <f>S6*O6*1000</f>
        <v>0.45543527309811571</v>
      </c>
      <c r="H45" s="36"/>
      <c r="I45" s="36"/>
      <c r="J45" s="25">
        <v>3.0515120209205819</v>
      </c>
      <c r="K45">
        <v>182.8844</v>
      </c>
      <c r="L45">
        <v>193.81049999999999</v>
      </c>
      <c r="M45" s="5">
        <f>C45*Q45</f>
        <v>176.89683334223687</v>
      </c>
      <c r="O45">
        <v>1.4374</v>
      </c>
      <c r="P45">
        <v>1.5233000000000001</v>
      </c>
      <c r="Q45" s="5">
        <v>1.39032125648001</v>
      </c>
      <c r="T45" s="9">
        <f t="shared" si="30"/>
        <v>1.7268594170109345E-2</v>
      </c>
      <c r="U45" s="4">
        <f t="shared" si="31"/>
        <v>0.6452392782466283</v>
      </c>
      <c r="V45" s="38">
        <f t="shared" si="32"/>
        <v>3.384778881925582E-2</v>
      </c>
      <c r="W45" s="38">
        <f t="shared" si="33"/>
        <v>9.5613168072040969E-2</v>
      </c>
      <c r="X45" s="4">
        <f t="shared" si="34"/>
        <v>3.3861773529366208E-2</v>
      </c>
      <c r="Y45" s="4">
        <f t="shared" si="35"/>
        <v>9.564605511150942E-2</v>
      </c>
      <c r="AA45">
        <v>10.94606345179313</v>
      </c>
      <c r="AC45">
        <v>0.25153168137532639</v>
      </c>
      <c r="AD45" s="4">
        <f t="shared" si="36"/>
        <v>-7.5612845698675477E-2</v>
      </c>
      <c r="AF45" s="4">
        <f t="shared" si="37"/>
        <v>-0.23426308720521705</v>
      </c>
      <c r="AG45" s="4">
        <f t="shared" si="38"/>
        <v>0.61831042306152406</v>
      </c>
      <c r="AH45" s="4">
        <f t="shared" si="39"/>
        <v>0.60781432416670989</v>
      </c>
      <c r="AK45">
        <f t="shared" si="40"/>
        <v>2.9820434461193447E-4</v>
      </c>
      <c r="AM45">
        <f t="shared" si="41"/>
        <v>1.1456728079529393E-3</v>
      </c>
    </row>
    <row r="46" spans="1:39" x14ac:dyDescent="0.25">
      <c r="A46" s="23"/>
      <c r="B46" s="2">
        <f>B7</f>
        <v>1217</v>
      </c>
      <c r="C46" s="10">
        <f t="shared" si="29"/>
        <v>127.44394198062595</v>
      </c>
      <c r="D46" s="25">
        <f>F7</f>
        <v>2.3975521098447898</v>
      </c>
      <c r="E46">
        <v>0.49930000000000002</v>
      </c>
      <c r="F46">
        <v>0.75209999999999999</v>
      </c>
      <c r="G46" s="5">
        <f>S7*O7*1000</f>
        <v>0.45359213147780497</v>
      </c>
      <c r="H46" s="36"/>
      <c r="I46" s="36"/>
      <c r="J46" s="25">
        <v>2.2725055761034807</v>
      </c>
      <c r="K46">
        <v>156.0831</v>
      </c>
      <c r="L46">
        <v>163.9101</v>
      </c>
      <c r="M46" s="5">
        <f>C46*Q46</f>
        <v>150.01311193399283</v>
      </c>
      <c r="O46">
        <v>1.2246999999999999</v>
      </c>
      <c r="P46">
        <v>1.2861</v>
      </c>
      <c r="Q46" s="5">
        <v>1.1770909593866601</v>
      </c>
      <c r="T46" s="9">
        <f t="shared" si="30"/>
        <v>0.10076865392986124</v>
      </c>
      <c r="U46" s="4">
        <f t="shared" si="31"/>
        <v>0.65809754580542479</v>
      </c>
      <c r="V46" s="38">
        <f t="shared" si="32"/>
        <v>4.0463050114432804E-2</v>
      </c>
      <c r="W46" s="38">
        <f t="shared" si="33"/>
        <v>9.2638489308334404E-2</v>
      </c>
      <c r="X46" s="4">
        <f t="shared" si="34"/>
        <v>4.0446356531484345E-2</v>
      </c>
      <c r="Y46" s="4">
        <f t="shared" si="35"/>
        <v>9.2608850441040377E-2</v>
      </c>
      <c r="AA46">
        <v>12.900212014457967</v>
      </c>
      <c r="AC46">
        <v>0.20140968870503939</v>
      </c>
      <c r="AD46" s="4">
        <f t="shared" si="36"/>
        <v>-8.8539070030146882E-2</v>
      </c>
      <c r="AF46" s="4">
        <f t="shared" si="37"/>
        <v>-0.10064103477517815</v>
      </c>
      <c r="AG46" s="4">
        <f t="shared" si="38"/>
        <v>0.66387448477596067</v>
      </c>
      <c r="AH46" s="4">
        <f t="shared" si="39"/>
        <v>0.60310082632336792</v>
      </c>
      <c r="AK46">
        <f>T46^2</f>
        <v>1.0154321614836139E-2</v>
      </c>
      <c r="AM46">
        <f t="shared" si="41"/>
        <v>1.6372584245631005E-3</v>
      </c>
    </row>
    <row r="47" spans="1:39" x14ac:dyDescent="0.25">
      <c r="A47" s="24"/>
      <c r="B47" s="19"/>
      <c r="C47" s="16"/>
      <c r="D47" s="20"/>
      <c r="E47" s="16"/>
      <c r="F47" s="16"/>
      <c r="G47" s="16"/>
      <c r="H47" s="36"/>
      <c r="I47" s="36"/>
      <c r="J47" s="20"/>
      <c r="K47" s="16"/>
      <c r="L47" s="16"/>
      <c r="M47" s="16"/>
      <c r="N47" s="16"/>
      <c r="O47" s="16"/>
      <c r="P47" s="16"/>
      <c r="Q47" s="16"/>
      <c r="R47" s="16"/>
      <c r="S47" s="16"/>
      <c r="T47" s="17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 spans="1:39" x14ac:dyDescent="0.25">
      <c r="A48" s="24"/>
      <c r="B48" s="16"/>
      <c r="C48" s="16"/>
      <c r="D48" s="20"/>
      <c r="E48" s="16"/>
      <c r="F48" s="16"/>
      <c r="G48" s="16"/>
      <c r="H48" s="36"/>
      <c r="I48" s="36"/>
      <c r="J48" s="20"/>
      <c r="K48" s="16"/>
      <c r="L48" s="16"/>
      <c r="M48" s="16"/>
      <c r="N48" s="16"/>
      <c r="O48" s="16"/>
      <c r="P48" s="16"/>
      <c r="Q48" s="16"/>
      <c r="R48" s="16"/>
      <c r="S48" s="16"/>
      <c r="T48" s="17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 spans="1:39" x14ac:dyDescent="0.25">
      <c r="B49" s="2">
        <v>1427</v>
      </c>
      <c r="C49" s="10">
        <f>B49*2*PI()/60</f>
        <v>149.4350905557545</v>
      </c>
      <c r="D49" s="25">
        <f t="shared" ref="D49:D54" si="42">F9</f>
        <v>5.2533625867637204</v>
      </c>
      <c r="E49">
        <v>0.53259999999999996</v>
      </c>
      <c r="F49">
        <v>0.87549999999999994</v>
      </c>
      <c r="G49" s="5">
        <f>S9*O9*1000</f>
        <v>0.49942621079699617</v>
      </c>
      <c r="H49" s="36"/>
      <c r="I49" s="36"/>
      <c r="J49" s="25">
        <v>5.2406701587576698</v>
      </c>
      <c r="K49">
        <v>312.08150000000001</v>
      </c>
      <c r="L49">
        <v>333.73149999999998</v>
      </c>
      <c r="M49" s="5">
        <f>C49*Q49</f>
        <v>312.41254145595809</v>
      </c>
      <c r="O49">
        <v>2.0884</v>
      </c>
      <c r="P49">
        <v>2.2332999999999998</v>
      </c>
      <c r="Q49" s="5">
        <v>2.0906236968444598</v>
      </c>
      <c r="T49" s="9">
        <f>(E49-G49)/G49</f>
        <v>6.642380493019033E-2</v>
      </c>
      <c r="U49" s="4">
        <f>(F49-G49)/G49</f>
        <v>0.75301171839350667</v>
      </c>
      <c r="V49" s="38">
        <f t="shared" ref="V49:V53" si="43">(K49-M49)/M49</f>
        <v>-1.0596292146765639E-3</v>
      </c>
      <c r="W49" s="38">
        <f t="shared" ref="W49:W53" si="44">(L49-M49)/M49</f>
        <v>6.8239765422628842E-2</v>
      </c>
      <c r="X49" s="4">
        <f t="shared" ref="X49:X53" si="45">(O49-Q49)/Q49</f>
        <v>-1.0636523673849937E-3</v>
      </c>
      <c r="Y49" s="4">
        <f>(P49-Q49)/Q49</f>
        <v>6.8245807875847012E-2</v>
      </c>
      <c r="AA49">
        <v>7.3087297380316496</v>
      </c>
      <c r="AC49">
        <v>0.4019625335234957</v>
      </c>
      <c r="AD49" s="4">
        <f t="shared" si="36"/>
        <v>-7.4146926594993057E-2</v>
      </c>
      <c r="AF49" s="4">
        <f t="shared" si="37"/>
        <v>-0.33553872859330536</v>
      </c>
      <c r="AG49" s="4">
        <f t="shared" si="38"/>
        <v>0.60833809251856086</v>
      </c>
      <c r="AH49" s="4">
        <f t="shared" si="39"/>
        <v>0.57044684271501567</v>
      </c>
      <c r="AK49">
        <f t="shared" si="40"/>
        <v>4.4121218614039774E-3</v>
      </c>
      <c r="AM49">
        <f t="shared" si="41"/>
        <v>1.1228140725960716E-6</v>
      </c>
    </row>
    <row r="50" spans="1:39" x14ac:dyDescent="0.25">
      <c r="A50" s="22">
        <f>AVERAGE(B49:B54)</f>
        <v>1416.6666666666667</v>
      </c>
      <c r="B50" s="2">
        <f>B10</f>
        <v>1411</v>
      </c>
      <c r="C50" s="10">
        <f>B50*2*PI()/60</f>
        <v>147.75957447383993</v>
      </c>
      <c r="D50" s="25">
        <f t="shared" si="42"/>
        <v>4.8223075689095696</v>
      </c>
      <c r="E50">
        <v>0.52869999999999995</v>
      </c>
      <c r="F50">
        <v>0.86650000000000005</v>
      </c>
      <c r="G50" s="5">
        <f t="shared" ref="G50:G54" si="46">S10*O10*1000</f>
        <v>0.51458234662294589</v>
      </c>
      <c r="H50" s="36"/>
      <c r="I50" s="36"/>
      <c r="J50" s="25">
        <v>4.8223075689095696</v>
      </c>
      <c r="K50">
        <v>292.47379999999998</v>
      </c>
      <c r="L50">
        <v>311.86959999999999</v>
      </c>
      <c r="M50" s="5">
        <f>Q50*C50</f>
        <v>277.23925387205941</v>
      </c>
      <c r="O50">
        <v>1.9794</v>
      </c>
      <c r="P50">
        <v>2.1107</v>
      </c>
      <c r="Q50" s="5">
        <v>1.8762862228000201</v>
      </c>
      <c r="T50" s="9">
        <f t="shared" ref="T50:T54" si="47">(E50-G50)/G50</f>
        <v>2.743516848120444E-2</v>
      </c>
      <c r="U50" s="4">
        <f t="shared" ref="U50:U54" si="48">(F50-G50)/G50</f>
        <v>0.68388986852461464</v>
      </c>
      <c r="V50" s="38">
        <f t="shared" si="43"/>
        <v>5.4950898601721913E-2</v>
      </c>
      <c r="W50" s="38">
        <f t="shared" si="44"/>
        <v>0.12491141007009715</v>
      </c>
      <c r="X50" s="4">
        <f t="shared" si="45"/>
        <v>5.4956315271612002E-2</v>
      </c>
      <c r="Y50" s="4">
        <f t="shared" ref="Y50:Y53" si="49">(P50-Q50)/Q50</f>
        <v>0.12493497759108387</v>
      </c>
      <c r="AA50">
        <v>8.129870897011358</v>
      </c>
      <c r="AC50">
        <v>0.36549861015308549</v>
      </c>
      <c r="AD50" s="4">
        <f t="shared" si="36"/>
        <v>-2.6347810368391671E-2</v>
      </c>
      <c r="AF50" s="4">
        <f t="shared" si="37"/>
        <v>-0.33806344167188107</v>
      </c>
      <c r="AG50" s="4">
        <f t="shared" si="38"/>
        <v>0.61015579919215224</v>
      </c>
      <c r="AH50" s="4">
        <f t="shared" si="39"/>
        <v>0.59386306592376903</v>
      </c>
      <c r="AK50">
        <f t="shared" si="40"/>
        <v>7.5268846959207351E-4</v>
      </c>
      <c r="AM50">
        <f t="shared" si="41"/>
        <v>3.0196012571367232E-3</v>
      </c>
    </row>
    <row r="51" spans="1:39" x14ac:dyDescent="0.25">
      <c r="A51" s="23"/>
      <c r="B51" s="2">
        <f>B11</f>
        <v>1412</v>
      </c>
      <c r="C51" s="10">
        <f t="shared" ref="C51:C54" si="50">B51*2*PI()/60</f>
        <v>147.86429422895961</v>
      </c>
      <c r="D51" s="25">
        <f t="shared" si="42"/>
        <v>4.2362978478636197</v>
      </c>
      <c r="E51">
        <v>0.53080000000000005</v>
      </c>
      <c r="F51">
        <v>0.86750000000000005</v>
      </c>
      <c r="G51" s="5">
        <f t="shared" si="46"/>
        <v>0.48213212885652895</v>
      </c>
      <c r="H51" s="36"/>
      <c r="I51" s="36"/>
      <c r="J51" s="25">
        <v>4.2133657686475736</v>
      </c>
      <c r="K51">
        <v>269.99310000000003</v>
      </c>
      <c r="L51">
        <v>287.29450000000003</v>
      </c>
      <c r="M51" s="5">
        <f>C51*Q51</f>
        <v>252.5835649599077</v>
      </c>
      <c r="O51">
        <v>1.8260000000000001</v>
      </c>
      <c r="P51">
        <v>1.9430000000000001</v>
      </c>
      <c r="Q51" s="5">
        <v>1.7082120215499501</v>
      </c>
      <c r="T51" s="9">
        <f t="shared" si="47"/>
        <v>0.10094301588839664</v>
      </c>
      <c r="U51" s="4">
        <f t="shared" si="48"/>
        <v>0.79929929593666926</v>
      </c>
      <c r="V51" s="38">
        <f>(K51-M51)/M51</f>
        <v>6.892584259334418E-2</v>
      </c>
      <c r="W51" s="38">
        <f t="shared" si="44"/>
        <v>0.13742356928726518</v>
      </c>
      <c r="X51" s="4">
        <f t="shared" si="45"/>
        <v>6.8953957099057744E-2</v>
      </c>
      <c r="Y51" s="4">
        <f t="shared" si="49"/>
        <v>0.13744662576312661</v>
      </c>
      <c r="AA51">
        <v>8.9163705256233552</v>
      </c>
      <c r="AC51">
        <v>0.33509464936476585</v>
      </c>
      <c r="AD51" s="4">
        <f t="shared" si="36"/>
        <v>-2.0237862662889378E-2</v>
      </c>
      <c r="AF51" s="4">
        <f t="shared" si="37"/>
        <v>-0.23415163347636919</v>
      </c>
      <c r="AG51" s="4">
        <f t="shared" si="38"/>
        <v>0.61187319884726232</v>
      </c>
      <c r="AH51" s="4">
        <f t="shared" si="39"/>
        <v>0.55577190646285757</v>
      </c>
      <c r="AK51">
        <f t="shared" si="40"/>
        <v>1.0189492456645098E-2</v>
      </c>
      <c r="AM51">
        <f t="shared" si="41"/>
        <v>4.7507717772024586E-3</v>
      </c>
    </row>
    <row r="52" spans="1:39" x14ac:dyDescent="0.25">
      <c r="A52" s="23"/>
      <c r="B52" s="2">
        <f>B12</f>
        <v>1415</v>
      </c>
      <c r="C52" s="10">
        <f t="shared" si="50"/>
        <v>148.17845349431857</v>
      </c>
      <c r="D52" s="25">
        <f t="shared" si="42"/>
        <v>3.6616022441401399</v>
      </c>
      <c r="E52">
        <v>0.56530000000000002</v>
      </c>
      <c r="F52">
        <v>0.86899999999999999</v>
      </c>
      <c r="G52" s="5">
        <f t="shared" si="46"/>
        <v>0.55282985811386409</v>
      </c>
      <c r="H52" s="36"/>
      <c r="I52" s="36"/>
      <c r="J52" s="25">
        <v>3.6648343363992262</v>
      </c>
      <c r="K52">
        <v>245.0069</v>
      </c>
      <c r="L52">
        <v>259.06330000000003</v>
      </c>
      <c r="M52" s="5">
        <f>C52*Q52</f>
        <v>233.85095355199863</v>
      </c>
      <c r="O52">
        <v>1.6535</v>
      </c>
      <c r="P52">
        <v>1.7483</v>
      </c>
      <c r="Q52" s="5">
        <v>1.5781711040800199</v>
      </c>
      <c r="T52" s="9">
        <f>(E52-G52)/G52</f>
        <v>2.2556925432141745E-2</v>
      </c>
      <c r="U52" s="4">
        <f t="shared" si="48"/>
        <v>0.57191220272515675</v>
      </c>
      <c r="V52" s="38">
        <f t="shared" si="43"/>
        <v>4.7705370786614132E-2</v>
      </c>
      <c r="W52" s="38">
        <f t="shared" si="44"/>
        <v>0.10781374232196676</v>
      </c>
      <c r="X52" s="4">
        <f t="shared" si="45"/>
        <v>4.7731767312957057E-2</v>
      </c>
      <c r="Y52" s="4">
        <f t="shared" si="49"/>
        <v>0.1078012995423301</v>
      </c>
      <c r="AA52">
        <v>9.6396452110045843</v>
      </c>
      <c r="AC52">
        <v>0.25154943778625932</v>
      </c>
      <c r="AD52" s="4">
        <f t="shared" si="36"/>
        <v>-4.8691081323431709E-2</v>
      </c>
      <c r="AF52" s="4">
        <f t="shared" si="37"/>
        <v>-0.22899251235411758</v>
      </c>
      <c r="AG52" s="4">
        <f t="shared" si="38"/>
        <v>0.65051783659378604</v>
      </c>
      <c r="AH52" s="4">
        <f>G52/F52</f>
        <v>0.63616784593079878</v>
      </c>
      <c r="AK52">
        <f t="shared" si="40"/>
        <v>5.0881488495120304E-4</v>
      </c>
      <c r="AM52">
        <f t="shared" si="41"/>
        <v>2.2758024018883372E-3</v>
      </c>
    </row>
    <row r="53" spans="1:39" x14ac:dyDescent="0.25">
      <c r="A53" s="23"/>
      <c r="B53" s="2">
        <f>B13</f>
        <v>1412</v>
      </c>
      <c r="C53" s="10">
        <f t="shared" si="50"/>
        <v>147.86429422895961</v>
      </c>
      <c r="D53" s="25">
        <f t="shared" si="42"/>
        <v>2.9220510847489098</v>
      </c>
      <c r="E53">
        <v>0.58530000000000004</v>
      </c>
      <c r="F53">
        <v>0.86970000000000003</v>
      </c>
      <c r="G53" s="5">
        <f t="shared" si="46"/>
        <v>0.55064360312853888</v>
      </c>
      <c r="H53" s="36"/>
      <c r="I53" s="36"/>
      <c r="J53" s="25">
        <v>2.9593285147529595</v>
      </c>
      <c r="K53">
        <v>207.78229999999999</v>
      </c>
      <c r="L53">
        <v>220.36109999999999</v>
      </c>
      <c r="M53" s="5">
        <f>C53*Q53</f>
        <v>203.92491114934344</v>
      </c>
      <c r="O53">
        <v>1.4052</v>
      </c>
      <c r="P53">
        <v>1.4903</v>
      </c>
      <c r="Q53" s="5">
        <v>1.37913559330001</v>
      </c>
      <c r="T53" s="9">
        <f t="shared" si="47"/>
        <v>6.2937981435827531E-2</v>
      </c>
      <c r="U53" s="4">
        <f t="shared" si="48"/>
        <v>0.57942450445026339</v>
      </c>
      <c r="V53" s="38">
        <f t="shared" si="43"/>
        <v>1.8915731427395881E-2</v>
      </c>
      <c r="W53" s="38">
        <f t="shared" si="44"/>
        <v>8.0599220360182397E-2</v>
      </c>
      <c r="X53" s="4">
        <f t="shared" si="45"/>
        <v>1.8899089274915175E-2</v>
      </c>
      <c r="Y53" s="4">
        <f t="shared" si="49"/>
        <v>8.0604407021353575E-2</v>
      </c>
      <c r="AA53">
        <v>11.011637139593399</v>
      </c>
      <c r="AC53">
        <v>0.20142211653752642</v>
      </c>
      <c r="AD53" s="4">
        <f t="shared" si="36"/>
        <v>-9.1200639968538111E-2</v>
      </c>
      <c r="AF53" s="4">
        <f t="shared" si="37"/>
        <v>-0.13848413510169888</v>
      </c>
      <c r="AG53" s="4">
        <f t="shared" si="38"/>
        <v>0.67299068644360127</v>
      </c>
      <c r="AH53" s="4">
        <f t="shared" si="39"/>
        <v>0.63314200658679876</v>
      </c>
      <c r="AK53">
        <f t="shared" si="40"/>
        <v>3.9611895072165712E-3</v>
      </c>
      <c r="AM53">
        <f t="shared" si="41"/>
        <v>3.5780489543337218E-4</v>
      </c>
    </row>
    <row r="54" spans="1:39" x14ac:dyDescent="0.25">
      <c r="A54" s="23"/>
      <c r="B54" s="2">
        <f>B14</f>
        <v>1423</v>
      </c>
      <c r="C54" s="10">
        <f t="shared" si="50"/>
        <v>149.01621153527586</v>
      </c>
      <c r="D54" s="25">
        <f t="shared" si="42"/>
        <v>2.6698755104625498</v>
      </c>
      <c r="E54">
        <v>0.62250000000000005</v>
      </c>
      <c r="F54">
        <v>0.87819999999999998</v>
      </c>
      <c r="G54" s="5">
        <f t="shared" si="46"/>
        <v>0.60090268980389583</v>
      </c>
      <c r="H54" s="36"/>
      <c r="I54" s="36"/>
      <c r="J54" s="25">
        <v>2.6546208338669319</v>
      </c>
      <c r="K54">
        <v>196.84039999999999</v>
      </c>
      <c r="L54">
        <v>208.6319</v>
      </c>
      <c r="M54" s="5">
        <f>C54*Q54</f>
        <v>199.07794559162474</v>
      </c>
      <c r="O54">
        <v>1.3209</v>
      </c>
      <c r="P54">
        <v>1.4000999999999999</v>
      </c>
      <c r="Q54" s="5">
        <v>1.3359482403999918</v>
      </c>
      <c r="T54" s="9">
        <f t="shared" si="47"/>
        <v>3.594144370222821E-2</v>
      </c>
      <c r="U54" s="4">
        <f t="shared" si="48"/>
        <v>0.4614679130269827</v>
      </c>
      <c r="V54" s="38">
        <f t="shared" si="32"/>
        <v>-1.1239545319674455E-2</v>
      </c>
      <c r="W54" s="38">
        <f t="shared" si="33"/>
        <v>4.7991023716778797E-2</v>
      </c>
      <c r="X54" s="4">
        <f>(O54-Q54)/Q54</f>
        <v>-1.126408938978528E-2</v>
      </c>
      <c r="Y54" s="4">
        <f t="shared" si="35"/>
        <v>4.8019644519162366E-2</v>
      </c>
      <c r="AA54">
        <v>11.362193492177061</v>
      </c>
      <c r="AC54">
        <v>0.16801190671923019</v>
      </c>
      <c r="AD54" s="4">
        <f t="shared" si="36"/>
        <v>-0.12486148024144507</v>
      </c>
      <c r="AF54" s="4">
        <f t="shared" si="37"/>
        <v>-0.13207046301700198</v>
      </c>
      <c r="AG54" s="4">
        <f t="shared" si="38"/>
        <v>0.70883625597813715</v>
      </c>
      <c r="AH54" s="4">
        <f t="shared" si="39"/>
        <v>0.68424355477555887</v>
      </c>
      <c r="AK54">
        <f t="shared" si="40"/>
        <v>1.2917873754004399E-3</v>
      </c>
      <c r="AM54">
        <f t="shared" si="41"/>
        <v>1.2632737899301595E-4</v>
      </c>
    </row>
    <row r="55" spans="1:39" x14ac:dyDescent="0.25">
      <c r="A55" s="24"/>
      <c r="B55" s="16"/>
      <c r="C55" s="16"/>
      <c r="D55" s="20"/>
      <c r="E55" s="16"/>
      <c r="F55" s="16"/>
      <c r="G55" s="16"/>
      <c r="H55" s="36"/>
      <c r="I55" s="36"/>
      <c r="J55" s="20"/>
      <c r="K55" s="16"/>
      <c r="L55" s="16"/>
      <c r="M55" s="16"/>
      <c r="N55" s="16"/>
      <c r="O55" s="16"/>
      <c r="P55" s="16"/>
      <c r="Q55" s="16"/>
      <c r="R55" s="16"/>
      <c r="S55" s="16"/>
      <c r="T55" s="17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 spans="1:39" x14ac:dyDescent="0.25">
      <c r="A56" s="24"/>
      <c r="B56" s="16"/>
      <c r="C56" s="16"/>
      <c r="D56" s="20"/>
      <c r="E56" s="16"/>
      <c r="F56" s="16"/>
      <c r="G56" s="16"/>
      <c r="H56" s="36"/>
      <c r="I56" s="36"/>
      <c r="J56" s="20"/>
      <c r="K56" s="16"/>
      <c r="L56" s="16"/>
      <c r="M56" s="16"/>
      <c r="N56" s="16"/>
      <c r="O56" s="16"/>
      <c r="P56" s="16"/>
      <c r="Q56" s="16"/>
      <c r="R56" s="16"/>
      <c r="S56" s="16"/>
      <c r="T56" s="17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 spans="1:39" x14ac:dyDescent="0.25">
      <c r="B57" s="2">
        <f t="shared" ref="B57:B62" si="51">B16</f>
        <v>1638</v>
      </c>
      <c r="C57" s="10">
        <f t="shared" ref="C57:C62" si="52">B57*2*PI()/60</f>
        <v>171.53095888600271</v>
      </c>
      <c r="D57" s="25">
        <f t="shared" ref="D57:D62" si="53">F16</f>
        <v>5.2676677023988496</v>
      </c>
      <c r="E57">
        <v>0.64190000000000003</v>
      </c>
      <c r="F57">
        <v>1.004</v>
      </c>
      <c r="G57" s="5">
        <f t="shared" ref="G57:G62" si="54">S16*O16*1000</f>
        <v>0.55078811420555995</v>
      </c>
      <c r="H57" s="36"/>
      <c r="I57" s="36"/>
      <c r="J57" s="25">
        <v>5.2676677023988514</v>
      </c>
      <c r="K57">
        <v>364.70440000000002</v>
      </c>
      <c r="L57">
        <v>387.78339999999997</v>
      </c>
      <c r="M57" s="5">
        <f t="shared" ref="M57:M62" si="55">C57*Q57</f>
        <v>350.36119156039933</v>
      </c>
      <c r="O57">
        <v>2.1261999999999999</v>
      </c>
      <c r="P57">
        <v>2.2606999999999999</v>
      </c>
      <c r="Q57" s="5">
        <v>2.0425536814799998</v>
      </c>
      <c r="T57" s="9">
        <f>(E57-G57)/G57</f>
        <v>0.16542093673509475</v>
      </c>
      <c r="U57" s="4">
        <f>(F57-G57)/G57</f>
        <v>0.82284253074004532</v>
      </c>
      <c r="V57" s="38">
        <f t="shared" si="32"/>
        <v>4.0938348153574076E-2</v>
      </c>
      <c r="W57" s="38">
        <f t="shared" si="33"/>
        <v>0.10681036981560031</v>
      </c>
      <c r="X57" s="4">
        <f t="shared" si="34"/>
        <v>4.0951833618096803E-2</v>
      </c>
      <c r="Y57" s="4">
        <f t="shared" si="35"/>
        <v>0.10680077615484504</v>
      </c>
      <c r="AA57">
        <v>7.4603452662052065</v>
      </c>
      <c r="AC57">
        <v>0.40196118245216816</v>
      </c>
      <c r="AD57" s="4">
        <f t="shared" si="36"/>
        <v>-3.366510450847799E-2</v>
      </c>
      <c r="AF57" s="4">
        <f t="shared" si="37"/>
        <v>-0.23654024571707341</v>
      </c>
      <c r="AG57" s="4">
        <f t="shared" si="38"/>
        <v>0.63934262948207177</v>
      </c>
      <c r="AH57" s="4">
        <f>G57/F57</f>
        <v>0.54859373924856569</v>
      </c>
      <c r="AK57">
        <f t="shared" si="40"/>
        <v>2.736408631031622E-2</v>
      </c>
      <c r="AM57">
        <f t="shared" si="41"/>
        <v>1.675948349543242E-3</v>
      </c>
    </row>
    <row r="58" spans="1:39" x14ac:dyDescent="0.25">
      <c r="A58" s="22">
        <f>AVERAGE(B57:B62)</f>
        <v>1638.8333333333333</v>
      </c>
      <c r="B58" s="2">
        <f t="shared" si="51"/>
        <v>1638</v>
      </c>
      <c r="C58" s="10">
        <f t="shared" si="52"/>
        <v>171.53095888600271</v>
      </c>
      <c r="D58" s="25">
        <f t="shared" si="53"/>
        <v>4.5488778229227904</v>
      </c>
      <c r="E58">
        <v>0.67349999999999999</v>
      </c>
      <c r="F58">
        <v>1.0038</v>
      </c>
      <c r="G58" s="5">
        <f t="shared" si="54"/>
        <v>0.60263466997840687</v>
      </c>
      <c r="H58" s="36"/>
      <c r="I58" s="36"/>
      <c r="J58" s="25">
        <v>4.5360871409008512</v>
      </c>
      <c r="K58">
        <v>336.37990000000002</v>
      </c>
      <c r="L58">
        <v>354.00470000000001</v>
      </c>
      <c r="M58" s="5">
        <f t="shared" si="55"/>
        <v>318.37107478027991</v>
      </c>
      <c r="O58">
        <v>1.9610000000000001</v>
      </c>
      <c r="P58">
        <v>2.0638000000000001</v>
      </c>
      <c r="Q58" s="5">
        <v>1.85605605453337</v>
      </c>
      <c r="T58" s="9">
        <f t="shared" ref="T58:T62" si="56">(E58-G58)/G58</f>
        <v>0.1175925208951757</v>
      </c>
      <c r="U58" s="4">
        <f t="shared" ref="U58:U62" si="57">(F58-G58)/G58</f>
        <v>0.66568577947227525</v>
      </c>
      <c r="V58" s="38">
        <f t="shared" si="32"/>
        <v>5.6565519440321926E-2</v>
      </c>
      <c r="W58" s="38">
        <f t="shared" si="33"/>
        <v>0.11192481994261644</v>
      </c>
      <c r="X58" s="4">
        <f t="shared" si="34"/>
        <v>5.6541366415258407E-2</v>
      </c>
      <c r="Y58" s="4">
        <f t="shared" si="35"/>
        <v>0.11192762468526787</v>
      </c>
      <c r="AA58">
        <v>8.1982494992110322</v>
      </c>
      <c r="AC58">
        <v>0.28737258844766644</v>
      </c>
      <c r="AD58" s="4">
        <f t="shared" si="36"/>
        <v>-2.5416975551788401E-2</v>
      </c>
      <c r="AF58" s="4">
        <f t="shared" si="37"/>
        <v>-0.16978006755249075</v>
      </c>
      <c r="AG58" s="4">
        <f t="shared" si="38"/>
        <v>0.67095038852361022</v>
      </c>
      <c r="AH58" s="4">
        <f t="shared" si="39"/>
        <v>0.60035332733453561</v>
      </c>
      <c r="AK58">
        <f t="shared" si="40"/>
        <v>1.3828000970482335E-2</v>
      </c>
      <c r="AM58">
        <f t="shared" si="41"/>
        <v>3.1996579895534377E-3</v>
      </c>
    </row>
    <row r="59" spans="1:39" x14ac:dyDescent="0.25">
      <c r="A59" s="22"/>
      <c r="B59" s="2">
        <f t="shared" si="51"/>
        <v>1639</v>
      </c>
      <c r="C59" s="10">
        <f t="shared" si="52"/>
        <v>171.63567864112238</v>
      </c>
      <c r="D59" s="25">
        <f t="shared" si="53"/>
        <v>3.6851917499746301</v>
      </c>
      <c r="E59">
        <v>0.68310000000000004</v>
      </c>
      <c r="F59">
        <v>1.0079</v>
      </c>
      <c r="G59" s="5">
        <f t="shared" si="54"/>
        <v>0.69666610752823155</v>
      </c>
      <c r="H59" s="36"/>
      <c r="I59" s="36"/>
      <c r="J59" s="25">
        <v>3.6590501925338441</v>
      </c>
      <c r="K59">
        <v>290.9323</v>
      </c>
      <c r="L59">
        <v>305.76870000000002</v>
      </c>
      <c r="M59" s="5">
        <f t="shared" si="55"/>
        <v>289.30173145285579</v>
      </c>
      <c r="O59">
        <v>1.6951000000000001</v>
      </c>
      <c r="P59">
        <v>1.7815000000000001</v>
      </c>
      <c r="Q59" s="5">
        <v>1.6855570691555599</v>
      </c>
      <c r="T59" s="9">
        <f>(E59-G59)/G59</f>
        <v>-1.9472897248244213E-2</v>
      </c>
      <c r="U59" s="4">
        <f t="shared" si="57"/>
        <v>0.44674757262991455</v>
      </c>
      <c r="V59" s="38">
        <f t="shared" si="32"/>
        <v>5.6362211831764396E-3</v>
      </c>
      <c r="W59" s="38">
        <f t="shared" si="33"/>
        <v>5.6919702707785791E-2</v>
      </c>
      <c r="X59" s="4">
        <f t="shared" si="34"/>
        <v>5.6615886931796417E-3</v>
      </c>
      <c r="Y59" s="4">
        <f t="shared" si="35"/>
        <v>5.6920606605450751E-2</v>
      </c>
      <c r="AA59">
        <v>9.015660942993641</v>
      </c>
      <c r="AC59">
        <v>0.20144255402048961</v>
      </c>
      <c r="AD59" s="4">
        <f t="shared" si="36"/>
        <v>-8.4520388246759962E-2</v>
      </c>
      <c r="AF59" s="4">
        <f t="shared" si="37"/>
        <v>-0.18196965677224539</v>
      </c>
      <c r="AG59" s="4">
        <f t="shared" si="38"/>
        <v>0.67774580811588458</v>
      </c>
      <c r="AH59" s="4">
        <f t="shared" si="39"/>
        <v>0.69120558341921967</v>
      </c>
      <c r="AK59">
        <f t="shared" si="40"/>
        <v>3.7919372724067702E-4</v>
      </c>
      <c r="AM59">
        <f t="shared" si="41"/>
        <v>3.1766989225686825E-5</v>
      </c>
    </row>
    <row r="60" spans="1:39" x14ac:dyDescent="0.25">
      <c r="A60" s="23"/>
      <c r="B60" s="2">
        <f t="shared" si="51"/>
        <v>1639</v>
      </c>
      <c r="C60" s="10">
        <f t="shared" si="52"/>
        <v>171.63567864112238</v>
      </c>
      <c r="D60" s="25">
        <f t="shared" si="53"/>
        <v>3.2641584944265198</v>
      </c>
      <c r="E60">
        <v>0.70150000000000001</v>
      </c>
      <c r="F60">
        <v>1.0081</v>
      </c>
      <c r="G60" s="5">
        <f t="shared" si="54"/>
        <v>0.73556884310464887</v>
      </c>
      <c r="H60" s="36"/>
      <c r="I60" s="36"/>
      <c r="J60" s="25">
        <v>3.2748617732348366</v>
      </c>
      <c r="K60">
        <v>267.49650000000003</v>
      </c>
      <c r="L60">
        <v>280.15960000000001</v>
      </c>
      <c r="M60" s="5">
        <f t="shared" si="55"/>
        <v>271.84554968579704</v>
      </c>
      <c r="O60">
        <v>1.5585</v>
      </c>
      <c r="P60">
        <v>1.6323000000000001</v>
      </c>
      <c r="Q60" s="5">
        <v>1.58385221440005</v>
      </c>
      <c r="T60" s="9">
        <f t="shared" si="56"/>
        <v>-4.6316321611520335E-2</v>
      </c>
      <c r="U60" s="4">
        <f t="shared" si="57"/>
        <v>0.37050394324080732</v>
      </c>
      <c r="V60" s="38">
        <f t="shared" si="32"/>
        <v>-1.5998237568441737E-2</v>
      </c>
      <c r="W60" s="38">
        <f>(L60-M60)/M60</f>
        <v>3.0583727869786616E-2</v>
      </c>
      <c r="X60" s="4">
        <f t="shared" si="34"/>
        <v>-1.6006679265624026E-2</v>
      </c>
      <c r="Y60" s="4">
        <f t="shared" si="35"/>
        <v>3.0588577115638109E-2</v>
      </c>
      <c r="AA60">
        <v>9.5871064540770803</v>
      </c>
      <c r="AC60">
        <v>0.16802479852872595</v>
      </c>
      <c r="AD60" s="4">
        <f t="shared" si="36"/>
        <v>-0.11186930210921255</v>
      </c>
      <c r="AF60" s="4">
        <f t="shared" si="37"/>
        <v>-0.12170847691720563</v>
      </c>
      <c r="AG60" s="4">
        <f t="shared" si="38"/>
        <v>0.69586350560460275</v>
      </c>
      <c r="AH60" s="4">
        <f t="shared" si="39"/>
        <v>0.72965860837679686</v>
      </c>
      <c r="AK60">
        <f t="shared" si="40"/>
        <v>2.1452016476217859E-3</v>
      </c>
      <c r="AM60">
        <f t="shared" si="41"/>
        <v>2.5594360529630056E-4</v>
      </c>
    </row>
    <row r="61" spans="1:39" x14ac:dyDescent="0.25">
      <c r="A61" s="23"/>
      <c r="B61" s="2">
        <f t="shared" si="51"/>
        <v>1639</v>
      </c>
      <c r="C61" s="10">
        <f t="shared" si="52"/>
        <v>171.63567864112238</v>
      </c>
      <c r="D61" s="25">
        <f t="shared" si="53"/>
        <v>3.0682354873155302</v>
      </c>
      <c r="E61">
        <v>0.71199999999999997</v>
      </c>
      <c r="F61">
        <v>1.0089999999999999</v>
      </c>
      <c r="G61" s="5">
        <f t="shared" si="54"/>
        <v>0.80311495788323939</v>
      </c>
      <c r="H61" s="36"/>
      <c r="I61" s="36"/>
      <c r="J61" s="25">
        <v>3.0456727654803633</v>
      </c>
      <c r="K61">
        <v>256.29610000000002</v>
      </c>
      <c r="L61">
        <v>267.96559999999999</v>
      </c>
      <c r="M61" s="5">
        <f t="shared" si="55"/>
        <v>257.37260775625094</v>
      </c>
      <c r="O61">
        <v>1.4933000000000001</v>
      </c>
      <c r="P61">
        <v>1.5611999999999999</v>
      </c>
      <c r="Q61" s="5">
        <v>1.49952859332003</v>
      </c>
      <c r="T61" s="9">
        <f t="shared" si="56"/>
        <v>-0.11345194979731175</v>
      </c>
      <c r="U61" s="4">
        <f t="shared" si="57"/>
        <v>0.25635812170577582</v>
      </c>
      <c r="V61" s="38">
        <f t="shared" si="32"/>
        <v>-4.1826819319888305E-3</v>
      </c>
      <c r="W61" s="38">
        <f>(L61-M61)/M61</f>
        <v>4.1158196033749338E-2</v>
      </c>
      <c r="X61" s="4">
        <f t="shared" si="34"/>
        <v>-4.1537009349314801E-3</v>
      </c>
      <c r="Y61" s="4">
        <f t="shared" si="35"/>
        <v>4.112719620999452E-2</v>
      </c>
      <c r="AA61">
        <v>10.119669587953572</v>
      </c>
      <c r="AC61">
        <v>0.14416136261715479</v>
      </c>
      <c r="AD61" s="4">
        <f t="shared" si="36"/>
        <v>-0.10537937781152455</v>
      </c>
      <c r="AF61" s="4">
        <f t="shared" si="37"/>
        <v>-3.0709412819843032E-2</v>
      </c>
      <c r="AG61" s="4">
        <f t="shared" si="38"/>
        <v>0.70564915758176416</v>
      </c>
      <c r="AH61" s="4">
        <f t="shared" si="39"/>
        <v>0.79595139532531167</v>
      </c>
      <c r="AK61">
        <f t="shared" si="40"/>
        <v>1.2871344912811746E-2</v>
      </c>
      <c r="AM61">
        <f t="shared" si="41"/>
        <v>1.7494828144185815E-5</v>
      </c>
    </row>
    <row r="62" spans="1:39" x14ac:dyDescent="0.25">
      <c r="A62" s="23"/>
      <c r="B62" s="2">
        <f t="shared" si="51"/>
        <v>1640</v>
      </c>
      <c r="C62" s="10">
        <f t="shared" si="52"/>
        <v>171.74039839624203</v>
      </c>
      <c r="D62" s="25">
        <f t="shared" si="53"/>
        <v>2.8293806275398499</v>
      </c>
      <c r="E62">
        <v>0.72560000000000002</v>
      </c>
      <c r="F62">
        <v>1.01</v>
      </c>
      <c r="G62" s="5">
        <f t="shared" si="54"/>
        <v>0.84332212411016105</v>
      </c>
      <c r="H62" s="36"/>
      <c r="I62" s="36"/>
      <c r="J62" s="25">
        <v>2.8706691758127212</v>
      </c>
      <c r="K62">
        <v>241.51920000000001</v>
      </c>
      <c r="L62">
        <v>252.03149999999999</v>
      </c>
      <c r="M62" s="5">
        <f t="shared" si="55"/>
        <v>242.54161373792925</v>
      </c>
      <c r="O62">
        <v>1.4063000000000001</v>
      </c>
      <c r="P62">
        <v>1.4675</v>
      </c>
      <c r="Q62" s="5">
        <v>1.4122571975076801</v>
      </c>
      <c r="T62" s="9">
        <f t="shared" si="56"/>
        <v>-0.13959330692809296</v>
      </c>
      <c r="U62" s="4">
        <f t="shared" si="57"/>
        <v>0.19764437707087387</v>
      </c>
      <c r="V62" s="38">
        <f t="shared" si="32"/>
        <v>-4.2154157473116294E-3</v>
      </c>
      <c r="W62" s="38">
        <f t="shared" si="33"/>
        <v>3.9126837311822045E-2</v>
      </c>
      <c r="X62" s="4">
        <f t="shared" si="34"/>
        <v>-4.2182100528098615E-3</v>
      </c>
      <c r="Y62" s="4">
        <f t="shared" si="35"/>
        <v>3.9116672649862363E-2</v>
      </c>
      <c r="AA62">
        <v>10.737749616475439</v>
      </c>
      <c r="AC62">
        <v>0.12626065053416172</v>
      </c>
      <c r="AD62" s="4">
        <f t="shared" si="36"/>
        <v>-0.11159291191206602</v>
      </c>
      <c r="AF62" s="4">
        <f t="shared" si="37"/>
        <v>1.3332656393931247E-2</v>
      </c>
      <c r="AG62" s="4">
        <f t="shared" si="38"/>
        <v>0.71841584158415839</v>
      </c>
      <c r="AH62" s="4">
        <f t="shared" si="39"/>
        <v>0.83497240010907037</v>
      </c>
      <c r="AK62">
        <f t="shared" si="40"/>
        <v>1.9486291339120766E-2</v>
      </c>
      <c r="AM62">
        <f t="shared" si="41"/>
        <v>1.7769729922682862E-5</v>
      </c>
    </row>
    <row r="63" spans="1:39" x14ac:dyDescent="0.25">
      <c r="A63" s="24"/>
      <c r="B63" s="16"/>
      <c r="C63" s="16"/>
      <c r="D63" s="20"/>
      <c r="E63" s="16"/>
      <c r="F63" s="16"/>
      <c r="G63" s="16"/>
      <c r="H63" s="36"/>
      <c r="I63" s="36"/>
      <c r="J63" s="20"/>
      <c r="K63" s="16"/>
      <c r="L63" s="16"/>
      <c r="M63" s="16"/>
      <c r="N63" s="16"/>
      <c r="O63" s="16"/>
      <c r="P63" s="16"/>
      <c r="Q63" s="16"/>
      <c r="R63" s="16"/>
      <c r="S63" s="16"/>
      <c r="T63" s="17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 spans="1:39" x14ac:dyDescent="0.25">
      <c r="A64" s="24"/>
      <c r="B64" s="16"/>
      <c r="C64" s="16"/>
      <c r="D64" s="20"/>
      <c r="E64" s="16"/>
      <c r="F64" s="16"/>
      <c r="G64" s="16"/>
      <c r="H64" s="36"/>
      <c r="I64" s="36"/>
      <c r="J64" s="20"/>
      <c r="K64" s="16"/>
      <c r="L64" s="16"/>
      <c r="M64" s="16"/>
      <c r="N64" s="16"/>
      <c r="O64" s="16"/>
      <c r="P64" s="16"/>
      <c r="Q64" s="16"/>
      <c r="R64" s="26" t="s">
        <v>40</v>
      </c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spans="1:39" x14ac:dyDescent="0.25">
      <c r="A65" s="22">
        <f>AVERAGE(B65:B70)</f>
        <v>1838.5</v>
      </c>
      <c r="B65" s="2">
        <f t="shared" ref="B65:B70" si="58">B23</f>
        <v>1837</v>
      </c>
      <c r="C65" s="10">
        <f t="shared" ref="C65:C70" si="59">B65*2*PI()/60</f>
        <v>192.37019015481502</v>
      </c>
      <c r="D65" s="25">
        <f t="shared" ref="D65:D70" si="60">F23</f>
        <v>5.0653949430406602</v>
      </c>
      <c r="E65">
        <v>0.76239999999999997</v>
      </c>
      <c r="F65">
        <v>1.1208</v>
      </c>
      <c r="G65" s="5">
        <f t="shared" ref="G65:G70" si="61">S23*O23*1000</f>
        <v>0.80530956514993424</v>
      </c>
      <c r="H65" s="36"/>
      <c r="I65" s="36"/>
      <c r="J65" s="25">
        <v>5.0955470072880154</v>
      </c>
      <c r="K65">
        <v>402.697</v>
      </c>
      <c r="L65">
        <v>434.6696</v>
      </c>
      <c r="M65" s="5">
        <f t="shared" ref="M65:M70" si="62">C65*Q65</f>
        <v>414.98108314334672</v>
      </c>
      <c r="O65">
        <v>2.0933000000000002</v>
      </c>
      <c r="P65">
        <v>2.2595000000000001</v>
      </c>
      <c r="Q65" s="5">
        <f>R65*-1</f>
        <v>2.15720056631113</v>
      </c>
      <c r="R65">
        <v>-2.15720056631113</v>
      </c>
      <c r="T65" s="9">
        <f>(E65-G65)/G65</f>
        <v>-5.3283317381118252E-2</v>
      </c>
      <c r="U65" s="4">
        <f t="shared" ref="U65:U70" si="63">(F65-G65)/F65</f>
        <v>0.28148682624024429</v>
      </c>
      <c r="V65" s="38">
        <f t="shared" ref="V65:V70" si="64">(K65-M65)/M65</f>
        <v>-2.9601549666550549E-2</v>
      </c>
      <c r="W65" s="38">
        <f t="shared" ref="W65:W70" si="65">(L65-M65)/M65</f>
        <v>4.7444371939846436E-2</v>
      </c>
      <c r="X65" s="4">
        <f t="shared" ref="X65" si="66">(O65-Q65)/Q65</f>
        <v>-2.9621986619631523E-2</v>
      </c>
      <c r="Y65" s="4">
        <f>(P65-Q65)/Q65</f>
        <v>4.742230986143528E-2</v>
      </c>
      <c r="AA65">
        <v>7.0574225732520661</v>
      </c>
      <c r="AC65">
        <v>0.23683707266595058</v>
      </c>
      <c r="AD65" s="4">
        <f t="shared" si="36"/>
        <v>-0.10017577539907122</v>
      </c>
      <c r="AF65" s="4">
        <f t="shared" si="37"/>
        <v>-0.18355375528483234</v>
      </c>
      <c r="AG65" s="4">
        <f t="shared" si="38"/>
        <v>0.68022840827980013</v>
      </c>
      <c r="AH65" s="4">
        <f t="shared" si="39"/>
        <v>0.71851317375975576</v>
      </c>
      <c r="AK65">
        <f t="shared" si="40"/>
        <v>2.8391119111369784E-3</v>
      </c>
      <c r="AM65">
        <f t="shared" si="41"/>
        <v>8.7625174266125886E-4</v>
      </c>
    </row>
    <row r="66" spans="1:39" x14ac:dyDescent="0.25">
      <c r="A66" s="21">
        <v>1.1637999999999999</v>
      </c>
      <c r="B66" s="2">
        <f t="shared" si="58"/>
        <v>1837</v>
      </c>
      <c r="C66" s="10">
        <f t="shared" si="59"/>
        <v>192.37019015481502</v>
      </c>
      <c r="D66" s="25">
        <f t="shared" si="60"/>
        <v>4.5816778072219497</v>
      </c>
      <c r="E66">
        <v>0.79500000000000004</v>
      </c>
      <c r="F66">
        <v>1.1220000000000001</v>
      </c>
      <c r="G66" s="5">
        <f t="shared" si="61"/>
        <v>0.85827402956532706</v>
      </c>
      <c r="H66" s="36"/>
      <c r="I66" s="36"/>
      <c r="J66" s="25">
        <v>4.5563243588018114</v>
      </c>
      <c r="K66">
        <v>380.26</v>
      </c>
      <c r="L66">
        <v>408.47840000000002</v>
      </c>
      <c r="M66" s="5">
        <f t="shared" si="62"/>
        <v>377.6009892173239</v>
      </c>
      <c r="O66">
        <v>1.9766999999999999</v>
      </c>
      <c r="P66">
        <v>2.1234000000000002</v>
      </c>
      <c r="Q66" s="5">
        <f t="shared" ref="Q66:Q70" si="67">R66*-1</f>
        <v>1.9628872275555764</v>
      </c>
      <c r="R66">
        <v>-1.9628872275555764</v>
      </c>
      <c r="T66" s="9">
        <f t="shared" ref="T66:T70" si="68">(E66-G66)/G66</f>
        <v>-7.3722409610101042E-2</v>
      </c>
      <c r="U66" s="4">
        <f t="shared" si="63"/>
        <v>0.23504988452288147</v>
      </c>
      <c r="V66" s="38">
        <f t="shared" si="64"/>
        <v>7.0418533282647954E-3</v>
      </c>
      <c r="W66" s="38">
        <f t="shared" si="65"/>
        <v>8.1772589755862601E-2</v>
      </c>
      <c r="X66" s="4">
        <f>(O66-Q66)/Q66</f>
        <v>7.0369668978002365E-3</v>
      </c>
      <c r="Y66" s="4">
        <f t="shared" ref="Y66:Y70" si="69">(P66-Q66)/Q66</f>
        <v>8.1773812673035517E-2</v>
      </c>
      <c r="AA66">
        <v>7.7457704836413859</v>
      </c>
      <c r="AC66">
        <v>0.20145494800485458</v>
      </c>
      <c r="AD66" s="4">
        <f t="shared" si="36"/>
        <v>-7.0415851508149066E-2</v>
      </c>
      <c r="AF66" s="4">
        <f t="shared" si="37"/>
        <v>-0.12773253839475354</v>
      </c>
      <c r="AG66" s="4">
        <f t="shared" si="38"/>
        <v>0.70855614973262027</v>
      </c>
      <c r="AH66" s="4">
        <f t="shared" si="39"/>
        <v>0.76495011547711855</v>
      </c>
      <c r="AK66">
        <f t="shared" si="40"/>
        <v>5.434993678719518E-3</v>
      </c>
      <c r="AM66">
        <f t="shared" si="41"/>
        <v>4.9587698296793976E-5</v>
      </c>
    </row>
    <row r="67" spans="1:39" x14ac:dyDescent="0.25">
      <c r="A67" s="23"/>
      <c r="B67" s="2">
        <f t="shared" si="58"/>
        <v>1839</v>
      </c>
      <c r="C67" s="10">
        <f t="shared" si="59"/>
        <v>192.57962966505431</v>
      </c>
      <c r="D67" s="25">
        <f t="shared" si="60"/>
        <v>4.0282260804900396</v>
      </c>
      <c r="E67">
        <v>0.78849999999999998</v>
      </c>
      <c r="F67">
        <v>1.1254</v>
      </c>
      <c r="G67" s="5">
        <f t="shared" si="61"/>
        <v>0.90545505322499509</v>
      </c>
      <c r="H67" s="36"/>
      <c r="I67" s="36"/>
      <c r="J67" s="25">
        <v>3.9555644863642447</v>
      </c>
      <c r="K67">
        <v>351.52229999999997</v>
      </c>
      <c r="L67">
        <v>379.15190000000001</v>
      </c>
      <c r="M67" s="5">
        <f t="shared" si="62"/>
        <v>348.33822229195874</v>
      </c>
      <c r="O67">
        <v>1.8252999999999999</v>
      </c>
      <c r="P67">
        <v>1.9688000000000001</v>
      </c>
      <c r="Q67" s="5">
        <f t="shared" si="67"/>
        <v>1.8088009770182278</v>
      </c>
      <c r="R67">
        <v>-1.8088009770182278</v>
      </c>
      <c r="T67" s="9">
        <f t="shared" si="68"/>
        <v>-0.12916715502159015</v>
      </c>
      <c r="U67" s="4">
        <f t="shared" si="63"/>
        <v>0.19543713059801393</v>
      </c>
      <c r="V67" s="38">
        <f t="shared" si="64"/>
        <v>9.1407646484815072E-3</v>
      </c>
      <c r="W67" s="38">
        <f t="shared" si="65"/>
        <v>8.8459077230447797E-2</v>
      </c>
      <c r="X67" s="4">
        <f t="shared" ref="X67:X70" si="70">(O67-Q67)/Q67</f>
        <v>9.121524806433039E-3</v>
      </c>
      <c r="Y67" s="4">
        <f t="shared" si="69"/>
        <v>8.8455847279299601E-2</v>
      </c>
      <c r="AA67">
        <v>8.3966394651480627</v>
      </c>
      <c r="AC67">
        <v>0.16803793053162808</v>
      </c>
      <c r="AD67" s="4">
        <f t="shared" si="36"/>
        <v>-7.4825630002999133E-2</v>
      </c>
      <c r="AF67" s="4">
        <f t="shared" si="37"/>
        <v>-3.8870775510037925E-2</v>
      </c>
      <c r="AG67" s="4">
        <f t="shared" si="38"/>
        <v>0.70063977252532439</v>
      </c>
      <c r="AH67" s="4">
        <f t="shared" si="39"/>
        <v>0.80456286940198607</v>
      </c>
      <c r="AK67">
        <f t="shared" si="40"/>
        <v>1.6684153936371501E-2</v>
      </c>
      <c r="AM67">
        <f t="shared" si="41"/>
        <v>8.3553578358929248E-5</v>
      </c>
    </row>
    <row r="68" spans="1:39" x14ac:dyDescent="0.25">
      <c r="A68" s="23"/>
      <c r="B68" s="2">
        <f t="shared" si="58"/>
        <v>1839</v>
      </c>
      <c r="C68" s="10">
        <f t="shared" si="59"/>
        <v>192.57962966505431</v>
      </c>
      <c r="D68" s="25">
        <f t="shared" si="60"/>
        <v>3.6533986868675399</v>
      </c>
      <c r="E68">
        <v>0.82569999999999999</v>
      </c>
      <c r="F68">
        <v>1.1255999999999999</v>
      </c>
      <c r="G68" s="5">
        <f t="shared" si="61"/>
        <v>1.0204336023056251</v>
      </c>
      <c r="H68" s="36"/>
      <c r="I68" s="36"/>
      <c r="J68" s="25">
        <v>3.5979343489934528</v>
      </c>
      <c r="K68">
        <v>327.6069</v>
      </c>
      <c r="L68">
        <v>350.7996</v>
      </c>
      <c r="M68" s="5">
        <f t="shared" si="62"/>
        <v>344.11790533548407</v>
      </c>
      <c r="O68">
        <v>1.7012</v>
      </c>
      <c r="P68">
        <v>1.8216000000000001</v>
      </c>
      <c r="Q68" s="5">
        <f t="shared" si="67"/>
        <v>1.7868863178000391</v>
      </c>
      <c r="R68">
        <v>-1.7868863178000391</v>
      </c>
      <c r="T68" s="9">
        <f t="shared" si="68"/>
        <v>-0.19083417271406294</v>
      </c>
      <c r="U68" s="4">
        <f t="shared" si="63"/>
        <v>9.343141230843538E-2</v>
      </c>
      <c r="V68" s="38">
        <f t="shared" si="64"/>
        <v>-4.7980663253739508E-2</v>
      </c>
      <c r="W68" s="38">
        <f t="shared" si="65"/>
        <v>1.9416875904791638E-2</v>
      </c>
      <c r="X68" s="4">
        <f t="shared" si="70"/>
        <v>-4.7952864682255514E-2</v>
      </c>
      <c r="Y68" s="4">
        <f t="shared" si="69"/>
        <v>1.9426911412416769E-2</v>
      </c>
      <c r="AA68">
        <v>8.4983435211857312</v>
      </c>
      <c r="AC68">
        <v>0.12627367396453848</v>
      </c>
      <c r="AD68" s="4">
        <f t="shared" si="36"/>
        <v>-0.13296409846559681</v>
      </c>
      <c r="AF68" s="4">
        <f t="shared" si="37"/>
        <v>6.4560498749524464E-2</v>
      </c>
      <c r="AG68" s="4">
        <f t="shared" si="38"/>
        <v>0.73356432125088844</v>
      </c>
      <c r="AH68" s="4">
        <f t="shared" si="39"/>
        <v>0.90656858769156456</v>
      </c>
      <c r="AK68">
        <f>T68^2</f>
        <v>3.6417681475460803E-2</v>
      </c>
      <c r="AM68">
        <f t="shared" si="41"/>
        <v>2.3021440462687487E-3</v>
      </c>
    </row>
    <row r="69" spans="1:39" x14ac:dyDescent="0.25">
      <c r="A69" s="23"/>
      <c r="B69" s="2">
        <f t="shared" si="58"/>
        <v>1839</v>
      </c>
      <c r="C69" s="10">
        <f t="shared" si="59"/>
        <v>192.57962966505431</v>
      </c>
      <c r="D69" s="25">
        <f t="shared" si="60"/>
        <v>3.0732756854133099</v>
      </c>
      <c r="E69">
        <v>0.83209999999999995</v>
      </c>
      <c r="F69">
        <v>1.127</v>
      </c>
      <c r="G69" s="5">
        <f t="shared" si="61"/>
        <v>1.0201251626579322</v>
      </c>
      <c r="H69" s="36"/>
      <c r="I69" s="36"/>
      <c r="J69" s="25">
        <v>3.1121112229606274</v>
      </c>
      <c r="K69">
        <v>289.52280000000002</v>
      </c>
      <c r="L69">
        <v>310.60730000000001</v>
      </c>
      <c r="M69" s="5">
        <f t="shared" si="62"/>
        <v>310.51013897327994</v>
      </c>
      <c r="O69">
        <v>1.5034000000000001</v>
      </c>
      <c r="P69">
        <v>1.6129</v>
      </c>
      <c r="Q69" s="5">
        <f t="shared" si="67"/>
        <v>1.612372707920029</v>
      </c>
      <c r="R69">
        <v>-1.612372707920029</v>
      </c>
      <c r="T69" s="9">
        <f t="shared" si="68"/>
        <v>-0.18431577765225729</v>
      </c>
      <c r="U69" s="4">
        <f t="shared" si="63"/>
        <v>9.4831266496954586E-2</v>
      </c>
      <c r="V69" s="38">
        <f t="shared" si="64"/>
        <v>-6.7589866928905409E-2</v>
      </c>
      <c r="W69" s="38">
        <f t="shared" si="65"/>
        <v>3.1290774285613269E-4</v>
      </c>
      <c r="X69" s="4">
        <f t="shared" si="70"/>
        <v>-6.7585309143941272E-2</v>
      </c>
      <c r="Y69" s="4">
        <f t="shared" si="69"/>
        <v>3.270286562039694E-4</v>
      </c>
      <c r="AA69">
        <v>9.4069131165651516</v>
      </c>
      <c r="AC69">
        <v>0.11234462939305302</v>
      </c>
      <c r="AD69" s="4">
        <f t="shared" si="36"/>
        <v>-0.16165899809455692</v>
      </c>
      <c r="AF69" s="4">
        <f t="shared" si="37"/>
        <v>7.1971148259204268E-2</v>
      </c>
      <c r="AG69" s="4">
        <f t="shared" si="38"/>
        <v>0.73833185448092276</v>
      </c>
      <c r="AH69" s="4">
        <f t="shared" si="39"/>
        <v>0.90516873350304539</v>
      </c>
      <c r="AK69">
        <f t="shared" si="40"/>
        <v>3.3972305891556351E-2</v>
      </c>
      <c r="AM69">
        <f t="shared" si="41"/>
        <v>4.5683901114671414E-3</v>
      </c>
    </row>
    <row r="70" spans="1:39" x14ac:dyDescent="0.25">
      <c r="A70" s="23"/>
      <c r="B70" s="2">
        <f t="shared" si="58"/>
        <v>1840</v>
      </c>
      <c r="C70" s="10">
        <f t="shared" si="59"/>
        <v>192.68434942017399</v>
      </c>
      <c r="D70" s="25">
        <f t="shared" si="60"/>
        <v>2.6401044471753301</v>
      </c>
      <c r="E70">
        <v>0.85640000000000005</v>
      </c>
      <c r="F70">
        <v>1.1279999999999999</v>
      </c>
      <c r="G70" s="5">
        <f t="shared" si="61"/>
        <v>1.0094910734070963</v>
      </c>
      <c r="H70" s="36"/>
      <c r="I70" s="36"/>
      <c r="J70" s="25">
        <v>2.6186306105362576</v>
      </c>
      <c r="K70">
        <v>260.30220000000003</v>
      </c>
      <c r="L70">
        <v>279.0224</v>
      </c>
      <c r="M70" s="5">
        <f t="shared" si="62"/>
        <v>272.32024194294416</v>
      </c>
      <c r="O70">
        <v>1.3509</v>
      </c>
      <c r="P70">
        <v>1.4480999999999999</v>
      </c>
      <c r="Q70" s="5">
        <f t="shared" si="67"/>
        <v>1.4132971503000145</v>
      </c>
      <c r="R70">
        <v>-1.4132971503000145</v>
      </c>
      <c r="T70" s="9">
        <f t="shared" si="68"/>
        <v>-0.1516517356517123</v>
      </c>
      <c r="U70" s="4">
        <f t="shared" si="63"/>
        <v>0.10506110513555282</v>
      </c>
      <c r="V70" s="38">
        <f t="shared" si="64"/>
        <v>-4.4132018454442055E-2</v>
      </c>
      <c r="W70" s="38">
        <f t="shared" si="65"/>
        <v>2.4611310599746233E-2</v>
      </c>
      <c r="X70" s="4">
        <f t="shared" si="70"/>
        <v>-4.4150057393640689E-2</v>
      </c>
      <c r="Y70" s="4">
        <f t="shared" si="69"/>
        <v>2.4625288243592326E-2</v>
      </c>
      <c r="AA70">
        <v>10.717275967021553</v>
      </c>
      <c r="AC70">
        <v>9.6432949464436882E-2</v>
      </c>
      <c r="AD70" s="4">
        <f t="shared" si="36"/>
        <v>-0.15130477812465759</v>
      </c>
      <c r="AF70" s="4">
        <f t="shared" si="37"/>
        <v>5.5218786187275423E-2</v>
      </c>
      <c r="AG70" s="4">
        <f t="shared" si="38"/>
        <v>0.75921985815602844</v>
      </c>
      <c r="AH70" s="4">
        <f t="shared" si="39"/>
        <v>0.89493889486444722</v>
      </c>
      <c r="AK70">
        <f t="shared" si="40"/>
        <v>2.2998248926176829E-2</v>
      </c>
      <c r="AM70">
        <f t="shared" si="41"/>
        <v>1.9476350528632141E-3</v>
      </c>
    </row>
    <row r="71" spans="1:39" x14ac:dyDescent="0.25">
      <c r="A71" s="24"/>
      <c r="B71" s="16"/>
      <c r="C71" s="16"/>
      <c r="D71" s="20"/>
      <c r="E71" s="16"/>
      <c r="F71" s="16"/>
      <c r="G71" s="16"/>
      <c r="H71" s="36"/>
      <c r="I71" s="36"/>
      <c r="J71" s="20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</row>
    <row r="72" spans="1:39" x14ac:dyDescent="0.25">
      <c r="A72" s="24"/>
      <c r="B72" s="16"/>
      <c r="C72" s="16"/>
      <c r="D72" s="20"/>
      <c r="E72" s="16"/>
      <c r="F72" s="16"/>
      <c r="G72" s="16"/>
      <c r="H72" s="36"/>
      <c r="I72" s="36"/>
      <c r="J72" s="20"/>
      <c r="K72" s="16"/>
      <c r="L72" s="16"/>
      <c r="M72" s="16"/>
      <c r="N72" s="16"/>
      <c r="O72" s="16"/>
      <c r="P72" s="16"/>
      <c r="Q72" s="16"/>
      <c r="R72" s="26" t="s">
        <v>40</v>
      </c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73" spans="1:39" x14ac:dyDescent="0.25">
      <c r="A73" s="22">
        <f>AVERAGE(B73:B78)</f>
        <v>2111.5</v>
      </c>
      <c r="B73" s="2">
        <v>2107</v>
      </c>
      <c r="C73" s="10">
        <f t="shared" ref="C73:C78" si="71">B73*2*PI()/60</f>
        <v>220.64452403712315</v>
      </c>
      <c r="D73" s="25">
        <f t="shared" ref="D73:D78" si="72">F30</f>
        <v>5.1395527310525901</v>
      </c>
      <c r="E73">
        <v>0.94620000000000004</v>
      </c>
      <c r="F73">
        <v>1.2824</v>
      </c>
      <c r="G73" s="5">
        <f t="shared" ref="G73:G78" si="73">S30*O30*1000</f>
        <v>0.86906064601320965</v>
      </c>
      <c r="H73" s="37">
        <v>2052</v>
      </c>
      <c r="I73" s="37">
        <f>H73/60*2*PI()</f>
        <v>214.88493750554187</v>
      </c>
      <c r="J73" s="25">
        <v>5.1081324714812002</v>
      </c>
      <c r="K73">
        <v>476.43130000000002</v>
      </c>
      <c r="L73">
        <v>500.786</v>
      </c>
      <c r="M73" s="5">
        <f>C73*Q73</f>
        <v>496.993999338386</v>
      </c>
      <c r="O73">
        <v>2.1634000000000002</v>
      </c>
      <c r="P73">
        <v>2.2696999999999998</v>
      </c>
      <c r="Q73" s="5">
        <f t="shared" ref="Q73:Q78" si="74">R73*-1</f>
        <v>2.2524646895599703</v>
      </c>
      <c r="R73">
        <v>-2.2524646895599703</v>
      </c>
      <c r="T73" s="9">
        <f>(E73-G73)/G73</f>
        <v>8.8761761725910535E-2</v>
      </c>
      <c r="U73" s="4">
        <f t="shared" ref="U73:U78" si="75">(F73-G73)/F73</f>
        <v>0.32231702587865746</v>
      </c>
      <c r="V73" s="38">
        <f>(K73-M73)/M73</f>
        <v>-4.1374140061569545E-2</v>
      </c>
      <c r="W73" s="38">
        <f>(L73-M73)/M73</f>
        <v>7.62987212453677E-3</v>
      </c>
      <c r="X73" s="4">
        <f>(O73-Q73)/Q73</f>
        <v>-3.9540992572615757E-2</v>
      </c>
      <c r="Y73" s="4">
        <f>(P73-Q73)/Q73</f>
        <v>7.6517561051740934E-3</v>
      </c>
      <c r="AA73">
        <v>6.7500154102744725</v>
      </c>
      <c r="AC73">
        <v>0.22374090257721529</v>
      </c>
      <c r="AD73" s="4">
        <f t="shared" si="36"/>
        <v>-0.10887429416431427</v>
      </c>
      <c r="AF73" s="4">
        <f t="shared" si="37"/>
        <v>-0.13497914085130475</v>
      </c>
      <c r="AG73" s="4">
        <f t="shared" si="38"/>
        <v>0.73783530879600756</v>
      </c>
      <c r="AH73" s="4">
        <f t="shared" si="39"/>
        <v>0.67768297412134249</v>
      </c>
      <c r="AK73">
        <f t="shared" si="40"/>
        <v>7.8786503446873161E-3</v>
      </c>
      <c r="AM73">
        <f t="shared" si="41"/>
        <v>1.711819465834374E-3</v>
      </c>
    </row>
    <row r="74" spans="1:39" x14ac:dyDescent="0.25">
      <c r="A74" s="21">
        <v>1.33</v>
      </c>
      <c r="B74" s="2">
        <f>B31</f>
        <v>2112</v>
      </c>
      <c r="C74" s="10">
        <f t="shared" si="71"/>
        <v>221.16812281272144</v>
      </c>
      <c r="D74" s="25">
        <f t="shared" si="72"/>
        <v>4.4350470643170903</v>
      </c>
      <c r="E74">
        <v>0.93189999999999995</v>
      </c>
      <c r="F74">
        <v>1.2858000000000001</v>
      </c>
      <c r="G74" s="5">
        <f t="shared" si="73"/>
        <v>0.94847363500753468</v>
      </c>
      <c r="H74" s="36"/>
      <c r="I74" s="36"/>
      <c r="J74" s="25">
        <v>4.430646488532715</v>
      </c>
      <c r="K74">
        <v>438.42070000000001</v>
      </c>
      <c r="L74">
        <v>459.31459999999998</v>
      </c>
      <c r="M74" s="5">
        <f t="shared" ref="M74:M78" si="76">C74*Q74</f>
        <v>455.1477762194761</v>
      </c>
      <c r="O74">
        <v>1.9823</v>
      </c>
      <c r="P74">
        <v>2.0768</v>
      </c>
      <c r="Q74" s="5">
        <f t="shared" si="74"/>
        <v>2.0579266597333361</v>
      </c>
      <c r="R74">
        <v>-2.0579266597333361</v>
      </c>
      <c r="T74" s="9">
        <f t="shared" ref="T74:T77" si="77">(E74-G74)/G74</f>
        <v>-1.7474007073905711E-2</v>
      </c>
      <c r="U74" s="4">
        <f t="shared" si="75"/>
        <v>0.26234746071898069</v>
      </c>
      <c r="V74" s="38">
        <f>(K74-M74)/M74</f>
        <v>-3.675086882421711E-2</v>
      </c>
      <c r="W74" s="38">
        <f>(L74-M74)/M74</f>
        <v>9.1548811138530244E-3</v>
      </c>
      <c r="X74" s="4">
        <f t="shared" ref="X74:X76" si="78">(O74-Q74)/Q74</f>
        <v>-3.6748957683038021E-2</v>
      </c>
      <c r="Y74" s="4">
        <f>(P74-Q74)/Q74</f>
        <v>9.1710460999176041E-3</v>
      </c>
      <c r="AA74">
        <v>7.3793184342966098</v>
      </c>
      <c r="AC74">
        <v>0.17529979892238035</v>
      </c>
      <c r="AD74" s="4">
        <f t="shared" si="36"/>
        <v>-0.11054405316718321</v>
      </c>
      <c r="AF74" s="4">
        <f t="shared" si="37"/>
        <v>-0.15782579184847464</v>
      </c>
      <c r="AG74" s="4">
        <f t="shared" si="38"/>
        <v>0.72476279359153828</v>
      </c>
      <c r="AH74" s="4">
        <f t="shared" si="39"/>
        <v>0.73765253928101937</v>
      </c>
      <c r="AK74">
        <f t="shared" si="40"/>
        <v>3.0534092321890684E-4</v>
      </c>
      <c r="AM74">
        <f>V74^2</f>
        <v>1.3506263593348132E-3</v>
      </c>
    </row>
    <row r="75" spans="1:39" x14ac:dyDescent="0.25">
      <c r="A75" s="23"/>
      <c r="B75" s="2">
        <f>B32</f>
        <v>2114</v>
      </c>
      <c r="C75" s="10">
        <f t="shared" si="71"/>
        <v>221.37756232296076</v>
      </c>
      <c r="D75" s="25">
        <f t="shared" si="72"/>
        <v>4.0038566309211898</v>
      </c>
      <c r="E75">
        <v>0.9778</v>
      </c>
      <c r="F75">
        <v>1.2889999999999999</v>
      </c>
      <c r="G75" s="5">
        <f t="shared" si="73"/>
        <v>1.042829287775632</v>
      </c>
      <c r="H75" s="36"/>
      <c r="I75" s="36"/>
      <c r="J75" s="25">
        <v>4.017045492351957</v>
      </c>
      <c r="K75">
        <v>412.78579999999999</v>
      </c>
      <c r="L75">
        <v>430.43549999999999</v>
      </c>
      <c r="M75" s="5">
        <f t="shared" si="76"/>
        <v>404.21583325687345</v>
      </c>
      <c r="O75">
        <v>1.8646</v>
      </c>
      <c r="P75">
        <v>1.9443999999999999</v>
      </c>
      <c r="Q75" s="5">
        <f t="shared" si="74"/>
        <v>1.8259114836000212</v>
      </c>
      <c r="R75">
        <v>-1.8259114836000212</v>
      </c>
      <c r="T75" s="9">
        <f t="shared" si="77"/>
        <v>-6.2358516909647103E-2</v>
      </c>
      <c r="U75" s="4">
        <f t="shared" si="75"/>
        <v>0.19097805447972688</v>
      </c>
      <c r="V75" s="38">
        <f t="shared" ref="V75:V78" si="79">(K75-M75)/M75</f>
        <v>2.1201462283345171E-2</v>
      </c>
      <c r="W75" s="38">
        <f t="shared" ref="W75:W78" si="80">(L75-M75)/M75</f>
        <v>6.4865511407279072E-2</v>
      </c>
      <c r="X75" s="4">
        <f t="shared" si="78"/>
        <v>2.1188604566799378E-2</v>
      </c>
      <c r="Y75" s="4">
        <f t="shared" ref="Y75:Y78" si="81">(P75-Q75)/Q75</f>
        <v>6.4892804204485982E-2</v>
      </c>
      <c r="AA75">
        <v>8.3054185123494904</v>
      </c>
      <c r="AC75">
        <v>0.1441703850883283</v>
      </c>
      <c r="AD75" s="4">
        <f t="shared" si="36"/>
        <v>-6.1852722840149726E-2</v>
      </c>
      <c r="AF75" s="4">
        <f t="shared" si="37"/>
        <v>-8.1811868178681191E-2</v>
      </c>
      <c r="AG75" s="4">
        <f t="shared" si="38"/>
        <v>0.75857253685027159</v>
      </c>
      <c r="AH75" s="4">
        <f t="shared" si="39"/>
        <v>0.80902194552027318</v>
      </c>
      <c r="AK75">
        <f t="shared" si="40"/>
        <v>3.8885846311707438E-3</v>
      </c>
      <c r="AM75">
        <f t="shared" si="41"/>
        <v>4.4950200295210786E-4</v>
      </c>
    </row>
    <row r="76" spans="1:39" x14ac:dyDescent="0.25">
      <c r="A76" s="23"/>
      <c r="B76" s="2">
        <f>B33</f>
        <v>2111</v>
      </c>
      <c r="C76" s="10">
        <f t="shared" si="71"/>
        <v>221.06340305760176</v>
      </c>
      <c r="D76" s="25">
        <f t="shared" si="72"/>
        <v>3.69061358519046</v>
      </c>
      <c r="E76">
        <v>0.95820000000000005</v>
      </c>
      <c r="F76">
        <v>1.2874000000000001</v>
      </c>
      <c r="G76" s="5">
        <f t="shared" si="73"/>
        <v>1.1631977237886615</v>
      </c>
      <c r="H76" s="36"/>
      <c r="I76" s="36"/>
      <c r="J76" s="25">
        <v>3.6982373185992503</v>
      </c>
      <c r="K76">
        <v>388.30650000000003</v>
      </c>
      <c r="L76">
        <v>404.46960000000001</v>
      </c>
      <c r="M76" s="5">
        <f t="shared" si="76"/>
        <v>362.03189924269998</v>
      </c>
      <c r="O76">
        <v>1.7565</v>
      </c>
      <c r="P76">
        <v>1.8297000000000001</v>
      </c>
      <c r="Q76" s="5">
        <f t="shared" si="74"/>
        <v>1.6376835524800391</v>
      </c>
      <c r="R76">
        <v>-1.6376835524800391</v>
      </c>
      <c r="T76" s="9">
        <f t="shared" si="77"/>
        <v>-0.17623635225227363</v>
      </c>
      <c r="U76" s="4">
        <f t="shared" si="75"/>
        <v>9.6475280574288183E-2</v>
      </c>
      <c r="V76" s="38">
        <f t="shared" si="79"/>
        <v>7.2575374745323218E-2</v>
      </c>
      <c r="W76" s="38">
        <f t="shared" si="80"/>
        <v>0.11722088812082973</v>
      </c>
      <c r="X76" s="4">
        <f t="shared" si="78"/>
        <v>7.2551530080417717E-2</v>
      </c>
      <c r="Y76" s="4">
        <f t="shared" si="81"/>
        <v>0.1172488098993114</v>
      </c>
      <c r="AA76">
        <v>9.2497504333691669</v>
      </c>
      <c r="AC76">
        <v>0.11890127290614302</v>
      </c>
      <c r="AD76" s="4">
        <f t="shared" si="36"/>
        <v>-1.9922129588368448E-2</v>
      </c>
      <c r="AF76" s="4">
        <f t="shared" si="37"/>
        <v>5.7335079346130607E-2</v>
      </c>
      <c r="AG76" s="4">
        <f t="shared" si="38"/>
        <v>0.74429081870436542</v>
      </c>
      <c r="AH76" s="4">
        <f t="shared" si="39"/>
        <v>0.90352471942571178</v>
      </c>
      <c r="AK76">
        <f t="shared" si="40"/>
        <v>3.1059251855187472E-2</v>
      </c>
      <c r="AM76">
        <f t="shared" si="41"/>
        <v>5.2671850194240992E-3</v>
      </c>
    </row>
    <row r="77" spans="1:39" x14ac:dyDescent="0.25">
      <c r="A77" s="23"/>
      <c r="B77" s="2">
        <f>B34</f>
        <v>2112</v>
      </c>
      <c r="C77" s="10">
        <f t="shared" si="71"/>
        <v>221.16812281272144</v>
      </c>
      <c r="D77" s="25">
        <f t="shared" si="72"/>
        <v>3.3424664174525498</v>
      </c>
      <c r="E77">
        <v>1.0046999999999999</v>
      </c>
      <c r="F77">
        <v>1.2907</v>
      </c>
      <c r="G77" s="5">
        <f t="shared" si="73"/>
        <v>1.1657191081274199</v>
      </c>
      <c r="H77" s="36"/>
      <c r="I77" s="36"/>
      <c r="J77" s="25">
        <v>3.3621021478520641</v>
      </c>
      <c r="K77">
        <v>363.39179999999999</v>
      </c>
      <c r="L77">
        <v>377.05149999999998</v>
      </c>
      <c r="M77" s="5">
        <f t="shared" si="76"/>
        <v>343.19032930307435</v>
      </c>
      <c r="O77">
        <v>1.6431</v>
      </c>
      <c r="P77">
        <v>1.7048000000000001</v>
      </c>
      <c r="Q77" s="5">
        <f t="shared" si="74"/>
        <v>1.5517169695999893</v>
      </c>
      <c r="R77">
        <v>-1.5517169695999893</v>
      </c>
      <c r="T77" s="9">
        <f t="shared" si="77"/>
        <v>-0.13812856545353944</v>
      </c>
      <c r="U77" s="4">
        <f t="shared" si="75"/>
        <v>9.6831867879894715E-2</v>
      </c>
      <c r="V77" s="38">
        <f>(K77-M77)/M77</f>
        <v>5.8863752769343178E-2</v>
      </c>
      <c r="W77" s="38">
        <f>(L77-M77)/M77</f>
        <v>9.8665864990101548E-2</v>
      </c>
      <c r="X77" s="4">
        <f>(O77-Q77)/Q77</f>
        <v>5.8891558312704394E-2</v>
      </c>
      <c r="Y77" s="4">
        <f>(P77-Q77)/Q77</f>
        <v>9.8653964220983839E-2</v>
      </c>
      <c r="AA77">
        <v>9.7571402678590111</v>
      </c>
      <c r="AC77">
        <v>0.106484902009886</v>
      </c>
      <c r="AD77" s="4">
        <f t="shared" si="36"/>
        <v>-3.8707649909246938E-2</v>
      </c>
      <c r="AF77" s="4">
        <f t="shared" si="37"/>
        <v>3.1643663443653436E-2</v>
      </c>
      <c r="AG77" s="4">
        <f t="shared" si="38"/>
        <v>0.77841481366700238</v>
      </c>
      <c r="AH77" s="4">
        <f t="shared" si="39"/>
        <v>0.90316813212010527</v>
      </c>
      <c r="AK77">
        <f t="shared" si="40"/>
        <v>1.907950059425273E-2</v>
      </c>
      <c r="AM77">
        <f t="shared" si="41"/>
        <v>3.4649413900903567E-3</v>
      </c>
    </row>
    <row r="78" spans="1:39" x14ac:dyDescent="0.25">
      <c r="A78" s="23"/>
      <c r="B78" s="2">
        <f>B35</f>
        <v>2113</v>
      </c>
      <c r="C78" s="10">
        <f t="shared" si="71"/>
        <v>221.27284256784108</v>
      </c>
      <c r="D78" s="25">
        <f t="shared" si="72"/>
        <v>2.5472304393617602</v>
      </c>
      <c r="E78">
        <v>1.0508999999999999</v>
      </c>
      <c r="F78">
        <v>1.2927</v>
      </c>
      <c r="G78" s="5">
        <f t="shared" si="73"/>
        <v>1.1934902874269904</v>
      </c>
      <c r="H78" s="36"/>
      <c r="I78" s="36"/>
      <c r="J78" s="25">
        <v>2.5797622364794712</v>
      </c>
      <c r="K78">
        <v>300.51870000000002</v>
      </c>
      <c r="L78">
        <v>310.22949999999997</v>
      </c>
      <c r="M78" s="5">
        <f t="shared" si="76"/>
        <v>291.55202608163211</v>
      </c>
      <c r="O78">
        <v>1.3581000000000001</v>
      </c>
      <c r="P78">
        <v>1.4019999999999999</v>
      </c>
      <c r="Q78" s="5">
        <f t="shared" si="74"/>
        <v>1.317613235760027</v>
      </c>
      <c r="R78">
        <v>-1.317613235760027</v>
      </c>
      <c r="T78" s="9">
        <f>(E78-G78)/G78</f>
        <v>-0.11947335385057596</v>
      </c>
      <c r="U78" s="4">
        <f t="shared" si="75"/>
        <v>7.6746122513351583E-2</v>
      </c>
      <c r="V78" s="38">
        <f t="shared" si="79"/>
        <v>3.0754970352554929E-2</v>
      </c>
      <c r="W78" s="38">
        <f t="shared" si="80"/>
        <v>6.406223331522426E-2</v>
      </c>
      <c r="X78" s="4">
        <f>(O78-Q78)/Q78</f>
        <v>3.0727350895666656E-2</v>
      </c>
      <c r="Y78" s="4">
        <f t="shared" si="81"/>
        <v>6.404517042612802E-2</v>
      </c>
      <c r="AA78">
        <v>11.474606944752018</v>
      </c>
      <c r="AC78">
        <v>7.8078448548497686E-2</v>
      </c>
      <c r="AD78" s="4">
        <f t="shared" si="36"/>
        <v>-8.3991099094965244E-2</v>
      </c>
      <c r="AF78" s="4">
        <f t="shared" si="37"/>
        <v>4.1394905302078275E-2</v>
      </c>
      <c r="AG78" s="4">
        <f t="shared" si="38"/>
        <v>0.81294964028776973</v>
      </c>
      <c r="AH78" s="4">
        <f t="shared" si="39"/>
        <v>0.92325387748664844</v>
      </c>
      <c r="AK78">
        <f t="shared" si="40"/>
        <v>1.4273882280304934E-2</v>
      </c>
      <c r="AM78">
        <f t="shared" si="41"/>
        <v>9.4586820138653266E-4</v>
      </c>
    </row>
    <row r="79" spans="1:39" x14ac:dyDescent="0.25">
      <c r="T79" s="4"/>
      <c r="V79" s="4"/>
      <c r="AK79">
        <f>AVERAGE(AK42:AK78)</f>
        <v>1.5195752605409094E-2</v>
      </c>
      <c r="AM79">
        <f>AVERAGE(AM42:AM78)</f>
        <v>1.7189678318670189E-3</v>
      </c>
    </row>
    <row r="80" spans="1:39" x14ac:dyDescent="0.25">
      <c r="G80" s="5"/>
      <c r="M80" s="5"/>
      <c r="T80" s="9"/>
      <c r="U80" s="9"/>
      <c r="V80" s="9"/>
      <c r="W80" s="9"/>
      <c r="X80" s="9"/>
      <c r="Y80" s="9"/>
      <c r="AK80">
        <f>SQRT(AK79)</f>
        <v>0.12327105339620123</v>
      </c>
      <c r="AM80">
        <f>SQRT(AM79)</f>
        <v>4.1460436947372115E-2</v>
      </c>
    </row>
    <row r="81" spans="22:22" x14ac:dyDescent="0.25">
      <c r="V81" s="4"/>
    </row>
    <row r="82" spans="22:22" x14ac:dyDescent="0.25">
      <c r="V82" s="4">
        <f>MAX(V42:V78)</f>
        <v>7.2575374745323218E-2</v>
      </c>
    </row>
    <row r="122" spans="1:6" x14ac:dyDescent="0.25">
      <c r="A122">
        <v>0.3</v>
      </c>
      <c r="B122">
        <v>0.3</v>
      </c>
      <c r="C122">
        <v>0.2</v>
      </c>
      <c r="D122">
        <f>0.2*1.15</f>
        <v>0.22999999999999998</v>
      </c>
      <c r="E122">
        <v>0.2</v>
      </c>
      <c r="F122">
        <f>E122*0.85</f>
        <v>0.17</v>
      </c>
    </row>
    <row r="123" spans="1:6" x14ac:dyDescent="0.25">
      <c r="A123">
        <v>1.4</v>
      </c>
      <c r="B123">
        <v>1.4</v>
      </c>
      <c r="C123">
        <v>1.4</v>
      </c>
      <c r="D123">
        <f>B123*1.15</f>
        <v>1.6099999999999999</v>
      </c>
      <c r="E123">
        <v>1.4</v>
      </c>
      <c r="F123">
        <f>E123*0.85</f>
        <v>1.19</v>
      </c>
    </row>
    <row r="126" spans="1:6" x14ac:dyDescent="0.25">
      <c r="A126">
        <v>100</v>
      </c>
      <c r="B126">
        <v>100</v>
      </c>
      <c r="C126">
        <v>100</v>
      </c>
      <c r="D126">
        <v>109</v>
      </c>
      <c r="E126">
        <v>100</v>
      </c>
      <c r="F126">
        <v>91</v>
      </c>
    </row>
    <row r="127" spans="1:6" x14ac:dyDescent="0.25">
      <c r="A127">
        <v>600</v>
      </c>
      <c r="B127">
        <v>600</v>
      </c>
      <c r="C127">
        <v>600</v>
      </c>
      <c r="D127">
        <v>654</v>
      </c>
      <c r="E127">
        <v>600</v>
      </c>
      <c r="F127">
        <v>546</v>
      </c>
    </row>
  </sheetData>
  <mergeCells count="5">
    <mergeCell ref="Q2:S2"/>
    <mergeCell ref="E40:G40"/>
    <mergeCell ref="K40:M40"/>
    <mergeCell ref="O40:Q40"/>
    <mergeCell ref="T40:Y4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3039-266C-4E5D-B833-E572E2F55D07}">
  <dimension ref="A1:AN119"/>
  <sheetViews>
    <sheetView tabSelected="1" topLeftCell="A67" zoomScale="70" zoomScaleNormal="70" workbookViewId="0">
      <selection activeCell="Y104" sqref="Y104"/>
    </sheetView>
  </sheetViews>
  <sheetFormatPr defaultRowHeight="15" x14ac:dyDescent="0.25"/>
  <cols>
    <col min="1" max="1" width="14.85546875" bestFit="1" customWidth="1"/>
    <col min="3" max="3" width="17.140625" customWidth="1"/>
    <col min="4" max="4" width="29.28515625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3" max="13" width="16.85546875" bestFit="1" customWidth="1"/>
    <col min="14" max="14" width="22.140625" bestFit="1" customWidth="1"/>
    <col min="19" max="19" width="13" bestFit="1" customWidth="1"/>
    <col min="20" max="20" width="12.140625" customWidth="1"/>
    <col min="21" max="21" width="13.85546875" bestFit="1" customWidth="1"/>
    <col min="22" max="22" width="11.42578125" bestFit="1" customWidth="1"/>
    <col min="23" max="23" width="12.28515625" bestFit="1" customWidth="1"/>
    <col min="24" max="25" width="10.42578125" bestFit="1" customWidth="1"/>
    <col min="30" max="30" width="15.5703125" customWidth="1"/>
    <col min="31" max="31" width="3.5703125" bestFit="1" customWidth="1"/>
    <col min="32" max="32" width="24.7109375" bestFit="1" customWidth="1"/>
    <col min="37" max="37" width="14.8554687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AVERAGE(B3:B7)</f>
        <v>1216</v>
      </c>
      <c r="B3" s="2">
        <v>1217</v>
      </c>
      <c r="C3">
        <f>B3*2*PI()/60</f>
        <v>127.44394198062595</v>
      </c>
      <c r="D3" s="5">
        <v>1.00932326805629</v>
      </c>
      <c r="E3" s="8">
        <v>30.5131669813081</v>
      </c>
      <c r="F3" s="5">
        <v>4.2632226981025703</v>
      </c>
      <c r="G3" s="8">
        <v>38.469673882555703</v>
      </c>
      <c r="H3">
        <f t="shared" ref="H3:H28" si="0">G3+273.15</f>
        <v>311.61967388255567</v>
      </c>
      <c r="I3">
        <v>4</v>
      </c>
      <c r="J3" s="1">
        <f t="shared" ref="J3:J28" si="1">I3/60/1000</f>
        <v>6.666666666666667E-5</v>
      </c>
      <c r="K3">
        <v>30.592198151939574</v>
      </c>
      <c r="L3">
        <v>4.251841012112453</v>
      </c>
      <c r="M3">
        <f t="shared" ref="M3:M28" si="2">K3+273.15</f>
        <v>303.74219815193953</v>
      </c>
      <c r="N3">
        <f t="shared" ref="N3:N28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4.3603999999999997E-2</v>
      </c>
      <c r="X3" s="10">
        <v>265</v>
      </c>
    </row>
    <row r="4" spans="1:24" x14ac:dyDescent="0.25">
      <c r="B4" s="2">
        <v>1214</v>
      </c>
      <c r="C4">
        <f t="shared" ref="C4:C28" si="4">B4*2*PI()/60</f>
        <v>127.12978271526696</v>
      </c>
      <c r="D4" s="5">
        <v>1.0093740377162601</v>
      </c>
      <c r="E4" s="8">
        <v>30.538404032588002</v>
      </c>
      <c r="F4" s="5">
        <v>3.74878167776951</v>
      </c>
      <c r="G4" s="8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28" si="5">R4/60/1000</f>
        <v>8.3148759828451999E-5</v>
      </c>
      <c r="U4">
        <v>38</v>
      </c>
      <c r="V4">
        <v>48</v>
      </c>
      <c r="W4" s="8">
        <v>4.3603999999999997E-2</v>
      </c>
      <c r="X4" s="10">
        <v>240</v>
      </c>
    </row>
    <row r="5" spans="1:24" x14ac:dyDescent="0.25">
      <c r="A5" s="3">
        <f>AVERAGE(G3:G7)</f>
        <v>39.638566942886222</v>
      </c>
      <c r="B5" s="2">
        <v>1217</v>
      </c>
      <c r="C5">
        <f t="shared" si="4"/>
        <v>127.44394198062595</v>
      </c>
      <c r="D5" s="5">
        <v>1.0100027712944899</v>
      </c>
      <c r="E5" s="8">
        <v>30.5232550594659</v>
      </c>
      <c r="F5" s="5">
        <v>3.41149288331663</v>
      </c>
      <c r="G5" s="8">
        <v>39.278800793004301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4.3603999999999997E-2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5">
        <v>1.00926410736023</v>
      </c>
      <c r="E6" s="8">
        <v>30.568783382737202</v>
      </c>
      <c r="F6" s="5">
        <v>3.0036465230416098</v>
      </c>
      <c r="G6" s="8">
        <v>40.450708190043798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4.3603999999999997E-2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5">
        <v>1.0094537558613399</v>
      </c>
      <c r="E7" s="8">
        <v>30.5281956689855</v>
      </c>
      <c r="F7" s="5">
        <v>2.3975521098447898</v>
      </c>
      <c r="G7" s="8">
        <v>40.146233053990002</v>
      </c>
      <c r="H7">
        <f t="shared" si="0"/>
        <v>313.29623305398997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 t="shared" si="5"/>
        <v>1.6632764895962928E-4</v>
      </c>
      <c r="U7">
        <v>38</v>
      </c>
      <c r="V7">
        <v>48</v>
      </c>
      <c r="W7" s="8">
        <v>4.3603999999999997E-2</v>
      </c>
      <c r="X7" s="10">
        <v>195</v>
      </c>
    </row>
    <row r="8" spans="1:24" x14ac:dyDescent="0.25">
      <c r="B8" s="12"/>
      <c r="D8" s="5"/>
      <c r="E8" s="8"/>
      <c r="F8" s="5"/>
      <c r="G8" s="8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 s="5">
        <v>1.0094287437153799</v>
      </c>
      <c r="E9" s="8">
        <v>30.6129748409728</v>
      </c>
      <c r="F9" s="5">
        <v>5.2533625867637204</v>
      </c>
      <c r="G9" s="8">
        <v>42.253028073273697</v>
      </c>
      <c r="H9">
        <f t="shared" si="0"/>
        <v>315.40302807327367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43</v>
      </c>
      <c r="V9">
        <v>55</v>
      </c>
      <c r="W9" s="3">
        <v>3.1711999999999997E-2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5">
        <v>1.0092810759105499</v>
      </c>
      <c r="E10" s="8">
        <v>30.581004375999701</v>
      </c>
      <c r="F10" s="5">
        <v>4.8223075689095696</v>
      </c>
      <c r="G10" s="8">
        <v>42.953073171144503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43</v>
      </c>
      <c r="V10">
        <v>55</v>
      </c>
      <c r="W10" s="3">
        <v>3.1711999999999997E-2</v>
      </c>
      <c r="X10" s="10">
        <v>275</v>
      </c>
    </row>
    <row r="11" spans="1:24" x14ac:dyDescent="0.25">
      <c r="A11" s="3">
        <f>AVERAGE(G10:G14)</f>
        <v>44.384191269147735</v>
      </c>
      <c r="B11" s="2">
        <v>1412</v>
      </c>
      <c r="C11">
        <f t="shared" si="4"/>
        <v>147.86429422895961</v>
      </c>
      <c r="D11" s="5">
        <v>1.00869126440021</v>
      </c>
      <c r="E11" s="8">
        <v>30.6227287865843</v>
      </c>
      <c r="F11" s="5">
        <v>4.2362978478636197</v>
      </c>
      <c r="G11" s="8">
        <v>43.473552889636998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43</v>
      </c>
      <c r="V11">
        <v>55</v>
      </c>
      <c r="W11" s="3">
        <v>3.1711999999999997E-2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5">
        <v>1.0077573177644099</v>
      </c>
      <c r="E12" s="8">
        <v>30.816080276902401</v>
      </c>
      <c r="F12" s="5">
        <v>3.6616022441401399</v>
      </c>
      <c r="G12" s="8">
        <v>46.069186852835898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43</v>
      </c>
      <c r="V12">
        <v>55</v>
      </c>
      <c r="W12" s="3">
        <v>3.1711999999999997E-2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5">
        <v>1.0085733794744101</v>
      </c>
      <c r="E13" s="8">
        <v>30.635044840682401</v>
      </c>
      <c r="F13" s="5">
        <v>2.9220510847489098</v>
      </c>
      <c r="G13" s="8">
        <v>45.018485236153701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43</v>
      </c>
      <c r="V13">
        <v>55</v>
      </c>
      <c r="W13" s="3">
        <v>3.1711999999999997E-2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5">
        <v>1.01019986541157</v>
      </c>
      <c r="E14" s="8">
        <v>30.714603931016299</v>
      </c>
      <c r="F14" s="5">
        <v>2.6698755104625498</v>
      </c>
      <c r="G14" s="8">
        <v>44.406658195967601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43</v>
      </c>
      <c r="V14">
        <v>55</v>
      </c>
      <c r="W14" s="3">
        <v>3.1711999999999997E-2</v>
      </c>
      <c r="X14" s="10">
        <v>205</v>
      </c>
    </row>
    <row r="15" spans="1:24" x14ac:dyDescent="0.25">
      <c r="B15" s="14"/>
      <c r="D15" s="5"/>
      <c r="E15" s="8"/>
      <c r="F15" s="5"/>
      <c r="G15" s="8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5">
        <v>1.0083333009861699</v>
      </c>
      <c r="E16" s="8">
        <v>30.610294022691601</v>
      </c>
      <c r="F16" s="5">
        <v>5.2676677023988496</v>
      </c>
      <c r="G16" s="8">
        <v>43.470274717189298</v>
      </c>
      <c r="H16">
        <f t="shared" si="0"/>
        <v>316.62027471718926</v>
      </c>
      <c r="I16">
        <v>5.5</v>
      </c>
      <c r="J16" s="1">
        <f t="shared" si="1"/>
        <v>9.1666666666666654E-5</v>
      </c>
      <c r="K16">
        <v>31.301886563534723</v>
      </c>
      <c r="L16">
        <v>5.2565102493546449</v>
      </c>
      <c r="M16">
        <f t="shared" si="2"/>
        <v>304.45188656353469</v>
      </c>
      <c r="N16">
        <f t="shared" si="3"/>
        <v>0.52565102493546445</v>
      </c>
      <c r="O16">
        <v>6.0229999999999997</v>
      </c>
      <c r="Q16">
        <f t="shared" ref="Q16:Q21" si="11">SQRT(1.2/O16)*SQRT(N16/0.101325)*SQRT(293.15/M16)</f>
        <v>0.99760876797529452</v>
      </c>
      <c r="R16">
        <f t="shared" ref="R16:R21" si="12">I16*Q16</f>
        <v>5.4868482238641203</v>
      </c>
      <c r="S16" s="7">
        <f>R16/60/1000</f>
        <v>9.1447470397735338E-5</v>
      </c>
      <c r="U16">
        <v>45</v>
      </c>
      <c r="V16">
        <v>60</v>
      </c>
      <c r="W16" s="8">
        <v>2.7747999999999998E-2</v>
      </c>
      <c r="X16" s="10">
        <v>285</v>
      </c>
    </row>
    <row r="17" spans="1:25" x14ac:dyDescent="0.25">
      <c r="B17" s="2">
        <v>1638</v>
      </c>
      <c r="C17">
        <f t="shared" si="4"/>
        <v>171.53095888600271</v>
      </c>
      <c r="D17" s="5">
        <v>1.00767939569434</v>
      </c>
      <c r="E17" s="8">
        <v>30.5476633337823</v>
      </c>
      <c r="F17" s="5">
        <v>4.5488778229227904</v>
      </c>
      <c r="G17" s="8">
        <v>43.944694642553202</v>
      </c>
      <c r="H17">
        <f t="shared" si="0"/>
        <v>317.09469464255318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60</v>
      </c>
      <c r="W17" s="8">
        <v>2.7747999999999998E-2</v>
      </c>
      <c r="X17" s="10">
        <v>270</v>
      </c>
    </row>
    <row r="18" spans="1:25" x14ac:dyDescent="0.25">
      <c r="A18" s="3">
        <f>AVERAGE(G16:G21)</f>
        <v>45.823425249720117</v>
      </c>
      <c r="B18" s="2">
        <v>1639</v>
      </c>
      <c r="C18">
        <f t="shared" si="4"/>
        <v>171.63567864112238</v>
      </c>
      <c r="D18" s="5">
        <v>1.0095081019886201</v>
      </c>
      <c r="E18" s="8">
        <v>30.628921865606099</v>
      </c>
      <c r="F18" s="5">
        <v>3.6851917499746301</v>
      </c>
      <c r="G18" s="8">
        <v>45.134798680102598</v>
      </c>
      <c r="H18">
        <f t="shared" si="0"/>
        <v>318.2847986801026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60</v>
      </c>
      <c r="W18" s="8">
        <v>2.7747999999999998E-2</v>
      </c>
      <c r="X18" s="10">
        <v>235</v>
      </c>
    </row>
    <row r="19" spans="1:25" x14ac:dyDescent="0.25">
      <c r="B19" s="2">
        <v>1639</v>
      </c>
      <c r="C19">
        <f t="shared" si="4"/>
        <v>171.63567864112238</v>
      </c>
      <c r="D19" s="5">
        <v>1.0086524685865701</v>
      </c>
      <c r="E19" s="8">
        <v>30.622924679670302</v>
      </c>
      <c r="F19" s="5">
        <v>3.2641584944265198</v>
      </c>
      <c r="G19" s="8">
        <v>46.943107203221899</v>
      </c>
      <c r="H19">
        <f t="shared" si="0"/>
        <v>320.09310720322185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60</v>
      </c>
      <c r="W19" s="8">
        <v>2.7747999999999998E-2</v>
      </c>
      <c r="X19" s="10">
        <v>220</v>
      </c>
    </row>
    <row r="20" spans="1:25" x14ac:dyDescent="0.25">
      <c r="B20" s="2">
        <v>1639</v>
      </c>
      <c r="C20">
        <f t="shared" si="4"/>
        <v>171.63567864112238</v>
      </c>
      <c r="D20" s="5">
        <v>1.00910839779551</v>
      </c>
      <c r="E20" s="8">
        <v>30.616946893747699</v>
      </c>
      <c r="F20" s="5">
        <v>3.0682354873155302</v>
      </c>
      <c r="G20" s="8">
        <v>48.030195935012003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60</v>
      </c>
      <c r="W20" s="8">
        <v>2.7747999999999998E-2</v>
      </c>
      <c r="X20" s="10">
        <v>215</v>
      </c>
    </row>
    <row r="21" spans="1:25" x14ac:dyDescent="0.25">
      <c r="B21" s="2">
        <v>1640</v>
      </c>
      <c r="C21">
        <f t="shared" si="4"/>
        <v>171.74039839624203</v>
      </c>
      <c r="D21" s="5">
        <v>1.0089421600028099</v>
      </c>
      <c r="E21" s="8">
        <v>30.660577754608099</v>
      </c>
      <c r="F21" s="5">
        <v>2.8293806275398499</v>
      </c>
      <c r="G21" s="8">
        <v>47.417480320241701</v>
      </c>
      <c r="H21">
        <f t="shared" si="0"/>
        <v>320.56748032024166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60</v>
      </c>
      <c r="W21" s="8">
        <v>2.7747999999999998E-2</v>
      </c>
      <c r="X21" s="10">
        <v>205</v>
      </c>
    </row>
    <row r="22" spans="1:25" x14ac:dyDescent="0.25">
      <c r="B22" s="14"/>
      <c r="D22" s="5"/>
      <c r="E22" s="8"/>
      <c r="F22" s="5"/>
      <c r="G22" s="8"/>
      <c r="J22" s="1"/>
      <c r="S22" s="15"/>
    </row>
    <row r="23" spans="1:25" x14ac:dyDescent="0.25">
      <c r="A23" s="3">
        <f>AVERAGE(B23:B28)</f>
        <v>1838.5</v>
      </c>
      <c r="B23" s="2">
        <v>1837</v>
      </c>
      <c r="C23">
        <f t="shared" si="4"/>
        <v>192.37019015481502</v>
      </c>
      <c r="D23" s="5">
        <v>1.0074809569159</v>
      </c>
      <c r="E23" s="8">
        <v>30.849170721143601</v>
      </c>
      <c r="F23" s="5">
        <v>5.0653949430406602</v>
      </c>
      <c r="G23" s="8">
        <v>49.552490253392499</v>
      </c>
      <c r="H23">
        <f t="shared" si="0"/>
        <v>322.70249025339245</v>
      </c>
      <c r="I23">
        <v>8.5</v>
      </c>
      <c r="J23" s="1">
        <f t="shared" ref="J23" si="14">I23/60/1000</f>
        <v>1.4166666666666665E-4</v>
      </c>
      <c r="K23">
        <v>34.911742272595383</v>
      </c>
      <c r="L23">
        <v>5.0324751973883091</v>
      </c>
      <c r="M23">
        <f t="shared" ref="M23" si="15">K23+273.15</f>
        <v>308.06174227259538</v>
      </c>
      <c r="N23">
        <f t="shared" ref="N23" si="16">L23/10</f>
        <v>0.50324751973883086</v>
      </c>
      <c r="O23">
        <v>5.6976000000000004</v>
      </c>
      <c r="Q23">
        <f t="shared" ref="Q23:Q28" si="17">SQRT(1.2/O23)*SQRT(N23/0.101325)*SQRT(293.15/M23)</f>
        <v>0.99770747454028219</v>
      </c>
      <c r="R23">
        <f t="shared" ref="R23:R28" si="18">I23*Q23</f>
        <v>8.4805135335923989</v>
      </c>
      <c r="S23" s="7">
        <f t="shared" ref="S23" si="19">R23/60/1000</f>
        <v>1.4134189222653998E-4</v>
      </c>
      <c r="U23">
        <v>48</v>
      </c>
      <c r="V23">
        <v>64</v>
      </c>
      <c r="W23" s="8">
        <v>2.1801999999999998E-2</v>
      </c>
      <c r="X23" s="10">
        <v>280</v>
      </c>
    </row>
    <row r="24" spans="1:25" x14ac:dyDescent="0.25">
      <c r="A24" s="3">
        <f>AVERAGE(G23:G28)</f>
        <v>48.965822310674078</v>
      </c>
      <c r="B24" s="2">
        <v>1837</v>
      </c>
      <c r="C24">
        <f t="shared" si="4"/>
        <v>192.37019015481502</v>
      </c>
      <c r="D24" s="5">
        <v>1.0076637581773999</v>
      </c>
      <c r="E24" s="8">
        <v>30.854876597503999</v>
      </c>
      <c r="F24" s="5">
        <v>4.5816778072219497</v>
      </c>
      <c r="G24" s="8">
        <v>49.648556094417998</v>
      </c>
      <c r="H24">
        <f t="shared" si="0"/>
        <v>322.79855609441796</v>
      </c>
      <c r="I24">
        <v>10</v>
      </c>
      <c r="J24" s="1">
        <f t="shared" si="1"/>
        <v>1.6666666666666666E-4</v>
      </c>
      <c r="K24">
        <v>33.965123681967277</v>
      </c>
      <c r="L24">
        <v>4.5450850240495768</v>
      </c>
      <c r="M24">
        <f t="shared" si="2"/>
        <v>307.11512368196725</v>
      </c>
      <c r="N24">
        <f t="shared" si="3"/>
        <v>0.45450850240495766</v>
      </c>
      <c r="O24">
        <v>5.1612999999999998</v>
      </c>
      <c r="Q24">
        <f t="shared" si="17"/>
        <v>0.99774168860402668</v>
      </c>
      <c r="R24">
        <f t="shared" si="18"/>
        <v>9.9774168860402668</v>
      </c>
      <c r="S24" s="7">
        <f t="shared" si="5"/>
        <v>1.6629028143400445E-4</v>
      </c>
      <c r="U24">
        <v>48</v>
      </c>
      <c r="V24">
        <v>64</v>
      </c>
      <c r="W24" s="8">
        <v>2.1801999999999998E-2</v>
      </c>
      <c r="X24" s="10">
        <v>270</v>
      </c>
    </row>
    <row r="25" spans="1:25" x14ac:dyDescent="0.25">
      <c r="B25" s="2">
        <v>1839</v>
      </c>
      <c r="C25">
        <f>B25*2*PI()/60</f>
        <v>192.57962966505431</v>
      </c>
      <c r="D25" s="5">
        <v>1.0079378907121701</v>
      </c>
      <c r="E25" s="8">
        <v>30.7073892467095</v>
      </c>
      <c r="F25" s="5">
        <v>4.0282260804900396</v>
      </c>
      <c r="G25" s="8">
        <v>47.5989242463693</v>
      </c>
      <c r="H25">
        <f t="shared" si="0"/>
        <v>320.74892424636926</v>
      </c>
      <c r="I25">
        <v>12</v>
      </c>
      <c r="J25" s="1">
        <f t="shared" si="1"/>
        <v>2.0000000000000001E-4</v>
      </c>
      <c r="K25">
        <v>32.938857350692899</v>
      </c>
      <c r="L25">
        <v>3.9826238950298061</v>
      </c>
      <c r="M25">
        <f t="shared" si="2"/>
        <v>306.08885735069288</v>
      </c>
      <c r="N25">
        <f t="shared" si="3"/>
        <v>0.3982623895029806</v>
      </c>
      <c r="O25">
        <v>4.5373000000000001</v>
      </c>
      <c r="Q25">
        <f t="shared" si="17"/>
        <v>0.99779059487469979</v>
      </c>
      <c r="R25">
        <f t="shared" si="18"/>
        <v>11.973487138496397</v>
      </c>
      <c r="S25" s="7">
        <f t="shared" si="5"/>
        <v>1.9955811897493994E-4</v>
      </c>
      <c r="U25">
        <v>48</v>
      </c>
      <c r="V25">
        <v>64</v>
      </c>
      <c r="W25" s="8">
        <v>2.1801999999999998E-2</v>
      </c>
      <c r="X25" s="10">
        <v>260</v>
      </c>
    </row>
    <row r="26" spans="1:25" x14ac:dyDescent="0.25">
      <c r="B26" s="2">
        <v>1839</v>
      </c>
      <c r="C26">
        <f t="shared" si="4"/>
        <v>192.57962966505431</v>
      </c>
      <c r="D26" s="5">
        <v>1.0075465725805399</v>
      </c>
      <c r="E26" s="8">
        <v>30.6548261091082</v>
      </c>
      <c r="F26" s="5">
        <v>3.6533986868675399</v>
      </c>
      <c r="G26" s="8">
        <v>46.402179551899401</v>
      </c>
      <c r="H26">
        <f t="shared" si="0"/>
        <v>319.55217955189937</v>
      </c>
      <c r="I26">
        <v>15</v>
      </c>
      <c r="J26" s="1">
        <f t="shared" si="1"/>
        <v>2.5000000000000001E-4</v>
      </c>
      <c r="K26">
        <v>32.704388837077452</v>
      </c>
      <c r="L26">
        <v>3.5880844465849808</v>
      </c>
      <c r="M26">
        <f t="shared" si="2"/>
        <v>305.85438883707741</v>
      </c>
      <c r="N26">
        <f t="shared" si="3"/>
        <v>0.35880844465849809</v>
      </c>
      <c r="O26">
        <v>4.0906000000000002</v>
      </c>
      <c r="Q26">
        <f t="shared" si="17"/>
        <v>0.9978326918355499</v>
      </c>
      <c r="R26">
        <f t="shared" si="18"/>
        <v>14.967490377533249</v>
      </c>
      <c r="S26" s="7">
        <f t="shared" si="5"/>
        <v>2.4945817295888748E-4</v>
      </c>
      <c r="U26">
        <v>48</v>
      </c>
      <c r="V26">
        <v>64</v>
      </c>
      <c r="W26" s="8">
        <v>2.1801999999999998E-2</v>
      </c>
      <c r="X26" s="10">
        <v>235</v>
      </c>
    </row>
    <row r="27" spans="1:25" x14ac:dyDescent="0.25">
      <c r="B27" s="2">
        <v>1839</v>
      </c>
      <c r="C27">
        <f t="shared" si="4"/>
        <v>192.57962966505431</v>
      </c>
      <c r="D27" s="5">
        <v>1.0077304078973599</v>
      </c>
      <c r="E27" s="8">
        <v>30.822986667073099</v>
      </c>
      <c r="F27" s="5">
        <v>3.0732756854133099</v>
      </c>
      <c r="G27" s="8">
        <v>50.602444253388803</v>
      </c>
      <c r="H27">
        <f t="shared" si="0"/>
        <v>323.75244425338877</v>
      </c>
      <c r="I27">
        <v>18</v>
      </c>
      <c r="J27" s="1">
        <f t="shared" si="1"/>
        <v>2.9999999999999997E-4</v>
      </c>
      <c r="K27">
        <v>34.160465950496068</v>
      </c>
      <c r="L27">
        <v>3.0036641094433802</v>
      </c>
      <c r="M27">
        <f t="shared" si="2"/>
        <v>307.31046595049605</v>
      </c>
      <c r="N27">
        <f t="shared" si="3"/>
        <v>0.30036641094433802</v>
      </c>
      <c r="O27">
        <v>3.4075000000000002</v>
      </c>
      <c r="Q27">
        <f t="shared" si="17"/>
        <v>0.99792141125745404</v>
      </c>
      <c r="R27">
        <f t="shared" si="18"/>
        <v>17.962585402634172</v>
      </c>
      <c r="S27" s="7">
        <f t="shared" si="5"/>
        <v>2.9937642337723617E-4</v>
      </c>
      <c r="U27">
        <v>48</v>
      </c>
      <c r="V27">
        <v>64</v>
      </c>
      <c r="W27" s="8">
        <v>2.1801999999999998E-2</v>
      </c>
      <c r="X27" s="10">
        <v>215</v>
      </c>
    </row>
    <row r="28" spans="1:25" x14ac:dyDescent="0.25">
      <c r="B28" s="2">
        <v>1840</v>
      </c>
      <c r="C28">
        <f t="shared" si="4"/>
        <v>192.68434942017399</v>
      </c>
      <c r="D28" s="5">
        <v>1.00690404718988</v>
      </c>
      <c r="E28" s="8">
        <v>30.8241608515143</v>
      </c>
      <c r="F28" s="5">
        <v>2.6401044471753301</v>
      </c>
      <c r="G28" s="8">
        <v>49.9903394645765</v>
      </c>
      <c r="H28">
        <f t="shared" si="0"/>
        <v>323.14033946457647</v>
      </c>
      <c r="I28">
        <v>21</v>
      </c>
      <c r="J28" s="1">
        <f t="shared" si="1"/>
        <v>3.5E-4</v>
      </c>
      <c r="K28">
        <v>35.299841353881696</v>
      </c>
      <c r="L28">
        <v>2.5573256010264003</v>
      </c>
      <c r="M28">
        <f t="shared" si="2"/>
        <v>308.44984135388165</v>
      </c>
      <c r="N28">
        <f t="shared" si="3"/>
        <v>0.25573256010264001</v>
      </c>
      <c r="O28">
        <v>2.8900999999999999</v>
      </c>
      <c r="Q28">
        <f t="shared" si="17"/>
        <v>0.99797938124444174</v>
      </c>
      <c r="R28">
        <f t="shared" si="18"/>
        <v>20.957567006133278</v>
      </c>
      <c r="S28" s="7">
        <f t="shared" si="5"/>
        <v>3.4929278343555462E-4</v>
      </c>
      <c r="U28">
        <v>48</v>
      </c>
      <c r="V28">
        <v>64</v>
      </c>
      <c r="W28" s="8">
        <v>2.1801999999999998E-2</v>
      </c>
      <c r="X28" s="10">
        <v>205</v>
      </c>
    </row>
    <row r="29" spans="1:25" x14ac:dyDescent="0.25">
      <c r="D29" s="5"/>
      <c r="E29" s="8"/>
      <c r="F29" s="5"/>
      <c r="G29" s="8"/>
    </row>
    <row r="30" spans="1:25" x14ac:dyDescent="0.25">
      <c r="A30" s="3">
        <f>AVERAGE(B30:B35)</f>
        <v>2111.5</v>
      </c>
      <c r="B30" s="2">
        <v>2107</v>
      </c>
      <c r="C30">
        <f t="shared" ref="C30" si="20">B30*2*PI()/60</f>
        <v>220.64452403712315</v>
      </c>
      <c r="D30" s="5">
        <v>1.00664348651146</v>
      </c>
      <c r="E30" s="8">
        <v>31.8755210636795</v>
      </c>
      <c r="F30" s="5">
        <v>5.1395527310525901</v>
      </c>
      <c r="G30" s="8">
        <v>53.790427815977402</v>
      </c>
      <c r="H30">
        <f t="shared" ref="H30:H35" si="21">G30+273.15</f>
        <v>326.94042781597739</v>
      </c>
      <c r="I30">
        <v>9</v>
      </c>
      <c r="J30" s="1">
        <f t="shared" ref="J30:J35" si="22">I30/60/1000</f>
        <v>1.4999999999999999E-4</v>
      </c>
      <c r="K30">
        <v>34.091203107820157</v>
      </c>
      <c r="L30">
        <v>5.1153551515503608</v>
      </c>
      <c r="M30">
        <f t="shared" ref="M30:M35" si="23">K30+273.15</f>
        <v>307.24120310782013</v>
      </c>
      <c r="N30">
        <f t="shared" ref="N30:N35" si="24">L30/10</f>
        <v>0.51153551515503604</v>
      </c>
      <c r="O30">
        <v>5.8071999999999999</v>
      </c>
      <c r="Q30">
        <f t="shared" ref="Q30:Q35" si="25">SQRT(1.2/O30)*SQRT(N30/0.101325)*SQRT(293.15/M30)</f>
        <v>0.9976817812522496</v>
      </c>
      <c r="R30">
        <f>I30*Q30</f>
        <v>8.9791360312702473</v>
      </c>
      <c r="S30" s="7">
        <f>R30/60/1000</f>
        <v>1.4965226718783746E-4</v>
      </c>
      <c r="U30">
        <v>50</v>
      </c>
      <c r="V30">
        <v>70</v>
      </c>
      <c r="W30" s="8">
        <v>1.8828999999999999E-2</v>
      </c>
      <c r="X30" s="10">
        <v>285</v>
      </c>
      <c r="Y30">
        <v>1.7838E-2</v>
      </c>
    </row>
    <row r="31" spans="1:25" x14ac:dyDescent="0.25">
      <c r="A31" s="3">
        <f>AVERAGE(G30:G35)</f>
        <v>52.695002582312505</v>
      </c>
      <c r="B31" s="2">
        <v>2112</v>
      </c>
      <c r="C31">
        <f>B31*2*PI()/60</f>
        <v>221.16812281272144</v>
      </c>
      <c r="D31" s="5">
        <v>1.00610594912139</v>
      </c>
      <c r="E31" s="8">
        <v>32.0262582611306</v>
      </c>
      <c r="F31" s="5">
        <v>4.4350470643170903</v>
      </c>
      <c r="G31" s="8">
        <v>49.9908134224425</v>
      </c>
      <c r="H31">
        <f t="shared" si="21"/>
        <v>323.14081342244248</v>
      </c>
      <c r="I31">
        <v>11.5</v>
      </c>
      <c r="J31" s="1">
        <f t="shared" si="22"/>
        <v>1.9166666666666667E-4</v>
      </c>
      <c r="K31">
        <v>36.091330242567508</v>
      </c>
      <c r="L31">
        <v>4.398073191126322</v>
      </c>
      <c r="M31">
        <f t="shared" si="23"/>
        <v>309.24133024256747</v>
      </c>
      <c r="N31">
        <f t="shared" si="24"/>
        <v>0.43980731911263221</v>
      </c>
      <c r="O31">
        <v>4.9595000000000002</v>
      </c>
      <c r="Q31">
        <f t="shared" si="25"/>
        <v>0.99779374850115632</v>
      </c>
      <c r="R31">
        <f t="shared" ref="R31:R35" si="26">I31*Q31</f>
        <v>11.474628107763298</v>
      </c>
      <c r="S31" s="7">
        <f t="shared" ref="S31:S35" si="27">R31/60/1000</f>
        <v>1.9124380179605496E-4</v>
      </c>
      <c r="U31">
        <v>50</v>
      </c>
      <c r="V31">
        <v>70</v>
      </c>
      <c r="W31" s="8">
        <v>1.8828999999999999E-2</v>
      </c>
      <c r="X31" s="10">
        <v>270</v>
      </c>
      <c r="Y31">
        <v>1.7838E-2</v>
      </c>
    </row>
    <row r="32" spans="1:25" x14ac:dyDescent="0.25">
      <c r="A32" s="6"/>
      <c r="B32" s="2">
        <v>2114</v>
      </c>
      <c r="C32">
        <f t="shared" ref="C32:C34" si="28">B32*2*PI()/60</f>
        <v>221.37756232296076</v>
      </c>
      <c r="D32" s="5">
        <v>1.0066982516283101</v>
      </c>
      <c r="E32" s="8">
        <v>32.005684453369298</v>
      </c>
      <c r="F32" s="5">
        <v>4.0038566309211898</v>
      </c>
      <c r="G32" s="8">
        <v>49.199552467406399</v>
      </c>
      <c r="H32">
        <f t="shared" si="21"/>
        <v>322.3495524674064</v>
      </c>
      <c r="I32">
        <v>14</v>
      </c>
      <c r="J32" s="1">
        <f t="shared" si="22"/>
        <v>2.3333333333333333E-4</v>
      </c>
      <c r="K32">
        <v>35.22898377743342</v>
      </c>
      <c r="L32">
        <v>3.9611569214138527</v>
      </c>
      <c r="M32">
        <f t="shared" si="23"/>
        <v>308.3789837774334</v>
      </c>
      <c r="N32">
        <f t="shared" si="24"/>
        <v>0.39611569214138526</v>
      </c>
      <c r="O32">
        <v>4.4790000000000001</v>
      </c>
      <c r="Q32">
        <f t="shared" si="25"/>
        <v>0.99782727755777623</v>
      </c>
      <c r="R32">
        <f t="shared" si="26"/>
        <v>13.969581885808868</v>
      </c>
      <c r="S32" s="7">
        <f t="shared" si="27"/>
        <v>2.3282636476348111E-4</v>
      </c>
      <c r="U32">
        <v>50</v>
      </c>
      <c r="V32">
        <v>70</v>
      </c>
      <c r="W32" s="8">
        <v>1.8828999999999999E-2</v>
      </c>
      <c r="X32" s="10">
        <v>260</v>
      </c>
      <c r="Y32">
        <v>1.7838E-2</v>
      </c>
    </row>
    <row r="33" spans="1:40" x14ac:dyDescent="0.25">
      <c r="B33" s="2">
        <v>2111</v>
      </c>
      <c r="C33">
        <f t="shared" si="28"/>
        <v>221.06340305760176</v>
      </c>
      <c r="D33" s="5">
        <v>1.00622035047064</v>
      </c>
      <c r="E33" s="8">
        <v>32.022331469804698</v>
      </c>
      <c r="F33" s="5">
        <v>3.69061358519046</v>
      </c>
      <c r="G33" s="8">
        <v>55.823943947719599</v>
      </c>
      <c r="H33">
        <f t="shared" si="21"/>
        <v>328.97394394771959</v>
      </c>
      <c r="I33">
        <v>17</v>
      </c>
      <c r="J33" s="1">
        <f t="shared" si="22"/>
        <v>2.833333333333333E-4</v>
      </c>
      <c r="K33">
        <v>35.183946946549369</v>
      </c>
      <c r="L33">
        <v>3.6382551740685782</v>
      </c>
      <c r="M33">
        <f t="shared" si="23"/>
        <v>308.33394694654936</v>
      </c>
      <c r="N33">
        <f t="shared" si="24"/>
        <v>0.36382551740685781</v>
      </c>
      <c r="O33">
        <v>4.1142000000000003</v>
      </c>
      <c r="Q33">
        <f t="shared" si="25"/>
        <v>0.99786197341373895</v>
      </c>
      <c r="R33">
        <f t="shared" si="26"/>
        <v>16.963653548033562</v>
      </c>
      <c r="S33" s="7">
        <f t="shared" si="27"/>
        <v>2.827275591338927E-4</v>
      </c>
      <c r="U33">
        <v>50</v>
      </c>
      <c r="V33">
        <v>70</v>
      </c>
      <c r="W33" s="8">
        <v>1.8828999999999999E-2</v>
      </c>
      <c r="X33" s="10">
        <v>240</v>
      </c>
      <c r="Y33">
        <v>1.7838E-2</v>
      </c>
    </row>
    <row r="34" spans="1:40" x14ac:dyDescent="0.25">
      <c r="B34" s="2">
        <v>2112</v>
      </c>
      <c r="C34">
        <f t="shared" si="28"/>
        <v>221.16812281272144</v>
      </c>
      <c r="D34" s="5">
        <v>1.0075471234151601</v>
      </c>
      <c r="E34" s="8">
        <v>31.981519437650199</v>
      </c>
      <c r="F34" s="5">
        <v>3.3424664174525498</v>
      </c>
      <c r="G34" s="8">
        <v>54.463514185662603</v>
      </c>
      <c r="H34">
        <f t="shared" si="21"/>
        <v>327.61351418566255</v>
      </c>
      <c r="I34">
        <v>19</v>
      </c>
      <c r="J34" s="1">
        <f t="shared" si="22"/>
        <v>3.1666666666666665E-4</v>
      </c>
      <c r="K34">
        <v>36.165910744740373</v>
      </c>
      <c r="L34">
        <v>3.2729093370781328</v>
      </c>
      <c r="M34">
        <f t="shared" si="23"/>
        <v>309.31591074474034</v>
      </c>
      <c r="N34">
        <f t="shared" si="24"/>
        <v>0.32729093370781326</v>
      </c>
      <c r="O34">
        <v>3.6888999999999998</v>
      </c>
      <c r="Q34">
        <f t="shared" si="25"/>
        <v>0.99791760042068167</v>
      </c>
      <c r="R34">
        <f t="shared" si="26"/>
        <v>18.960434407992953</v>
      </c>
      <c r="S34" s="7">
        <f t="shared" si="27"/>
        <v>3.1600724013321587E-4</v>
      </c>
      <c r="U34">
        <v>50</v>
      </c>
      <c r="V34">
        <v>70</v>
      </c>
      <c r="W34" s="8">
        <v>1.8828999999999999E-2</v>
      </c>
      <c r="X34" s="10">
        <v>225</v>
      </c>
      <c r="Y34">
        <v>1.7838E-2</v>
      </c>
    </row>
    <row r="35" spans="1:40" x14ac:dyDescent="0.25">
      <c r="B35" s="2">
        <v>2113</v>
      </c>
      <c r="C35">
        <f>B35*2*PI()/60</f>
        <v>221.27284256784108</v>
      </c>
      <c r="D35" s="5">
        <v>1.00657455969937</v>
      </c>
      <c r="E35" s="8">
        <v>32.002248517148502</v>
      </c>
      <c r="F35" s="5">
        <v>2.5472304393617602</v>
      </c>
      <c r="G35" s="8">
        <v>52.901763654666603</v>
      </c>
      <c r="H35">
        <f t="shared" si="21"/>
        <v>326.05176365466656</v>
      </c>
      <c r="I35">
        <v>26</v>
      </c>
      <c r="J35" s="1">
        <f t="shared" si="22"/>
        <v>4.3333333333333337E-4</v>
      </c>
      <c r="K35">
        <v>37.109925562862749</v>
      </c>
      <c r="L35">
        <v>2.4564213377189379</v>
      </c>
      <c r="M35">
        <f t="shared" si="23"/>
        <v>310.25992556286275</v>
      </c>
      <c r="N35">
        <f t="shared" si="24"/>
        <v>0.24564213377189378</v>
      </c>
      <c r="O35">
        <v>2.7597</v>
      </c>
      <c r="Q35">
        <f t="shared" si="25"/>
        <v>0.99801005747028537</v>
      </c>
      <c r="R35">
        <f t="shared" si="26"/>
        <v>25.94826149422742</v>
      </c>
      <c r="S35" s="7">
        <f t="shared" si="27"/>
        <v>4.3247102490379037E-4</v>
      </c>
      <c r="U35">
        <v>50</v>
      </c>
      <c r="V35">
        <v>70</v>
      </c>
      <c r="W35" s="8">
        <v>1.8828999999999999E-2</v>
      </c>
      <c r="X35" s="10">
        <v>200</v>
      </c>
      <c r="Y35">
        <v>1.7838E-2</v>
      </c>
    </row>
    <row r="40" spans="1:40" ht="21" x14ac:dyDescent="0.35">
      <c r="D40" s="28"/>
      <c r="E40" s="60" t="s">
        <v>6</v>
      </c>
      <c r="F40" s="60"/>
      <c r="G40" s="60"/>
      <c r="H40" s="34"/>
      <c r="I40" s="34"/>
      <c r="J40" s="28"/>
      <c r="K40" s="61" t="s">
        <v>5</v>
      </c>
      <c r="L40" s="61"/>
      <c r="M40" s="61"/>
      <c r="N40" s="29"/>
      <c r="O40" s="60" t="s">
        <v>4</v>
      </c>
      <c r="P40" s="60"/>
      <c r="Q40" s="60"/>
      <c r="S40" s="13"/>
      <c r="T40" s="62" t="s">
        <v>19</v>
      </c>
      <c r="U40" s="62"/>
      <c r="V40" s="62"/>
      <c r="W40" s="62"/>
      <c r="X40" s="62"/>
      <c r="Y40" s="62"/>
    </row>
    <row r="41" spans="1:40" ht="18.75" x14ac:dyDescent="0.3">
      <c r="D41" s="30" t="s">
        <v>35</v>
      </c>
      <c r="E41" s="31" t="s">
        <v>23</v>
      </c>
      <c r="F41" s="31" t="s">
        <v>1</v>
      </c>
      <c r="G41" s="31" t="s">
        <v>0</v>
      </c>
      <c r="H41" s="35"/>
      <c r="I41" s="35"/>
      <c r="J41" s="30" t="s">
        <v>3</v>
      </c>
      <c r="K41" s="31" t="s">
        <v>23</v>
      </c>
      <c r="L41" s="31" t="s">
        <v>1</v>
      </c>
      <c r="M41" s="31" t="s">
        <v>2</v>
      </c>
      <c r="N41" s="31"/>
      <c r="O41" s="31" t="s">
        <v>23</v>
      </c>
      <c r="P41" s="31" t="s">
        <v>1</v>
      </c>
      <c r="Q41" s="31" t="s">
        <v>0</v>
      </c>
      <c r="T41" s="32" t="s">
        <v>21</v>
      </c>
      <c r="U41" s="33" t="s">
        <v>20</v>
      </c>
      <c r="V41" s="32" t="s">
        <v>24</v>
      </c>
      <c r="W41" s="33" t="s">
        <v>18</v>
      </c>
      <c r="X41" s="32" t="s">
        <v>25</v>
      </c>
      <c r="Y41" s="33" t="s">
        <v>22</v>
      </c>
      <c r="AA41" t="s">
        <v>50</v>
      </c>
      <c r="AC41" t="s">
        <v>56</v>
      </c>
      <c r="AH41" t="s">
        <v>55</v>
      </c>
      <c r="AK41" t="s">
        <v>62</v>
      </c>
      <c r="AM41" t="s">
        <v>63</v>
      </c>
    </row>
    <row r="42" spans="1:40" x14ac:dyDescent="0.25">
      <c r="B42" s="2">
        <f>B3</f>
        <v>1217</v>
      </c>
      <c r="C42" s="10">
        <f>B42*2*PI()/60</f>
        <v>127.44394198062595</v>
      </c>
      <c r="D42" s="25">
        <f>F3</f>
        <v>4.2632226981025703</v>
      </c>
      <c r="E42">
        <v>0.37730000000000002</v>
      </c>
      <c r="F42">
        <v>0.74839999999999995</v>
      </c>
      <c r="G42" s="5">
        <f>S3*O3*1000</f>
        <v>0.3247321478042306</v>
      </c>
      <c r="H42" s="36"/>
      <c r="I42" s="36"/>
      <c r="J42" s="25">
        <v>4.2444180924655104</v>
      </c>
      <c r="K42">
        <v>230.44499999999999</v>
      </c>
      <c r="L42">
        <v>251.22190000000001</v>
      </c>
      <c r="M42" s="5">
        <f t="shared" ref="M42:M47" si="29">C42*Q42</f>
        <v>219.923995478764</v>
      </c>
      <c r="O42">
        <v>1.8082</v>
      </c>
      <c r="P42">
        <v>1.9712000000000001</v>
      </c>
      <c r="Q42" s="5">
        <v>1.7256528012308101</v>
      </c>
      <c r="T42" s="9">
        <f>(E42-G42)/G42</f>
        <v>0.16188065318208256</v>
      </c>
      <c r="U42" s="4">
        <f>(F42-G42)/G42</f>
        <v>1.3046686478703167</v>
      </c>
      <c r="V42" s="38">
        <f>(K42-M42)/M42</f>
        <v>4.783927510198363E-2</v>
      </c>
      <c r="W42" s="38">
        <f>(L42-M42)/M42</f>
        <v>0.14231236774823941</v>
      </c>
      <c r="X42" s="4">
        <f>(O42-Q42)/Q42</f>
        <v>4.7835345968965305E-2</v>
      </c>
      <c r="Y42" s="4">
        <f>(P42-Q42)/Q42</f>
        <v>0.14229235370756799</v>
      </c>
      <c r="AA42">
        <v>8.8492944187253499</v>
      </c>
      <c r="AC42">
        <v>0.50214350843484812</v>
      </c>
      <c r="AD42" s="4">
        <f>V42-AA42/100</f>
        <v>-4.0653669085269864E-2</v>
      </c>
      <c r="AF42" s="4">
        <f>ABS(T42)-AC42</f>
        <v>-0.34026285525276556</v>
      </c>
      <c r="AG42" s="4">
        <f>E42/F42</f>
        <v>0.50414216996258687</v>
      </c>
      <c r="AH42" s="4">
        <f>G42/F42</f>
        <v>0.43390185436161227</v>
      </c>
      <c r="AK42">
        <f>T42^2</f>
        <v>2.6205345874657695E-2</v>
      </c>
      <c r="AM42">
        <f>V42^2</f>
        <v>2.2885962422832711E-3</v>
      </c>
      <c r="AN42" s="4">
        <f>(V42-$AM$72)^2</f>
        <v>9.6871839015609526E-5</v>
      </c>
    </row>
    <row r="43" spans="1:40" x14ac:dyDescent="0.25">
      <c r="A43" s="22">
        <f>AVERAGE(B42:B46)</f>
        <v>1216</v>
      </c>
      <c r="B43" s="2">
        <f>B4</f>
        <v>1214</v>
      </c>
      <c r="C43" s="10">
        <f t="shared" ref="C43:C46" si="30">B43*2*PI()/60</f>
        <v>127.12978271526696</v>
      </c>
      <c r="D43" s="25">
        <f>F4</f>
        <v>3.74878167776951</v>
      </c>
      <c r="E43">
        <v>0.39389999999999997</v>
      </c>
      <c r="F43">
        <v>0.74750000000000005</v>
      </c>
      <c r="G43" s="5">
        <f>S4*O4*1000</f>
        <v>0.35673312429200765</v>
      </c>
      <c r="H43" s="36"/>
      <c r="I43" s="36"/>
      <c r="J43" s="25">
        <v>3.7878232240313827</v>
      </c>
      <c r="K43">
        <v>210.70849999999999</v>
      </c>
      <c r="L43">
        <v>227.9221</v>
      </c>
      <c r="M43" s="5">
        <f t="shared" si="29"/>
        <v>201.06346911209982</v>
      </c>
      <c r="O43">
        <v>1.6574</v>
      </c>
      <c r="P43">
        <v>1.7927999999999999</v>
      </c>
      <c r="Q43" s="5">
        <v>1.5815607076307401</v>
      </c>
      <c r="T43" s="9">
        <f t="shared" ref="T43:T46" si="31">(E43-G43)/G43</f>
        <v>0.10418678047281357</v>
      </c>
      <c r="U43" s="4">
        <f t="shared" ref="U43:U46" si="32">(F43-G43)/G43</f>
        <v>1.0954039563427984</v>
      </c>
      <c r="V43" s="38">
        <f t="shared" ref="V43:V58" si="33">(K43-M43)/M43</f>
        <v>4.7970080942564088E-2</v>
      </c>
      <c r="W43" s="38">
        <f t="shared" ref="W43:W58" si="34">(L43-M43)/M43</f>
        <v>0.13358284827427086</v>
      </c>
      <c r="X43" s="4">
        <f t="shared" ref="X43:X58" si="35">(O43-Q43)/Q43</f>
        <v>4.7952185460443747E-2</v>
      </c>
      <c r="Y43" s="4">
        <f t="shared" ref="Y43:Y58" si="36">(P43-Q43)/Q43</f>
        <v>0.13356382170476863</v>
      </c>
      <c r="AA43">
        <v>9.6416219387958275</v>
      </c>
      <c r="AC43">
        <v>0.40189013925896322</v>
      </c>
      <c r="AD43" s="4">
        <f t="shared" ref="AD43:AD70" si="37">V43-AA43/100</f>
        <v>-4.8446138445394187E-2</v>
      </c>
      <c r="AF43" s="4">
        <f t="shared" ref="AF43:AF70" si="38">ABS(T43)-AC43</f>
        <v>-0.29770335878614962</v>
      </c>
      <c r="AG43" s="4">
        <f t="shared" ref="AG43:AG70" si="39">E43/F43</f>
        <v>0.52695652173913032</v>
      </c>
      <c r="AH43" s="4">
        <f t="shared" ref="AH43:AH70" si="40">G43/F43</f>
        <v>0.47723494888562895</v>
      </c>
      <c r="AK43">
        <f t="shared" ref="AK43:AK70" si="41">T43^2</f>
        <v>1.0854885225290248E-2</v>
      </c>
      <c r="AM43">
        <f t="shared" ref="AM43:AM70" si="42">V43^2</f>
        <v>2.3011286656361503E-3</v>
      </c>
      <c r="AN43" s="4">
        <f t="shared" ref="AN43:AN70" si="43">(V43-$AM$72)^2</f>
        <v>9.9463822720815539E-5</v>
      </c>
    </row>
    <row r="44" spans="1:40" x14ac:dyDescent="0.25">
      <c r="A44" s="23"/>
      <c r="B44" s="2">
        <f>B5</f>
        <v>1217</v>
      </c>
      <c r="C44" s="10">
        <f t="shared" si="30"/>
        <v>127.44394198062595</v>
      </c>
      <c r="D44" s="25">
        <f>F5</f>
        <v>3.41149288331663</v>
      </c>
      <c r="E44">
        <v>0.42</v>
      </c>
      <c r="F44">
        <v>0.75039999999999996</v>
      </c>
      <c r="G44" s="5">
        <f>S5*O5*1000</f>
        <v>0.45316198723503576</v>
      </c>
      <c r="H44" s="36"/>
      <c r="I44" s="36"/>
      <c r="J44" s="25">
        <v>3.4480098649583537</v>
      </c>
      <c r="K44">
        <v>198.78120000000001</v>
      </c>
      <c r="L44">
        <v>213.35659999999999</v>
      </c>
      <c r="M44" s="5">
        <f t="shared" si="29"/>
        <v>193.63025834579085</v>
      </c>
      <c r="O44">
        <v>1.5598000000000001</v>
      </c>
      <c r="P44">
        <v>1.6740999999999999</v>
      </c>
      <c r="Q44" s="5">
        <v>1.5193367008000001</v>
      </c>
      <c r="T44" s="9">
        <f t="shared" si="31"/>
        <v>-7.3179101886663905E-2</v>
      </c>
      <c r="U44" s="4">
        <f t="shared" si="32"/>
        <v>0.65592000462916045</v>
      </c>
      <c r="V44" s="38">
        <f t="shared" si="33"/>
        <v>2.6601945884978644E-2</v>
      </c>
      <c r="W44" s="38">
        <f t="shared" si="34"/>
        <v>0.10187633804103711</v>
      </c>
      <c r="X44" s="4">
        <f t="shared" si="35"/>
        <v>2.6632213372252675E-2</v>
      </c>
      <c r="Y44" s="4">
        <f t="shared" si="36"/>
        <v>0.10186241082605978</v>
      </c>
      <c r="AA44">
        <v>10.029661068040429</v>
      </c>
      <c r="AC44">
        <v>0.28733834405326064</v>
      </c>
      <c r="AD44" s="4">
        <f t="shared" si="37"/>
        <v>-7.3694664795425649E-2</v>
      </c>
      <c r="AF44" s="4">
        <f t="shared" si="38"/>
        <v>-0.21415924216659674</v>
      </c>
      <c r="AG44" s="4">
        <f t="shared" si="39"/>
        <v>0.55970149253731349</v>
      </c>
      <c r="AH44" s="4">
        <f t="shared" si="40"/>
        <v>0.60389390623005834</v>
      </c>
      <c r="AK44">
        <f t="shared" si="41"/>
        <v>5.3551809529387368E-3</v>
      </c>
      <c r="AM44">
        <f>V44^2</f>
        <v>7.0766352486733219E-4</v>
      </c>
      <c r="AN44" s="4">
        <f t="shared" si="43"/>
        <v>1.2984556815132697E-4</v>
      </c>
    </row>
    <row r="45" spans="1:40" x14ac:dyDescent="0.25">
      <c r="A45" s="23"/>
      <c r="B45" s="2">
        <f>B6</f>
        <v>1215</v>
      </c>
      <c r="C45" s="10">
        <f t="shared" si="30"/>
        <v>127.23450247038662</v>
      </c>
      <c r="D45" s="25">
        <f>F6</f>
        <v>3.0036465230416098</v>
      </c>
      <c r="E45">
        <v>0.44</v>
      </c>
      <c r="F45">
        <v>0.74929999999999997</v>
      </c>
      <c r="G45" s="5">
        <f>S6*O6*1000</f>
        <v>0.45543527309811571</v>
      </c>
      <c r="H45" s="36"/>
      <c r="I45" s="36"/>
      <c r="J45" s="25">
        <v>3.0515120209205819</v>
      </c>
      <c r="K45">
        <v>181.72970000000001</v>
      </c>
      <c r="L45">
        <v>193.81049999999999</v>
      </c>
      <c r="M45" s="5">
        <f t="shared" si="29"/>
        <v>176.89683334223687</v>
      </c>
      <c r="O45">
        <v>1.4282999999999999</v>
      </c>
      <c r="P45">
        <v>1.5233000000000001</v>
      </c>
      <c r="Q45" s="5">
        <v>1.39032125648001</v>
      </c>
      <c r="T45" s="9">
        <f t="shared" si="31"/>
        <v>-3.3891255266893752E-2</v>
      </c>
      <c r="U45" s="4">
        <f t="shared" si="32"/>
        <v>0.6452392782466283</v>
      </c>
      <c r="V45" s="38">
        <f t="shared" si="33"/>
        <v>2.7320255351395324E-2</v>
      </c>
      <c r="W45" s="38">
        <f t="shared" si="34"/>
        <v>9.5613168072040969E-2</v>
      </c>
      <c r="X45" s="4">
        <f t="shared" si="35"/>
        <v>2.7316523676077394E-2</v>
      </c>
      <c r="Y45" s="4">
        <f t="shared" si="36"/>
        <v>9.564605511150942E-2</v>
      </c>
      <c r="AA45">
        <v>10.94606345179313</v>
      </c>
      <c r="AC45">
        <v>0.25153168137532639</v>
      </c>
      <c r="AD45" s="4">
        <f t="shared" si="37"/>
        <v>-8.2140379166535965E-2</v>
      </c>
      <c r="AF45" s="4">
        <f t="shared" si="38"/>
        <v>-0.21764042610843265</v>
      </c>
      <c r="AG45" s="4">
        <f t="shared" si="39"/>
        <v>0.58721473375150146</v>
      </c>
      <c r="AH45" s="4">
        <f t="shared" si="40"/>
        <v>0.60781432416670989</v>
      </c>
      <c r="AK45">
        <f t="shared" si="41"/>
        <v>1.1486171835657535E-3</v>
      </c>
      <c r="AM45">
        <f t="shared" si="42"/>
        <v>7.4639635246544482E-4</v>
      </c>
      <c r="AN45" s="4">
        <f t="shared" si="43"/>
        <v>1.1399129269974411E-4</v>
      </c>
    </row>
    <row r="46" spans="1:40" s="48" customFormat="1" x14ac:dyDescent="0.25">
      <c r="B46" s="49">
        <f>B7</f>
        <v>1217</v>
      </c>
      <c r="C46" s="50">
        <f t="shared" si="30"/>
        <v>127.44394198062595</v>
      </c>
      <c r="D46" s="51">
        <f>F7</f>
        <v>2.3975521098447898</v>
      </c>
      <c r="E46" s="48">
        <v>0.47910000000000003</v>
      </c>
      <c r="F46" s="48">
        <v>0.75209999999999999</v>
      </c>
      <c r="G46" s="52">
        <f>S7*O7*1000</f>
        <v>0.45359213147780497</v>
      </c>
      <c r="H46" s="53"/>
      <c r="I46" s="53"/>
      <c r="J46" s="51">
        <v>2.2725055761034807</v>
      </c>
      <c r="K46" s="48">
        <v>155.60230000000001</v>
      </c>
      <c r="L46" s="48">
        <v>163.9101</v>
      </c>
      <c r="M46" s="52">
        <f t="shared" si="29"/>
        <v>150.01311193399283</v>
      </c>
      <c r="O46" s="48">
        <v>1.2209000000000001</v>
      </c>
      <c r="P46" s="48">
        <v>1.2861</v>
      </c>
      <c r="Q46" s="52">
        <v>1.1770909593866601</v>
      </c>
      <c r="T46" s="54">
        <f t="shared" si="31"/>
        <v>5.6235253550563843E-2</v>
      </c>
      <c r="U46" s="55">
        <f t="shared" si="32"/>
        <v>0.65809754580542479</v>
      </c>
      <c r="V46" s="56">
        <f t="shared" si="33"/>
        <v>3.725799694407031E-2</v>
      </c>
      <c r="W46" s="56">
        <f t="shared" si="34"/>
        <v>9.2638489308334404E-2</v>
      </c>
      <c r="X46" s="55">
        <f t="shared" si="35"/>
        <v>3.7218058862814929E-2</v>
      </c>
      <c r="Y46" s="55">
        <f t="shared" si="36"/>
        <v>9.2608850441040377E-2</v>
      </c>
      <c r="AA46" s="48">
        <v>12.900212014457967</v>
      </c>
      <c r="AC46" s="48">
        <v>0.20140968870503939</v>
      </c>
      <c r="AD46" s="55">
        <f t="shared" si="37"/>
        <v>-9.174412320050937E-2</v>
      </c>
      <c r="AF46" s="55">
        <f t="shared" si="38"/>
        <v>-0.14517443515447553</v>
      </c>
      <c r="AG46" s="55">
        <f t="shared" si="39"/>
        <v>0.63701635420821701</v>
      </c>
      <c r="AH46" s="55">
        <f t="shared" si="40"/>
        <v>0.60310082632336792</v>
      </c>
      <c r="AK46" s="48">
        <f>T46^2</f>
        <v>3.1624037418962032E-3</v>
      </c>
      <c r="AM46" s="48">
        <f t="shared" si="42"/>
        <v>1.3881583362843526E-3</v>
      </c>
      <c r="AN46" s="4">
        <f t="shared" si="43"/>
        <v>5.4601591168279925E-7</v>
      </c>
    </row>
    <row r="47" spans="1:40" x14ac:dyDescent="0.25">
      <c r="A47" s="22">
        <f>AVERAGE(B47:B52)</f>
        <v>1416.6666666666667</v>
      </c>
      <c r="B47" s="2">
        <v>1427</v>
      </c>
      <c r="C47" s="10">
        <f>B47*2*PI()/60</f>
        <v>149.4350905557545</v>
      </c>
      <c r="D47" s="25">
        <f t="shared" ref="D47:D52" si="44">F9</f>
        <v>5.2533625867637204</v>
      </c>
      <c r="E47">
        <v>0.46820000000000001</v>
      </c>
      <c r="F47">
        <v>0.87549999999999994</v>
      </c>
      <c r="G47" s="5">
        <f t="shared" ref="G47:G52" si="45">S9*O9*1000</f>
        <v>0.49942621079699617</v>
      </c>
      <c r="H47" s="36"/>
      <c r="I47" s="36"/>
      <c r="J47" s="25">
        <v>5.2406701587576698</v>
      </c>
      <c r="K47">
        <v>303.81709999999998</v>
      </c>
      <c r="L47">
        <v>333.73149999999998</v>
      </c>
      <c r="M47" s="5">
        <f t="shared" si="29"/>
        <v>312.41254145595809</v>
      </c>
      <c r="O47">
        <v>2.0547</v>
      </c>
      <c r="P47">
        <v>2.2332999999999998</v>
      </c>
      <c r="Q47" s="5">
        <v>2.0906236968444598</v>
      </c>
      <c r="T47" s="9">
        <f>(E47-G47)/G47</f>
        <v>-6.2524172984763135E-2</v>
      </c>
      <c r="U47" s="4">
        <f>(F47-G47)/G47</f>
        <v>0.75301171839350667</v>
      </c>
      <c r="V47" s="38">
        <f>(K47-M47)/M47</f>
        <v>-2.7513112680752735E-2</v>
      </c>
      <c r="W47" s="38">
        <f t="shared" ref="W47:W51" si="46">(L47-M47)/M47</f>
        <v>6.8239765422628842E-2</v>
      </c>
      <c r="X47" s="4">
        <f>(O47-Q47)/Q47</f>
        <v>-1.7183243880131205E-2</v>
      </c>
      <c r="Y47" s="4">
        <f>(P47-Q47)/Q47</f>
        <v>6.8245807875847012E-2</v>
      </c>
      <c r="AA47">
        <v>7.3087297380316496</v>
      </c>
      <c r="AC47">
        <v>0.4019625335234957</v>
      </c>
      <c r="AD47" s="4">
        <f t="shared" si="37"/>
        <v>-0.10060041006106923</v>
      </c>
      <c r="AF47" s="4">
        <f t="shared" si="38"/>
        <v>-0.33943836053873255</v>
      </c>
      <c r="AG47" s="4">
        <f t="shared" si="39"/>
        <v>0.53478012564249</v>
      </c>
      <c r="AH47" s="4">
        <f t="shared" si="40"/>
        <v>0.57044684271501567</v>
      </c>
      <c r="AK47">
        <f t="shared" si="41"/>
        <v>3.909272207428584E-3</v>
      </c>
      <c r="AM47">
        <f t="shared" si="42"/>
        <v>7.5697136938379693E-4</v>
      </c>
      <c r="AN47" s="4">
        <f t="shared" si="43"/>
        <v>4.2915651468524649E-3</v>
      </c>
    </row>
    <row r="48" spans="1:40" x14ac:dyDescent="0.25">
      <c r="B48" s="2">
        <f>B10</f>
        <v>1411</v>
      </c>
      <c r="C48" s="10">
        <f>B48*2*PI()/60</f>
        <v>147.75957447383993</v>
      </c>
      <c r="D48" s="25">
        <f t="shared" si="44"/>
        <v>4.8223075689095696</v>
      </c>
      <c r="E48">
        <v>0.48559999999999998</v>
      </c>
      <c r="F48">
        <v>0.86650000000000005</v>
      </c>
      <c r="G48" s="5">
        <f t="shared" si="45"/>
        <v>0.51458234662294589</v>
      </c>
      <c r="H48" s="36"/>
      <c r="I48" s="36"/>
      <c r="J48" s="25">
        <v>4.8223075689095696</v>
      </c>
      <c r="K48">
        <v>290.40120000000002</v>
      </c>
      <c r="L48">
        <v>311.86959999999999</v>
      </c>
      <c r="M48" s="5">
        <f>Q48*C48</f>
        <v>277.23925387205941</v>
      </c>
      <c r="O48">
        <v>1.964</v>
      </c>
      <c r="P48">
        <v>2.1107</v>
      </c>
      <c r="Q48" s="5">
        <v>1.8762862228000201</v>
      </c>
      <c r="T48" s="9">
        <f t="shared" ref="T48:T52" si="47">(E48-G48)/G48</f>
        <v>-5.6322077143043506E-2</v>
      </c>
      <c r="U48" s="4">
        <f t="shared" ref="U48:U52" si="48">(F48-G48)/G48</f>
        <v>0.68388986852461464</v>
      </c>
      <c r="V48" s="38">
        <f>(K48-M48)/M48</f>
        <v>4.7475045269075047E-2</v>
      </c>
      <c r="W48" s="38">
        <f t="shared" si="46"/>
        <v>0.12491141007009715</v>
      </c>
      <c r="X48" s="4">
        <f>(O48-Q48)/Q48</f>
        <v>4.6748612303448463E-2</v>
      </c>
      <c r="Y48" s="4">
        <f t="shared" ref="Y48:Y51" si="49">(P48-Q48)/Q48</f>
        <v>0.12493497759108387</v>
      </c>
      <c r="AA48">
        <v>8.129870897011358</v>
      </c>
      <c r="AC48">
        <v>0.36549861015308549</v>
      </c>
      <c r="AD48" s="4">
        <f t="shared" si="37"/>
        <v>-3.3823663701038537E-2</v>
      </c>
      <c r="AF48" s="4">
        <f t="shared" si="38"/>
        <v>-0.309176533010042</v>
      </c>
      <c r="AG48" s="4">
        <f t="shared" si="39"/>
        <v>0.5604154645124062</v>
      </c>
      <c r="AH48" s="4">
        <f t="shared" si="40"/>
        <v>0.59386306592376903</v>
      </c>
      <c r="AK48">
        <f t="shared" si="41"/>
        <v>3.1721763737069435E-3</v>
      </c>
      <c r="AM48">
        <f t="shared" si="42"/>
        <v>2.2538799233007252E-3</v>
      </c>
      <c r="AN48" s="4">
        <f t="shared" si="43"/>
        <v>8.9834747931782203E-5</v>
      </c>
    </row>
    <row r="49" spans="1:40" x14ac:dyDescent="0.25">
      <c r="A49" s="23"/>
      <c r="B49" s="2">
        <f>B11</f>
        <v>1412</v>
      </c>
      <c r="C49" s="10">
        <f t="shared" ref="C49:C52" si="50">B49*2*PI()/60</f>
        <v>147.86429422895961</v>
      </c>
      <c r="D49" s="25">
        <f t="shared" si="44"/>
        <v>4.2362978478636197</v>
      </c>
      <c r="E49">
        <v>0.49070000000000003</v>
      </c>
      <c r="F49">
        <v>0.86750000000000005</v>
      </c>
      <c r="G49" s="5">
        <f t="shared" si="45"/>
        <v>0.48213212885652895</v>
      </c>
      <c r="H49" s="36"/>
      <c r="I49" s="36"/>
      <c r="J49" s="25">
        <v>4.2133657686475736</v>
      </c>
      <c r="K49">
        <v>267.96350000000001</v>
      </c>
      <c r="L49">
        <v>287.29450000000003</v>
      </c>
      <c r="M49" s="5">
        <f>C49*Q49</f>
        <v>252.5835649599077</v>
      </c>
      <c r="O49">
        <v>1.8122</v>
      </c>
      <c r="P49">
        <v>1.9430000000000001</v>
      </c>
      <c r="Q49" s="5">
        <v>1.7082120215499501</v>
      </c>
      <c r="T49" s="9">
        <f t="shared" si="47"/>
        <v>1.7770794831266406E-2</v>
      </c>
      <c r="U49" s="4">
        <f t="shared" si="48"/>
        <v>0.79929929593666926</v>
      </c>
      <c r="V49" s="38">
        <f>(K49-M49)/M49</f>
        <v>6.0890482096622338E-2</v>
      </c>
      <c r="W49" s="38">
        <f t="shared" si="46"/>
        <v>0.13742356928726518</v>
      </c>
      <c r="X49" s="4">
        <f t="shared" ref="X49:X51" si="51">(O49-Q49)/Q49</f>
        <v>6.087533464124447E-2</v>
      </c>
      <c r="Y49" s="4">
        <f t="shared" si="49"/>
        <v>0.13744662576312661</v>
      </c>
      <c r="AA49">
        <v>8.9163705256233552</v>
      </c>
      <c r="AC49">
        <v>0.33509464936476585</v>
      </c>
      <c r="AD49" s="4">
        <f t="shared" si="37"/>
        <v>-2.827322315961122E-2</v>
      </c>
      <c r="AF49" s="4">
        <f t="shared" si="38"/>
        <v>-0.31732385453349943</v>
      </c>
      <c r="AG49" s="4">
        <f t="shared" si="39"/>
        <v>0.56564841498559082</v>
      </c>
      <c r="AH49" s="4">
        <f t="shared" si="40"/>
        <v>0.55577190646285757</v>
      </c>
      <c r="AK49">
        <f t="shared" si="41"/>
        <v>3.1580114893496483E-4</v>
      </c>
      <c r="AM49">
        <f t="shared" si="42"/>
        <v>3.7076508099590853E-3</v>
      </c>
      <c r="AN49" s="4">
        <f t="shared" si="43"/>
        <v>5.2411491812337312E-4</v>
      </c>
    </row>
    <row r="50" spans="1:40" x14ac:dyDescent="0.25">
      <c r="A50" s="23"/>
      <c r="B50" s="2">
        <f>B12</f>
        <v>1415</v>
      </c>
      <c r="C50" s="10">
        <f t="shared" si="50"/>
        <v>148.17845349431857</v>
      </c>
      <c r="D50" s="25">
        <f t="shared" si="44"/>
        <v>3.6616022441401399</v>
      </c>
      <c r="E50">
        <v>0.51290000000000002</v>
      </c>
      <c r="F50">
        <v>0.86899999999999999</v>
      </c>
      <c r="G50" s="5">
        <f t="shared" si="45"/>
        <v>0.55282985811386409</v>
      </c>
      <c r="H50" s="36"/>
      <c r="I50" s="36"/>
      <c r="J50" s="25">
        <v>3.6648343363992262</v>
      </c>
      <c r="K50">
        <v>242.86369999999999</v>
      </c>
      <c r="L50">
        <v>259.06330000000003</v>
      </c>
      <c r="M50" s="5">
        <f>C50*Q50</f>
        <v>233.85095355199863</v>
      </c>
      <c r="O50">
        <v>1.639</v>
      </c>
      <c r="P50">
        <v>1.7483</v>
      </c>
      <c r="Q50" s="5">
        <v>1.5781711040800199</v>
      </c>
      <c r="T50" s="9">
        <f>(E50-G50)/G50</f>
        <v>-7.2228114179823985E-2</v>
      </c>
      <c r="U50" s="4">
        <f t="shared" si="48"/>
        <v>0.57191220272515675</v>
      </c>
      <c r="V50" s="38">
        <f t="shared" ref="V50:V51" si="52">(K50-M50)/M50</f>
        <v>3.8540558894908719E-2</v>
      </c>
      <c r="W50" s="38">
        <f t="shared" si="46"/>
        <v>0.10781374232196676</v>
      </c>
      <c r="X50" s="4">
        <f t="shared" si="51"/>
        <v>3.8543916919223861E-2</v>
      </c>
      <c r="Y50" s="4">
        <f t="shared" si="49"/>
        <v>0.1078012995423301</v>
      </c>
      <c r="AA50">
        <v>9.6396452110045843</v>
      </c>
      <c r="AC50">
        <v>0.25154943778625932</v>
      </c>
      <c r="AD50" s="4">
        <f t="shared" si="37"/>
        <v>-5.7855893215137122E-2</v>
      </c>
      <c r="AF50" s="4">
        <f t="shared" si="38"/>
        <v>-0.17932132360643532</v>
      </c>
      <c r="AG50" s="4">
        <f t="shared" si="39"/>
        <v>0.59021864211737629</v>
      </c>
      <c r="AH50" s="4">
        <f>G50/F50</f>
        <v>0.63616784593079878</v>
      </c>
      <c r="AK50">
        <f t="shared" si="41"/>
        <v>5.216900477973691E-3</v>
      </c>
      <c r="AM50">
        <f t="shared" si="42"/>
        <v>1.4853746799319276E-3</v>
      </c>
      <c r="AN50" s="4">
        <f t="shared" si="43"/>
        <v>2.9553689953493073E-7</v>
      </c>
    </row>
    <row r="51" spans="1:40" x14ac:dyDescent="0.25">
      <c r="A51" s="23"/>
      <c r="B51" s="2">
        <f>B13</f>
        <v>1412</v>
      </c>
      <c r="C51" s="10">
        <f t="shared" si="50"/>
        <v>147.86429422895961</v>
      </c>
      <c r="D51" s="25">
        <f t="shared" si="44"/>
        <v>2.9220510847489098</v>
      </c>
      <c r="E51">
        <v>0.55110000000000003</v>
      </c>
      <c r="F51">
        <v>0.86970000000000003</v>
      </c>
      <c r="G51" s="5">
        <f t="shared" si="45"/>
        <v>0.55064360312853888</v>
      </c>
      <c r="H51" s="36"/>
      <c r="I51" s="36"/>
      <c r="J51" s="25">
        <v>2.9593285147529595</v>
      </c>
      <c r="K51">
        <v>206.71</v>
      </c>
      <c r="L51">
        <v>220.36109999999999</v>
      </c>
      <c r="M51" s="5">
        <f>C51*Q51</f>
        <v>203.92491114934344</v>
      </c>
      <c r="O51">
        <v>1.3979999999999999</v>
      </c>
      <c r="P51">
        <v>1.4903</v>
      </c>
      <c r="Q51" s="5">
        <v>1.37913559330001</v>
      </c>
      <c r="T51" s="9">
        <f t="shared" si="47"/>
        <v>8.2884259231939632E-4</v>
      </c>
      <c r="U51" s="4">
        <f t="shared" si="48"/>
        <v>0.57942450445026339</v>
      </c>
      <c r="V51" s="38">
        <f t="shared" si="52"/>
        <v>1.3657423386674507E-2</v>
      </c>
      <c r="W51" s="38">
        <f t="shared" si="46"/>
        <v>8.0599220360182397E-2</v>
      </c>
      <c r="X51" s="4">
        <f t="shared" si="51"/>
        <v>1.3678427843959092E-2</v>
      </c>
      <c r="Y51" s="4">
        <f t="shared" si="49"/>
        <v>8.0604407021353575E-2</v>
      </c>
      <c r="AA51">
        <v>11.011637139593399</v>
      </c>
      <c r="AC51">
        <v>0.20142211653752642</v>
      </c>
      <c r="AD51" s="4">
        <f t="shared" si="37"/>
        <v>-9.6458948009259471E-2</v>
      </c>
      <c r="AF51" s="4">
        <f t="shared" si="38"/>
        <v>-0.20059327394520704</v>
      </c>
      <c r="AG51" s="4">
        <f t="shared" si="39"/>
        <v>0.63366678164884449</v>
      </c>
      <c r="AH51" s="4">
        <f t="shared" si="40"/>
        <v>0.63314200658679876</v>
      </c>
      <c r="AK51">
        <f t="shared" si="41"/>
        <v>6.8698004284273698E-7</v>
      </c>
      <c r="AM51">
        <f t="shared" si="42"/>
        <v>1.8652521356288376E-4</v>
      </c>
      <c r="AN51" s="4">
        <f t="shared" si="43"/>
        <v>5.9241137962414943E-4</v>
      </c>
    </row>
    <row r="52" spans="1:40" s="48" customFormat="1" x14ac:dyDescent="0.25">
      <c r="A52" s="57"/>
      <c r="B52" s="49">
        <f>B14</f>
        <v>1423</v>
      </c>
      <c r="C52" s="50">
        <f t="shared" si="50"/>
        <v>149.01621153527586</v>
      </c>
      <c r="D52" s="51">
        <f t="shared" si="44"/>
        <v>2.6698755104625498</v>
      </c>
      <c r="E52" s="48">
        <v>0.57469999999999999</v>
      </c>
      <c r="F52" s="48">
        <v>0.87819999999999998</v>
      </c>
      <c r="G52" s="52">
        <f t="shared" si="45"/>
        <v>0.60090268980389583</v>
      </c>
      <c r="H52" s="53"/>
      <c r="I52" s="53"/>
      <c r="J52" s="51">
        <v>2.6546208338669319</v>
      </c>
      <c r="K52" s="48">
        <v>195.71180000000001</v>
      </c>
      <c r="L52" s="48">
        <v>208.6319</v>
      </c>
      <c r="M52" s="52">
        <f>C52*Q52</f>
        <v>199.07794559162474</v>
      </c>
      <c r="O52" s="48">
        <v>1.3133999999999999</v>
      </c>
      <c r="P52" s="48">
        <v>1.4000999999999999</v>
      </c>
      <c r="Q52" s="52">
        <v>1.3359482403999918</v>
      </c>
      <c r="T52" s="54">
        <f t="shared" si="47"/>
        <v>-4.3605545870408852E-2</v>
      </c>
      <c r="U52" s="55">
        <f t="shared" si="48"/>
        <v>0.4614679130269827</v>
      </c>
      <c r="V52" s="56">
        <f t="shared" si="33"/>
        <v>-1.6908681580077266E-2</v>
      </c>
      <c r="W52" s="56">
        <f t="shared" si="34"/>
        <v>4.7991023716778797E-2</v>
      </c>
      <c r="X52" s="55">
        <f>(O52-Q52)/Q52</f>
        <v>-1.6878079343284162E-2</v>
      </c>
      <c r="Y52" s="55">
        <f t="shared" si="36"/>
        <v>4.8019644519162366E-2</v>
      </c>
      <c r="AA52" s="48">
        <v>11.362193492177061</v>
      </c>
      <c r="AC52" s="48">
        <v>0.16801190671923019</v>
      </c>
      <c r="AD52" s="55">
        <f t="shared" si="37"/>
        <v>-0.13053061650184788</v>
      </c>
      <c r="AF52" s="55">
        <f t="shared" si="38"/>
        <v>-0.12440636084882134</v>
      </c>
      <c r="AG52" s="55">
        <f t="shared" si="39"/>
        <v>0.65440674106126162</v>
      </c>
      <c r="AH52" s="55">
        <f t="shared" si="40"/>
        <v>0.68424355477555887</v>
      </c>
      <c r="AK52" s="48">
        <f t="shared" si="41"/>
        <v>1.9014436306563304E-3</v>
      </c>
      <c r="AM52" s="48">
        <f t="shared" si="42"/>
        <v>2.8590351277644425E-4</v>
      </c>
      <c r="AN52" s="4">
        <f t="shared" si="43"/>
        <v>3.0146257260519464E-3</v>
      </c>
    </row>
    <row r="53" spans="1:40" x14ac:dyDescent="0.25">
      <c r="A53" s="22">
        <f>AVERAGE(B53:B58)</f>
        <v>1638.8333333333333</v>
      </c>
      <c r="B53" s="2">
        <f t="shared" ref="B53:B58" si="53">B16</f>
        <v>1638</v>
      </c>
      <c r="C53" s="10">
        <f t="shared" ref="C53:C58" si="54">B53*2*PI()/60</f>
        <v>171.53095888600271</v>
      </c>
      <c r="D53" s="25">
        <f t="shared" ref="D53:D58" si="55">F16</f>
        <v>5.2676677023988496</v>
      </c>
      <c r="E53" s="58">
        <v>0.61719999999999997</v>
      </c>
      <c r="F53">
        <v>1.004</v>
      </c>
      <c r="G53" s="5">
        <f t="shared" ref="G53:G58" si="56">S16*O16*1000</f>
        <v>0.55078811420555995</v>
      </c>
      <c r="H53" s="36"/>
      <c r="I53" s="36"/>
      <c r="J53" s="25">
        <v>5.2676677023988514</v>
      </c>
      <c r="K53" s="58">
        <v>363.1037</v>
      </c>
      <c r="L53">
        <v>387.78339999999997</v>
      </c>
      <c r="M53" s="5">
        <f t="shared" ref="M53:M58" si="57">C53*Q53</f>
        <v>350.36119156039933</v>
      </c>
      <c r="O53" s="58">
        <v>2.1168</v>
      </c>
      <c r="P53">
        <v>2.2606999999999999</v>
      </c>
      <c r="Q53" s="5">
        <v>2.0425536814799998</v>
      </c>
      <c r="T53" s="9">
        <f>(E53-G53)/G53</f>
        <v>0.12057610555055369</v>
      </c>
      <c r="U53" s="4">
        <f>(F53-G53)/G53</f>
        <v>0.82284253074004532</v>
      </c>
      <c r="V53" s="38">
        <f t="shared" si="33"/>
        <v>3.6369634384588991E-2</v>
      </c>
      <c r="W53" s="38">
        <f t="shared" si="34"/>
        <v>0.10681036981560031</v>
      </c>
      <c r="X53" s="4">
        <f t="shared" si="35"/>
        <v>3.6349751388762799E-2</v>
      </c>
      <c r="Y53" s="4">
        <f t="shared" si="36"/>
        <v>0.10680077615484504</v>
      </c>
      <c r="AA53">
        <v>7.4603452662052065</v>
      </c>
      <c r="AC53">
        <v>0.40196118245216816</v>
      </c>
      <c r="AD53" s="4">
        <f t="shared" si="37"/>
        <v>-3.8233818277463076E-2</v>
      </c>
      <c r="AF53" s="4">
        <f t="shared" si="38"/>
        <v>-0.28138507690161446</v>
      </c>
      <c r="AG53" s="4">
        <f t="shared" si="39"/>
        <v>0.61474103585657369</v>
      </c>
      <c r="AH53" s="4">
        <f>G53/F53</f>
        <v>0.54859373924856569</v>
      </c>
      <c r="AK53">
        <f t="shared" si="41"/>
        <v>1.4538597229738263E-2</v>
      </c>
      <c r="AM53">
        <f t="shared" si="42"/>
        <v>1.3227503052686779E-3</v>
      </c>
      <c r="AN53" s="4">
        <f t="shared" si="43"/>
        <v>2.6480774774246507E-6</v>
      </c>
    </row>
    <row r="54" spans="1:40" x14ac:dyDescent="0.25">
      <c r="B54" s="2">
        <f t="shared" si="53"/>
        <v>1638</v>
      </c>
      <c r="C54" s="10">
        <f t="shared" si="54"/>
        <v>171.53095888600271</v>
      </c>
      <c r="D54" s="25">
        <f t="shared" si="55"/>
        <v>4.5488778229227904</v>
      </c>
      <c r="E54" s="58">
        <v>0.62980000000000003</v>
      </c>
      <c r="F54">
        <v>1.0038</v>
      </c>
      <c r="G54" s="5">
        <f t="shared" si="56"/>
        <v>0.60263466997840687</v>
      </c>
      <c r="H54" s="36"/>
      <c r="I54" s="36"/>
      <c r="J54" s="25">
        <v>4.5360871409008512</v>
      </c>
      <c r="K54" s="58">
        <v>333.29</v>
      </c>
      <c r="L54">
        <v>354.00470000000001</v>
      </c>
      <c r="M54" s="5">
        <f t="shared" si="57"/>
        <v>318.37107478027991</v>
      </c>
      <c r="O54" s="58">
        <v>1.9430000000000001</v>
      </c>
      <c r="P54">
        <v>2.0638000000000001</v>
      </c>
      <c r="Q54" s="5">
        <v>1.85605605453337</v>
      </c>
      <c r="T54" s="9">
        <f t="shared" ref="T54:T58" si="58">(E54-G54)/G54</f>
        <v>4.5077608997448698E-2</v>
      </c>
      <c r="U54" s="4">
        <f t="shared" ref="U54:U58" si="59">(F54-G54)/G54</f>
        <v>0.66568577947227525</v>
      </c>
      <c r="V54" s="38">
        <f t="shared" si="33"/>
        <v>4.6860177954345356E-2</v>
      </c>
      <c r="W54" s="38">
        <f t="shared" si="34"/>
        <v>0.11192481994261644</v>
      </c>
      <c r="X54" s="4">
        <f t="shared" si="35"/>
        <v>4.6843383449692536E-2</v>
      </c>
      <c r="Y54" s="4">
        <f t="shared" si="36"/>
        <v>0.11192762468526787</v>
      </c>
      <c r="AA54">
        <v>8.1982494992110322</v>
      </c>
      <c r="AC54">
        <v>0.28737258844766644</v>
      </c>
      <c r="AD54" s="4">
        <f t="shared" si="37"/>
        <v>-3.5122317037764972E-2</v>
      </c>
      <c r="AF54" s="4">
        <f t="shared" si="38"/>
        <v>-0.24229497945021775</v>
      </c>
      <c r="AG54" s="4">
        <f t="shared" si="39"/>
        <v>0.62741581988443917</v>
      </c>
      <c r="AH54" s="4">
        <f t="shared" si="40"/>
        <v>0.60035332733453561</v>
      </c>
      <c r="AK54">
        <f t="shared" si="41"/>
        <v>2.0319908329268677E-3</v>
      </c>
      <c r="AM54">
        <f t="shared" si="42"/>
        <v>2.1958762779129143E-3</v>
      </c>
      <c r="AN54" s="4">
        <f t="shared" si="43"/>
        <v>7.8557238061124077E-5</v>
      </c>
    </row>
    <row r="55" spans="1:40" x14ac:dyDescent="0.25">
      <c r="A55" s="47"/>
      <c r="B55" s="2">
        <f t="shared" si="53"/>
        <v>1639</v>
      </c>
      <c r="C55" s="10">
        <f t="shared" si="54"/>
        <v>171.63567864112238</v>
      </c>
      <c r="D55" s="25">
        <f t="shared" si="55"/>
        <v>3.6851917499746301</v>
      </c>
      <c r="E55" s="58">
        <v>0.66279999999999994</v>
      </c>
      <c r="F55">
        <v>1.0079</v>
      </c>
      <c r="G55" s="5">
        <f t="shared" si="56"/>
        <v>0.69666610752823155</v>
      </c>
      <c r="H55" s="36"/>
      <c r="I55" s="36"/>
      <c r="J55" s="25">
        <v>3.6590501925338441</v>
      </c>
      <c r="K55" s="58">
        <v>289.95519999999999</v>
      </c>
      <c r="L55">
        <v>305.76870000000002</v>
      </c>
      <c r="M55" s="5">
        <f t="shared" si="57"/>
        <v>289.30173145285579</v>
      </c>
      <c r="O55" s="58">
        <v>1.6894</v>
      </c>
      <c r="P55">
        <v>1.7815000000000001</v>
      </c>
      <c r="Q55" s="5">
        <v>1.6855570691555599</v>
      </c>
      <c r="T55" s="9">
        <f>(E55-G55)/G55</f>
        <v>-4.8611676615629276E-2</v>
      </c>
      <c r="U55" s="4">
        <f t="shared" si="59"/>
        <v>0.44674757262991455</v>
      </c>
      <c r="V55" s="38">
        <f t="shared" si="33"/>
        <v>2.2587785557401292E-3</v>
      </c>
      <c r="W55" s="38">
        <f t="shared" si="34"/>
        <v>5.6919702707785791E-2</v>
      </c>
      <c r="X55" s="4">
        <f t="shared" si="35"/>
        <v>2.279917372578402E-3</v>
      </c>
      <c r="Y55" s="4">
        <f t="shared" si="36"/>
        <v>5.6920606605450751E-2</v>
      </c>
      <c r="AA55">
        <v>9.015660942993641</v>
      </c>
      <c r="AC55">
        <v>0.20144255402048961</v>
      </c>
      <c r="AD55" s="4">
        <f t="shared" si="37"/>
        <v>-8.7897830874196281E-2</v>
      </c>
      <c r="AF55" s="4">
        <f t="shared" si="38"/>
        <v>-0.15283087740486034</v>
      </c>
      <c r="AG55" s="4">
        <f t="shared" si="39"/>
        <v>0.65760492112312718</v>
      </c>
      <c r="AH55" s="4">
        <f t="shared" si="40"/>
        <v>0.69120558341921967</v>
      </c>
      <c r="AK55">
        <f t="shared" si="41"/>
        <v>2.3630951033825182E-3</v>
      </c>
      <c r="AM55">
        <f t="shared" si="42"/>
        <v>5.1020805638714636E-6</v>
      </c>
      <c r="AN55" s="4">
        <f t="shared" si="43"/>
        <v>1.2772151712361437E-3</v>
      </c>
    </row>
    <row r="56" spans="1:40" x14ac:dyDescent="0.25">
      <c r="A56" s="23"/>
      <c r="B56" s="2">
        <f t="shared" si="53"/>
        <v>1639</v>
      </c>
      <c r="C56" s="10">
        <f t="shared" si="54"/>
        <v>171.63567864112238</v>
      </c>
      <c r="D56" s="25">
        <f t="shared" si="55"/>
        <v>3.2641584944265198</v>
      </c>
      <c r="E56" s="58">
        <v>0.66439999999999999</v>
      </c>
      <c r="F56">
        <v>1.0081</v>
      </c>
      <c r="G56" s="5">
        <f t="shared" si="56"/>
        <v>0.73556884310464887</v>
      </c>
      <c r="H56" s="36"/>
      <c r="I56" s="36"/>
      <c r="J56" s="25">
        <v>3.2748617732348366</v>
      </c>
      <c r="K56" s="58">
        <v>266.2373</v>
      </c>
      <c r="L56">
        <v>280.15960000000001</v>
      </c>
      <c r="M56" s="5">
        <f t="shared" si="57"/>
        <v>271.84554968579704</v>
      </c>
      <c r="O56" s="58">
        <v>1.5511999999999999</v>
      </c>
      <c r="P56">
        <v>1.6323000000000001</v>
      </c>
      <c r="Q56" s="5">
        <v>1.58385221440005</v>
      </c>
      <c r="T56" s="9">
        <f t="shared" si="58"/>
        <v>-9.6753476947532613E-2</v>
      </c>
      <c r="U56" s="4">
        <f t="shared" si="59"/>
        <v>0.37050394324080732</v>
      </c>
      <c r="V56" s="38">
        <f t="shared" si="33"/>
        <v>-2.0630279554986752E-2</v>
      </c>
      <c r="W56" s="38">
        <f>(L56-M56)/M56</f>
        <v>3.0583727869786616E-2</v>
      </c>
      <c r="X56" s="4">
        <f t="shared" si="35"/>
        <v>-2.0615695140735368E-2</v>
      </c>
      <c r="Y56" s="4">
        <f t="shared" si="36"/>
        <v>3.0588577115638109E-2</v>
      </c>
      <c r="AA56">
        <v>9.5871064540770803</v>
      </c>
      <c r="AC56">
        <v>0.16802479852872595</v>
      </c>
      <c r="AD56" s="4">
        <f t="shared" si="37"/>
        <v>-0.11650134409575756</v>
      </c>
      <c r="AF56" s="4">
        <f t="shared" si="38"/>
        <v>-7.1271321581193342E-2</v>
      </c>
      <c r="AG56" s="4">
        <f t="shared" si="39"/>
        <v>0.65906160103164368</v>
      </c>
      <c r="AH56" s="4">
        <f t="shared" si="40"/>
        <v>0.72965860837679686</v>
      </c>
      <c r="AK56">
        <f t="shared" si="41"/>
        <v>9.3612353014367253E-3</v>
      </c>
      <c r="AM56">
        <f t="shared" si="42"/>
        <v>4.256084345169044E-4</v>
      </c>
      <c r="AN56" s="4">
        <f t="shared" si="43"/>
        <v>3.4371492123024244E-3</v>
      </c>
    </row>
    <row r="57" spans="1:40" x14ac:dyDescent="0.25">
      <c r="A57" s="23"/>
      <c r="B57" s="2">
        <f t="shared" si="53"/>
        <v>1639</v>
      </c>
      <c r="C57" s="10">
        <f t="shared" si="54"/>
        <v>171.63567864112238</v>
      </c>
      <c r="D57" s="25">
        <f t="shared" si="55"/>
        <v>3.0682354873155302</v>
      </c>
      <c r="E57">
        <v>0.69510000000000005</v>
      </c>
      <c r="F57">
        <v>1.0089999999999999</v>
      </c>
      <c r="G57" s="5">
        <f t="shared" si="56"/>
        <v>0.80311495788323939</v>
      </c>
      <c r="H57" s="36"/>
      <c r="I57" s="36"/>
      <c r="J57" s="25">
        <v>3.0456727654803633</v>
      </c>
      <c r="K57">
        <v>255.4761</v>
      </c>
      <c r="L57">
        <v>267.96559999999999</v>
      </c>
      <c r="M57" s="5">
        <f t="shared" si="57"/>
        <v>257.37260775625094</v>
      </c>
      <c r="O57">
        <v>1.4884999999999999</v>
      </c>
      <c r="P57">
        <v>1.5611999999999999</v>
      </c>
      <c r="Q57" s="5">
        <v>1.49952859332003</v>
      </c>
      <c r="T57" s="9">
        <f t="shared" si="58"/>
        <v>-0.13449501447206647</v>
      </c>
      <c r="U57" s="4">
        <f t="shared" si="59"/>
        <v>0.25635812170577582</v>
      </c>
      <c r="V57" s="38">
        <f t="shared" si="33"/>
        <v>-7.3687241730365505E-3</v>
      </c>
      <c r="W57" s="38">
        <f>(L57-M57)/M57</f>
        <v>4.1158196033749338E-2</v>
      </c>
      <c r="X57" s="4">
        <f t="shared" si="35"/>
        <v>-7.3547069186671431E-3</v>
      </c>
      <c r="Y57" s="4">
        <f t="shared" si="36"/>
        <v>4.112719620999452E-2</v>
      </c>
      <c r="AA57">
        <v>10.119669587953572</v>
      </c>
      <c r="AC57">
        <v>0.14416136261715479</v>
      </c>
      <c r="AD57" s="4">
        <f t="shared" si="37"/>
        <v>-0.10856542005257228</v>
      </c>
      <c r="AF57" s="4">
        <f t="shared" si="38"/>
        <v>-9.6663481450883215E-3</v>
      </c>
      <c r="AG57" s="4">
        <f t="shared" si="39"/>
        <v>0.68889990089197239</v>
      </c>
      <c r="AH57" s="4">
        <f t="shared" si="40"/>
        <v>0.79595139532531167</v>
      </c>
      <c r="AK57">
        <f t="shared" si="41"/>
        <v>1.808890891784137E-2</v>
      </c>
      <c r="AM57">
        <f t="shared" si="42"/>
        <v>5.4298095938293193E-5</v>
      </c>
      <c r="AN57" s="4">
        <f t="shared" si="43"/>
        <v>2.0580422010097288E-3</v>
      </c>
    </row>
    <row r="58" spans="1:40" s="48" customFormat="1" x14ac:dyDescent="0.25">
      <c r="A58" s="57"/>
      <c r="B58" s="49">
        <f t="shared" si="53"/>
        <v>1640</v>
      </c>
      <c r="C58" s="50">
        <f t="shared" si="54"/>
        <v>171.74039839624203</v>
      </c>
      <c r="D58" s="51">
        <f t="shared" si="55"/>
        <v>2.8293806275398499</v>
      </c>
      <c r="E58" s="48">
        <v>0.69099999999999995</v>
      </c>
      <c r="F58" s="48">
        <v>1.01</v>
      </c>
      <c r="G58" s="52">
        <f t="shared" si="56"/>
        <v>0.84332212411016105</v>
      </c>
      <c r="H58" s="53"/>
      <c r="I58" s="53"/>
      <c r="J58" s="51">
        <v>2.8706691758127212</v>
      </c>
      <c r="K58" s="48">
        <v>240.5625</v>
      </c>
      <c r="L58" s="48">
        <v>252.03149999999999</v>
      </c>
      <c r="M58" s="52">
        <f t="shared" si="57"/>
        <v>242.54161373792925</v>
      </c>
      <c r="O58" s="48">
        <v>1.4007000000000001</v>
      </c>
      <c r="P58" s="48">
        <v>1.4675</v>
      </c>
      <c r="Q58" s="52">
        <v>1.4122571975076801</v>
      </c>
      <c r="T58" s="54">
        <f t="shared" si="58"/>
        <v>-0.18062152024161013</v>
      </c>
      <c r="U58" s="55">
        <f t="shared" si="59"/>
        <v>0.19764437707087387</v>
      </c>
      <c r="V58" s="56">
        <f t="shared" si="33"/>
        <v>-8.1598935021011398E-3</v>
      </c>
      <c r="W58" s="56">
        <f t="shared" si="34"/>
        <v>3.9126837311822045E-2</v>
      </c>
      <c r="X58" s="55">
        <f t="shared" si="35"/>
        <v>-8.1834934373681452E-3</v>
      </c>
      <c r="Y58" s="55">
        <f t="shared" si="36"/>
        <v>3.9116672649862363E-2</v>
      </c>
      <c r="AA58" s="48">
        <v>10.737749616475439</v>
      </c>
      <c r="AC58" s="48">
        <v>0.12626065053416172</v>
      </c>
      <c r="AD58" s="55">
        <f t="shared" si="37"/>
        <v>-0.11553738966685553</v>
      </c>
      <c r="AF58" s="55">
        <f t="shared" si="38"/>
        <v>5.4360869707448412E-2</v>
      </c>
      <c r="AG58" s="55">
        <f t="shared" si="39"/>
        <v>0.6841584158415841</v>
      </c>
      <c r="AH58" s="55">
        <f t="shared" si="40"/>
        <v>0.83497240010907037</v>
      </c>
      <c r="AK58" s="48">
        <f t="shared" si="41"/>
        <v>3.2624133574390375E-2</v>
      </c>
      <c r="AM58" s="48">
        <f t="shared" si="42"/>
        <v>6.6583861965632411E-5</v>
      </c>
      <c r="AN58" s="4">
        <f t="shared" si="43"/>
        <v>2.1304519716821E-3</v>
      </c>
    </row>
    <row r="59" spans="1:40" x14ac:dyDescent="0.25">
      <c r="A59" s="22">
        <f>AVERAGE(B59:B64)</f>
        <v>1838.5</v>
      </c>
      <c r="B59" s="2">
        <f t="shared" ref="B59:B64" si="60">B23</f>
        <v>1837</v>
      </c>
      <c r="C59" s="10">
        <f t="shared" ref="C59:C64" si="61">B59*2*PI()/60</f>
        <v>192.37019015481502</v>
      </c>
      <c r="D59" s="25">
        <f t="shared" ref="D59:D64" si="62">F23</f>
        <v>5.0653949430406602</v>
      </c>
      <c r="E59">
        <v>0.7419</v>
      </c>
      <c r="F59">
        <v>1.1208</v>
      </c>
      <c r="G59" s="5">
        <f t="shared" ref="G59:G64" si="63">S23*O23*1000</f>
        <v>0.80530956514993424</v>
      </c>
      <c r="H59" s="36"/>
      <c r="I59" s="36"/>
      <c r="J59" s="25">
        <v>5.0955470072880154</v>
      </c>
      <c r="K59">
        <v>401.14260000000002</v>
      </c>
      <c r="L59">
        <v>434.6696</v>
      </c>
      <c r="M59" s="5">
        <f t="shared" ref="M59:M64" si="64">C59*Q59</f>
        <v>414.98108314334672</v>
      </c>
      <c r="O59">
        <v>2.0853000000000002</v>
      </c>
      <c r="P59">
        <v>2.2595000000000001</v>
      </c>
      <c r="Q59" s="5">
        <f>R59*-1</f>
        <v>2.15720056631113</v>
      </c>
      <c r="R59">
        <v>-2.15720056631113</v>
      </c>
      <c r="T59" s="9">
        <f>(E59-G59)/G59</f>
        <v>-7.8739366690781215E-2</v>
      </c>
      <c r="U59" s="4">
        <f t="shared" ref="U59:U64" si="65">(F59-G59)/F59</f>
        <v>0.28148682624024429</v>
      </c>
      <c r="V59" s="38">
        <f t="shared" ref="V59:V64" si="66">(K59-M59)/M59</f>
        <v>-3.3347262575259329E-2</v>
      </c>
      <c r="W59" s="38">
        <f t="shared" ref="W59:W64" si="67">(L59-M59)/M59</f>
        <v>4.7444371939846436E-2</v>
      </c>
      <c r="X59" s="4">
        <f t="shared" ref="X59" si="68">(O59-Q59)/Q59</f>
        <v>-3.3330496678888655E-2</v>
      </c>
      <c r="Y59" s="4">
        <f>(P59-Q59)/Q59</f>
        <v>4.742230986143528E-2</v>
      </c>
      <c r="AA59">
        <v>7.0574225732520661</v>
      </c>
      <c r="AC59">
        <v>0.23683707266595058</v>
      </c>
      <c r="AD59" s="4">
        <f t="shared" si="37"/>
        <v>-0.10392148830777999</v>
      </c>
      <c r="AF59" s="4">
        <f t="shared" si="38"/>
        <v>-0.15809770597516937</v>
      </c>
      <c r="AG59" s="4">
        <f t="shared" si="39"/>
        <v>0.66193790149892928</v>
      </c>
      <c r="AH59" s="4">
        <f t="shared" si="40"/>
        <v>0.71851317375975576</v>
      </c>
      <c r="AK59">
        <f t="shared" si="41"/>
        <v>6.1998878668653064E-3</v>
      </c>
      <c r="AM59">
        <f t="shared" si="42"/>
        <v>1.1120399212632913E-3</v>
      </c>
      <c r="AN59" s="4">
        <f t="shared" si="43"/>
        <v>5.0899932204816868E-3</v>
      </c>
    </row>
    <row r="60" spans="1:40" x14ac:dyDescent="0.25">
      <c r="A60" s="21">
        <v>1.1637999999999999</v>
      </c>
      <c r="B60" s="2">
        <f t="shared" si="60"/>
        <v>1837</v>
      </c>
      <c r="C60" s="10">
        <f t="shared" si="61"/>
        <v>192.37019015481502</v>
      </c>
      <c r="D60" s="25">
        <f t="shared" si="62"/>
        <v>4.5816778072219497</v>
      </c>
      <c r="E60">
        <v>0.72750000000000004</v>
      </c>
      <c r="F60">
        <v>1.1220000000000001</v>
      </c>
      <c r="G60" s="5">
        <f t="shared" si="63"/>
        <v>0.85827402956532706</v>
      </c>
      <c r="H60" s="36"/>
      <c r="I60" s="36"/>
      <c r="J60" s="25">
        <v>4.5563243588018114</v>
      </c>
      <c r="K60">
        <v>376.89980000000003</v>
      </c>
      <c r="L60">
        <v>408.47840000000002</v>
      </c>
      <c r="M60" s="5">
        <f t="shared" si="64"/>
        <v>377.6009892173239</v>
      </c>
      <c r="O60">
        <v>1.9592000000000001</v>
      </c>
      <c r="P60">
        <v>2.1234000000000002</v>
      </c>
      <c r="Q60" s="5">
        <f t="shared" ref="Q60:Q64" si="69">R60*-1</f>
        <v>1.9628872275555764</v>
      </c>
      <c r="R60">
        <v>-1.9628872275555764</v>
      </c>
      <c r="T60" s="9">
        <f t="shared" ref="T60:T64" si="70">(E60-G60)/G60</f>
        <v>-0.15236862011490379</v>
      </c>
      <c r="U60" s="4">
        <f t="shared" si="65"/>
        <v>0.23504988452288147</v>
      </c>
      <c r="V60" s="38">
        <f t="shared" si="66"/>
        <v>-1.8569581048430747E-3</v>
      </c>
      <c r="W60" s="38">
        <f t="shared" si="67"/>
        <v>8.1772589755862601E-2</v>
      </c>
      <c r="X60" s="4">
        <f>(O60-Q60)/Q60</f>
        <v>-1.8784714189455283E-3</v>
      </c>
      <c r="Y60" s="4">
        <f t="shared" ref="Y60:Y64" si="71">(P60-Q60)/Q60</f>
        <v>8.1773812673035517E-2</v>
      </c>
      <c r="AA60">
        <v>7.7457704836413859</v>
      </c>
      <c r="AC60">
        <v>0.20145494800485458</v>
      </c>
      <c r="AD60" s="4">
        <f t="shared" si="37"/>
        <v>-7.9314662941256928E-2</v>
      </c>
      <c r="AF60" s="4">
        <f t="shared" si="38"/>
        <v>-4.9086327889950793E-2</v>
      </c>
      <c r="AG60" s="4">
        <f t="shared" si="39"/>
        <v>0.64839572192513362</v>
      </c>
      <c r="AH60" s="4">
        <f t="shared" si="40"/>
        <v>0.76495011547711855</v>
      </c>
      <c r="AK60">
        <f t="shared" si="41"/>
        <v>2.3216196395719865E-2</v>
      </c>
      <c r="AM60">
        <f t="shared" si="42"/>
        <v>3.4482934031423837E-6</v>
      </c>
      <c r="AN60" s="4">
        <f t="shared" si="43"/>
        <v>1.5883320654050406E-3</v>
      </c>
    </row>
    <row r="61" spans="1:40" x14ac:dyDescent="0.25">
      <c r="A61" s="23"/>
      <c r="B61" s="2">
        <f t="shared" si="60"/>
        <v>1839</v>
      </c>
      <c r="C61" s="10">
        <f t="shared" si="61"/>
        <v>192.57962966505431</v>
      </c>
      <c r="D61" s="25">
        <f t="shared" si="62"/>
        <v>4.0282260804900396</v>
      </c>
      <c r="E61">
        <v>0.74760000000000004</v>
      </c>
      <c r="F61">
        <v>1.1254</v>
      </c>
      <c r="G61" s="5">
        <f t="shared" si="63"/>
        <v>0.90545505322499509</v>
      </c>
      <c r="H61" s="36"/>
      <c r="I61" s="36"/>
      <c r="J61" s="25">
        <v>3.9555644863642447</v>
      </c>
      <c r="K61">
        <v>349.40039999999999</v>
      </c>
      <c r="L61">
        <v>379.15190000000001</v>
      </c>
      <c r="M61" s="5">
        <f t="shared" si="64"/>
        <v>348.33822229195874</v>
      </c>
      <c r="O61">
        <v>1.8143</v>
      </c>
      <c r="P61">
        <v>1.9688000000000001</v>
      </c>
      <c r="Q61" s="5">
        <f t="shared" si="69"/>
        <v>1.8088009770182278</v>
      </c>
      <c r="R61">
        <v>-1.8088009770182278</v>
      </c>
      <c r="T61" s="9">
        <f t="shared" si="70"/>
        <v>-0.17433781242123114</v>
      </c>
      <c r="U61" s="4">
        <f t="shared" si="65"/>
        <v>0.19543713059801393</v>
      </c>
      <c r="V61" s="38">
        <f t="shared" si="66"/>
        <v>3.0492711969775906E-3</v>
      </c>
      <c r="W61" s="38">
        <f t="shared" si="67"/>
        <v>8.8459077230447797E-2</v>
      </c>
      <c r="X61" s="4">
        <f t="shared" ref="X61:X64" si="72">(O61-Q61)/Q61</f>
        <v>3.0401481708823559E-3</v>
      </c>
      <c r="Y61" s="4">
        <f t="shared" si="71"/>
        <v>8.8455847279299601E-2</v>
      </c>
      <c r="AA61">
        <v>8.3966394651480627</v>
      </c>
      <c r="AC61">
        <v>0.16803793053162808</v>
      </c>
      <c r="AD61" s="4">
        <f t="shared" si="37"/>
        <v>-8.091712345450304E-2</v>
      </c>
      <c r="AF61" s="4">
        <f t="shared" si="38"/>
        <v>6.2998818896030651E-3</v>
      </c>
      <c r="AG61" s="4">
        <f t="shared" si="39"/>
        <v>0.66429713879509511</v>
      </c>
      <c r="AH61" s="4">
        <f t="shared" si="40"/>
        <v>0.80456286940198607</v>
      </c>
      <c r="AK61">
        <f t="shared" si="41"/>
        <v>3.0393672839820376E-2</v>
      </c>
      <c r="AM61">
        <f t="shared" si="42"/>
        <v>9.2980548327171477E-6</v>
      </c>
      <c r="AN61" s="4">
        <f t="shared" si="43"/>
        <v>1.2213385649743238E-3</v>
      </c>
    </row>
    <row r="62" spans="1:40" x14ac:dyDescent="0.25">
      <c r="A62" s="23"/>
      <c r="B62" s="2">
        <f t="shared" si="60"/>
        <v>1839</v>
      </c>
      <c r="C62" s="10">
        <f t="shared" si="61"/>
        <v>192.57962966505431</v>
      </c>
      <c r="D62" s="25">
        <f t="shared" si="62"/>
        <v>3.6533986868675399</v>
      </c>
      <c r="E62">
        <v>0.7621</v>
      </c>
      <c r="F62">
        <v>1.1255999999999999</v>
      </c>
      <c r="G62" s="5">
        <f t="shared" si="63"/>
        <v>1.0204336023056251</v>
      </c>
      <c r="H62" s="36"/>
      <c r="I62" s="36"/>
      <c r="J62" s="25">
        <v>3.5979343489934528</v>
      </c>
      <c r="K62">
        <v>325.63630000000001</v>
      </c>
      <c r="L62">
        <v>350.7996</v>
      </c>
      <c r="M62" s="5">
        <f t="shared" si="64"/>
        <v>344.11790533548407</v>
      </c>
      <c r="O62">
        <v>1.6909000000000001</v>
      </c>
      <c r="P62">
        <v>1.8216000000000001</v>
      </c>
      <c r="Q62" s="5">
        <f t="shared" si="69"/>
        <v>1.7868863178000391</v>
      </c>
      <c r="R62">
        <v>-1.7868863178000391</v>
      </c>
      <c r="T62" s="9">
        <f t="shared" si="70"/>
        <v>-0.25316061889958502</v>
      </c>
      <c r="U62" s="4">
        <f t="shared" si="65"/>
        <v>9.343141230843538E-2</v>
      </c>
      <c r="V62" s="38">
        <f t="shared" si="66"/>
        <v>-5.3707188870239564E-2</v>
      </c>
      <c r="W62" s="38">
        <f t="shared" si="67"/>
        <v>1.9416875904791638E-2</v>
      </c>
      <c r="X62" s="4">
        <f t="shared" si="72"/>
        <v>-5.3717081407962511E-2</v>
      </c>
      <c r="Y62" s="4">
        <f t="shared" si="71"/>
        <v>1.9426911412416769E-2</v>
      </c>
      <c r="AA62">
        <v>8.4983435211857312</v>
      </c>
      <c r="AC62">
        <v>0.12627367396453848</v>
      </c>
      <c r="AD62" s="4">
        <f t="shared" si="37"/>
        <v>-0.13869062408209687</v>
      </c>
      <c r="AF62" s="4">
        <f t="shared" si="38"/>
        <v>0.12688694493504654</v>
      </c>
      <c r="AG62" s="4">
        <f t="shared" si="39"/>
        <v>0.67706112295664533</v>
      </c>
      <c r="AH62" s="4">
        <f t="shared" si="40"/>
        <v>0.90656858769156456</v>
      </c>
      <c r="AK62">
        <f>T62^2</f>
        <v>6.4090298961620926E-2</v>
      </c>
      <c r="AM62">
        <f t="shared" si="42"/>
        <v>2.8844621363435844E-3</v>
      </c>
      <c r="AN62" s="4">
        <f t="shared" si="43"/>
        <v>8.4096446545955366E-3</v>
      </c>
    </row>
    <row r="63" spans="1:40" x14ac:dyDescent="0.25">
      <c r="A63" s="23"/>
      <c r="B63" s="2">
        <f t="shared" si="60"/>
        <v>1839</v>
      </c>
      <c r="C63" s="10">
        <f t="shared" si="61"/>
        <v>192.57962966505431</v>
      </c>
      <c r="D63" s="25">
        <f t="shared" si="62"/>
        <v>3.0732756854133099</v>
      </c>
      <c r="E63">
        <v>0.79359999999999997</v>
      </c>
      <c r="F63">
        <v>1.127</v>
      </c>
      <c r="G63" s="5">
        <f t="shared" si="63"/>
        <v>1.0201251626579322</v>
      </c>
      <c r="H63" s="36"/>
      <c r="I63" s="36"/>
      <c r="J63" s="25">
        <v>3.1121112229606274</v>
      </c>
      <c r="K63">
        <v>292.13810000000001</v>
      </c>
      <c r="L63">
        <v>310.60730000000001</v>
      </c>
      <c r="M63" s="5">
        <f t="shared" si="64"/>
        <v>310.51013897327994</v>
      </c>
      <c r="O63">
        <v>1.5169999999999999</v>
      </c>
      <c r="P63">
        <v>1.6129</v>
      </c>
      <c r="Q63" s="5">
        <f t="shared" si="69"/>
        <v>1.612372707920029</v>
      </c>
      <c r="R63">
        <v>-1.612372707920029</v>
      </c>
      <c r="T63" s="9">
        <f t="shared" si="70"/>
        <v>-0.22205624461582907</v>
      </c>
      <c r="U63" s="4">
        <f t="shared" si="65"/>
        <v>9.4831266496954586E-2</v>
      </c>
      <c r="V63" s="38">
        <f t="shared" si="66"/>
        <v>-5.9167275613054557E-2</v>
      </c>
      <c r="W63" s="38">
        <f t="shared" si="67"/>
        <v>3.1290774285613269E-4</v>
      </c>
      <c r="X63" s="4">
        <f t="shared" si="72"/>
        <v>-5.9150534768763516E-2</v>
      </c>
      <c r="Y63" s="4">
        <f t="shared" si="71"/>
        <v>3.270286562039694E-4</v>
      </c>
      <c r="AA63">
        <v>9.4069131165651516</v>
      </c>
      <c r="AC63">
        <v>0.11234462939305302</v>
      </c>
      <c r="AD63" s="4">
        <f t="shared" si="37"/>
        <v>-0.15323640677870609</v>
      </c>
      <c r="AF63" s="4">
        <f t="shared" si="38"/>
        <v>0.10971161522277605</v>
      </c>
      <c r="AG63" s="4">
        <f t="shared" si="39"/>
        <v>0.70417036379769293</v>
      </c>
      <c r="AH63" s="4">
        <f t="shared" si="40"/>
        <v>0.90516873350304539</v>
      </c>
      <c r="AK63">
        <f t="shared" si="41"/>
        <v>4.9308975772884914E-2</v>
      </c>
      <c r="AM63">
        <f t="shared" si="42"/>
        <v>3.5007665034711604E-3</v>
      </c>
      <c r="AN63" s="4">
        <f t="shared" si="43"/>
        <v>9.440882043805025E-3</v>
      </c>
    </row>
    <row r="64" spans="1:40" s="48" customFormat="1" x14ac:dyDescent="0.25">
      <c r="A64" s="57"/>
      <c r="B64" s="49">
        <f t="shared" si="60"/>
        <v>1840</v>
      </c>
      <c r="C64" s="50">
        <f t="shared" si="61"/>
        <v>192.68434942017399</v>
      </c>
      <c r="D64" s="51">
        <f t="shared" si="62"/>
        <v>2.6401044471753301</v>
      </c>
      <c r="E64" s="48">
        <v>0.8226</v>
      </c>
      <c r="F64" s="48">
        <v>1.1279999999999999</v>
      </c>
      <c r="G64" s="52">
        <f t="shared" si="63"/>
        <v>1.0094910734070963</v>
      </c>
      <c r="H64" s="53"/>
      <c r="I64" s="53"/>
      <c r="J64" s="51">
        <v>2.6186306105362576</v>
      </c>
      <c r="K64" s="48">
        <v>259.46530000000001</v>
      </c>
      <c r="L64" s="48">
        <v>279.0224</v>
      </c>
      <c r="M64" s="52">
        <f t="shared" si="64"/>
        <v>272.32024194294416</v>
      </c>
      <c r="O64" s="48">
        <v>1.3466</v>
      </c>
      <c r="P64" s="48">
        <v>1.4480999999999999</v>
      </c>
      <c r="Q64" s="52">
        <f t="shared" si="69"/>
        <v>1.4132971503000145</v>
      </c>
      <c r="R64" s="48">
        <v>-1.4132971503000145</v>
      </c>
      <c r="T64" s="54">
        <f t="shared" si="70"/>
        <v>-0.18513395346461767</v>
      </c>
      <c r="U64" s="55">
        <f t="shared" si="65"/>
        <v>0.10506110513555282</v>
      </c>
      <c r="V64" s="56">
        <f t="shared" si="66"/>
        <v>-4.7205238403238071E-2</v>
      </c>
      <c r="W64" s="56">
        <f t="shared" si="67"/>
        <v>2.4611310599746233E-2</v>
      </c>
      <c r="X64" s="55">
        <f t="shared" si="72"/>
        <v>-4.7192588116275462E-2</v>
      </c>
      <c r="Y64" s="55">
        <f t="shared" si="71"/>
        <v>2.4625288243592326E-2</v>
      </c>
      <c r="AA64" s="48">
        <v>10.717275967021553</v>
      </c>
      <c r="AC64" s="48">
        <v>9.6432949464436882E-2</v>
      </c>
      <c r="AD64" s="55">
        <f t="shared" si="37"/>
        <v>-0.15437799807345359</v>
      </c>
      <c r="AF64" s="55">
        <f t="shared" si="38"/>
        <v>8.8701004000180786E-2</v>
      </c>
      <c r="AG64" s="55">
        <f t="shared" si="39"/>
        <v>0.72925531914893627</v>
      </c>
      <c r="AH64" s="55">
        <f t="shared" si="40"/>
        <v>0.89493889486444722</v>
      </c>
      <c r="AK64" s="48">
        <f t="shared" si="41"/>
        <v>3.4274580725439222E-2</v>
      </c>
      <c r="AM64" s="48">
        <f t="shared" si="42"/>
        <v>2.2283345327065423E-3</v>
      </c>
      <c r="AN64" s="4">
        <f t="shared" si="43"/>
        <v>7.2594087915521773E-3</v>
      </c>
    </row>
    <row r="65" spans="1:40" x14ac:dyDescent="0.25">
      <c r="A65" s="22">
        <f>AVERAGE(B65:B70)</f>
        <v>2111.5</v>
      </c>
      <c r="B65" s="2">
        <v>2107</v>
      </c>
      <c r="C65" s="10">
        <f t="shared" ref="C65:C70" si="73">B65*2*PI()/60</f>
        <v>220.64452403712315</v>
      </c>
      <c r="D65" s="25">
        <f t="shared" ref="D65:D70" si="74">F30</f>
        <v>5.1395527310525901</v>
      </c>
      <c r="E65">
        <v>0.90310000000000001</v>
      </c>
      <c r="F65">
        <v>1.2824</v>
      </c>
      <c r="G65" s="5">
        <f t="shared" ref="G65:G70" si="75">S30*O30*1000</f>
        <v>0.86906064601320965</v>
      </c>
      <c r="H65" s="37">
        <v>2052</v>
      </c>
      <c r="I65" s="37">
        <f>H65/60*2*PI()</f>
        <v>214.88493750554187</v>
      </c>
      <c r="J65" s="25">
        <v>5.1081324714812002</v>
      </c>
      <c r="K65">
        <v>475.798</v>
      </c>
      <c r="L65">
        <v>500.786</v>
      </c>
      <c r="M65" s="5">
        <f>C65*Q65</f>
        <v>496.993999338386</v>
      </c>
      <c r="O65">
        <v>2.1564000000000001</v>
      </c>
      <c r="P65">
        <v>2.2696999999999998</v>
      </c>
      <c r="Q65" s="5">
        <f t="shared" ref="Q65:Q70" si="76">R65*-1</f>
        <v>2.2524646895599703</v>
      </c>
      <c r="R65">
        <v>-2.2524646895599703</v>
      </c>
      <c r="T65" s="9">
        <f>(E65-G65)/G65</f>
        <v>3.9167984585362262E-2</v>
      </c>
      <c r="U65" s="4">
        <f t="shared" ref="U65:U70" si="77">(F65-G65)/F65</f>
        <v>0.32231702587865746</v>
      </c>
      <c r="V65" s="38">
        <f>(K65-M65)/M65</f>
        <v>-4.2648400919533799E-2</v>
      </c>
      <c r="W65" s="38">
        <f>(L65-M65)/M65</f>
        <v>7.62987212453677E-3</v>
      </c>
      <c r="X65" s="4">
        <f>(O65-Q65)/Q65</f>
        <v>-4.2648699446976399E-2</v>
      </c>
      <c r="Y65" s="4">
        <f>(P65-Q65)/Q65</f>
        <v>7.6517561051740934E-3</v>
      </c>
      <c r="AA65">
        <v>6.7500154102744725</v>
      </c>
      <c r="AC65">
        <v>0.22374090257721529</v>
      </c>
      <c r="AD65" s="4">
        <f t="shared" si="37"/>
        <v>-0.11014855502227852</v>
      </c>
      <c r="AF65" s="4">
        <f t="shared" si="38"/>
        <v>-0.18457291799185305</v>
      </c>
      <c r="AG65" s="4">
        <f t="shared" si="39"/>
        <v>0.7042264504054897</v>
      </c>
      <c r="AH65" s="4">
        <f t="shared" si="40"/>
        <v>0.67768297412134249</v>
      </c>
      <c r="AK65">
        <f t="shared" si="41"/>
        <v>1.5341310164791757E-3</v>
      </c>
      <c r="AM65">
        <f t="shared" si="42"/>
        <v>1.8188861009932914E-3</v>
      </c>
      <c r="AN65" s="4">
        <f t="shared" si="43"/>
        <v>6.5036687279820425E-3</v>
      </c>
    </row>
    <row r="66" spans="1:40" x14ac:dyDescent="0.25">
      <c r="A66" s="21">
        <v>1.33</v>
      </c>
      <c r="B66" s="2">
        <f>B31</f>
        <v>2112</v>
      </c>
      <c r="C66" s="10">
        <f t="shared" si="73"/>
        <v>221.16812281272144</v>
      </c>
      <c r="D66" s="25">
        <f t="shared" si="74"/>
        <v>4.4350470643170903</v>
      </c>
      <c r="E66">
        <v>0.91779999999999995</v>
      </c>
      <c r="F66">
        <v>1.2858000000000001</v>
      </c>
      <c r="G66" s="5">
        <f t="shared" si="75"/>
        <v>0.94847363500753468</v>
      </c>
      <c r="H66" s="36"/>
      <c r="I66" s="36"/>
      <c r="J66" s="25">
        <v>4.430646488532715</v>
      </c>
      <c r="K66">
        <v>436.90710000000001</v>
      </c>
      <c r="L66">
        <v>459.31459999999998</v>
      </c>
      <c r="M66" s="5">
        <f t="shared" ref="M66:M70" si="78">C66*Q66</f>
        <v>455.1477762194761</v>
      </c>
      <c r="O66">
        <v>1.9755</v>
      </c>
      <c r="P66">
        <v>2.0768</v>
      </c>
      <c r="Q66" s="5">
        <f t="shared" si="76"/>
        <v>2.0579266597333361</v>
      </c>
      <c r="R66">
        <v>-2.0579266597333361</v>
      </c>
      <c r="T66" s="9">
        <f t="shared" ref="T66:T69" si="79">(E66-G66)/G66</f>
        <v>-3.2339997523801553E-2</v>
      </c>
      <c r="U66" s="4">
        <f t="shared" si="77"/>
        <v>0.26234746071898069</v>
      </c>
      <c r="V66" s="38">
        <f>(K66-M66)/M66</f>
        <v>-4.0076382160945188E-2</v>
      </c>
      <c r="W66" s="38">
        <f>(L66-M66)/M66</f>
        <v>9.1548811138530244E-3</v>
      </c>
      <c r="X66" s="4">
        <f t="shared" ref="X66:X68" si="80">(O66-Q66)/Q66</f>
        <v>-4.0053254251546953E-2</v>
      </c>
      <c r="Y66" s="4">
        <f>(P66-Q66)/Q66</f>
        <v>9.1710460999176041E-3</v>
      </c>
      <c r="AA66">
        <v>7.3793184342966098</v>
      </c>
      <c r="AC66">
        <v>0.17529979892238035</v>
      </c>
      <c r="AD66" s="4">
        <f t="shared" si="37"/>
        <v>-0.11386956650391128</v>
      </c>
      <c r="AF66" s="4">
        <f t="shared" si="38"/>
        <v>-0.14295980139857878</v>
      </c>
      <c r="AG66" s="4">
        <f t="shared" si="39"/>
        <v>0.71379685798724524</v>
      </c>
      <c r="AH66" s="4">
        <f t="shared" si="40"/>
        <v>0.73765253928101937</v>
      </c>
      <c r="AK66">
        <f t="shared" si="41"/>
        <v>1.0458754398394905E-3</v>
      </c>
      <c r="AM66">
        <f>V66^2</f>
        <v>1.6061164071101257E-3</v>
      </c>
      <c r="AN66" s="4">
        <f t="shared" si="43"/>
        <v>6.0954414220459364E-3</v>
      </c>
    </row>
    <row r="67" spans="1:40" x14ac:dyDescent="0.25">
      <c r="A67" s="23"/>
      <c r="B67" s="2">
        <f>B32</f>
        <v>2114</v>
      </c>
      <c r="C67" s="10">
        <f t="shared" si="73"/>
        <v>221.37756232296076</v>
      </c>
      <c r="D67" s="25">
        <f t="shared" si="74"/>
        <v>4.0038566309211898</v>
      </c>
      <c r="E67">
        <v>0.9355</v>
      </c>
      <c r="F67">
        <v>1.2889999999999999</v>
      </c>
      <c r="G67" s="5">
        <f t="shared" si="75"/>
        <v>1.042829287775632</v>
      </c>
      <c r="H67" s="36"/>
      <c r="I67" s="36"/>
      <c r="J67" s="25">
        <v>4.017045492351957</v>
      </c>
      <c r="K67">
        <v>410.89210000000003</v>
      </c>
      <c r="L67">
        <v>430.43549999999999</v>
      </c>
      <c r="M67" s="5">
        <f t="shared" si="78"/>
        <v>404.21583325687345</v>
      </c>
      <c r="O67">
        <v>1.8561000000000001</v>
      </c>
      <c r="P67">
        <v>1.9443999999999999</v>
      </c>
      <c r="Q67" s="5">
        <f t="shared" si="76"/>
        <v>1.8259114836000212</v>
      </c>
      <c r="R67">
        <v>-1.8259114836000212</v>
      </c>
      <c r="T67" s="9">
        <f t="shared" si="79"/>
        <v>-0.10292124418999271</v>
      </c>
      <c r="U67" s="4">
        <f t="shared" si="77"/>
        <v>0.19097805447972688</v>
      </c>
      <c r="V67" s="38">
        <f t="shared" ref="V67:V70" si="81">(K67-M67)/M67</f>
        <v>1.6516588895922595E-2</v>
      </c>
      <c r="W67" s="38">
        <f t="shared" ref="W67:W70" si="82">(L67-M67)/M67</f>
        <v>6.4865511407279072E-2</v>
      </c>
      <c r="X67" s="4">
        <f t="shared" si="80"/>
        <v>1.6533395332208715E-2</v>
      </c>
      <c r="Y67" s="4">
        <f t="shared" ref="Y67:Y70" si="83">(P67-Q67)/Q67</f>
        <v>6.4892804204485982E-2</v>
      </c>
      <c r="AA67">
        <v>8.3054185123494904</v>
      </c>
      <c r="AC67">
        <v>0.1441703850883283</v>
      </c>
      <c r="AD67" s="4">
        <f t="shared" si="37"/>
        <v>-6.6537596227572299E-2</v>
      </c>
      <c r="AF67" s="4">
        <f t="shared" si="38"/>
        <v>-4.124914089833559E-2</v>
      </c>
      <c r="AG67" s="4">
        <f t="shared" si="39"/>
        <v>0.72575640031031807</v>
      </c>
      <c r="AH67" s="4">
        <f t="shared" si="40"/>
        <v>0.80902194552027318</v>
      </c>
      <c r="AK67">
        <f t="shared" si="41"/>
        <v>1.0592782505616108E-2</v>
      </c>
      <c r="AM67">
        <f t="shared" si="42"/>
        <v>2.7279770875691359E-4</v>
      </c>
      <c r="AN67" s="4">
        <f t="shared" si="43"/>
        <v>4.614048751858332E-4</v>
      </c>
    </row>
    <row r="68" spans="1:40" x14ac:dyDescent="0.25">
      <c r="A68" s="23"/>
      <c r="B68" s="2">
        <f>B33</f>
        <v>2111</v>
      </c>
      <c r="C68" s="10">
        <f t="shared" si="73"/>
        <v>221.06340305760176</v>
      </c>
      <c r="D68" s="25">
        <f t="shared" si="74"/>
        <v>3.69061358519046</v>
      </c>
      <c r="E68">
        <v>0.91810000000000003</v>
      </c>
      <c r="F68">
        <v>1.2874000000000001</v>
      </c>
      <c r="G68" s="5">
        <f t="shared" si="75"/>
        <v>1.1631977237886615</v>
      </c>
      <c r="H68" s="36"/>
      <c r="I68" s="36"/>
      <c r="J68" s="25">
        <v>3.6982373185992503</v>
      </c>
      <c r="K68">
        <v>386.55220000000003</v>
      </c>
      <c r="L68">
        <v>404.46960000000001</v>
      </c>
      <c r="M68" s="5">
        <f t="shared" si="78"/>
        <v>362.03189924269998</v>
      </c>
      <c r="O68">
        <v>1.7485999999999999</v>
      </c>
      <c r="P68">
        <v>1.8297000000000001</v>
      </c>
      <c r="Q68" s="5">
        <f t="shared" si="76"/>
        <v>1.6376835524800391</v>
      </c>
      <c r="R68">
        <v>-1.6376835524800391</v>
      </c>
      <c r="T68" s="9">
        <f t="shared" si="79"/>
        <v>-0.21071028491213989</v>
      </c>
      <c r="U68" s="4">
        <f t="shared" si="77"/>
        <v>9.6475280574288183E-2</v>
      </c>
      <c r="V68" s="38">
        <f t="shared" si="81"/>
        <v>6.7729669149574193E-2</v>
      </c>
      <c r="W68" s="38">
        <f t="shared" si="82"/>
        <v>0.11722088812082973</v>
      </c>
      <c r="X68" s="4">
        <f t="shared" si="80"/>
        <v>6.7727643324007061E-2</v>
      </c>
      <c r="Y68" s="4">
        <f t="shared" si="83"/>
        <v>0.1172488098993114</v>
      </c>
      <c r="AA68">
        <v>9.2497504333691669</v>
      </c>
      <c r="AC68">
        <v>0.11890127290614302</v>
      </c>
      <c r="AD68" s="4">
        <f t="shared" si="37"/>
        <v>-2.4767835184117473E-2</v>
      </c>
      <c r="AF68" s="4">
        <f t="shared" si="38"/>
        <v>9.1809012005996865E-2</v>
      </c>
      <c r="AG68" s="4">
        <f t="shared" si="39"/>
        <v>0.71314276837035884</v>
      </c>
      <c r="AH68" s="4">
        <f t="shared" si="40"/>
        <v>0.90352471942571178</v>
      </c>
      <c r="AK68">
        <f>T68^2</f>
        <v>4.4398824167755167E-2</v>
      </c>
      <c r="AM68">
        <f t="shared" si="42"/>
        <v>4.5873080831107822E-3</v>
      </c>
      <c r="AN68" s="4">
        <f t="shared" si="43"/>
        <v>8.8403602477568177E-4</v>
      </c>
    </row>
    <row r="69" spans="1:40" x14ac:dyDescent="0.25">
      <c r="A69" s="23"/>
      <c r="B69" s="2">
        <f>B34</f>
        <v>2112</v>
      </c>
      <c r="C69" s="10">
        <f t="shared" si="73"/>
        <v>221.16812281272144</v>
      </c>
      <c r="D69" s="25">
        <f t="shared" si="74"/>
        <v>3.3424664174525498</v>
      </c>
      <c r="E69">
        <v>0.93820000000000003</v>
      </c>
      <c r="F69">
        <v>1.2907</v>
      </c>
      <c r="G69" s="5">
        <f t="shared" si="75"/>
        <v>1.1657191081274199</v>
      </c>
      <c r="H69" s="36"/>
      <c r="I69" s="36"/>
      <c r="J69" s="25">
        <v>3.3621021478520641</v>
      </c>
      <c r="K69">
        <v>361.57549999999998</v>
      </c>
      <c r="L69">
        <v>377.05149999999998</v>
      </c>
      <c r="M69" s="5">
        <f t="shared" si="78"/>
        <v>343.19032930307435</v>
      </c>
      <c r="O69">
        <v>1.6348</v>
      </c>
      <c r="P69">
        <v>1.7048000000000001</v>
      </c>
      <c r="Q69" s="5">
        <f t="shared" si="76"/>
        <v>1.5517169695999893</v>
      </c>
      <c r="R69">
        <v>-1.5517169695999893</v>
      </c>
      <c r="T69" s="9">
        <f t="shared" si="79"/>
        <v>-0.19517489808749935</v>
      </c>
      <c r="U69" s="4">
        <f t="shared" si="77"/>
        <v>9.6831867879894715E-2</v>
      </c>
      <c r="V69" s="38">
        <f>(K69-M69)/M69</f>
        <v>5.3571354222774509E-2</v>
      </c>
      <c r="W69" s="38">
        <f>(L69-M69)/M69</f>
        <v>9.8665864990101548E-2</v>
      </c>
      <c r="X69" s="4">
        <f>(O69-Q69)/Q69</f>
        <v>5.3542644714021773E-2</v>
      </c>
      <c r="Y69" s="4">
        <f>(P69-Q69)/Q69</f>
        <v>9.8653964220983839E-2</v>
      </c>
      <c r="AA69">
        <v>9.7571402678590111</v>
      </c>
      <c r="AC69">
        <v>0.106484902009886</v>
      </c>
      <c r="AD69" s="4">
        <f t="shared" si="37"/>
        <v>-4.4000048455815607E-2</v>
      </c>
      <c r="AF69" s="4">
        <f t="shared" si="38"/>
        <v>8.8689996077613353E-2</v>
      </c>
      <c r="AG69" s="4">
        <f t="shared" si="39"/>
        <v>0.72689238397768663</v>
      </c>
      <c r="AH69" s="4">
        <f t="shared" si="40"/>
        <v>0.90316813212010527</v>
      </c>
      <c r="AK69">
        <f t="shared" si="41"/>
        <v>3.8093240843465756E-2</v>
      </c>
      <c r="AM69">
        <f>V69^2</f>
        <v>2.8698899932619801E-3</v>
      </c>
      <c r="AN69" s="4">
        <f t="shared" si="43"/>
        <v>2.4256281948299065E-4</v>
      </c>
    </row>
    <row r="70" spans="1:40" x14ac:dyDescent="0.25">
      <c r="A70" s="23"/>
      <c r="B70" s="2">
        <f>B35</f>
        <v>2113</v>
      </c>
      <c r="C70" s="10">
        <f t="shared" si="73"/>
        <v>221.27284256784108</v>
      </c>
      <c r="D70" s="25">
        <f t="shared" si="74"/>
        <v>2.5472304393617602</v>
      </c>
      <c r="E70">
        <v>1.0174000000000001</v>
      </c>
      <c r="F70">
        <v>1.2927</v>
      </c>
      <c r="G70" s="5">
        <f t="shared" si="75"/>
        <v>1.1934902874269904</v>
      </c>
      <c r="H70" s="36"/>
      <c r="I70" s="36"/>
      <c r="J70" s="25">
        <v>2.5797622364794712</v>
      </c>
      <c r="K70">
        <v>299.78500000000003</v>
      </c>
      <c r="L70">
        <v>310.22949999999997</v>
      </c>
      <c r="M70" s="5">
        <f t="shared" si="78"/>
        <v>291.55202608163211</v>
      </c>
      <c r="O70">
        <v>1.3548</v>
      </c>
      <c r="P70">
        <v>1.4019999999999999</v>
      </c>
      <c r="Q70" s="5">
        <f t="shared" si="76"/>
        <v>1.317613235760027</v>
      </c>
      <c r="R70">
        <v>-1.317613235760027</v>
      </c>
      <c r="T70" s="9">
        <f>(E70-G70)/G70</f>
        <v>-0.14754228776056319</v>
      </c>
      <c r="U70" s="4">
        <f t="shared" si="77"/>
        <v>7.6746122513351583E-2</v>
      </c>
      <c r="V70" s="38">
        <f t="shared" si="81"/>
        <v>2.8238438363871136E-2</v>
      </c>
      <c r="W70" s="38">
        <f t="shared" si="82"/>
        <v>6.406223331522426E-2</v>
      </c>
      <c r="X70" s="4">
        <f>(O70-Q70)/Q70</f>
        <v>2.8222822320483839E-2</v>
      </c>
      <c r="Y70" s="4">
        <f t="shared" si="83"/>
        <v>6.404517042612802E-2</v>
      </c>
      <c r="AA70">
        <v>11.474606944752018</v>
      </c>
      <c r="AC70">
        <v>7.8078448548497686E-2</v>
      </c>
      <c r="AD70" s="4">
        <f t="shared" si="37"/>
        <v>-8.6507631083649048E-2</v>
      </c>
      <c r="AF70" s="4">
        <f t="shared" si="38"/>
        <v>6.9463839212065503E-2</v>
      </c>
      <c r="AG70" s="4">
        <f t="shared" si="39"/>
        <v>0.78703488821845757</v>
      </c>
      <c r="AH70" s="4">
        <f t="shared" si="40"/>
        <v>0.92325387748664844</v>
      </c>
      <c r="AK70">
        <f t="shared" si="41"/>
        <v>2.1768726677620833E-2</v>
      </c>
      <c r="AM70">
        <f t="shared" si="42"/>
        <v>7.9740940123014916E-4</v>
      </c>
      <c r="AN70" s="4">
        <f t="shared" si="43"/>
        <v>9.5228077801200788E-5</v>
      </c>
    </row>
    <row r="71" spans="1:40" x14ac:dyDescent="0.25">
      <c r="T71" s="4"/>
      <c r="V71" s="4"/>
      <c r="AK71">
        <f>AVERAGE(AK42:AK70)</f>
        <v>1.6040271309308112E-2</v>
      </c>
      <c r="AM71">
        <f>AVERAGE(AM42:AM70)</f>
        <v>1.4437663732103925E-3</v>
      </c>
      <c r="AN71" s="4">
        <f>AVERAGE(AN42:AN70)</f>
        <v>2.2492955570289266E-3</v>
      </c>
    </row>
    <row r="72" spans="1:40" x14ac:dyDescent="0.25">
      <c r="G72" s="5"/>
      <c r="M72" s="5"/>
      <c r="T72" s="9"/>
      <c r="U72" s="9"/>
      <c r="V72" s="9"/>
      <c r="W72" s="9"/>
      <c r="X72" s="9"/>
      <c r="Y72" s="9"/>
      <c r="AK72">
        <f>SQRT(AK71)</f>
        <v>0.12665019269352934</v>
      </c>
      <c r="AM72">
        <f>SQRT(AM71)</f>
        <v>3.7996925838946399E-2</v>
      </c>
      <c r="AN72" s="4">
        <f>SQRT(AN71)</f>
        <v>4.7426738840330634E-2</v>
      </c>
    </row>
    <row r="73" spans="1:40" x14ac:dyDescent="0.25">
      <c r="S73" t="s">
        <v>68</v>
      </c>
      <c r="T73">
        <f>_xlfn.STDEV.P(T42:T70)</f>
        <v>0.1059792358302417</v>
      </c>
      <c r="V73">
        <f>_xlfn.STDEV.P(V42:V70)</f>
        <v>3.7057130842911984E-2</v>
      </c>
    </row>
    <row r="74" spans="1:40" x14ac:dyDescent="0.25">
      <c r="T74" s="4">
        <f>MAX(T42:T70)</f>
        <v>0.16188065318208256</v>
      </c>
      <c r="V74" s="4">
        <f>MAX(V42:V70)</f>
        <v>6.7729669149574193E-2</v>
      </c>
    </row>
    <row r="114" spans="1:6" x14ac:dyDescent="0.25">
      <c r="A114">
        <v>0.3</v>
      </c>
      <c r="B114">
        <v>0.3</v>
      </c>
      <c r="C114">
        <v>0.2</v>
      </c>
      <c r="D114">
        <f>0.2*1.15</f>
        <v>0.22999999999999998</v>
      </c>
      <c r="E114">
        <v>0.2</v>
      </c>
      <c r="F114">
        <f>E114*0.85</f>
        <v>0.17</v>
      </c>
    </row>
    <row r="115" spans="1:6" x14ac:dyDescent="0.25">
      <c r="A115">
        <v>1.4</v>
      </c>
      <c r="B115">
        <v>1.4</v>
      </c>
      <c r="C115">
        <v>1.4</v>
      </c>
      <c r="D115">
        <f>B115*1.15</f>
        <v>1.6099999999999999</v>
      </c>
      <c r="E115">
        <v>1.4</v>
      </c>
      <c r="F115">
        <f>E115*0.85</f>
        <v>1.19</v>
      </c>
    </row>
    <row r="118" spans="1:6" x14ac:dyDescent="0.25">
      <c r="A118">
        <v>100</v>
      </c>
      <c r="B118">
        <v>100</v>
      </c>
      <c r="C118">
        <v>100</v>
      </c>
      <c r="D118">
        <v>109</v>
      </c>
      <c r="E118">
        <v>100</v>
      </c>
      <c r="F118">
        <v>91</v>
      </c>
    </row>
    <row r="119" spans="1:6" x14ac:dyDescent="0.25">
      <c r="A119">
        <v>600</v>
      </c>
      <c r="B119">
        <v>600</v>
      </c>
      <c r="C119">
        <v>600</v>
      </c>
      <c r="D119">
        <v>654</v>
      </c>
      <c r="E119">
        <v>600</v>
      </c>
      <c r="F119">
        <v>546</v>
      </c>
    </row>
  </sheetData>
  <mergeCells count="5">
    <mergeCell ref="Q2:S2"/>
    <mergeCell ref="E40:G40"/>
    <mergeCell ref="K40:M40"/>
    <mergeCell ref="O40:Q40"/>
    <mergeCell ref="T40:Y40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4F53-DA6C-456F-AAFE-0E598F1D97A0}">
  <dimension ref="A1:AH103"/>
  <sheetViews>
    <sheetView zoomScale="85" zoomScaleNormal="85" workbookViewId="0">
      <selection activeCell="M34" sqref="M34"/>
    </sheetView>
  </sheetViews>
  <sheetFormatPr defaultRowHeight="15" x14ac:dyDescent="0.25"/>
  <cols>
    <col min="11" max="11" width="15.140625" bestFit="1" customWidth="1"/>
    <col min="12" max="12" width="15.5703125" bestFit="1" customWidth="1"/>
    <col min="14" max="15" width="12" bestFit="1" customWidth="1"/>
    <col min="22" max="22" width="12.28515625" bestFit="1" customWidth="1"/>
    <col min="28" max="28" width="12.28515625" bestFit="1" customWidth="1"/>
    <col min="33" max="33" width="12.28515625" bestFit="1" customWidth="1"/>
  </cols>
  <sheetData>
    <row r="1" spans="1:34" x14ac:dyDescent="0.25">
      <c r="V1" t="s">
        <v>65</v>
      </c>
    </row>
    <row r="2" spans="1:34" x14ac:dyDescent="0.25">
      <c r="B2" t="s">
        <v>43</v>
      </c>
      <c r="C2" s="44" t="s">
        <v>45</v>
      </c>
      <c r="D2" t="s">
        <v>66</v>
      </c>
      <c r="E2" s="44" t="s">
        <v>44</v>
      </c>
      <c r="G2" s="44" t="s">
        <v>51</v>
      </c>
      <c r="H2" s="44" t="s">
        <v>52</v>
      </c>
      <c r="I2" s="44" t="s">
        <v>46</v>
      </c>
      <c r="J2" s="44" t="s">
        <v>47</v>
      </c>
      <c r="K2" s="44" t="s">
        <v>48</v>
      </c>
      <c r="L2" s="44" t="s">
        <v>49</v>
      </c>
      <c r="N2" s="44" t="s">
        <v>53</v>
      </c>
      <c r="O2" s="44" t="s">
        <v>54</v>
      </c>
      <c r="S2" s="41"/>
      <c r="T2" t="s">
        <v>44</v>
      </c>
      <c r="U2" t="s">
        <v>45</v>
      </c>
      <c r="V2" s="44" t="s">
        <v>64</v>
      </c>
      <c r="W2" s="44" t="s">
        <v>57</v>
      </c>
      <c r="X2" s="44" t="s">
        <v>59</v>
      </c>
      <c r="Y2" s="44" t="s">
        <v>58</v>
      </c>
      <c r="Z2" s="44" t="s">
        <v>59</v>
      </c>
      <c r="AA2" s="44" t="s">
        <v>60</v>
      </c>
      <c r="AB2" s="44" t="s">
        <v>51</v>
      </c>
      <c r="AD2" s="42" t="s">
        <v>61</v>
      </c>
    </row>
    <row r="3" spans="1:34" x14ac:dyDescent="0.25">
      <c r="A3">
        <v>1217</v>
      </c>
      <c r="B3">
        <v>127.44394198062595</v>
      </c>
      <c r="C3">
        <v>0.3247321478042306</v>
      </c>
      <c r="D3" s="45">
        <v>232.79490000000001</v>
      </c>
      <c r="E3" s="45">
        <v>219.923995478764</v>
      </c>
      <c r="F3" s="4">
        <v>5.8524330158774493E-2</v>
      </c>
      <c r="G3">
        <v>4</v>
      </c>
      <c r="H3">
        <v>4.8821000000000003</v>
      </c>
      <c r="I3">
        <v>1.7256528012308101</v>
      </c>
      <c r="J3">
        <f>0.25/SQRT(3)</f>
        <v>0.14433756729740646</v>
      </c>
      <c r="K3">
        <f t="shared" ref="K3:K31" si="0">SQRT((B3*J3)^2+(I3*Z3/60)^2)</f>
        <v>18.39513591893304</v>
      </c>
      <c r="L3" s="8">
        <f t="shared" ref="L3:L31" si="1">K3/E3*100</f>
        <v>8.3643150802565724</v>
      </c>
      <c r="N3">
        <f>(G3*0.001*H3+H3*2)/60/1000*1000</f>
        <v>0.16306214000000002</v>
      </c>
      <c r="O3">
        <f t="shared" ref="O3:O31" si="2">N3/C3*100</f>
        <v>50.214350843484809</v>
      </c>
      <c r="Q3">
        <f t="shared" ref="Q3:Q31" si="3">SQRT((B3*J3)^2+(I3*5/60)^2)</f>
        <v>18.395510646523146</v>
      </c>
      <c r="R3">
        <f t="shared" ref="R3:R31" si="4">Q3/E3</f>
        <v>8.3644854698447069E-2</v>
      </c>
      <c r="S3" s="41"/>
      <c r="T3" s="4">
        <v>0.65513094601817212</v>
      </c>
      <c r="U3" s="4">
        <f>'Overall w heat (final) 0709 (2)'!G42/'Overall w heat (final) 0709 (2)'!F42</f>
        <v>0.43390185436161227</v>
      </c>
      <c r="V3">
        <f>W3/1000/60</f>
        <v>1.9245008972987527E-5</v>
      </c>
      <c r="W3">
        <f>2/SQRT(3)</f>
        <v>1.1547005383792517</v>
      </c>
      <c r="X3">
        <v>5</v>
      </c>
      <c r="Y3">
        <f>0.001*H3</f>
        <v>4.8821000000000003E-3</v>
      </c>
      <c r="Z3">
        <f>X3/SQRT(3)</f>
        <v>2.8867513459481291</v>
      </c>
      <c r="AA3">
        <v>1.1583000000000001</v>
      </c>
      <c r="AB3">
        <f>3.26775*10^-5</f>
        <v>3.26775E-5</v>
      </c>
      <c r="AD3" s="8">
        <f t="shared" ref="AD3:AD31" si="5">SQRT((H3*W3/1000/60/AA3/AB3/A3*60)^2+(G3/60/1000*Y3/AA3/AB3/A3*60)^2+(H3*G3/60/1000/AA3/AB3/(A3/60)^2*X3/60)^2)</f>
        <v>0.12239457424872555</v>
      </c>
      <c r="AF3">
        <f t="shared" ref="AF3:AF31" si="6">(H3/AA3/AB3/A3*60*V3)^2</f>
        <v>1.497721838848203E-2</v>
      </c>
      <c r="AG3">
        <f t="shared" ref="AG3:AG31" si="7">(H3*G3/1000/60/AA3/AB3/A3^2*3600*X3/60)^2</f>
        <v>3.0336904241032167E-6</v>
      </c>
      <c r="AH3">
        <f>SQRT(AF3+AG3)</f>
        <v>0.12239384003660532</v>
      </c>
    </row>
    <row r="4" spans="1:34" x14ac:dyDescent="0.25">
      <c r="A4">
        <v>1214</v>
      </c>
      <c r="B4">
        <v>127.12978271526696</v>
      </c>
      <c r="C4">
        <v>0.35673312429200765</v>
      </c>
      <c r="D4" s="45">
        <v>202.07579999999999</v>
      </c>
      <c r="E4" s="45">
        <v>201.06346911209982</v>
      </c>
      <c r="F4" s="4">
        <v>5.0348822308231098E-3</v>
      </c>
      <c r="G4">
        <v>5</v>
      </c>
      <c r="H4">
        <v>4.2903000000000002</v>
      </c>
      <c r="I4">
        <v>1.5815607076307401</v>
      </c>
      <c r="J4">
        <f t="shared" ref="J4:J31" si="8">0.25/SQRT(3)</f>
        <v>0.14433756729740646</v>
      </c>
      <c r="K4">
        <f t="shared" si="0"/>
        <v>18.349761339990462</v>
      </c>
      <c r="L4" s="8">
        <f t="shared" si="1"/>
        <v>9.1263526989877199</v>
      </c>
      <c r="N4">
        <f t="shared" ref="N4:N7" si="9">(G4*0.001*H4+H4*2)/60/1000*1000</f>
        <v>0.143367525</v>
      </c>
      <c r="O4">
        <f t="shared" si="2"/>
        <v>40.189013925896319</v>
      </c>
      <c r="Q4">
        <f t="shared" si="3"/>
        <v>18.350076879562859</v>
      </c>
      <c r="R4">
        <f t="shared" si="4"/>
        <v>9.1265096342946606E-2</v>
      </c>
      <c r="S4" s="41"/>
      <c r="T4" s="4">
        <v>0.66782608695652168</v>
      </c>
      <c r="U4" s="4">
        <f>'Overall w heat (final) 0709 (2)'!G43/'Overall w heat (final) 0709 (2)'!F43</f>
        <v>0.47723494888562895</v>
      </c>
      <c r="V4">
        <f t="shared" ref="V4:V31" si="10">W4/1000/60</f>
        <v>1.9245008972987527E-5</v>
      </c>
      <c r="W4">
        <f t="shared" ref="W4:W31" si="11">2/SQRT(3)</f>
        <v>1.1547005383792517</v>
      </c>
      <c r="X4">
        <v>5</v>
      </c>
      <c r="Y4">
        <f t="shared" ref="Y4:Y31" si="12">0.001*H4</f>
        <v>4.2903000000000004E-3</v>
      </c>
      <c r="Z4">
        <f t="shared" ref="Z4:Z31" si="13">X4/SQRT(3)</f>
        <v>2.8867513459481291</v>
      </c>
      <c r="AA4">
        <v>1.1581999999999999</v>
      </c>
      <c r="AB4">
        <f t="shared" ref="AB4:AB31" si="14">3.26775*10^-5</f>
        <v>3.26775E-5</v>
      </c>
      <c r="AD4" s="8">
        <f t="shared" si="5"/>
        <v>0.10783980235603015</v>
      </c>
      <c r="AF4">
        <f t="shared" si="6"/>
        <v>1.1625507428855139E-2</v>
      </c>
      <c r="AG4">
        <f t="shared" si="7"/>
        <v>3.6975650682155782E-6</v>
      </c>
      <c r="AH4">
        <f t="shared" ref="AH4:AH31" si="15">SQRT(AF4+AG4)</f>
        <v>0.10783879169354298</v>
      </c>
    </row>
    <row r="5" spans="1:34" x14ac:dyDescent="0.25">
      <c r="A5">
        <v>1217</v>
      </c>
      <c r="B5">
        <v>127.44394198062595</v>
      </c>
      <c r="C5">
        <v>0.45316198723503576</v>
      </c>
      <c r="D5" s="45">
        <v>200.8391</v>
      </c>
      <c r="E5" s="45">
        <v>193.63025834579085</v>
      </c>
      <c r="F5" s="4">
        <v>3.7229933564078513E-2</v>
      </c>
      <c r="G5">
        <v>7</v>
      </c>
      <c r="H5">
        <v>3.8927</v>
      </c>
      <c r="I5">
        <v>1.5193367008000001</v>
      </c>
      <c r="J5">
        <f t="shared" si="8"/>
        <v>0.14433756729740646</v>
      </c>
      <c r="K5">
        <f t="shared" si="0"/>
        <v>18.395093794878107</v>
      </c>
      <c r="L5" s="8">
        <f t="shared" si="1"/>
        <v>9.5001132323170197</v>
      </c>
      <c r="N5">
        <f t="shared" si="9"/>
        <v>0.13021081500000001</v>
      </c>
      <c r="O5">
        <f t="shared" si="2"/>
        <v>28.733834405326064</v>
      </c>
      <c r="Q5">
        <f t="shared" si="3"/>
        <v>18.395384276643263</v>
      </c>
      <c r="R5">
        <f t="shared" si="4"/>
        <v>9.5002632511041851E-2</v>
      </c>
      <c r="S5" s="41"/>
      <c r="T5" s="4">
        <v>0.6785714285714286</v>
      </c>
      <c r="U5" s="4">
        <f>'Overall w heat (final) 0709 (2)'!G44/'Overall w heat (final) 0709 (2)'!F44</f>
        <v>0.60389390623005834</v>
      </c>
      <c r="V5">
        <f t="shared" si="10"/>
        <v>1.9245008972987527E-5</v>
      </c>
      <c r="W5">
        <f t="shared" si="11"/>
        <v>1.1547005383792517</v>
      </c>
      <c r="X5">
        <v>5</v>
      </c>
      <c r="Y5">
        <f t="shared" si="12"/>
        <v>3.8927000000000002E-3</v>
      </c>
      <c r="Z5">
        <f t="shared" si="13"/>
        <v>2.8867513459481291</v>
      </c>
      <c r="AA5">
        <v>1.159</v>
      </c>
      <c r="AB5">
        <f t="shared" si="14"/>
        <v>3.26775E-5</v>
      </c>
      <c r="AD5" s="8">
        <f t="shared" si="5"/>
        <v>9.7552881061911109E-2</v>
      </c>
      <c r="AF5">
        <f t="shared" si="6"/>
        <v>9.5103156547759228E-3</v>
      </c>
      <c r="AG5">
        <f t="shared" si="7"/>
        <v>5.8994446031436169E-6</v>
      </c>
      <c r="AH5">
        <f t="shared" si="15"/>
        <v>9.7551089688322129E-2</v>
      </c>
    </row>
    <row r="6" spans="1:34" x14ac:dyDescent="0.25">
      <c r="A6">
        <v>1215</v>
      </c>
      <c r="B6">
        <v>127.23450247038662</v>
      </c>
      <c r="C6">
        <v>0.45543527309811571</v>
      </c>
      <c r="D6" s="45">
        <v>184.05609999999999</v>
      </c>
      <c r="E6" s="45">
        <v>176.89683334223687</v>
      </c>
      <c r="F6" s="4">
        <v>4.0471423498646235E-2</v>
      </c>
      <c r="G6">
        <v>8</v>
      </c>
      <c r="H6">
        <v>3.423</v>
      </c>
      <c r="I6">
        <v>1.39032125648001</v>
      </c>
      <c r="J6">
        <f t="shared" si="8"/>
        <v>0.14433756729740646</v>
      </c>
      <c r="K6">
        <f t="shared" si="0"/>
        <v>18.364840386313269</v>
      </c>
      <c r="L6" s="8">
        <f t="shared" si="1"/>
        <v>10.381667121639977</v>
      </c>
      <c r="N6">
        <f t="shared" si="9"/>
        <v>0.11455639999999999</v>
      </c>
      <c r="O6">
        <f t="shared" si="2"/>
        <v>25.153168137532639</v>
      </c>
      <c r="Q6">
        <f t="shared" si="3"/>
        <v>18.365084030772582</v>
      </c>
      <c r="R6">
        <f t="shared" si="4"/>
        <v>0.10381804854155992</v>
      </c>
      <c r="S6" s="41"/>
      <c r="T6" s="4">
        <v>0.69491525423728828</v>
      </c>
      <c r="U6" s="4">
        <f>'Overall w heat (final) 0709 (2)'!G45/'Overall w heat (final) 0709 (2)'!F45</f>
        <v>0.60781432416670989</v>
      </c>
      <c r="V6">
        <f t="shared" si="10"/>
        <v>1.9245008972987527E-5</v>
      </c>
      <c r="W6">
        <f t="shared" si="11"/>
        <v>1.1547005383792517</v>
      </c>
      <c r="X6">
        <v>5</v>
      </c>
      <c r="Y6">
        <f t="shared" si="12"/>
        <v>3.4230000000000003E-3</v>
      </c>
      <c r="Z6">
        <f t="shared" si="13"/>
        <v>2.8867513459481291</v>
      </c>
      <c r="AA6">
        <v>1.1579999999999999</v>
      </c>
      <c r="AB6">
        <f t="shared" si="14"/>
        <v>3.26775E-5</v>
      </c>
      <c r="AD6" s="8">
        <f t="shared" si="5"/>
        <v>8.6006141635375385E-2</v>
      </c>
      <c r="AF6">
        <f t="shared" si="6"/>
        <v>7.3906938673174247E-3</v>
      </c>
      <c r="AG6">
        <f t="shared" si="7"/>
        <v>6.0077783811958922E-6</v>
      </c>
      <c r="AH6">
        <f t="shared" si="15"/>
        <v>8.6004079238711811E-2</v>
      </c>
    </row>
    <row r="7" spans="1:34" x14ac:dyDescent="0.25">
      <c r="A7">
        <v>1217</v>
      </c>
      <c r="B7">
        <v>127.44394198062595</v>
      </c>
      <c r="C7">
        <v>0.45359213147780497</v>
      </c>
      <c r="D7" s="45">
        <v>158.24770000000001</v>
      </c>
      <c r="E7" s="45">
        <v>150.01311193399283</v>
      </c>
      <c r="F7" s="4">
        <v>5.4892455465029431E-2</v>
      </c>
      <c r="G7">
        <v>10</v>
      </c>
      <c r="H7">
        <v>2.7271000000000001</v>
      </c>
      <c r="I7">
        <v>1.1770909593866601</v>
      </c>
      <c r="J7">
        <f t="shared" si="8"/>
        <v>0.14433756729740646</v>
      </c>
      <c r="K7">
        <f t="shared" si="0"/>
        <v>18.395035730234763</v>
      </c>
      <c r="L7" s="8">
        <f t="shared" si="1"/>
        <v>12.262285271655953</v>
      </c>
      <c r="N7">
        <f t="shared" si="9"/>
        <v>9.1357850000000004E-2</v>
      </c>
      <c r="O7">
        <f t="shared" si="2"/>
        <v>20.14096887050394</v>
      </c>
      <c r="Q7">
        <f t="shared" si="3"/>
        <v>18.395210084914115</v>
      </c>
      <c r="R7">
        <f t="shared" si="4"/>
        <v>0.12262401497949178</v>
      </c>
      <c r="S7" s="41"/>
      <c r="T7" s="4">
        <v>0.72503656428666408</v>
      </c>
      <c r="U7" s="4">
        <f>'Overall w heat (final) 0709 (2)'!G46/'Overall w heat (final) 0709 (2)'!F46</f>
        <v>0.60310082632336792</v>
      </c>
      <c r="V7">
        <f t="shared" si="10"/>
        <v>1.9245008972987527E-5</v>
      </c>
      <c r="W7">
        <f t="shared" si="11"/>
        <v>1.1547005383792517</v>
      </c>
      <c r="X7">
        <v>5</v>
      </c>
      <c r="Y7">
        <f t="shared" si="12"/>
        <v>2.7271000000000001E-3</v>
      </c>
      <c r="Z7">
        <f t="shared" si="13"/>
        <v>2.8867513459481291</v>
      </c>
      <c r="AA7">
        <v>1.1583000000000001</v>
      </c>
      <c r="AB7">
        <f t="shared" si="14"/>
        <v>3.26775E-5</v>
      </c>
      <c r="AD7" s="8">
        <f t="shared" si="5"/>
        <v>6.8407066120205556E-2</v>
      </c>
      <c r="AF7">
        <f t="shared" si="6"/>
        <v>4.6732600385956937E-3</v>
      </c>
      <c r="AG7">
        <f t="shared" si="7"/>
        <v>5.9161620755855462E-6</v>
      </c>
      <c r="AH7">
        <f t="shared" si="15"/>
        <v>6.8404504242566361E-2</v>
      </c>
    </row>
    <row r="8" spans="1:34" x14ac:dyDescent="0.25">
      <c r="A8">
        <v>1427</v>
      </c>
      <c r="B8">
        <v>149.4350905557545</v>
      </c>
      <c r="C8">
        <v>0.49942621079699617</v>
      </c>
      <c r="D8" s="45">
        <v>309.57740000000001</v>
      </c>
      <c r="E8" s="45">
        <v>312.41254145595809</v>
      </c>
      <c r="F8" s="4">
        <v>-9.0749924530726962E-3</v>
      </c>
      <c r="G8">
        <v>5</v>
      </c>
      <c r="H8">
        <v>6.0075000000000003</v>
      </c>
      <c r="I8">
        <v>2.0906236968444598</v>
      </c>
      <c r="J8">
        <f t="shared" si="8"/>
        <v>0.14433756729740646</v>
      </c>
      <c r="K8">
        <f t="shared" si="0"/>
        <v>21.569331972524648</v>
      </c>
      <c r="L8" s="8">
        <f t="shared" si="1"/>
        <v>6.904118468485156</v>
      </c>
      <c r="N8">
        <f>(G9*0.001*H8+H8*2)/60/1000*1000</f>
        <v>0.20080068750000002</v>
      </c>
      <c r="O8">
        <f t="shared" si="2"/>
        <v>40.20627735567934</v>
      </c>
      <c r="Q8">
        <f t="shared" si="3"/>
        <v>21.569801030553087</v>
      </c>
      <c r="R8">
        <f t="shared" si="4"/>
        <v>6.9042686090737035E-2</v>
      </c>
      <c r="S8" s="41"/>
      <c r="T8" s="4">
        <v>0.68475157053112512</v>
      </c>
      <c r="U8" s="4">
        <f>'Overall w heat (final) 0709 (2)'!G49/'Overall w heat (final) 0709 (2)'!F49</f>
        <v>0.57044684271501567</v>
      </c>
      <c r="V8">
        <f t="shared" si="10"/>
        <v>1.9245008972987527E-5</v>
      </c>
      <c r="W8">
        <f t="shared" si="11"/>
        <v>1.1547005383792517</v>
      </c>
      <c r="X8">
        <v>5</v>
      </c>
      <c r="Y8">
        <f t="shared" si="12"/>
        <v>6.0075000000000007E-3</v>
      </c>
      <c r="Z8">
        <f t="shared" si="13"/>
        <v>2.8867513459481291</v>
      </c>
      <c r="AA8">
        <v>1.1579999999999999</v>
      </c>
      <c r="AB8">
        <f t="shared" si="14"/>
        <v>3.26775E-5</v>
      </c>
      <c r="AD8" s="8">
        <f t="shared" si="5"/>
        <v>0.12848009310281794</v>
      </c>
      <c r="AF8">
        <f t="shared" si="6"/>
        <v>1.650302600022165E-2</v>
      </c>
      <c r="AG8">
        <f t="shared" si="7"/>
        <v>3.7988917496160468E-6</v>
      </c>
      <c r="AH8">
        <f t="shared" si="15"/>
        <v>0.12847888889607997</v>
      </c>
    </row>
    <row r="9" spans="1:34" x14ac:dyDescent="0.25">
      <c r="A9">
        <v>1411</v>
      </c>
      <c r="B9">
        <v>147.75957447383993</v>
      </c>
      <c r="C9">
        <v>0.51458234662294589</v>
      </c>
      <c r="D9" s="45">
        <v>290.935</v>
      </c>
      <c r="E9" s="45">
        <v>277.23925387205941</v>
      </c>
      <c r="F9" s="4">
        <v>4.9400458039974809E-2</v>
      </c>
      <c r="G9">
        <v>5.5</v>
      </c>
      <c r="H9">
        <v>5.6269</v>
      </c>
      <c r="I9">
        <v>1.8762862228000201</v>
      </c>
      <c r="J9">
        <f t="shared" si="8"/>
        <v>0.14433756729740646</v>
      </c>
      <c r="K9">
        <f t="shared" si="0"/>
        <v>21.327448574646045</v>
      </c>
      <c r="L9" s="8">
        <f t="shared" si="1"/>
        <v>7.6927954020855411</v>
      </c>
      <c r="N9">
        <f t="shared" ref="N9:N12" si="16">(G10*0.001*H9+H9*2)/60/1000*1000</f>
        <v>0.18812602333333334</v>
      </c>
      <c r="O9">
        <f t="shared" si="2"/>
        <v>36.558973421445501</v>
      </c>
      <c r="Q9">
        <f t="shared" si="3"/>
        <v>21.327830669895953</v>
      </c>
      <c r="R9">
        <f t="shared" si="4"/>
        <v>7.692933223568095E-2</v>
      </c>
      <c r="S9" s="41"/>
      <c r="T9" s="4">
        <v>0.68655510675129827</v>
      </c>
      <c r="U9" s="4">
        <f>'Overall w heat (final) 0709 (2)'!G50/'Overall w heat (final) 0709 (2)'!F50</f>
        <v>0.59386306592376903</v>
      </c>
      <c r="V9">
        <f t="shared" si="10"/>
        <v>1.9245008972987527E-5</v>
      </c>
      <c r="W9">
        <f t="shared" si="11"/>
        <v>1.1547005383792517</v>
      </c>
      <c r="X9">
        <v>5</v>
      </c>
      <c r="Y9">
        <f t="shared" si="12"/>
        <v>5.6268999999999998E-3</v>
      </c>
      <c r="Z9">
        <f t="shared" si="13"/>
        <v>2.8867513459481291</v>
      </c>
      <c r="AA9">
        <v>1.1578999999999999</v>
      </c>
      <c r="AB9">
        <f t="shared" si="14"/>
        <v>3.26775E-5</v>
      </c>
      <c r="AD9" s="8">
        <f t="shared" si="5"/>
        <v>0.12171902167099627</v>
      </c>
      <c r="AF9">
        <f t="shared" si="6"/>
        <v>1.4810964761544695E-2</v>
      </c>
      <c r="AG9">
        <f t="shared" si="7"/>
        <v>4.2194512367334659E-6</v>
      </c>
      <c r="AH9">
        <f t="shared" si="15"/>
        <v>0.1217176413375704</v>
      </c>
    </row>
    <row r="10" spans="1:34" x14ac:dyDescent="0.25">
      <c r="A10">
        <v>1412</v>
      </c>
      <c r="B10">
        <v>147.86429422895961</v>
      </c>
      <c r="C10">
        <v>0.48213212885652895</v>
      </c>
      <c r="D10" s="45">
        <v>270.149</v>
      </c>
      <c r="E10" s="45">
        <v>252.5835649599077</v>
      </c>
      <c r="F10" s="4">
        <v>6.9543064066264315E-2</v>
      </c>
      <c r="G10">
        <v>6</v>
      </c>
      <c r="H10">
        <v>4.8323</v>
      </c>
      <c r="I10">
        <v>1.7082120215499501</v>
      </c>
      <c r="J10">
        <f t="shared" si="8"/>
        <v>0.14433756729740646</v>
      </c>
      <c r="K10">
        <f t="shared" si="0"/>
        <v>21.342530762517235</v>
      </c>
      <c r="L10" s="8">
        <f t="shared" si="1"/>
        <v>8.4496910026212149</v>
      </c>
      <c r="N10">
        <f t="shared" si="16"/>
        <v>0.16172097333333332</v>
      </c>
      <c r="O10">
        <f t="shared" si="2"/>
        <v>33.542874173701378</v>
      </c>
      <c r="Q10">
        <f t="shared" si="3"/>
        <v>21.342847245719959</v>
      </c>
      <c r="R10">
        <f t="shared" si="4"/>
        <v>8.4498163010359298E-2</v>
      </c>
      <c r="S10" s="41"/>
      <c r="T10" s="4">
        <v>0.70017291066282428</v>
      </c>
      <c r="U10" s="4">
        <f>'Overall w heat (final) 0709 (2)'!G51/'Overall w heat (final) 0709 (2)'!F51</f>
        <v>0.55577190646285757</v>
      </c>
      <c r="V10">
        <f t="shared" si="10"/>
        <v>1.9245008972987527E-5</v>
      </c>
      <c r="W10">
        <f t="shared" si="11"/>
        <v>1.1547005383792517</v>
      </c>
      <c r="X10">
        <v>5</v>
      </c>
      <c r="Y10">
        <f t="shared" si="12"/>
        <v>4.8323000000000003E-3</v>
      </c>
      <c r="Z10">
        <f t="shared" si="13"/>
        <v>2.8867513459481291</v>
      </c>
      <c r="AA10">
        <v>1.1571</v>
      </c>
      <c r="AB10">
        <f t="shared" si="14"/>
        <v>3.26775E-5</v>
      </c>
      <c r="AD10" s="8">
        <f t="shared" si="5"/>
        <v>0.10453174701598968</v>
      </c>
      <c r="AF10">
        <f t="shared" si="6"/>
        <v>1.0922893172172207E-2</v>
      </c>
      <c r="AG10">
        <f t="shared" si="7"/>
        <v>3.6980439270118112E-6</v>
      </c>
      <c r="AH10">
        <f t="shared" si="15"/>
        <v>0.10453033634356687</v>
      </c>
    </row>
    <row r="11" spans="1:34" x14ac:dyDescent="0.25">
      <c r="A11">
        <v>1415</v>
      </c>
      <c r="B11">
        <v>148.17845349431857</v>
      </c>
      <c r="C11">
        <v>0.55282985811386409</v>
      </c>
      <c r="D11" s="45">
        <v>245.24430000000001</v>
      </c>
      <c r="E11" s="45">
        <v>233.85095355199863</v>
      </c>
      <c r="F11" s="4">
        <v>4.8720547318478136E-2</v>
      </c>
      <c r="G11">
        <v>8</v>
      </c>
      <c r="H11">
        <v>4.1553000000000004</v>
      </c>
      <c r="I11">
        <v>1.5781711040800199</v>
      </c>
      <c r="J11">
        <f t="shared" si="8"/>
        <v>0.14433756729740646</v>
      </c>
      <c r="K11">
        <f t="shared" si="0"/>
        <v>21.387852284246392</v>
      </c>
      <c r="L11" s="8">
        <f t="shared" si="1"/>
        <v>9.1459333217944874</v>
      </c>
      <c r="N11">
        <f t="shared" si="16"/>
        <v>0.13920255000000001</v>
      </c>
      <c r="O11">
        <f t="shared" si="2"/>
        <v>25.17999850350504</v>
      </c>
      <c r="Q11">
        <f t="shared" si="3"/>
        <v>21.388121843667491</v>
      </c>
      <c r="R11">
        <f t="shared" si="4"/>
        <v>9.1460485915494341E-2</v>
      </c>
      <c r="S11" s="41"/>
      <c r="T11" s="4">
        <v>0.71530494821634072</v>
      </c>
      <c r="U11" s="4">
        <f>'Overall w heat (final) 0709 (2)'!G52/'Overall w heat (final) 0709 (2)'!F52</f>
        <v>0.63616784593079878</v>
      </c>
      <c r="V11">
        <f t="shared" si="10"/>
        <v>1.9245008972987527E-5</v>
      </c>
      <c r="W11">
        <f t="shared" si="11"/>
        <v>1.1547005383792517</v>
      </c>
      <c r="X11">
        <v>5</v>
      </c>
      <c r="Y11">
        <f t="shared" si="12"/>
        <v>4.1553000000000007E-3</v>
      </c>
      <c r="Z11">
        <f t="shared" si="13"/>
        <v>2.8867513459481291</v>
      </c>
      <c r="AA11">
        <v>1.1553</v>
      </c>
      <c r="AB11">
        <f t="shared" si="14"/>
        <v>3.26775E-5</v>
      </c>
      <c r="AD11" s="8">
        <f t="shared" si="5"/>
        <v>8.9848790849233556E-2</v>
      </c>
      <c r="AF11">
        <f t="shared" si="6"/>
        <v>8.06758280254051E-3</v>
      </c>
      <c r="AG11">
        <f t="shared" si="7"/>
        <v>4.8351705542826672E-6</v>
      </c>
      <c r="AH11">
        <f t="shared" si="15"/>
        <v>8.984663584739716E-2</v>
      </c>
    </row>
    <row r="12" spans="1:34" x14ac:dyDescent="0.25">
      <c r="A12">
        <v>1412</v>
      </c>
      <c r="B12">
        <v>147.86429422895961</v>
      </c>
      <c r="C12">
        <v>0.55064360312853888</v>
      </c>
      <c r="D12" s="45">
        <v>209.3767</v>
      </c>
      <c r="E12" s="45">
        <v>203.92491114934344</v>
      </c>
      <c r="F12" s="4">
        <v>2.6734295579336865E-2</v>
      </c>
      <c r="G12">
        <v>10</v>
      </c>
      <c r="H12">
        <v>3.3108</v>
      </c>
      <c r="I12">
        <v>1.37913559330001</v>
      </c>
      <c r="J12">
        <f t="shared" si="8"/>
        <v>0.14433756729740646</v>
      </c>
      <c r="K12">
        <f t="shared" si="0"/>
        <v>21.342475666119157</v>
      </c>
      <c r="L12" s="8">
        <f t="shared" si="1"/>
        <v>10.465850172904622</v>
      </c>
      <c r="N12">
        <f t="shared" si="16"/>
        <v>0.11102216000000001</v>
      </c>
      <c r="O12">
        <f t="shared" si="2"/>
        <v>20.162253655398167</v>
      </c>
      <c r="Q12">
        <f t="shared" si="3"/>
        <v>21.342681958550045</v>
      </c>
      <c r="R12">
        <f t="shared" si="4"/>
        <v>0.10465951333880849</v>
      </c>
      <c r="S12" s="41"/>
      <c r="T12" s="4">
        <v>0.73784063470162131</v>
      </c>
      <c r="U12" s="4">
        <f>'Overall w heat (final) 0709 (2)'!G53/'Overall w heat (final) 0709 (2)'!F53</f>
        <v>0.63314200658679876</v>
      </c>
      <c r="V12">
        <f t="shared" si="10"/>
        <v>1.9245008972987527E-5</v>
      </c>
      <c r="W12">
        <f t="shared" si="11"/>
        <v>1.1547005383792517</v>
      </c>
      <c r="X12">
        <v>5</v>
      </c>
      <c r="Y12">
        <f t="shared" si="12"/>
        <v>3.3108E-3</v>
      </c>
      <c r="Z12">
        <f t="shared" si="13"/>
        <v>2.8867513459481291</v>
      </c>
      <c r="AA12">
        <v>1.1569</v>
      </c>
      <c r="AB12">
        <f t="shared" si="14"/>
        <v>3.26775E-5</v>
      </c>
      <c r="AD12" s="8">
        <f t="shared" si="5"/>
        <v>7.1654482235058103E-2</v>
      </c>
      <c r="AF12">
        <f t="shared" si="6"/>
        <v>5.129156465005438E-3</v>
      </c>
      <c r="AG12">
        <f t="shared" si="7"/>
        <v>4.8236726339415663E-6</v>
      </c>
      <c r="AH12">
        <f t="shared" si="15"/>
        <v>7.1651797867460246E-2</v>
      </c>
    </row>
    <row r="13" spans="1:34" x14ac:dyDescent="0.25">
      <c r="A13">
        <v>1423</v>
      </c>
      <c r="B13">
        <v>149.01621153527586</v>
      </c>
      <c r="C13">
        <v>0.60090268980389583</v>
      </c>
      <c r="D13" s="45">
        <v>198.50360000000001</v>
      </c>
      <c r="E13" s="45">
        <v>199.07794559162474</v>
      </c>
      <c r="F13" s="4">
        <v>-2.8850287253963758E-3</v>
      </c>
      <c r="G13">
        <v>12</v>
      </c>
      <c r="H13">
        <v>3.0106999999999999</v>
      </c>
      <c r="I13">
        <v>1.3359482403999918</v>
      </c>
      <c r="J13">
        <f t="shared" si="8"/>
        <v>0.14433756729740646</v>
      </c>
      <c r="K13">
        <f t="shared" si="0"/>
        <v>21.508733500767246</v>
      </c>
      <c r="L13" s="8">
        <f t="shared" si="1"/>
        <v>10.804176945289978</v>
      </c>
      <c r="N13" t="e">
        <f>(#REF!*0.001*H13+H13*2)/60/1000*1000</f>
        <v>#REF!</v>
      </c>
      <c r="O13" t="e">
        <f t="shared" si="2"/>
        <v>#REF!</v>
      </c>
      <c r="Q13">
        <f t="shared" si="3"/>
        <v>21.508925579260385</v>
      </c>
      <c r="R13">
        <f t="shared" si="4"/>
        <v>0.10804273429354332</v>
      </c>
      <c r="S13" s="41"/>
      <c r="T13" s="4">
        <v>0.74937371897062177</v>
      </c>
      <c r="U13" s="4">
        <f>'Overall w heat (final) 0709 (2)'!G54/'Overall w heat (final) 0709 (2)'!F54</f>
        <v>0.68424355477555887</v>
      </c>
      <c r="V13">
        <f t="shared" si="10"/>
        <v>1.9245008972987527E-5</v>
      </c>
      <c r="W13">
        <f t="shared" si="11"/>
        <v>1.1547005383792517</v>
      </c>
      <c r="X13">
        <v>5</v>
      </c>
      <c r="Y13">
        <f t="shared" si="12"/>
        <v>3.0106999999999998E-3</v>
      </c>
      <c r="Z13">
        <f t="shared" si="13"/>
        <v>2.8867513459481291</v>
      </c>
      <c r="AA13">
        <v>1.1585000000000001</v>
      </c>
      <c r="AB13">
        <f t="shared" si="14"/>
        <v>3.26775E-5</v>
      </c>
      <c r="AD13" s="8">
        <f t="shared" si="5"/>
        <v>6.4580269894047734E-2</v>
      </c>
      <c r="AF13">
        <f t="shared" si="6"/>
        <v>4.1646084758735014E-3</v>
      </c>
      <c r="AG13">
        <f t="shared" si="7"/>
        <v>5.5530059991527839E-6</v>
      </c>
      <c r="AH13">
        <f t="shared" si="15"/>
        <v>6.457678748492103E-2</v>
      </c>
    </row>
    <row r="14" spans="1:34" x14ac:dyDescent="0.25">
      <c r="A14">
        <v>1638</v>
      </c>
      <c r="B14">
        <v>171.53095888600271</v>
      </c>
      <c r="C14">
        <v>0.55078811420555995</v>
      </c>
      <c r="D14" s="45">
        <v>363.91309999999999</v>
      </c>
      <c r="E14" s="45">
        <v>350.36119156039933</v>
      </c>
      <c r="F14" s="4">
        <v>3.8679821755499472E-2</v>
      </c>
      <c r="G14">
        <v>5.5</v>
      </c>
      <c r="H14">
        <v>6.0229999999999997</v>
      </c>
      <c r="I14">
        <v>2.0425536814799998</v>
      </c>
      <c r="J14">
        <f t="shared" si="8"/>
        <v>0.14433756729740646</v>
      </c>
      <c r="K14">
        <f t="shared" si="0"/>
        <v>24.758556355474145</v>
      </c>
      <c r="L14" s="8">
        <f t="shared" si="1"/>
        <v>7.0665807035326225</v>
      </c>
      <c r="N14">
        <f>(G16*0.001*H14+H14*2)/60/1000*1000</f>
        <v>0.20177049999999999</v>
      </c>
      <c r="O14">
        <f t="shared" si="2"/>
        <v>36.633052674171736</v>
      </c>
      <c r="Q14">
        <f t="shared" si="3"/>
        <v>24.758946418219267</v>
      </c>
      <c r="R14">
        <f t="shared" si="4"/>
        <v>7.0666920351396947E-2</v>
      </c>
      <c r="S14" s="41"/>
      <c r="T14" s="4">
        <v>0.71862549800796816</v>
      </c>
      <c r="U14" s="4">
        <f>'Overall w heat (final) 0709 (2)'!G57/'Overall w heat (final) 0709 (2)'!F57</f>
        <v>0.54859373924856569</v>
      </c>
      <c r="V14">
        <f t="shared" si="10"/>
        <v>1.9245008972987527E-5</v>
      </c>
      <c r="W14">
        <f t="shared" si="11"/>
        <v>1.1547005383792517</v>
      </c>
      <c r="X14">
        <v>5</v>
      </c>
      <c r="Y14">
        <f t="shared" si="12"/>
        <v>6.0229999999999997E-3</v>
      </c>
      <c r="Z14">
        <f t="shared" si="13"/>
        <v>2.8867513459481291</v>
      </c>
      <c r="AA14">
        <v>1.1567000000000001</v>
      </c>
      <c r="AB14">
        <f t="shared" si="14"/>
        <v>3.26775E-5</v>
      </c>
      <c r="AD14" s="8">
        <f t="shared" si="5"/>
        <v>0.11234392683466493</v>
      </c>
      <c r="AF14">
        <f t="shared" si="6"/>
        <v>1.2618204170394874E-2</v>
      </c>
      <c r="AG14">
        <f t="shared" si="7"/>
        <v>2.6674507305492734E-6</v>
      </c>
      <c r="AH14">
        <f t="shared" si="15"/>
        <v>0.11234265272426774</v>
      </c>
    </row>
    <row r="15" spans="1:34" x14ac:dyDescent="0.25">
      <c r="A15">
        <v>1638</v>
      </c>
      <c r="B15">
        <v>171.53095888600271</v>
      </c>
      <c r="C15">
        <v>0.60263466997840687</v>
      </c>
      <c r="D15" s="45">
        <v>334.74979999999999</v>
      </c>
      <c r="E15" s="45">
        <v>318.37107478027991</v>
      </c>
      <c r="F15" s="4">
        <v>5.1445393495698905E-2</v>
      </c>
      <c r="G15">
        <v>7</v>
      </c>
      <c r="H15">
        <v>5.1772999999999998</v>
      </c>
      <c r="I15">
        <v>1.85605605453337</v>
      </c>
      <c r="J15">
        <f t="shared" si="8"/>
        <v>0.14433756729740646</v>
      </c>
      <c r="K15">
        <f t="shared" si="0"/>
        <v>24.758522366010546</v>
      </c>
      <c r="L15" s="8">
        <f t="shared" si="1"/>
        <v>7.7766243001495514</v>
      </c>
      <c r="N15">
        <f t="shared" ref="N15:N17" si="17">(G17*0.001*H15+H15*2)/60/1000*1000</f>
        <v>0.17361212666666667</v>
      </c>
      <c r="O15">
        <f t="shared" si="2"/>
        <v>28.808851417872688</v>
      </c>
      <c r="Q15">
        <f t="shared" si="3"/>
        <v>24.758844451294941</v>
      </c>
      <c r="R15">
        <f t="shared" si="4"/>
        <v>7.7767254667786542E-2</v>
      </c>
      <c r="S15" s="41"/>
      <c r="T15" s="4">
        <v>0.73161984459055596</v>
      </c>
      <c r="U15" s="4">
        <f>'Overall w heat (final) 0709 (2)'!G58/'Overall w heat (final) 0709 (2)'!F58</f>
        <v>0.60035332733453561</v>
      </c>
      <c r="V15">
        <f t="shared" si="10"/>
        <v>1.9245008972987527E-5</v>
      </c>
      <c r="W15">
        <f t="shared" si="11"/>
        <v>1.1547005383792517</v>
      </c>
      <c r="X15">
        <v>5</v>
      </c>
      <c r="Y15">
        <f t="shared" si="12"/>
        <v>5.1773000000000001E-3</v>
      </c>
      <c r="Z15">
        <f t="shared" si="13"/>
        <v>2.8867513459481291</v>
      </c>
      <c r="AA15">
        <v>1.1561999999999999</v>
      </c>
      <c r="AB15">
        <f t="shared" si="14"/>
        <v>3.26775E-5</v>
      </c>
      <c r="AD15" s="8">
        <f t="shared" si="5"/>
        <v>9.6618287459045174E-2</v>
      </c>
      <c r="AF15">
        <f t="shared" si="6"/>
        <v>9.3315551489817402E-3</v>
      </c>
      <c r="AG15">
        <f t="shared" si="7"/>
        <v>3.1953878852255017E-6</v>
      </c>
      <c r="AH15">
        <f t="shared" si="15"/>
        <v>9.661651275463716E-2</v>
      </c>
    </row>
    <row r="16" spans="1:34" x14ac:dyDescent="0.25">
      <c r="A16">
        <v>1639</v>
      </c>
      <c r="B16">
        <v>171.63567864112238</v>
      </c>
      <c r="C16">
        <v>0.69666610752823155</v>
      </c>
      <c r="D16" s="45">
        <v>292.31700000000001</v>
      </c>
      <c r="E16" s="45">
        <v>289.30173145285579</v>
      </c>
      <c r="F16" s="4">
        <v>1.0422573456445355E-2</v>
      </c>
      <c r="G16">
        <v>10</v>
      </c>
      <c r="H16">
        <v>4.1891999999999996</v>
      </c>
      <c r="I16">
        <v>1.6855570691555599</v>
      </c>
      <c r="J16">
        <f t="shared" si="8"/>
        <v>0.14433756729740646</v>
      </c>
      <c r="K16">
        <f t="shared" si="0"/>
        <v>24.773609051379747</v>
      </c>
      <c r="L16" s="8">
        <f t="shared" si="1"/>
        <v>8.5632425796306784</v>
      </c>
      <c r="N16">
        <f t="shared" si="17"/>
        <v>0.14061747999999999</v>
      </c>
      <c r="O16">
        <f t="shared" si="2"/>
        <v>20.184343472500796</v>
      </c>
      <c r="Q16">
        <f t="shared" si="3"/>
        <v>24.773874519007659</v>
      </c>
      <c r="R16">
        <f t="shared" si="4"/>
        <v>8.563334341137456E-2</v>
      </c>
      <c r="S16" s="41"/>
      <c r="T16" s="4">
        <v>0.75057049310447455</v>
      </c>
      <c r="U16" s="4">
        <f>'Overall w heat (final) 0709 (2)'!G59/'Overall w heat (final) 0709 (2)'!F59</f>
        <v>0.69120558341921967</v>
      </c>
      <c r="V16">
        <f t="shared" si="10"/>
        <v>1.9245008972987527E-5</v>
      </c>
      <c r="W16">
        <f t="shared" si="11"/>
        <v>1.1547005383792517</v>
      </c>
      <c r="X16">
        <v>5</v>
      </c>
      <c r="Y16">
        <f t="shared" si="12"/>
        <v>4.1891999999999997E-3</v>
      </c>
      <c r="Z16">
        <f t="shared" si="13"/>
        <v>2.8867513459481291</v>
      </c>
      <c r="AA16">
        <v>1.1579999999999999</v>
      </c>
      <c r="AB16">
        <f t="shared" si="14"/>
        <v>3.26775E-5</v>
      </c>
      <c r="AD16" s="8">
        <f t="shared" si="5"/>
        <v>7.8024664991852247E-2</v>
      </c>
      <c r="AF16">
        <f t="shared" si="6"/>
        <v>6.0831461929684149E-3</v>
      </c>
      <c r="AG16">
        <f t="shared" si="7"/>
        <v>4.2459181578879717E-6</v>
      </c>
      <c r="AH16">
        <f t="shared" si="15"/>
        <v>7.8021741272073022E-2</v>
      </c>
    </row>
    <row r="17" spans="1:34" x14ac:dyDescent="0.25">
      <c r="A17">
        <v>1639</v>
      </c>
      <c r="B17">
        <v>171.63567864112238</v>
      </c>
      <c r="C17">
        <v>0.73556884310464887</v>
      </c>
      <c r="D17" s="45">
        <v>269.29259999999999</v>
      </c>
      <c r="E17" s="45">
        <v>271.84554968579704</v>
      </c>
      <c r="F17" s="4">
        <v>-9.3911770442730493E-3</v>
      </c>
      <c r="G17">
        <v>12</v>
      </c>
      <c r="H17">
        <v>3.6857000000000002</v>
      </c>
      <c r="I17">
        <v>1.58385221440005</v>
      </c>
      <c r="J17">
        <f t="shared" si="8"/>
        <v>0.14433756729740646</v>
      </c>
      <c r="K17">
        <f t="shared" si="0"/>
        <v>24.773593516493079</v>
      </c>
      <c r="L17" s="8">
        <f t="shared" si="1"/>
        <v>9.1131135106411527</v>
      </c>
      <c r="N17">
        <f t="shared" si="17"/>
        <v>0.12383951999999999</v>
      </c>
      <c r="O17">
        <f t="shared" si="2"/>
        <v>16.835884385383277</v>
      </c>
      <c r="Q17">
        <f t="shared" si="3"/>
        <v>24.773827914817826</v>
      </c>
      <c r="R17">
        <f t="shared" si="4"/>
        <v>9.1131997354570518E-2</v>
      </c>
      <c r="S17" s="41"/>
      <c r="T17" s="4">
        <v>0.761630790596171</v>
      </c>
      <c r="U17" s="4">
        <f>'Overall w heat (final) 0709 (2)'!G60/'Overall w heat (final) 0709 (2)'!F60</f>
        <v>0.72965860837679686</v>
      </c>
      <c r="V17">
        <f t="shared" si="10"/>
        <v>1.9245008972987527E-5</v>
      </c>
      <c r="W17">
        <f t="shared" si="11"/>
        <v>1.1547005383792517</v>
      </c>
      <c r="X17">
        <v>5</v>
      </c>
      <c r="Y17">
        <f t="shared" si="12"/>
        <v>3.6857000000000001E-3</v>
      </c>
      <c r="Z17">
        <f t="shared" si="13"/>
        <v>2.8867513459481291</v>
      </c>
      <c r="AA17">
        <v>1.1571</v>
      </c>
      <c r="AB17">
        <f t="shared" si="14"/>
        <v>3.26775E-5</v>
      </c>
      <c r="AD17" s="8">
        <f t="shared" si="5"/>
        <v>6.8711946393239146E-2</v>
      </c>
      <c r="AF17">
        <f t="shared" si="6"/>
        <v>4.7160821433972246E-3</v>
      </c>
      <c r="AG17">
        <f t="shared" si="7"/>
        <v>4.7400968786576521E-6</v>
      </c>
      <c r="AH17">
        <f t="shared" si="15"/>
        <v>6.8708239973644225E-2</v>
      </c>
    </row>
    <row r="18" spans="1:34" x14ac:dyDescent="0.25">
      <c r="A18">
        <v>1639</v>
      </c>
      <c r="B18">
        <v>171.63567864112238</v>
      </c>
      <c r="C18">
        <v>0.80311495788323939</v>
      </c>
      <c r="D18" s="45">
        <v>258.2851</v>
      </c>
      <c r="E18" s="45">
        <v>257.37260775625094</v>
      </c>
      <c r="F18" s="4">
        <v>3.5454132112351594E-3</v>
      </c>
      <c r="G18">
        <v>14</v>
      </c>
      <c r="H18">
        <v>3.4491999999999998</v>
      </c>
      <c r="I18">
        <v>1.49952859332003</v>
      </c>
      <c r="J18">
        <f t="shared" si="8"/>
        <v>0.14433756729740646</v>
      </c>
      <c r="K18">
        <f t="shared" si="0"/>
        <v>24.77358136936056</v>
      </c>
      <c r="L18" s="8">
        <f t="shared" si="1"/>
        <v>9.6255703298553019</v>
      </c>
      <c r="N18" t="e">
        <f>(#REF!*0.001*H18+H18*2)/60/1000*1000</f>
        <v>#REF!</v>
      </c>
      <c r="O18" t="e">
        <f t="shared" si="2"/>
        <v>#REF!</v>
      </c>
      <c r="Q18">
        <f t="shared" si="3"/>
        <v>24.773791473747195</v>
      </c>
      <c r="R18">
        <f t="shared" si="4"/>
        <v>9.6256519641785776E-2</v>
      </c>
      <c r="S18" s="41"/>
      <c r="T18" s="4">
        <v>0.76749256689791878</v>
      </c>
      <c r="U18" s="4">
        <f>'Overall w heat (final) 0709 (2)'!G61/'Overall w heat (final) 0709 (2)'!F61</f>
        <v>0.79595139532531167</v>
      </c>
      <c r="V18">
        <f t="shared" si="10"/>
        <v>1.9245008972987527E-5</v>
      </c>
      <c r="W18">
        <f t="shared" si="11"/>
        <v>1.1547005383792517</v>
      </c>
      <c r="X18">
        <v>5</v>
      </c>
      <c r="Y18">
        <f t="shared" si="12"/>
        <v>3.4491999999999999E-3</v>
      </c>
      <c r="Z18">
        <f t="shared" si="13"/>
        <v>2.8867513459481291</v>
      </c>
      <c r="AA18">
        <v>1.1576</v>
      </c>
      <c r="AB18">
        <f t="shared" si="14"/>
        <v>3.26775E-5</v>
      </c>
      <c r="AD18" s="8">
        <f t="shared" si="5"/>
        <v>6.4288040543024685E-2</v>
      </c>
      <c r="AF18">
        <f t="shared" si="6"/>
        <v>4.1267000329188513E-3</v>
      </c>
      <c r="AG18">
        <f t="shared" si="7"/>
        <v>5.6454990378948634E-6</v>
      </c>
      <c r="AH18">
        <f t="shared" si="15"/>
        <v>6.428332234691006E-2</v>
      </c>
    </row>
    <row r="19" spans="1:34" x14ac:dyDescent="0.25">
      <c r="A19">
        <v>1640</v>
      </c>
      <c r="B19">
        <v>171.74039839624203</v>
      </c>
      <c r="C19">
        <v>0.84332212411016105</v>
      </c>
      <c r="D19" s="45">
        <v>243.74799999999999</v>
      </c>
      <c r="E19" s="45">
        <v>242.54161373792925</v>
      </c>
      <c r="F19" s="4">
        <v>4.9739351671596434E-3</v>
      </c>
      <c r="G19">
        <v>16</v>
      </c>
      <c r="H19">
        <v>3.169</v>
      </c>
      <c r="I19">
        <v>1.4122571975076801</v>
      </c>
      <c r="J19">
        <f t="shared" si="8"/>
        <v>0.14433756729740646</v>
      </c>
      <c r="K19">
        <f t="shared" si="0"/>
        <v>24.788684435107882</v>
      </c>
      <c r="L19" s="8">
        <f t="shared" si="1"/>
        <v>10.220384062378887</v>
      </c>
      <c r="N19" t="e">
        <f>(#REF!*0.001*H19+H19*2)/60/1000*1000</f>
        <v>#REF!</v>
      </c>
      <c r="O19" t="e">
        <f t="shared" si="2"/>
        <v>#REF!</v>
      </c>
      <c r="Q19">
        <f t="shared" si="3"/>
        <v>24.788870681872169</v>
      </c>
      <c r="R19">
        <f t="shared" si="4"/>
        <v>0.10220460851990952</v>
      </c>
      <c r="S19" s="41"/>
      <c r="T19" s="4">
        <v>0.77524752475247527</v>
      </c>
      <c r="U19" s="4">
        <f>'Overall w heat (final) 0709 (2)'!G62/'Overall w heat (final) 0709 (2)'!F62</f>
        <v>0.83497240010907037</v>
      </c>
      <c r="V19">
        <f t="shared" si="10"/>
        <v>1.9245008972987527E-5</v>
      </c>
      <c r="W19">
        <f t="shared" si="11"/>
        <v>1.1547005383792517</v>
      </c>
      <c r="X19">
        <v>5</v>
      </c>
      <c r="Y19">
        <f t="shared" si="12"/>
        <v>3.1689999999999999E-3</v>
      </c>
      <c r="Z19">
        <f t="shared" si="13"/>
        <v>2.8867513459481291</v>
      </c>
      <c r="AA19">
        <v>1.1573</v>
      </c>
      <c r="AB19">
        <f t="shared" si="14"/>
        <v>3.26775E-5</v>
      </c>
      <c r="AD19" s="8">
        <f t="shared" si="5"/>
        <v>5.9058414538388428E-2</v>
      </c>
      <c r="AF19">
        <f t="shared" si="6"/>
        <v>3.4810155714216969E-3</v>
      </c>
      <c r="AG19">
        <f t="shared" si="7"/>
        <v>6.2124013767192698E-6</v>
      </c>
      <c r="AH19">
        <f t="shared" si="15"/>
        <v>5.9052755844231489E-2</v>
      </c>
    </row>
    <row r="20" spans="1:34" x14ac:dyDescent="0.25">
      <c r="A20">
        <v>1837</v>
      </c>
      <c r="B20">
        <v>192.37019015481502</v>
      </c>
      <c r="C20">
        <v>0.80530956514993424</v>
      </c>
      <c r="D20" s="45">
        <v>402.21280000000002</v>
      </c>
      <c r="E20" s="45">
        <v>414.98108314334672</v>
      </c>
      <c r="F20" s="4">
        <v>-3.0768349840506259E-2</v>
      </c>
      <c r="G20">
        <v>8.5</v>
      </c>
      <c r="H20">
        <v>5.6976000000000004</v>
      </c>
      <c r="I20">
        <v>2.15720056631113</v>
      </c>
      <c r="J20">
        <f t="shared" si="8"/>
        <v>0.14433756729740646</v>
      </c>
      <c r="K20">
        <f t="shared" si="0"/>
        <v>27.766439243769888</v>
      </c>
      <c r="L20" s="8">
        <f t="shared" si="1"/>
        <v>6.6910132465432257</v>
      </c>
      <c r="N20">
        <f>(G23*0.001*H20+H20*2)/60/1000*1000</f>
        <v>0.19134440000000003</v>
      </c>
      <c r="O20">
        <f t="shared" si="2"/>
        <v>23.760353568428698</v>
      </c>
      <c r="Q20">
        <f t="shared" si="3"/>
        <v>27.766827192273375</v>
      </c>
      <c r="R20">
        <f t="shared" si="4"/>
        <v>6.6911067323716766E-2</v>
      </c>
      <c r="S20" s="41"/>
      <c r="T20" s="4">
        <v>0.75267665952890794</v>
      </c>
      <c r="U20" s="4">
        <f>'Overall w heat (final) 0709 (2)'!G65/'Overall w heat (final) 0709 (2)'!F65</f>
        <v>0.71851317375975576</v>
      </c>
      <c r="V20">
        <f t="shared" si="10"/>
        <v>1.9245008972987527E-5</v>
      </c>
      <c r="W20">
        <f t="shared" si="11"/>
        <v>1.1547005383792517</v>
      </c>
      <c r="X20">
        <v>5</v>
      </c>
      <c r="Y20">
        <f t="shared" si="12"/>
        <v>5.6976000000000006E-3</v>
      </c>
      <c r="Z20">
        <f t="shared" si="13"/>
        <v>2.8867513459481291</v>
      </c>
      <c r="AA20">
        <v>1.1549</v>
      </c>
      <c r="AB20">
        <f t="shared" si="14"/>
        <v>3.26775E-5</v>
      </c>
      <c r="AD20" s="8">
        <f t="shared" si="5"/>
        <v>9.4920032754632747E-2</v>
      </c>
      <c r="AF20">
        <f t="shared" si="6"/>
        <v>9.0057093679060968E-3</v>
      </c>
      <c r="AG20">
        <f t="shared" si="7"/>
        <v>3.6152533580837393E-6</v>
      </c>
      <c r="AH20">
        <f t="shared" si="15"/>
        <v>9.4917462151409102E-2</v>
      </c>
    </row>
    <row r="21" spans="1:34" x14ac:dyDescent="0.25">
      <c r="A21">
        <v>1837</v>
      </c>
      <c r="B21">
        <v>192.37019015481502</v>
      </c>
      <c r="C21">
        <v>0.85827402956532706</v>
      </c>
      <c r="D21" s="45">
        <v>379.46269999999998</v>
      </c>
      <c r="E21" s="45">
        <v>377.6009892173239</v>
      </c>
      <c r="F21" s="4">
        <v>4.9303652157664185E-3</v>
      </c>
      <c r="G21">
        <v>10</v>
      </c>
      <c r="H21">
        <v>5.1612999999999998</v>
      </c>
      <c r="I21">
        <v>1.9628872275555764</v>
      </c>
      <c r="J21">
        <f t="shared" si="8"/>
        <v>0.14433756729740646</v>
      </c>
      <c r="K21">
        <f t="shared" si="0"/>
        <v>27.766405872294062</v>
      </c>
      <c r="L21" s="8">
        <f t="shared" si="1"/>
        <v>7.3533721216798575</v>
      </c>
      <c r="N21">
        <f t="shared" ref="N21:N22" si="18">(G24*0.001*H21+H21*2)/60/1000*1000</f>
        <v>0.17359172333333334</v>
      </c>
      <c r="O21">
        <f t="shared" si="2"/>
        <v>20.225675874318238</v>
      </c>
      <c r="Q21">
        <f t="shared" si="3"/>
        <v>27.766727079124358</v>
      </c>
      <c r="R21">
        <f t="shared" si="4"/>
        <v>7.3534571868252019E-2</v>
      </c>
      <c r="S21" s="41"/>
      <c r="T21" s="4">
        <v>0.76024955436720132</v>
      </c>
      <c r="U21" s="4">
        <f>'Overall w heat (final) 0709 (2)'!G66/'Overall w heat (final) 0709 (2)'!F66</f>
        <v>0.76495011547711855</v>
      </c>
      <c r="V21">
        <f t="shared" si="10"/>
        <v>1.9245008972987527E-5</v>
      </c>
      <c r="W21">
        <f t="shared" si="11"/>
        <v>1.1547005383792517</v>
      </c>
      <c r="X21">
        <v>5</v>
      </c>
      <c r="Y21">
        <f t="shared" si="12"/>
        <v>5.1612999999999997E-3</v>
      </c>
      <c r="Z21">
        <f t="shared" si="13"/>
        <v>2.8867513459481291</v>
      </c>
      <c r="AA21">
        <v>1.155</v>
      </c>
      <c r="AB21">
        <f t="shared" si="14"/>
        <v>3.26775E-5</v>
      </c>
      <c r="AD21" s="8">
        <f t="shared" si="5"/>
        <v>8.598553607595856E-2</v>
      </c>
      <c r="AF21">
        <f t="shared" si="6"/>
        <v>7.3888528078026117E-3</v>
      </c>
      <c r="AG21">
        <f t="shared" si="7"/>
        <v>4.1054425067704658E-6</v>
      </c>
      <c r="AH21">
        <f t="shared" si="15"/>
        <v>8.5982313590117959E-2</v>
      </c>
    </row>
    <row r="22" spans="1:34" x14ac:dyDescent="0.25">
      <c r="A22">
        <v>1839</v>
      </c>
      <c r="B22">
        <v>192.57962966505431</v>
      </c>
      <c r="C22">
        <v>0.90545505322499509</v>
      </c>
      <c r="D22" s="45">
        <v>352.13600000000002</v>
      </c>
      <c r="E22" s="45">
        <v>348.33822229195874</v>
      </c>
      <c r="F22" s="4">
        <v>1.0902558103021447E-2</v>
      </c>
      <c r="G22">
        <v>12</v>
      </c>
      <c r="H22">
        <v>4.5373000000000001</v>
      </c>
      <c r="I22">
        <v>1.8088009770182278</v>
      </c>
      <c r="J22">
        <f t="shared" si="8"/>
        <v>0.14433756729740646</v>
      </c>
      <c r="K22">
        <f t="shared" si="0"/>
        <v>27.796611488230688</v>
      </c>
      <c r="L22" s="8">
        <f t="shared" si="1"/>
        <v>7.9797764670605202</v>
      </c>
      <c r="N22">
        <f t="shared" si="18"/>
        <v>0.15283138833333335</v>
      </c>
      <c r="O22">
        <f t="shared" si="2"/>
        <v>16.87895912546821</v>
      </c>
      <c r="Q22">
        <f t="shared" si="3"/>
        <v>27.796883948910295</v>
      </c>
      <c r="R22">
        <f t="shared" si="4"/>
        <v>7.9798546843396392E-2</v>
      </c>
      <c r="S22" s="41"/>
      <c r="T22" s="4">
        <v>0.77128132219655232</v>
      </c>
      <c r="U22" s="4">
        <f>'Overall w heat (final) 0709 (2)'!G67/'Overall w heat (final) 0709 (2)'!F67</f>
        <v>0.80456286940198607</v>
      </c>
      <c r="V22">
        <f t="shared" si="10"/>
        <v>1.9245008972987527E-5</v>
      </c>
      <c r="W22">
        <f t="shared" si="11"/>
        <v>1.1547005383792517</v>
      </c>
      <c r="X22">
        <v>5</v>
      </c>
      <c r="Y22">
        <f t="shared" si="12"/>
        <v>4.5373000000000002E-3</v>
      </c>
      <c r="Z22">
        <f t="shared" si="13"/>
        <v>2.8867513459481291</v>
      </c>
      <c r="AA22">
        <v>1.1558999999999999</v>
      </c>
      <c r="AB22">
        <f t="shared" si="14"/>
        <v>3.26775E-5</v>
      </c>
      <c r="AD22" s="8">
        <f t="shared" si="5"/>
        <v>7.5459300013738115E-2</v>
      </c>
      <c r="AF22">
        <f t="shared" si="6"/>
        <v>5.6889497060423509E-3</v>
      </c>
      <c r="AG22">
        <f t="shared" si="7"/>
        <v>4.5418459527334739E-6</v>
      </c>
      <c r="AH22">
        <f t="shared" si="15"/>
        <v>7.5455228791615786E-2</v>
      </c>
    </row>
    <row r="23" spans="1:34" x14ac:dyDescent="0.25">
      <c r="A23">
        <v>1839</v>
      </c>
      <c r="B23">
        <v>192.57962966505431</v>
      </c>
      <c r="C23">
        <v>1.0204336023056251</v>
      </c>
      <c r="D23" s="45">
        <v>328.50850000000003</v>
      </c>
      <c r="E23" s="45">
        <v>344.11790533548407</v>
      </c>
      <c r="F23" s="4">
        <v>-4.5360631032164027E-2</v>
      </c>
      <c r="G23">
        <v>15</v>
      </c>
      <c r="H23">
        <v>4.0906000000000002</v>
      </c>
      <c r="I23">
        <v>1.7868863178000391</v>
      </c>
      <c r="J23">
        <f t="shared" si="8"/>
        <v>0.14433756729740646</v>
      </c>
      <c r="K23">
        <f t="shared" si="0"/>
        <v>27.796608207194179</v>
      </c>
      <c r="L23" s="8">
        <f t="shared" si="1"/>
        <v>8.0776407667874714</v>
      </c>
      <c r="N23" t="e">
        <f>(#REF!*0.001*H23+H23*2)/60/1000*1000</f>
        <v>#REF!</v>
      </c>
      <c r="O23" t="e">
        <f t="shared" si="2"/>
        <v>#REF!</v>
      </c>
      <c r="Q23">
        <f t="shared" si="3"/>
        <v>27.796874105896077</v>
      </c>
      <c r="R23">
        <f t="shared" si="4"/>
        <v>8.0777180364377199E-2</v>
      </c>
      <c r="S23" s="41"/>
      <c r="T23" s="4">
        <v>0.77931769722814503</v>
      </c>
      <c r="U23" s="4">
        <f>'Overall w heat (final) 0709 (2)'!G68/'Overall w heat (final) 0709 (2)'!F68</f>
        <v>0.90656858769156456</v>
      </c>
      <c r="V23">
        <f t="shared" si="10"/>
        <v>1.9245008972987527E-5</v>
      </c>
      <c r="W23">
        <f t="shared" si="11"/>
        <v>1.1547005383792517</v>
      </c>
      <c r="X23">
        <v>5</v>
      </c>
      <c r="Y23">
        <f t="shared" si="12"/>
        <v>4.0906000000000007E-3</v>
      </c>
      <c r="Z23">
        <f t="shared" si="13"/>
        <v>2.8867513459481291</v>
      </c>
      <c r="AA23">
        <v>1.1556999999999999</v>
      </c>
      <c r="AB23">
        <f t="shared" si="14"/>
        <v>3.26775E-5</v>
      </c>
      <c r="AD23" s="8">
        <f t="shared" si="5"/>
        <v>6.8059385109767209E-2</v>
      </c>
      <c r="AF23">
        <f t="shared" si="6"/>
        <v>4.6255292643845721E-3</v>
      </c>
      <c r="AG23">
        <f t="shared" si="7"/>
        <v>5.7700790716644194E-6</v>
      </c>
      <c r="AH23">
        <f t="shared" si="15"/>
        <v>6.8053650478546973E-2</v>
      </c>
    </row>
    <row r="24" spans="1:34" x14ac:dyDescent="0.25">
      <c r="A24">
        <v>1839</v>
      </c>
      <c r="B24">
        <v>192.57962966505431</v>
      </c>
      <c r="C24">
        <v>1.0201251626579322</v>
      </c>
      <c r="D24" s="45">
        <v>291.82490000000001</v>
      </c>
      <c r="E24" s="45">
        <v>310.51013897327994</v>
      </c>
      <c r="F24" s="4">
        <v>-6.017593832866059E-2</v>
      </c>
      <c r="G24">
        <v>18</v>
      </c>
      <c r="H24">
        <v>3.4075000000000002</v>
      </c>
      <c r="I24">
        <v>1.612372707920029</v>
      </c>
      <c r="J24">
        <f t="shared" si="8"/>
        <v>0.14433756729740646</v>
      </c>
      <c r="K24">
        <f t="shared" si="0"/>
        <v>27.796583506554168</v>
      </c>
      <c r="L24" s="8">
        <f t="shared" si="1"/>
        <v>8.9519084943458562</v>
      </c>
      <c r="N24" t="e">
        <f>(#REF!*0.001*H24+H24*2)/60/1000*1000</f>
        <v>#REF!</v>
      </c>
      <c r="O24" t="e">
        <f t="shared" si="2"/>
        <v>#REF!</v>
      </c>
      <c r="Q24">
        <f t="shared" si="3"/>
        <v>27.796800004619044</v>
      </c>
      <c r="R24">
        <f t="shared" si="4"/>
        <v>8.9519782176938886E-2</v>
      </c>
      <c r="S24" s="41"/>
      <c r="T24" s="4">
        <v>0.7936113575865128</v>
      </c>
      <c r="U24" s="4">
        <f>'Overall w heat (final) 0709 (2)'!G69/'Overall w heat (final) 0709 (2)'!F69</f>
        <v>0.90516873350304539</v>
      </c>
      <c r="V24">
        <f t="shared" si="10"/>
        <v>1.9245008972987527E-5</v>
      </c>
      <c r="W24">
        <f t="shared" si="11"/>
        <v>1.1547005383792517</v>
      </c>
      <c r="X24">
        <v>5</v>
      </c>
      <c r="Y24">
        <f t="shared" si="12"/>
        <v>3.4075000000000004E-3</v>
      </c>
      <c r="Z24">
        <f t="shared" si="13"/>
        <v>2.8867513459481291</v>
      </c>
      <c r="AA24">
        <v>1.1552</v>
      </c>
      <c r="AB24">
        <f t="shared" si="14"/>
        <v>3.26775E-5</v>
      </c>
      <c r="AD24" s="8">
        <f t="shared" si="5"/>
        <v>5.6736152468794238E-2</v>
      </c>
      <c r="AF24">
        <f t="shared" si="6"/>
        <v>3.2124398159096654E-3</v>
      </c>
      <c r="AG24">
        <f t="shared" si="7"/>
        <v>5.7705581773350732E-6</v>
      </c>
      <c r="AH24">
        <f t="shared" si="15"/>
        <v>5.6729272638444787E-2</v>
      </c>
    </row>
    <row r="25" spans="1:34" x14ac:dyDescent="0.25">
      <c r="A25">
        <v>1840</v>
      </c>
      <c r="B25">
        <v>192.68434942017399</v>
      </c>
      <c r="C25">
        <v>1.0094910734070963</v>
      </c>
      <c r="D25" s="45">
        <v>262.67219999999998</v>
      </c>
      <c r="E25" s="45">
        <v>272.32024194294416</v>
      </c>
      <c r="F25" s="4">
        <v>-3.5429029711884663E-2</v>
      </c>
      <c r="G25">
        <v>21</v>
      </c>
      <c r="H25">
        <v>2.8900999999999999</v>
      </c>
      <c r="I25">
        <v>1.4132971503000145</v>
      </c>
      <c r="J25">
        <f t="shared" si="8"/>
        <v>0.14433756729740646</v>
      </c>
      <c r="K25">
        <f t="shared" si="0"/>
        <v>27.811673375652411</v>
      </c>
      <c r="L25" s="8">
        <f t="shared" si="1"/>
        <v>10.212855708860394</v>
      </c>
      <c r="N25">
        <f>(G26*0.001*H25+H25*2)/60/1000*1000</f>
        <v>9.6770181666666663E-2</v>
      </c>
      <c r="O25">
        <f t="shared" si="2"/>
        <v>9.5860363915909801</v>
      </c>
      <c r="Q25">
        <f t="shared" si="3"/>
        <v>27.811839623029226</v>
      </c>
      <c r="R25">
        <f t="shared" si="4"/>
        <v>0.1021291675734347</v>
      </c>
      <c r="S25" s="41"/>
      <c r="T25" s="4">
        <v>0.80682624113475188</v>
      </c>
      <c r="U25" s="4">
        <f>'Overall w heat (final) 0709 (2)'!G70/'Overall w heat (final) 0709 (2)'!F70</f>
        <v>0.89493889486444722</v>
      </c>
      <c r="V25">
        <f t="shared" si="10"/>
        <v>1.9245008972987527E-5</v>
      </c>
      <c r="W25">
        <f t="shared" si="11"/>
        <v>1.1547005383792517</v>
      </c>
      <c r="X25">
        <v>5</v>
      </c>
      <c r="Y25">
        <f t="shared" si="12"/>
        <v>2.8901E-3</v>
      </c>
      <c r="Z25">
        <f t="shared" si="13"/>
        <v>2.8867513459481291</v>
      </c>
      <c r="AA25">
        <v>1.1543000000000001</v>
      </c>
      <c r="AB25">
        <f t="shared" si="14"/>
        <v>3.26775E-5</v>
      </c>
      <c r="AD25" s="8">
        <f t="shared" si="5"/>
        <v>4.8150214861264418E-2</v>
      </c>
      <c r="AF25">
        <f t="shared" si="6"/>
        <v>2.3120317438693823E-3</v>
      </c>
      <c r="AG25">
        <f t="shared" si="7"/>
        <v>5.6467428172613277E-6</v>
      </c>
      <c r="AH25">
        <f t="shared" si="15"/>
        <v>4.8142273385109721E-2</v>
      </c>
    </row>
    <row r="26" spans="1:34" x14ac:dyDescent="0.25">
      <c r="A26">
        <v>2107</v>
      </c>
      <c r="B26">
        <v>220.64452403712315</v>
      </c>
      <c r="C26">
        <v>0.86906064601320965</v>
      </c>
      <c r="D26" s="45">
        <v>476.0367</v>
      </c>
      <c r="E26" s="45">
        <v>496.993999338386</v>
      </c>
      <c r="F26" s="4">
        <v>-4.2168113430514298E-2</v>
      </c>
      <c r="G26">
        <v>9</v>
      </c>
      <c r="H26">
        <v>5.8071999999999999</v>
      </c>
      <c r="I26">
        <v>2.2524646895599703</v>
      </c>
      <c r="J26">
        <f t="shared" si="8"/>
        <v>0.14433756729740646</v>
      </c>
      <c r="K26">
        <f t="shared" si="0"/>
        <v>31.8474782232271</v>
      </c>
      <c r="L26" s="8">
        <f t="shared" si="1"/>
        <v>6.4080206734132537</v>
      </c>
      <c r="N26">
        <f>(G30*0.001*H26+H26*2)/60/1000*1000</f>
        <v>0.19541228000000002</v>
      </c>
      <c r="O26">
        <f t="shared" si="2"/>
        <v>22.485459547207455</v>
      </c>
      <c r="Q26">
        <f t="shared" si="3"/>
        <v>31.847846992453778</v>
      </c>
      <c r="R26">
        <f t="shared" si="4"/>
        <v>6.4080948733486992E-2</v>
      </c>
      <c r="S26" s="41"/>
      <c r="T26" s="4">
        <v>0.77932002495321273</v>
      </c>
      <c r="U26" s="4">
        <f>'Overall w heat (final) 0709 (2)'!G73/'Overall w heat (final) 0709 (2)'!F73</f>
        <v>0.67768297412134249</v>
      </c>
      <c r="V26">
        <f t="shared" si="10"/>
        <v>1.9245008972987527E-5</v>
      </c>
      <c r="W26">
        <f t="shared" si="11"/>
        <v>1.1547005383792517</v>
      </c>
      <c r="X26">
        <v>5</v>
      </c>
      <c r="Y26">
        <f t="shared" si="12"/>
        <v>5.8072000000000002E-3</v>
      </c>
      <c r="Z26">
        <f t="shared" si="13"/>
        <v>2.8867513459481291</v>
      </c>
      <c r="AA26">
        <v>1.1499999999999999</v>
      </c>
      <c r="AB26">
        <f t="shared" si="14"/>
        <v>3.26775E-5</v>
      </c>
      <c r="AD26" s="8">
        <f t="shared" si="5"/>
        <v>8.4705656601805512E-2</v>
      </c>
      <c r="AF26">
        <f t="shared" si="6"/>
        <v>7.1721589326961439E-3</v>
      </c>
      <c r="AG26">
        <f t="shared" si="7"/>
        <v>2.4536189916884443E-6</v>
      </c>
      <c r="AH26">
        <f t="shared" si="15"/>
        <v>8.4703084664537645E-2</v>
      </c>
    </row>
    <row r="27" spans="1:34" x14ac:dyDescent="0.25">
      <c r="A27">
        <v>2112</v>
      </c>
      <c r="B27">
        <v>221.16812281272144</v>
      </c>
      <c r="C27">
        <v>0.94847363500753468</v>
      </c>
      <c r="D27" s="45">
        <v>439.1995</v>
      </c>
      <c r="E27" s="45">
        <v>455.1477762194761</v>
      </c>
      <c r="F27" s="4">
        <v>-3.5039776206191343E-2</v>
      </c>
      <c r="G27">
        <v>11.5</v>
      </c>
      <c r="H27">
        <v>4.9595000000000002</v>
      </c>
      <c r="I27">
        <v>2.0579266597333361</v>
      </c>
      <c r="J27">
        <f t="shared" si="8"/>
        <v>0.14433756729740646</v>
      </c>
      <c r="K27">
        <f t="shared" si="0"/>
        <v>31.923022358141303</v>
      </c>
      <c r="L27" s="8">
        <f t="shared" si="1"/>
        <v>7.0137709170631544</v>
      </c>
      <c r="N27">
        <f t="shared" ref="N27:N31" si="19">(G31*0.001*H27+H27*2)/60/1000*1000</f>
        <v>0.16746578333333334</v>
      </c>
      <c r="O27">
        <f t="shared" si="2"/>
        <v>17.656345643387649</v>
      </c>
      <c r="Q27">
        <f t="shared" si="3"/>
        <v>31.923329451163792</v>
      </c>
      <c r="R27">
        <f t="shared" si="4"/>
        <v>7.0138383881216834E-2</v>
      </c>
      <c r="S27" s="41"/>
      <c r="T27" s="4">
        <v>0.79063617981023482</v>
      </c>
      <c r="U27" s="4">
        <f>'Overall w heat (final) 0709 (2)'!G74/'Overall w heat (final) 0709 (2)'!F74</f>
        <v>0.73765253928101937</v>
      </c>
      <c r="V27">
        <f t="shared" si="10"/>
        <v>1.9245008972987527E-5</v>
      </c>
      <c r="W27">
        <f t="shared" si="11"/>
        <v>1.1547005383792517</v>
      </c>
      <c r="X27">
        <v>5</v>
      </c>
      <c r="Y27">
        <f t="shared" si="12"/>
        <v>4.9595000000000004E-3</v>
      </c>
      <c r="Z27">
        <f t="shared" si="13"/>
        <v>2.8867513459481291</v>
      </c>
      <c r="AA27">
        <v>1.1488</v>
      </c>
      <c r="AB27">
        <f t="shared" si="14"/>
        <v>3.26775E-5</v>
      </c>
      <c r="AD27" s="8">
        <f t="shared" si="5"/>
        <v>7.2254068444237401E-2</v>
      </c>
      <c r="AF27">
        <f t="shared" si="6"/>
        <v>5.2172325797467545E-3</v>
      </c>
      <c r="AG27">
        <f t="shared" si="7"/>
        <v>2.900342741286887E-6</v>
      </c>
      <c r="AH27">
        <f t="shared" si="15"/>
        <v>7.225048735121474E-2</v>
      </c>
    </row>
    <row r="28" spans="1:34" x14ac:dyDescent="0.25">
      <c r="A28">
        <v>2114</v>
      </c>
      <c r="B28">
        <v>221.37756232296076</v>
      </c>
      <c r="C28">
        <v>1.042829287775632</v>
      </c>
      <c r="D28" s="45">
        <v>413.53059999999999</v>
      </c>
      <c r="E28" s="45">
        <v>433.13431702395167</v>
      </c>
      <c r="F28" s="4">
        <v>2.3044042258500888E-2</v>
      </c>
      <c r="G28">
        <v>14</v>
      </c>
      <c r="H28">
        <v>4.7378999999999998</v>
      </c>
      <c r="I28">
        <v>1.9565411800499712</v>
      </c>
      <c r="J28">
        <f t="shared" si="8"/>
        <v>0.14433756729740646</v>
      </c>
      <c r="K28">
        <f t="shared" si="0"/>
        <v>31.953237459646225</v>
      </c>
      <c r="L28" s="8">
        <f t="shared" si="1"/>
        <v>7.3772121496157634</v>
      </c>
      <c r="N28">
        <f t="shared" si="19"/>
        <v>0.15792999999999999</v>
      </c>
      <c r="O28">
        <f t="shared" si="2"/>
        <v>15.144377114385296</v>
      </c>
      <c r="Q28">
        <f t="shared" si="3"/>
        <v>31.953514777281281</v>
      </c>
      <c r="R28">
        <f t="shared" si="4"/>
        <v>7.3772761753981037E-2</v>
      </c>
      <c r="S28" s="41"/>
      <c r="T28" s="4">
        <v>0.7983708301008533</v>
      </c>
      <c r="U28" s="4">
        <f>'Overall w heat (final) 0709 (2)'!G75/'Overall w heat (final) 0709 (2)'!F75</f>
        <v>0.80902194552027318</v>
      </c>
      <c r="V28">
        <f t="shared" si="10"/>
        <v>1.9245008972987527E-5</v>
      </c>
      <c r="W28">
        <f t="shared" si="11"/>
        <v>1.1547005383792517</v>
      </c>
      <c r="X28">
        <v>5</v>
      </c>
      <c r="Y28">
        <f t="shared" si="12"/>
        <v>4.7378999999999998E-3</v>
      </c>
      <c r="Z28">
        <f t="shared" si="13"/>
        <v>2.8867513459481291</v>
      </c>
      <c r="AA28">
        <v>1.1496</v>
      </c>
      <c r="AB28">
        <f t="shared" si="14"/>
        <v>3.26775E-5</v>
      </c>
      <c r="AD28" s="8">
        <f t="shared" si="5"/>
        <v>6.8923144452261026E-2</v>
      </c>
      <c r="AF28">
        <f t="shared" si="6"/>
        <v>4.7457995841055055E-3</v>
      </c>
      <c r="AG28">
        <f t="shared" si="7"/>
        <v>3.9026245428699723E-6</v>
      </c>
      <c r="AH28">
        <f t="shared" si="15"/>
        <v>6.8918083321058601E-2</v>
      </c>
    </row>
    <row r="29" spans="1:34" x14ac:dyDescent="0.25">
      <c r="A29">
        <v>2111</v>
      </c>
      <c r="B29">
        <v>221.06340305760176</v>
      </c>
      <c r="C29">
        <v>1.1631977237886615</v>
      </c>
      <c r="D29" s="45">
        <v>389.93310000000002</v>
      </c>
      <c r="E29" s="45">
        <v>404.21583325687345</v>
      </c>
      <c r="F29" s="4">
        <v>7.7068348992627198E-2</v>
      </c>
      <c r="G29">
        <v>17</v>
      </c>
      <c r="H29">
        <v>4.4790000000000001</v>
      </c>
      <c r="I29">
        <v>1.8259114836000212</v>
      </c>
      <c r="J29">
        <f t="shared" si="8"/>
        <v>0.14433756729740646</v>
      </c>
      <c r="K29">
        <f t="shared" si="0"/>
        <v>31.907874749882701</v>
      </c>
      <c r="L29" s="8">
        <f t="shared" si="1"/>
        <v>7.8937716251222891</v>
      </c>
      <c r="N29">
        <f t="shared" si="19"/>
        <v>0.14930000000000002</v>
      </c>
      <c r="O29">
        <f t="shared" si="2"/>
        <v>12.835307097551196</v>
      </c>
      <c r="Q29">
        <f t="shared" si="3"/>
        <v>31.908116616632491</v>
      </c>
      <c r="R29">
        <f t="shared" si="4"/>
        <v>7.8938314611628119E-2</v>
      </c>
      <c r="S29" s="41"/>
      <c r="T29" s="4">
        <v>0.80386826161255232</v>
      </c>
      <c r="U29" s="4">
        <f>'Overall w heat (final) 0709 (2)'!G76/'Overall w heat (final) 0709 (2)'!F76</f>
        <v>0.90352471942571178</v>
      </c>
      <c r="V29">
        <f t="shared" si="10"/>
        <v>1.9245008972987527E-5</v>
      </c>
      <c r="W29">
        <f t="shared" si="11"/>
        <v>1.1547005383792517</v>
      </c>
      <c r="X29">
        <v>5</v>
      </c>
      <c r="Y29">
        <f t="shared" si="12"/>
        <v>4.4790000000000003E-3</v>
      </c>
      <c r="Z29">
        <f t="shared" si="13"/>
        <v>2.8867513459481291</v>
      </c>
      <c r="AA29">
        <v>1.149</v>
      </c>
      <c r="AB29">
        <f t="shared" si="14"/>
        <v>3.26775E-5</v>
      </c>
      <c r="AD29" s="8">
        <f t="shared" si="5"/>
        <v>6.5298654687711219E-2</v>
      </c>
      <c r="AF29">
        <f t="shared" si="6"/>
        <v>4.2578140512059921E-3</v>
      </c>
      <c r="AG29">
        <f t="shared" si="7"/>
        <v>5.1773716233575807E-6</v>
      </c>
      <c r="AH29">
        <f t="shared" si="15"/>
        <v>6.529158768807318E-2</v>
      </c>
    </row>
    <row r="30" spans="1:34" x14ac:dyDescent="0.25">
      <c r="A30">
        <v>2112</v>
      </c>
      <c r="B30">
        <v>221.16812281272144</v>
      </c>
      <c r="C30">
        <v>1.1657191081274199</v>
      </c>
      <c r="D30" s="45">
        <v>365.04919999999998</v>
      </c>
      <c r="E30" s="45">
        <v>411.38884927145062</v>
      </c>
      <c r="F30" s="4">
        <v>6.3693142931256302E-2</v>
      </c>
      <c r="G30">
        <v>19</v>
      </c>
      <c r="H30">
        <v>4.3156999999999996</v>
      </c>
      <c r="I30">
        <v>1.8600729799556259</v>
      </c>
      <c r="J30">
        <f t="shared" si="8"/>
        <v>0.14433756729740646</v>
      </c>
      <c r="K30">
        <f t="shared" si="0"/>
        <v>31.922994252663671</v>
      </c>
      <c r="L30" s="8">
        <f t="shared" si="1"/>
        <v>7.7598102887809715</v>
      </c>
      <c r="N30">
        <f t="shared" si="19"/>
        <v>0.14385666666666666</v>
      </c>
      <c r="O30">
        <f t="shared" si="2"/>
        <v>12.340594373352443</v>
      </c>
      <c r="Q30">
        <f t="shared" si="3"/>
        <v>31.923245135467759</v>
      </c>
      <c r="R30">
        <f t="shared" si="4"/>
        <v>7.7598712731281494E-2</v>
      </c>
      <c r="S30" s="41"/>
      <c r="T30" s="4">
        <v>0.81095529557604396</v>
      </c>
      <c r="U30" s="4">
        <f>'Overall w heat (final) 0709 (2)'!G77/'Overall w heat (final) 0709 (2)'!F77</f>
        <v>0.90316813212010527</v>
      </c>
      <c r="V30">
        <f t="shared" si="10"/>
        <v>1.9245008972987527E-5</v>
      </c>
      <c r="W30">
        <f t="shared" si="11"/>
        <v>1.1547005383792517</v>
      </c>
      <c r="X30">
        <v>5</v>
      </c>
      <c r="Y30">
        <f t="shared" si="12"/>
        <v>4.3156999999999996E-3</v>
      </c>
      <c r="Z30">
        <f t="shared" si="13"/>
        <v>2.8867513459481291</v>
      </c>
      <c r="AA30">
        <v>1.1506000000000001</v>
      </c>
      <c r="AB30">
        <f t="shared" si="14"/>
        <v>3.26775E-5</v>
      </c>
      <c r="AD30" s="8">
        <f t="shared" si="5"/>
        <v>6.2811833349913151E-2</v>
      </c>
      <c r="AF30">
        <f t="shared" si="6"/>
        <v>3.9382838834462561E-3</v>
      </c>
      <c r="AG30">
        <f t="shared" si="7"/>
        <v>5.9762349695635452E-6</v>
      </c>
      <c r="AH30">
        <f t="shared" si="15"/>
        <v>6.280334480277161E-2</v>
      </c>
    </row>
    <row r="31" spans="1:34" x14ac:dyDescent="0.25">
      <c r="A31">
        <v>2113</v>
      </c>
      <c r="B31">
        <v>221.27284256784108</v>
      </c>
      <c r="C31">
        <v>1.1934902874269904</v>
      </c>
      <c r="D31" s="45">
        <v>303.41419999999999</v>
      </c>
      <c r="E31" s="45">
        <v>362.03189924269998</v>
      </c>
      <c r="F31" s="4">
        <v>4.0686302468179655E-2</v>
      </c>
      <c r="G31">
        <v>26</v>
      </c>
      <c r="H31">
        <v>4.1142000000000003</v>
      </c>
      <c r="I31">
        <v>1.6376835524800391</v>
      </c>
      <c r="J31">
        <f t="shared" si="8"/>
        <v>0.14433756729740646</v>
      </c>
      <c r="K31">
        <f t="shared" si="0"/>
        <v>31.938080998915186</v>
      </c>
      <c r="L31" s="8">
        <f t="shared" si="1"/>
        <v>8.8218969283434454</v>
      </c>
      <c r="N31">
        <f t="shared" si="19"/>
        <v>0.13714000000000001</v>
      </c>
      <c r="O31">
        <f t="shared" si="2"/>
        <v>11.490667451987061</v>
      </c>
      <c r="Q31">
        <f t="shared" si="3"/>
        <v>31.938275385409852</v>
      </c>
      <c r="R31">
        <f t="shared" si="4"/>
        <v>8.8219506215387336E-2</v>
      </c>
      <c r="S31" s="41"/>
      <c r="T31" s="4">
        <v>0.83143807534617464</v>
      </c>
      <c r="U31" s="4">
        <f>'Overall w heat (final) 0709 (2)'!G78/'Overall w heat (final) 0709 (2)'!F78</f>
        <v>0.92325387748664844</v>
      </c>
      <c r="V31">
        <f t="shared" si="10"/>
        <v>1.9245008972987527E-5</v>
      </c>
      <c r="W31">
        <f t="shared" si="11"/>
        <v>1.1547005383792517</v>
      </c>
      <c r="X31">
        <v>5</v>
      </c>
      <c r="Y31">
        <f t="shared" si="12"/>
        <v>4.1142000000000001E-3</v>
      </c>
      <c r="Z31">
        <f t="shared" si="13"/>
        <v>2.8867513459481291</v>
      </c>
      <c r="AA31">
        <v>1.1494</v>
      </c>
      <c r="AB31">
        <f t="shared" si="14"/>
        <v>3.26775E-5</v>
      </c>
      <c r="AD31" s="8">
        <f t="shared" si="5"/>
        <v>5.9959857710357944E-2</v>
      </c>
      <c r="AF31">
        <f t="shared" si="6"/>
        <v>3.5831955489139264E-3</v>
      </c>
      <c r="AG31">
        <f t="shared" si="7"/>
        <v>1.0172307589146047E-5</v>
      </c>
      <c r="AH31">
        <f t="shared" si="15"/>
        <v>5.9944706659579815E-2</v>
      </c>
    </row>
    <row r="32" spans="1:34" x14ac:dyDescent="0.25">
      <c r="L32" s="8">
        <f>AVERAGE(L3:L31)</f>
        <v>8.6208228824773343</v>
      </c>
    </row>
    <row r="33" spans="7:34" x14ac:dyDescent="0.25">
      <c r="AD33" s="8">
        <f>AVERAGE(AD3:AD31)</f>
        <v>8.2252551292449877E-2</v>
      </c>
      <c r="AH33" s="8">
        <f>AVERAGE(AH3:AH31)</f>
        <v>8.2248659072930622E-2</v>
      </c>
    </row>
    <row r="43" spans="7:34" x14ac:dyDescent="0.25">
      <c r="G43" s="59" t="s">
        <v>67</v>
      </c>
      <c r="H43" s="59"/>
    </row>
    <row r="44" spans="7:34" x14ac:dyDescent="0.25">
      <c r="G44" s="45">
        <v>230.44499999999999</v>
      </c>
      <c r="H44">
        <v>4.783927510198363E-2</v>
      </c>
      <c r="I44" s="45">
        <f>H44*100</f>
        <v>4.7839275101983629</v>
      </c>
      <c r="L44" s="46">
        <v>8.3643150802565724</v>
      </c>
      <c r="Q44" s="45">
        <v>0.12239457424872555</v>
      </c>
      <c r="R44" s="45">
        <f>Q44*100</f>
        <v>12.239457424872555</v>
      </c>
    </row>
    <row r="45" spans="7:34" x14ac:dyDescent="0.25">
      <c r="G45" s="45">
        <v>210.70849999999999</v>
      </c>
      <c r="H45">
        <v>4.7970080942564088E-2</v>
      </c>
      <c r="I45" s="45">
        <f t="shared" ref="I45:I72" si="20">H45*100</f>
        <v>4.7970080942564088</v>
      </c>
      <c r="L45" s="46">
        <v>9.1263526989877199</v>
      </c>
      <c r="Q45" s="45">
        <v>0.10783980235603015</v>
      </c>
      <c r="R45" s="45">
        <f t="shared" ref="R45:R72" si="21">Q45*100</f>
        <v>10.783980235603014</v>
      </c>
    </row>
    <row r="46" spans="7:34" x14ac:dyDescent="0.25">
      <c r="G46" s="45">
        <v>198.78120000000001</v>
      </c>
      <c r="H46">
        <v>2.6601945884978644E-2</v>
      </c>
      <c r="I46" s="45">
        <f t="shared" si="20"/>
        <v>2.6601945884978644</v>
      </c>
      <c r="L46" s="46">
        <v>9.5001132323170197</v>
      </c>
      <c r="Q46" s="45">
        <v>9.7552881061911109E-2</v>
      </c>
      <c r="R46" s="45">
        <f t="shared" si="21"/>
        <v>9.7552881061911112</v>
      </c>
    </row>
    <row r="47" spans="7:34" x14ac:dyDescent="0.25">
      <c r="G47" s="45">
        <v>181.72970000000001</v>
      </c>
      <c r="H47">
        <v>2.7320255351395324E-2</v>
      </c>
      <c r="I47" s="45">
        <f t="shared" si="20"/>
        <v>2.7320255351395324</v>
      </c>
      <c r="L47" s="46">
        <v>10.381667121639977</v>
      </c>
      <c r="Q47" s="45">
        <v>8.6006141635375385E-2</v>
      </c>
      <c r="R47" s="45">
        <f t="shared" si="21"/>
        <v>8.6006141635375393</v>
      </c>
    </row>
    <row r="48" spans="7:34" x14ac:dyDescent="0.25">
      <c r="G48" s="45">
        <v>155.60230000000001</v>
      </c>
      <c r="H48">
        <v>3.725799694407031E-2</v>
      </c>
      <c r="I48" s="45">
        <f t="shared" si="20"/>
        <v>3.7257996944070308</v>
      </c>
      <c r="L48" s="46">
        <v>12.262285271655953</v>
      </c>
      <c r="Q48" s="45">
        <v>6.8407066120205556E-2</v>
      </c>
      <c r="R48" s="45">
        <f t="shared" si="21"/>
        <v>6.840706612020556</v>
      </c>
    </row>
    <row r="49" spans="7:18" x14ac:dyDescent="0.25">
      <c r="G49" s="45">
        <v>303.81709999999998</v>
      </c>
      <c r="H49">
        <v>-2.7513112680752735E-2</v>
      </c>
      <c r="I49" s="45">
        <f t="shared" si="20"/>
        <v>-2.7513112680752734</v>
      </c>
      <c r="L49" s="46">
        <v>6.904118468485156</v>
      </c>
      <c r="Q49" s="45">
        <v>0.12848009310281794</v>
      </c>
      <c r="R49" s="45">
        <f t="shared" si="21"/>
        <v>12.848009310281794</v>
      </c>
    </row>
    <row r="50" spans="7:18" x14ac:dyDescent="0.25">
      <c r="G50" s="45">
        <v>290.40120000000002</v>
      </c>
      <c r="H50">
        <v>4.7475045269075047E-2</v>
      </c>
      <c r="I50" s="45">
        <f t="shared" si="20"/>
        <v>4.7475045269075045</v>
      </c>
      <c r="L50" s="46">
        <v>7.6927954020855411</v>
      </c>
      <c r="Q50" s="45">
        <v>0.12171902167099627</v>
      </c>
      <c r="R50" s="45">
        <f t="shared" si="21"/>
        <v>12.171902167099628</v>
      </c>
    </row>
    <row r="51" spans="7:18" x14ac:dyDescent="0.25">
      <c r="G51" s="45">
        <v>267.96350000000001</v>
      </c>
      <c r="H51">
        <v>6.0890482096622338E-2</v>
      </c>
      <c r="I51" s="45">
        <f t="shared" si="20"/>
        <v>6.0890482096622334</v>
      </c>
      <c r="L51" s="46">
        <v>8.4496910026212149</v>
      </c>
      <c r="Q51" s="45">
        <v>0.10453174701598968</v>
      </c>
      <c r="R51" s="45">
        <f t="shared" si="21"/>
        <v>10.453174701598968</v>
      </c>
    </row>
    <row r="52" spans="7:18" x14ac:dyDescent="0.25">
      <c r="G52" s="45">
        <v>242.86369999999999</v>
      </c>
      <c r="H52">
        <v>3.8540558894908719E-2</v>
      </c>
      <c r="I52" s="45">
        <f t="shared" si="20"/>
        <v>3.8540558894908719</v>
      </c>
      <c r="L52" s="46">
        <v>9.1459333217944874</v>
      </c>
      <c r="Q52" s="45">
        <v>8.9848790849233556E-2</v>
      </c>
      <c r="R52" s="45">
        <f t="shared" si="21"/>
        <v>8.9848790849233549</v>
      </c>
    </row>
    <row r="53" spans="7:18" x14ac:dyDescent="0.25">
      <c r="G53" s="45">
        <v>206.71</v>
      </c>
      <c r="H53">
        <v>1.3657423386674507E-2</v>
      </c>
      <c r="I53" s="45">
        <f t="shared" si="20"/>
        <v>1.3657423386674508</v>
      </c>
      <c r="L53" s="46">
        <v>10.465850172904622</v>
      </c>
      <c r="Q53" s="45">
        <v>7.1654482235058103E-2</v>
      </c>
      <c r="R53" s="45">
        <f t="shared" si="21"/>
        <v>7.1654482235058108</v>
      </c>
    </row>
    <row r="54" spans="7:18" x14ac:dyDescent="0.25">
      <c r="G54" s="45">
        <v>195.71180000000001</v>
      </c>
      <c r="H54">
        <v>-1.6908681580077266E-2</v>
      </c>
      <c r="I54" s="45">
        <f t="shared" si="20"/>
        <v>-1.6908681580077265</v>
      </c>
      <c r="L54" s="46">
        <v>10.804176945289978</v>
      </c>
      <c r="Q54" s="45">
        <v>6.4580269894047734E-2</v>
      </c>
      <c r="R54" s="45">
        <f t="shared" si="21"/>
        <v>6.4580269894047735</v>
      </c>
    </row>
    <row r="55" spans="7:18" x14ac:dyDescent="0.25">
      <c r="G55" s="45">
        <v>363.1037</v>
      </c>
      <c r="H55">
        <v>3.6369634384588991E-2</v>
      </c>
      <c r="I55" s="45">
        <f t="shared" si="20"/>
        <v>3.6369634384588991</v>
      </c>
      <c r="L55" s="46">
        <v>7.0665807035326225</v>
      </c>
      <c r="Q55" s="45">
        <v>0.11234392683466493</v>
      </c>
      <c r="R55" s="45">
        <f t="shared" si="21"/>
        <v>11.234392683466494</v>
      </c>
    </row>
    <row r="56" spans="7:18" x14ac:dyDescent="0.25">
      <c r="G56" s="45">
        <v>333.29</v>
      </c>
      <c r="H56">
        <v>4.6860177954345356E-2</v>
      </c>
      <c r="I56" s="45">
        <f t="shared" si="20"/>
        <v>4.6860177954345357</v>
      </c>
      <c r="L56" s="46">
        <v>7.7766243001495514</v>
      </c>
      <c r="Q56" s="45">
        <v>9.6618287459045174E-2</v>
      </c>
      <c r="R56" s="45">
        <f t="shared" si="21"/>
        <v>9.6618287459045167</v>
      </c>
    </row>
    <row r="57" spans="7:18" x14ac:dyDescent="0.25">
      <c r="G57" s="45">
        <v>289.95519999999999</v>
      </c>
      <c r="H57">
        <v>2.2587785557401292E-3</v>
      </c>
      <c r="I57" s="45">
        <f t="shared" si="20"/>
        <v>0.22587785557401291</v>
      </c>
      <c r="L57" s="46">
        <v>8.5632425796306784</v>
      </c>
      <c r="Q57" s="45">
        <v>7.8024664991852247E-2</v>
      </c>
      <c r="R57" s="45">
        <f t="shared" si="21"/>
        <v>7.8024664991852246</v>
      </c>
    </row>
    <row r="58" spans="7:18" x14ac:dyDescent="0.25">
      <c r="G58" s="45">
        <v>266.2373</v>
      </c>
      <c r="H58">
        <v>-2.0630279554986752E-2</v>
      </c>
      <c r="I58" s="45">
        <f t="shared" si="20"/>
        <v>-2.0630279554986752</v>
      </c>
      <c r="L58" s="46">
        <v>9.1131135106411527</v>
      </c>
      <c r="Q58" s="45">
        <v>6.8711946393239146E-2</v>
      </c>
      <c r="R58" s="45">
        <f t="shared" si="21"/>
        <v>6.8711946393239147</v>
      </c>
    </row>
    <row r="59" spans="7:18" x14ac:dyDescent="0.25">
      <c r="G59" s="45">
        <v>255.4761</v>
      </c>
      <c r="H59">
        <v>-7.3687241730365505E-3</v>
      </c>
      <c r="I59" s="45">
        <f t="shared" si="20"/>
        <v>-0.73687241730365505</v>
      </c>
      <c r="L59" s="46">
        <v>9.6255703298553019</v>
      </c>
      <c r="Q59" s="45">
        <v>6.4288040543024685E-2</v>
      </c>
      <c r="R59" s="45">
        <f t="shared" si="21"/>
        <v>6.4288040543024687</v>
      </c>
    </row>
    <row r="60" spans="7:18" x14ac:dyDescent="0.25">
      <c r="G60" s="45">
        <v>240.5625</v>
      </c>
      <c r="H60">
        <v>-8.1598935021011398E-3</v>
      </c>
      <c r="I60" s="45">
        <f t="shared" si="20"/>
        <v>-0.81598935021011398</v>
      </c>
      <c r="L60" s="46">
        <v>10.220384062378887</v>
      </c>
      <c r="Q60" s="45">
        <v>5.9058414538388428E-2</v>
      </c>
      <c r="R60" s="45">
        <f t="shared" si="21"/>
        <v>5.9058414538388426</v>
      </c>
    </row>
    <row r="61" spans="7:18" x14ac:dyDescent="0.25">
      <c r="G61" s="45">
        <v>401.14260000000002</v>
      </c>
      <c r="H61">
        <v>-3.3347262575259329E-2</v>
      </c>
      <c r="I61" s="45">
        <f t="shared" si="20"/>
        <v>-3.3347262575259329</v>
      </c>
      <c r="L61" s="46">
        <v>6.6910132465432257</v>
      </c>
      <c r="Q61" s="45">
        <v>9.4920032754632747E-2</v>
      </c>
      <c r="R61" s="45">
        <f t="shared" si="21"/>
        <v>9.4920032754632739</v>
      </c>
    </row>
    <row r="62" spans="7:18" x14ac:dyDescent="0.25">
      <c r="G62" s="45">
        <v>376.89980000000003</v>
      </c>
      <c r="H62">
        <v>-1.8569581048430747E-3</v>
      </c>
      <c r="I62" s="45">
        <f t="shared" si="20"/>
        <v>-0.18569581048430747</v>
      </c>
      <c r="L62" s="46">
        <v>7.3533721216798575</v>
      </c>
      <c r="Q62" s="45">
        <v>8.598553607595856E-2</v>
      </c>
      <c r="R62" s="45">
        <f t="shared" si="21"/>
        <v>8.5985536075958553</v>
      </c>
    </row>
    <row r="63" spans="7:18" x14ac:dyDescent="0.25">
      <c r="G63" s="45">
        <v>349.40039999999999</v>
      </c>
      <c r="H63">
        <v>3.0492711969775906E-3</v>
      </c>
      <c r="I63" s="45">
        <f t="shared" si="20"/>
        <v>0.30492711969775904</v>
      </c>
      <c r="L63" s="46">
        <v>7.9797764670605202</v>
      </c>
      <c r="Q63" s="45">
        <v>7.5459300013738115E-2</v>
      </c>
      <c r="R63" s="45">
        <f t="shared" si="21"/>
        <v>7.5459300013738115</v>
      </c>
    </row>
    <row r="64" spans="7:18" x14ac:dyDescent="0.25">
      <c r="G64" s="45">
        <v>325.63630000000001</v>
      </c>
      <c r="H64">
        <v>-5.3707188870239564E-2</v>
      </c>
      <c r="I64" s="45">
        <f t="shared" si="20"/>
        <v>-5.3707188870239566</v>
      </c>
      <c r="L64" s="46">
        <v>8.0776407667874714</v>
      </c>
      <c r="Q64" s="45">
        <v>6.8059385109767209E-2</v>
      </c>
      <c r="R64" s="45">
        <f t="shared" si="21"/>
        <v>6.8059385109767208</v>
      </c>
    </row>
    <row r="65" spans="4:18" x14ac:dyDescent="0.25">
      <c r="G65" s="45">
        <v>292.13810000000001</v>
      </c>
      <c r="H65">
        <v>-5.9167275613054557E-2</v>
      </c>
      <c r="I65" s="45">
        <f t="shared" si="20"/>
        <v>-5.9167275613054553</v>
      </c>
      <c r="L65" s="46">
        <v>8.9519084943458562</v>
      </c>
      <c r="Q65" s="45">
        <v>5.6736152468794238E-2</v>
      </c>
      <c r="R65" s="45">
        <f t="shared" si="21"/>
        <v>5.6736152468794234</v>
      </c>
    </row>
    <row r="66" spans="4:18" x14ac:dyDescent="0.25">
      <c r="G66" s="45">
        <v>259.46530000000001</v>
      </c>
      <c r="H66">
        <v>-4.7205238403238071E-2</v>
      </c>
      <c r="I66" s="45">
        <f t="shared" si="20"/>
        <v>-4.720523840323807</v>
      </c>
      <c r="L66" s="46">
        <v>10.212855708860394</v>
      </c>
      <c r="Q66" s="45">
        <v>4.8150214861264418E-2</v>
      </c>
      <c r="R66" s="45">
        <f t="shared" si="21"/>
        <v>4.815021486126442</v>
      </c>
    </row>
    <row r="67" spans="4:18" x14ac:dyDescent="0.25">
      <c r="G67" s="45">
        <v>475.798</v>
      </c>
      <c r="H67">
        <v>-4.2648400919533799E-2</v>
      </c>
      <c r="I67" s="45">
        <f t="shared" si="20"/>
        <v>-4.2648400919533795</v>
      </c>
      <c r="L67" s="46">
        <v>6.4080206734132537</v>
      </c>
      <c r="Q67" s="45">
        <v>8.4705656601805512E-2</v>
      </c>
      <c r="R67" s="45">
        <f t="shared" si="21"/>
        <v>8.4705656601805508</v>
      </c>
    </row>
    <row r="68" spans="4:18" x14ac:dyDescent="0.25">
      <c r="G68" s="45">
        <v>436.90710000000001</v>
      </c>
      <c r="H68">
        <v>-4.0076382160945188E-2</v>
      </c>
      <c r="I68" s="45">
        <f t="shared" si="20"/>
        <v>-4.0076382160945192</v>
      </c>
      <c r="L68" s="46">
        <v>7.0137709170631544</v>
      </c>
      <c r="Q68" s="45">
        <v>7.2254068444237401E-2</v>
      </c>
      <c r="R68" s="45">
        <f t="shared" si="21"/>
        <v>7.2254068444237403</v>
      </c>
    </row>
    <row r="69" spans="4:18" x14ac:dyDescent="0.25">
      <c r="G69" s="45">
        <v>410.89210000000003</v>
      </c>
      <c r="H69">
        <v>1.6516588895922595E-2</v>
      </c>
      <c r="I69" s="45">
        <f t="shared" si="20"/>
        <v>1.6516588895922595</v>
      </c>
      <c r="L69" s="46">
        <v>7.3772121496157634</v>
      </c>
      <c r="Q69" s="45">
        <v>6.8923144452261026E-2</v>
      </c>
      <c r="R69" s="45">
        <f t="shared" si="21"/>
        <v>6.8923144452261029</v>
      </c>
    </row>
    <row r="70" spans="4:18" x14ac:dyDescent="0.25">
      <c r="G70" s="45">
        <v>386.55220000000003</v>
      </c>
      <c r="H70">
        <v>6.7729669149574193E-2</v>
      </c>
      <c r="I70" s="45">
        <f t="shared" si="20"/>
        <v>6.7729669149574194</v>
      </c>
      <c r="L70" s="46">
        <v>7.8937716251222891</v>
      </c>
      <c r="Q70" s="45">
        <v>6.5298654687711219E-2</v>
      </c>
      <c r="R70" s="45">
        <f t="shared" si="21"/>
        <v>6.5298654687711215</v>
      </c>
    </row>
    <row r="71" spans="4:18" x14ac:dyDescent="0.25">
      <c r="G71" s="45">
        <v>361.57549999999998</v>
      </c>
      <c r="H71">
        <v>5.3571354222774509E-2</v>
      </c>
      <c r="I71" s="45">
        <f t="shared" si="20"/>
        <v>5.3571354222774508</v>
      </c>
      <c r="L71" s="46">
        <v>7.7598102887809715</v>
      </c>
      <c r="Q71" s="45">
        <v>6.2811833349913151E-2</v>
      </c>
      <c r="R71" s="45">
        <f t="shared" si="21"/>
        <v>6.2811833349913151</v>
      </c>
    </row>
    <row r="72" spans="4:18" x14ac:dyDescent="0.25">
      <c r="G72" s="45">
        <v>299.78500000000003</v>
      </c>
      <c r="H72">
        <v>2.8238438363871136E-2</v>
      </c>
      <c r="I72" s="45">
        <f t="shared" si="20"/>
        <v>2.8238438363871134</v>
      </c>
      <c r="L72" s="46">
        <v>8.8218969283434454</v>
      </c>
      <c r="Q72" s="45">
        <v>5.9959857710357944E-2</v>
      </c>
      <c r="R72" s="45">
        <f t="shared" si="21"/>
        <v>5.9959857710357944</v>
      </c>
    </row>
    <row r="75" spans="4:18" x14ac:dyDescent="0.25">
      <c r="D75" s="46">
        <v>0.74839999999999995</v>
      </c>
      <c r="E75" s="46">
        <v>0.3247321478042306</v>
      </c>
    </row>
    <row r="76" spans="4:18" x14ac:dyDescent="0.25">
      <c r="D76" s="46">
        <v>0.74750000000000005</v>
      </c>
      <c r="E76" s="46">
        <v>0.35673312429200765</v>
      </c>
    </row>
    <row r="77" spans="4:18" x14ac:dyDescent="0.25">
      <c r="D77" s="46">
        <v>0.75039999999999996</v>
      </c>
      <c r="E77" s="46">
        <v>0.45316198723503576</v>
      </c>
    </row>
    <row r="78" spans="4:18" x14ac:dyDescent="0.25">
      <c r="D78" s="46">
        <v>0.74929999999999997</v>
      </c>
      <c r="E78" s="46">
        <v>0.45543527309811571</v>
      </c>
    </row>
    <row r="79" spans="4:18" x14ac:dyDescent="0.25">
      <c r="D79" s="46">
        <v>0.75209999999999999</v>
      </c>
      <c r="E79" s="46">
        <v>0.45359213147780497</v>
      </c>
    </row>
    <row r="80" spans="4:18" x14ac:dyDescent="0.25">
      <c r="D80" s="46">
        <v>0.87549999999999994</v>
      </c>
      <c r="E80" s="46">
        <v>0.49942621079699617</v>
      </c>
    </row>
    <row r="81" spans="4:5" x14ac:dyDescent="0.25">
      <c r="D81" s="46">
        <v>0.86650000000000005</v>
      </c>
      <c r="E81" s="46">
        <v>0.51458234662294589</v>
      </c>
    </row>
    <row r="82" spans="4:5" x14ac:dyDescent="0.25">
      <c r="D82" s="46">
        <v>0.86750000000000005</v>
      </c>
      <c r="E82" s="46">
        <v>0.48213212885652895</v>
      </c>
    </row>
    <row r="83" spans="4:5" x14ac:dyDescent="0.25">
      <c r="D83" s="46">
        <v>0.86899999999999999</v>
      </c>
      <c r="E83" s="46">
        <v>0.55282985811386409</v>
      </c>
    </row>
    <row r="84" spans="4:5" x14ac:dyDescent="0.25">
      <c r="D84" s="46">
        <v>0.86970000000000003</v>
      </c>
      <c r="E84" s="46">
        <v>0.55064360312853888</v>
      </c>
    </row>
    <row r="85" spans="4:5" x14ac:dyDescent="0.25">
      <c r="D85" s="46">
        <v>0.87819999999999998</v>
      </c>
      <c r="E85" s="46">
        <v>0.60090268980389583</v>
      </c>
    </row>
    <row r="86" spans="4:5" x14ac:dyDescent="0.25">
      <c r="D86" s="46">
        <v>1.004</v>
      </c>
      <c r="E86" s="46">
        <v>0.55078811420555995</v>
      </c>
    </row>
    <row r="87" spans="4:5" x14ac:dyDescent="0.25">
      <c r="D87" s="46">
        <v>1.0038</v>
      </c>
      <c r="E87" s="46">
        <v>0.60263466997840687</v>
      </c>
    </row>
    <row r="88" spans="4:5" x14ac:dyDescent="0.25">
      <c r="D88" s="46">
        <v>1.0079</v>
      </c>
      <c r="E88" s="46">
        <v>0.69666610752823155</v>
      </c>
    </row>
    <row r="89" spans="4:5" x14ac:dyDescent="0.25">
      <c r="D89" s="46">
        <v>1.0081</v>
      </c>
      <c r="E89" s="46">
        <v>0.73556884310464887</v>
      </c>
    </row>
    <row r="90" spans="4:5" x14ac:dyDescent="0.25">
      <c r="D90" s="46">
        <v>1.0089999999999999</v>
      </c>
      <c r="E90" s="46">
        <v>0.80311495788323939</v>
      </c>
    </row>
    <row r="91" spans="4:5" x14ac:dyDescent="0.25">
      <c r="D91" s="46">
        <v>1.01</v>
      </c>
      <c r="E91" s="46">
        <v>0.84332212411016105</v>
      </c>
    </row>
    <row r="92" spans="4:5" x14ac:dyDescent="0.25">
      <c r="D92" s="46">
        <v>1.1208</v>
      </c>
      <c r="E92" s="46">
        <v>0.80530956514993424</v>
      </c>
    </row>
    <row r="93" spans="4:5" x14ac:dyDescent="0.25">
      <c r="D93" s="46">
        <v>1.1220000000000001</v>
      </c>
      <c r="E93" s="46">
        <v>0.85827402956532706</v>
      </c>
    </row>
    <row r="94" spans="4:5" x14ac:dyDescent="0.25">
      <c r="D94" s="46">
        <v>1.1254</v>
      </c>
      <c r="E94" s="46">
        <v>0.90545505322499509</v>
      </c>
    </row>
    <row r="95" spans="4:5" x14ac:dyDescent="0.25">
      <c r="D95" s="46">
        <v>1.1255999999999999</v>
      </c>
      <c r="E95" s="46">
        <v>1.0204336023056251</v>
      </c>
    </row>
    <row r="96" spans="4:5" x14ac:dyDescent="0.25">
      <c r="D96" s="46">
        <v>1.127</v>
      </c>
      <c r="E96" s="46">
        <v>1.0201251626579322</v>
      </c>
    </row>
    <row r="97" spans="4:5" x14ac:dyDescent="0.25">
      <c r="D97" s="46">
        <v>1.1279999999999999</v>
      </c>
      <c r="E97" s="46">
        <v>1.0094910734070963</v>
      </c>
    </row>
    <row r="98" spans="4:5" x14ac:dyDescent="0.25">
      <c r="D98" s="46">
        <v>1.2824</v>
      </c>
      <c r="E98" s="46">
        <v>0.86906064601320965</v>
      </c>
    </row>
    <row r="99" spans="4:5" x14ac:dyDescent="0.25">
      <c r="D99" s="46">
        <v>1.2858000000000001</v>
      </c>
      <c r="E99" s="46">
        <v>0.94847363500753468</v>
      </c>
    </row>
    <row r="100" spans="4:5" x14ac:dyDescent="0.25">
      <c r="D100" s="46">
        <v>1.2889999999999999</v>
      </c>
      <c r="E100" s="46">
        <v>1.042829287775632</v>
      </c>
    </row>
    <row r="101" spans="4:5" x14ac:dyDescent="0.25">
      <c r="D101" s="46">
        <v>1.2874000000000001</v>
      </c>
      <c r="E101" s="46">
        <v>1.1631977237886615</v>
      </c>
    </row>
    <row r="102" spans="4:5" x14ac:dyDescent="0.25">
      <c r="D102" s="46">
        <v>1.2907</v>
      </c>
      <c r="E102" s="46">
        <v>1.1657191081274199</v>
      </c>
    </row>
    <row r="103" spans="4:5" x14ac:dyDescent="0.25">
      <c r="D103" s="46">
        <v>1.2927</v>
      </c>
      <c r="E103" s="46">
        <v>1.1934902874269904</v>
      </c>
    </row>
  </sheetData>
  <mergeCells count="1">
    <mergeCell ref="G43:H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4C47-1689-4840-8B1E-54A93DBFFAD5}">
  <sheetPr codeName="Sheet1"/>
  <dimension ref="A1:Y88"/>
  <sheetViews>
    <sheetView topLeftCell="A43" zoomScale="71" zoomScaleNormal="71" workbookViewId="0">
      <selection activeCell="E67" sqref="E67"/>
    </sheetView>
  </sheetViews>
  <sheetFormatPr defaultRowHeight="15" x14ac:dyDescent="0.25"/>
  <cols>
    <col min="1" max="1" width="14.85546875" bestFit="1" customWidth="1"/>
    <col min="3" max="3" width="17.140625" customWidth="1"/>
    <col min="4" max="4" width="14.140625" bestFit="1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9" max="19" width="13" bestFit="1" customWidth="1"/>
    <col min="20" max="20" width="9.140625" customWidth="1"/>
    <col min="21" max="21" width="13.85546875" bestFit="1" customWidth="1"/>
    <col min="22" max="22" width="11.42578125" bestFit="1" customWidth="1"/>
    <col min="23" max="23" width="12.28515625" bestFit="1" customWidth="1"/>
    <col min="24" max="25" width="10.4257812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AVERAGE(B3:B10)</f>
        <v>1274</v>
      </c>
      <c r="B3" s="2">
        <v>1217</v>
      </c>
      <c r="C3">
        <f>B3*2*PI()/60</f>
        <v>127.44394198062595</v>
      </c>
      <c r="D3" s="5">
        <v>1.00932326805629</v>
      </c>
      <c r="E3" s="8">
        <v>30.5131669813081</v>
      </c>
      <c r="F3" s="5">
        <v>4.2632226981025703</v>
      </c>
      <c r="G3" s="8">
        <v>38.469673882555703</v>
      </c>
      <c r="H3">
        <f t="shared" ref="H3:H30" si="0">G3+273.15</f>
        <v>311.61967388255567</v>
      </c>
      <c r="I3">
        <v>4</v>
      </c>
      <c r="J3" s="1">
        <f t="shared" ref="J3:J30" si="1">I3/60/1000</f>
        <v>6.666666666666667E-5</v>
      </c>
      <c r="K3">
        <v>30.592198151939574</v>
      </c>
      <c r="L3">
        <v>4.251841012112453</v>
      </c>
      <c r="M3">
        <f t="shared" ref="M3:M30" si="2">K3+273.15</f>
        <v>303.74219815193953</v>
      </c>
      <c r="N3">
        <f t="shared" ref="N3:N30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4.3603999999999997E-2</v>
      </c>
      <c r="X3" s="10">
        <v>265</v>
      </c>
    </row>
    <row r="4" spans="1:24" x14ac:dyDescent="0.25">
      <c r="B4" s="2">
        <v>1214</v>
      </c>
      <c r="C4">
        <f t="shared" ref="C4:C30" si="4">B4*2*PI()/60</f>
        <v>127.12978271526696</v>
      </c>
      <c r="D4" s="5">
        <v>1.0093740377162599</v>
      </c>
      <c r="E4" s="8">
        <v>30.53840403258803</v>
      </c>
      <c r="F4" s="5">
        <v>3.7487816777695127</v>
      </c>
      <c r="G4" s="8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30" si="5">R4/60/1000</f>
        <v>8.3148759828451999E-5</v>
      </c>
      <c r="U4">
        <v>38</v>
      </c>
      <c r="V4">
        <v>48</v>
      </c>
      <c r="W4" s="8">
        <v>4.3603999999999997E-2</v>
      </c>
      <c r="X4" s="10">
        <v>240</v>
      </c>
    </row>
    <row r="5" spans="1:24" x14ac:dyDescent="0.25">
      <c r="A5" s="3">
        <f>AVERAGE(G3:G7)</f>
        <v>39.638566942886214</v>
      </c>
      <c r="B5" s="2">
        <v>1217</v>
      </c>
      <c r="C5">
        <f t="shared" si="4"/>
        <v>127.44394198062595</v>
      </c>
      <c r="D5" s="5">
        <v>1.0100027712944923</v>
      </c>
      <c r="E5" s="8">
        <v>30.523255059465928</v>
      </c>
      <c r="F5" s="5">
        <v>3.411492883316626</v>
      </c>
      <c r="G5" s="8">
        <v>39.278800793004258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4.3603999999999997E-2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5">
        <v>1.00926410736023</v>
      </c>
      <c r="E6" s="8">
        <v>30.568783382737202</v>
      </c>
      <c r="F6" s="5">
        <v>3.0036465230416098</v>
      </c>
      <c r="G6" s="8">
        <v>40.450708190043798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4.3603999999999997E-2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5">
        <v>1.0094537558613399</v>
      </c>
      <c r="E7" s="8">
        <v>30.5281956689855</v>
      </c>
      <c r="F7" s="5">
        <v>2.3975521098447898</v>
      </c>
      <c r="G7" s="8">
        <v>40.146233053990002</v>
      </c>
      <c r="H7">
        <f t="shared" si="0"/>
        <v>313.29623305398997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>R7/60/1000</f>
        <v>1.6632764895962928E-4</v>
      </c>
      <c r="U7">
        <v>38</v>
      </c>
      <c r="V7">
        <v>48</v>
      </c>
      <c r="W7" s="8">
        <v>4.3603999999999997E-2</v>
      </c>
      <c r="X7" s="10">
        <v>195</v>
      </c>
    </row>
    <row r="8" spans="1:24" x14ac:dyDescent="0.25">
      <c r="B8" s="12"/>
      <c r="D8" s="5"/>
      <c r="E8" s="8"/>
      <c r="F8" s="5"/>
      <c r="G8" s="8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 s="5">
        <v>1.0094287437153799</v>
      </c>
      <c r="E9" s="8">
        <v>30.612974840972779</v>
      </c>
      <c r="F9" s="5">
        <v>5.253362586763715</v>
      </c>
      <c r="G9" s="8">
        <v>42.253028073273747</v>
      </c>
      <c r="H9">
        <f t="shared" si="0"/>
        <v>315.40302807327373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43</v>
      </c>
      <c r="V9">
        <v>54</v>
      </c>
      <c r="W9" s="3">
        <v>3.1711999999999997E-2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5">
        <v>1.0092810759105539</v>
      </c>
      <c r="E10" s="8">
        <v>30.581004375999676</v>
      </c>
      <c r="F10" s="5">
        <v>4.8223075689095696</v>
      </c>
      <c r="G10" s="8">
        <v>42.953073171144517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43</v>
      </c>
      <c r="V10">
        <v>54</v>
      </c>
      <c r="W10" s="3">
        <v>3.1711999999999997E-2</v>
      </c>
      <c r="X10" s="10">
        <v>280</v>
      </c>
    </row>
    <row r="11" spans="1:24" x14ac:dyDescent="0.25">
      <c r="A11" s="3">
        <f>AVERAGE(G10:G14)</f>
        <v>44.384191269147763</v>
      </c>
      <c r="B11" s="2">
        <v>1412</v>
      </c>
      <c r="C11">
        <f t="shared" si="4"/>
        <v>147.86429422895961</v>
      </c>
      <c r="D11" s="5">
        <v>1.0086912644002075</v>
      </c>
      <c r="E11" s="8">
        <v>30.622728786584258</v>
      </c>
      <c r="F11" s="5">
        <v>4.236297847863618</v>
      </c>
      <c r="G11" s="8">
        <v>43.47355288963702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43</v>
      </c>
      <c r="V11">
        <v>54</v>
      </c>
      <c r="W11" s="3">
        <v>3.1711999999999997E-2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5">
        <v>1.0077573177644057</v>
      </c>
      <c r="E12" s="8">
        <v>30.816080276902358</v>
      </c>
      <c r="F12" s="5">
        <v>3.661602244140135</v>
      </c>
      <c r="G12" s="8">
        <v>46.069186852835934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43</v>
      </c>
      <c r="V12">
        <v>54</v>
      </c>
      <c r="W12" s="3">
        <v>3.1711999999999997E-2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5">
        <v>1.0085733794744123</v>
      </c>
      <c r="E13" s="8">
        <v>30.635044840682401</v>
      </c>
      <c r="F13" s="5">
        <v>2.9220510847489072</v>
      </c>
      <c r="G13" s="8">
        <v>45.018485236153708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43</v>
      </c>
      <c r="V13">
        <v>54</v>
      </c>
      <c r="W13" s="3">
        <v>3.1711999999999997E-2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5">
        <v>1.0101998654115738</v>
      </c>
      <c r="E14" s="8">
        <v>30.714603931016253</v>
      </c>
      <c r="F14" s="5">
        <v>2.6698755104625538</v>
      </c>
      <c r="G14" s="8">
        <v>44.406658195967637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43</v>
      </c>
      <c r="V14">
        <v>54</v>
      </c>
      <c r="W14" s="3">
        <v>3.1711999999999997E-2</v>
      </c>
      <c r="X14" s="10">
        <v>205</v>
      </c>
    </row>
    <row r="15" spans="1:24" x14ac:dyDescent="0.25">
      <c r="B15" s="14"/>
      <c r="D15" s="5"/>
      <c r="E15" s="8"/>
      <c r="F15" s="5"/>
      <c r="G15" s="8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5">
        <v>1.0083333009861652</v>
      </c>
      <c r="E16" s="8">
        <v>30.610294022691615</v>
      </c>
      <c r="F16" s="5">
        <v>5.3598489235258446</v>
      </c>
      <c r="G16" s="8">
        <v>43.470274717189263</v>
      </c>
      <c r="H16">
        <f t="shared" si="0"/>
        <v>316.62027471718926</v>
      </c>
      <c r="I16">
        <v>5</v>
      </c>
      <c r="J16" s="1">
        <f t="shared" si="1"/>
        <v>8.3333333333333331E-5</v>
      </c>
      <c r="K16">
        <v>31.301886563534723</v>
      </c>
      <c r="L16">
        <v>5.3499444016932181</v>
      </c>
      <c r="M16">
        <f t="shared" si="2"/>
        <v>304.45188656353469</v>
      </c>
      <c r="N16">
        <f t="shared" si="3"/>
        <v>0.53499444016932185</v>
      </c>
      <c r="O16">
        <v>6.1302000000000003</v>
      </c>
      <c r="Q16">
        <f t="shared" ref="Q16:Q21" si="11">SQRT(1.2/O16)*SQRT(N16/0.101325)*SQRT(293.15/M16)</f>
        <v>0.99759725114213604</v>
      </c>
      <c r="R16">
        <f t="shared" ref="R16:R21" si="12">I16*Q16</f>
        <v>4.9879862557106804</v>
      </c>
      <c r="S16" s="7">
        <f>R16/60/1000</f>
        <v>8.3133104261844674E-5</v>
      </c>
      <c r="U16">
        <v>45</v>
      </c>
      <c r="V16">
        <v>58</v>
      </c>
      <c r="W16" s="8">
        <v>2.7747999999999998E-2</v>
      </c>
      <c r="X16" s="10">
        <v>287</v>
      </c>
    </row>
    <row r="17" spans="1:25" x14ac:dyDescent="0.25">
      <c r="B17" s="2">
        <v>1638</v>
      </c>
      <c r="C17">
        <f t="shared" si="4"/>
        <v>171.53095888600271</v>
      </c>
      <c r="D17" s="5">
        <v>1.0076793956943377</v>
      </c>
      <c r="E17" s="8">
        <v>30.547663333782278</v>
      </c>
      <c r="F17" s="5">
        <v>4.5488778229227878</v>
      </c>
      <c r="G17" s="8">
        <v>43.94469464255323</v>
      </c>
      <c r="H17">
        <f t="shared" si="0"/>
        <v>317.09469464255324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58</v>
      </c>
      <c r="W17" s="8">
        <v>2.7747999999999998E-2</v>
      </c>
      <c r="X17" s="10">
        <v>270</v>
      </c>
    </row>
    <row r="18" spans="1:25" x14ac:dyDescent="0.25">
      <c r="A18" s="3">
        <f>AVERAGE(G16:G21)</f>
        <v>45.823425249720117</v>
      </c>
      <c r="B18" s="2">
        <v>1639</v>
      </c>
      <c r="C18">
        <f t="shared" si="4"/>
        <v>171.63567864112238</v>
      </c>
      <c r="D18" s="5">
        <v>1.0095081019886243</v>
      </c>
      <c r="E18" s="8">
        <v>30.628921865606085</v>
      </c>
      <c r="F18" s="5">
        <v>3.6851917499746314</v>
      </c>
      <c r="G18" s="8">
        <v>45.13479868010257</v>
      </c>
      <c r="H18">
        <f t="shared" si="0"/>
        <v>318.28479868010254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58</v>
      </c>
      <c r="W18" s="8">
        <v>2.7747999999999998E-2</v>
      </c>
      <c r="X18" s="10">
        <v>235</v>
      </c>
    </row>
    <row r="19" spans="1:25" x14ac:dyDescent="0.25">
      <c r="B19" s="2">
        <v>1639</v>
      </c>
      <c r="C19">
        <f t="shared" si="4"/>
        <v>171.63567864112238</v>
      </c>
      <c r="D19" s="5">
        <v>1.0086524685865665</v>
      </c>
      <c r="E19" s="8">
        <v>30.622924679670273</v>
      </c>
      <c r="F19" s="5">
        <v>3.2641584944265172</v>
      </c>
      <c r="G19" s="8">
        <v>46.943107203221921</v>
      </c>
      <c r="H19">
        <f t="shared" si="0"/>
        <v>320.0931072032219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58</v>
      </c>
      <c r="W19" s="8">
        <v>2.7747999999999998E-2</v>
      </c>
      <c r="X19" s="10">
        <v>220</v>
      </c>
    </row>
    <row r="20" spans="1:25" x14ac:dyDescent="0.25">
      <c r="B20" s="2">
        <v>1639</v>
      </c>
      <c r="C20">
        <f t="shared" si="4"/>
        <v>171.63567864112238</v>
      </c>
      <c r="D20" s="5">
        <v>1.0091083977955064</v>
      </c>
      <c r="E20" s="8">
        <v>30.616946893747738</v>
      </c>
      <c r="F20" s="5">
        <v>3.0682354873155337</v>
      </c>
      <c r="G20" s="8">
        <v>48.030195935011974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58</v>
      </c>
      <c r="W20" s="8">
        <v>2.7747999999999998E-2</v>
      </c>
      <c r="X20" s="10">
        <v>215</v>
      </c>
    </row>
    <row r="21" spans="1:25" x14ac:dyDescent="0.25">
      <c r="B21" s="2">
        <v>1640</v>
      </c>
      <c r="C21">
        <f t="shared" si="4"/>
        <v>171.74039839624203</v>
      </c>
      <c r="D21" s="5">
        <v>1.0089421600028088</v>
      </c>
      <c r="E21" s="8">
        <v>30.660577754608099</v>
      </c>
      <c r="F21" s="5">
        <v>2.8293806275398508</v>
      </c>
      <c r="G21" s="8">
        <v>47.417480320241744</v>
      </c>
      <c r="H21">
        <f t="shared" si="0"/>
        <v>320.56748032024171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58</v>
      </c>
      <c r="W21" s="8">
        <v>2.7747999999999998E-2</v>
      </c>
      <c r="X21" s="10">
        <v>205</v>
      </c>
    </row>
    <row r="22" spans="1:25" x14ac:dyDescent="0.25">
      <c r="B22" s="14"/>
      <c r="D22" s="5"/>
      <c r="E22" s="8"/>
      <c r="F22" s="5"/>
      <c r="G22" s="8"/>
      <c r="J22" s="1"/>
      <c r="S22" s="15"/>
    </row>
    <row r="23" spans="1:25" x14ac:dyDescent="0.25">
      <c r="A23" s="3">
        <f>AVERAGE(B23:B30)</f>
        <v>1838.5</v>
      </c>
      <c r="B23" s="2">
        <v>1837</v>
      </c>
      <c r="C23">
        <f t="shared" si="4"/>
        <v>192.37019015481502</v>
      </c>
      <c r="D23" s="5">
        <v>1.0074809569159044</v>
      </c>
      <c r="E23" s="8">
        <v>30.849170721143583</v>
      </c>
      <c r="F23" s="5">
        <v>5.0653949430406557</v>
      </c>
      <c r="G23" s="8">
        <v>49.552490253392484</v>
      </c>
      <c r="H23">
        <f t="shared" si="0"/>
        <v>322.70249025339245</v>
      </c>
      <c r="I23">
        <v>9</v>
      </c>
      <c r="J23" s="1">
        <f t="shared" ref="J23:J24" si="14">I23/60/1000</f>
        <v>1.4999999999999999E-4</v>
      </c>
      <c r="K23">
        <v>34.911742272595383</v>
      </c>
      <c r="L23">
        <v>5.0324751973883091</v>
      </c>
      <c r="M23">
        <f t="shared" ref="M23:M24" si="15">K23+273.15</f>
        <v>308.06174227259538</v>
      </c>
      <c r="N23">
        <f t="shared" ref="N23:N24" si="16">L23/10</f>
        <v>0.50324751973883086</v>
      </c>
      <c r="O23">
        <v>5.6976000000000004</v>
      </c>
      <c r="Q23">
        <f t="shared" ref="Q23:Q30" si="17">SQRT(1.2/O23)*SQRT(N23/0.101325)*SQRT(293.15/M23)</f>
        <v>0.99770747454028219</v>
      </c>
      <c r="R23">
        <f t="shared" ref="R23:R30" si="18">I23*Q23</f>
        <v>8.9793672708625394</v>
      </c>
      <c r="S23" s="7">
        <f t="shared" ref="S23:S24" si="19">R23/60/1000</f>
        <v>1.4965612118104232E-4</v>
      </c>
      <c r="U23">
        <v>48</v>
      </c>
      <c r="V23">
        <v>64</v>
      </c>
      <c r="W23" s="8">
        <v>2.1801999999999998E-2</v>
      </c>
      <c r="X23" s="10">
        <v>280</v>
      </c>
    </row>
    <row r="24" spans="1:25" x14ac:dyDescent="0.25">
      <c r="B24" s="2">
        <v>1838</v>
      </c>
      <c r="C24">
        <f t="shared" si="4"/>
        <v>192.47490990993464</v>
      </c>
      <c r="D24" s="5">
        <v>1.0063833162082423</v>
      </c>
      <c r="E24" s="8">
        <v>30.76201711395526</v>
      </c>
      <c r="F24" s="5">
        <v>5.112710058958517</v>
      </c>
      <c r="G24" s="8">
        <v>47.556274872386432</v>
      </c>
      <c r="H24">
        <f t="shared" si="0"/>
        <v>320.70627487238642</v>
      </c>
      <c r="I24">
        <v>9</v>
      </c>
      <c r="J24" s="1">
        <f t="shared" si="14"/>
        <v>1.4999999999999999E-4</v>
      </c>
      <c r="K24">
        <v>32.57027436070107</v>
      </c>
      <c r="L24">
        <v>5.079087990467352</v>
      </c>
      <c r="M24">
        <f t="shared" si="15"/>
        <v>305.72027436070107</v>
      </c>
      <c r="N24">
        <f t="shared" si="16"/>
        <v>0.50790879904673525</v>
      </c>
      <c r="O24">
        <v>5.7949999999999999</v>
      </c>
      <c r="Q24">
        <f t="shared" si="17"/>
        <v>0.99765709146696913</v>
      </c>
      <c r="R24">
        <f t="shared" si="18"/>
        <v>8.9789138232027224</v>
      </c>
      <c r="S24" s="7">
        <f t="shared" si="19"/>
        <v>1.4964856372004536E-4</v>
      </c>
      <c r="U24">
        <v>48</v>
      </c>
      <c r="V24">
        <v>64</v>
      </c>
      <c r="W24" s="8">
        <v>2.1801999999999998E-2</v>
      </c>
      <c r="X24" s="10">
        <v>280</v>
      </c>
    </row>
    <row r="25" spans="1:25" x14ac:dyDescent="0.25">
      <c r="A25" s="3">
        <f>AVERAGE(G23:G30)</f>
        <v>48.965377092856045</v>
      </c>
      <c r="B25" s="2">
        <v>1837</v>
      </c>
      <c r="C25">
        <f t="shared" si="4"/>
        <v>192.37019015481502</v>
      </c>
      <c r="D25" s="5">
        <v>1.0076637581773951</v>
      </c>
      <c r="E25" s="8">
        <v>30.854876597503971</v>
      </c>
      <c r="F25" s="5">
        <v>4.5816778072219542</v>
      </c>
      <c r="G25" s="8">
        <v>49.648556094417991</v>
      </c>
      <c r="H25">
        <f t="shared" si="0"/>
        <v>322.79855609441796</v>
      </c>
      <c r="I25">
        <v>10</v>
      </c>
      <c r="J25" s="1">
        <f t="shared" si="1"/>
        <v>1.6666666666666666E-4</v>
      </c>
      <c r="K25">
        <v>33.965123681967277</v>
      </c>
      <c r="L25">
        <v>4.5450850240495768</v>
      </c>
      <c r="M25">
        <f t="shared" si="2"/>
        <v>307.11512368196725</v>
      </c>
      <c r="N25">
        <f t="shared" si="3"/>
        <v>0.45450850240495766</v>
      </c>
      <c r="O25">
        <v>5.1612999999999998</v>
      </c>
      <c r="Q25">
        <f t="shared" si="17"/>
        <v>0.99774168860402668</v>
      </c>
      <c r="R25">
        <f t="shared" si="18"/>
        <v>9.9774168860402668</v>
      </c>
      <c r="S25" s="7">
        <f t="shared" si="5"/>
        <v>1.6629028143400445E-4</v>
      </c>
      <c r="U25">
        <v>48</v>
      </c>
      <c r="V25">
        <v>64</v>
      </c>
      <c r="W25" s="8">
        <v>2.1801999999999998E-2</v>
      </c>
      <c r="X25" s="10">
        <v>270</v>
      </c>
    </row>
    <row r="26" spans="1:25" x14ac:dyDescent="0.25">
      <c r="B26" s="2">
        <v>1839</v>
      </c>
      <c r="C26">
        <f>B26*2*PI()/60</f>
        <v>192.57962966505431</v>
      </c>
      <c r="D26" s="5">
        <v>1.007937890712175</v>
      </c>
      <c r="E26" s="8">
        <v>30.707389246709546</v>
      </c>
      <c r="F26" s="5">
        <v>4.0282260804900449</v>
      </c>
      <c r="G26" s="8">
        <v>47.598924246369272</v>
      </c>
      <c r="H26">
        <f t="shared" si="0"/>
        <v>320.74892424636926</v>
      </c>
      <c r="I26">
        <v>12</v>
      </c>
      <c r="J26" s="1">
        <f t="shared" si="1"/>
        <v>2.0000000000000001E-4</v>
      </c>
      <c r="K26">
        <v>32.938857350692899</v>
      </c>
      <c r="L26">
        <v>3.9826238950298061</v>
      </c>
      <c r="M26">
        <f t="shared" si="2"/>
        <v>306.08885735069288</v>
      </c>
      <c r="N26">
        <f t="shared" si="3"/>
        <v>0.3982623895029806</v>
      </c>
      <c r="O26">
        <v>4.5373000000000001</v>
      </c>
      <c r="Q26">
        <f t="shared" si="17"/>
        <v>0.99779059487469979</v>
      </c>
      <c r="R26">
        <f t="shared" si="18"/>
        <v>11.973487138496397</v>
      </c>
      <c r="S26" s="7">
        <f t="shared" si="5"/>
        <v>1.9955811897493994E-4</v>
      </c>
      <c r="U26">
        <v>48</v>
      </c>
      <c r="V26">
        <v>64</v>
      </c>
      <c r="W26" s="8">
        <v>2.1801999999999998E-2</v>
      </c>
      <c r="X26" s="10">
        <v>260</v>
      </c>
    </row>
    <row r="27" spans="1:25" x14ac:dyDescent="0.25">
      <c r="B27" s="2">
        <v>1839</v>
      </c>
      <c r="C27">
        <f t="shared" si="4"/>
        <v>192.57962966505431</v>
      </c>
      <c r="D27" s="5">
        <v>1.0083960489740302</v>
      </c>
      <c r="E27" s="8">
        <v>30.783007727180575</v>
      </c>
      <c r="F27" s="5">
        <v>3.9074120702939243</v>
      </c>
      <c r="G27" s="8">
        <v>50.371808006417567</v>
      </c>
      <c r="H27">
        <f t="shared" si="0"/>
        <v>323.52180800641753</v>
      </c>
      <c r="I27">
        <v>14</v>
      </c>
      <c r="J27" s="1">
        <f t="shared" si="1"/>
        <v>2.3333333333333333E-4</v>
      </c>
      <c r="K27">
        <v>33.085523294711152</v>
      </c>
      <c r="L27">
        <v>3.8540107834774919</v>
      </c>
      <c r="M27">
        <f t="shared" si="2"/>
        <v>306.23552329471113</v>
      </c>
      <c r="N27">
        <f t="shared" si="3"/>
        <v>0.38540107834774917</v>
      </c>
      <c r="O27">
        <v>4.3884999999999996</v>
      </c>
      <c r="Q27">
        <f t="shared" si="17"/>
        <v>0.99781009571940138</v>
      </c>
      <c r="R27">
        <f t="shared" si="18"/>
        <v>13.969341340071619</v>
      </c>
      <c r="S27" s="7">
        <f t="shared" si="5"/>
        <v>2.328223556678603E-4</v>
      </c>
      <c r="U27">
        <v>48</v>
      </c>
      <c r="V27">
        <v>64</v>
      </c>
      <c r="W27" s="8">
        <v>2.1801999999999998E-2</v>
      </c>
      <c r="X27" s="10">
        <v>255</v>
      </c>
    </row>
    <row r="28" spans="1:25" x14ac:dyDescent="0.25">
      <c r="B28" s="2">
        <v>1839</v>
      </c>
      <c r="C28">
        <f t="shared" si="4"/>
        <v>192.57962966505431</v>
      </c>
      <c r="D28" s="5">
        <v>1.0075465725805357</v>
      </c>
      <c r="E28" s="8">
        <v>30.654826109108207</v>
      </c>
      <c r="F28" s="5">
        <v>3.6533986868675403</v>
      </c>
      <c r="G28" s="8">
        <v>46.402179551899437</v>
      </c>
      <c r="H28">
        <f t="shared" si="0"/>
        <v>319.55217955189943</v>
      </c>
      <c r="I28">
        <v>16</v>
      </c>
      <c r="J28" s="1">
        <f t="shared" si="1"/>
        <v>2.6666666666666668E-4</v>
      </c>
      <c r="K28">
        <v>32.704388837077452</v>
      </c>
      <c r="L28">
        <v>3.5880844465849808</v>
      </c>
      <c r="M28">
        <f t="shared" si="2"/>
        <v>305.85438883707741</v>
      </c>
      <c r="N28">
        <f t="shared" si="3"/>
        <v>0.35880844465849809</v>
      </c>
      <c r="O28">
        <v>4.0906000000000002</v>
      </c>
      <c r="Q28">
        <f t="shared" si="17"/>
        <v>0.9978326918355499</v>
      </c>
      <c r="R28">
        <f t="shared" si="18"/>
        <v>15.965323069368798</v>
      </c>
      <c r="S28" s="7">
        <f t="shared" si="5"/>
        <v>2.6608871782281328E-4</v>
      </c>
      <c r="U28">
        <v>48</v>
      </c>
      <c r="V28">
        <v>64</v>
      </c>
      <c r="W28" s="8">
        <v>2.1801999999999998E-2</v>
      </c>
      <c r="X28" s="10">
        <v>235</v>
      </c>
    </row>
    <row r="29" spans="1:25" x14ac:dyDescent="0.25">
      <c r="B29" s="2">
        <v>1839</v>
      </c>
      <c r="C29">
        <f t="shared" si="4"/>
        <v>192.57962966505431</v>
      </c>
      <c r="D29" s="5">
        <v>1.007730407897355</v>
      </c>
      <c r="E29" s="8">
        <v>30.822986667073145</v>
      </c>
      <c r="F29" s="5">
        <v>3.0732756854133072</v>
      </c>
      <c r="G29" s="8">
        <v>50.602444253388761</v>
      </c>
      <c r="H29">
        <f t="shared" si="0"/>
        <v>323.75244425338872</v>
      </c>
      <c r="I29">
        <v>18</v>
      </c>
      <c r="J29" s="1">
        <f t="shared" si="1"/>
        <v>2.9999999999999997E-4</v>
      </c>
      <c r="K29">
        <v>34.160465950496068</v>
      </c>
      <c r="L29">
        <v>3.0036641094433802</v>
      </c>
      <c r="M29">
        <f t="shared" si="2"/>
        <v>307.31046595049605</v>
      </c>
      <c r="N29">
        <f t="shared" si="3"/>
        <v>0.30036641094433802</v>
      </c>
      <c r="O29">
        <v>3.4075000000000002</v>
      </c>
      <c r="Q29">
        <f t="shared" si="17"/>
        <v>0.99792141125745404</v>
      </c>
      <c r="R29">
        <f t="shared" si="18"/>
        <v>17.962585402634172</v>
      </c>
      <c r="S29" s="7">
        <f t="shared" si="5"/>
        <v>2.9937642337723617E-4</v>
      </c>
      <c r="U29">
        <v>48</v>
      </c>
      <c r="V29">
        <v>64</v>
      </c>
      <c r="W29" s="8">
        <v>2.1801999999999998E-2</v>
      </c>
      <c r="X29" s="10">
        <v>215</v>
      </c>
    </row>
    <row r="30" spans="1:25" x14ac:dyDescent="0.25">
      <c r="B30" s="2">
        <v>1840</v>
      </c>
      <c r="C30">
        <f t="shared" si="4"/>
        <v>192.68434942017399</v>
      </c>
      <c r="D30" s="5">
        <v>1.0069040471898754</v>
      </c>
      <c r="E30" s="8">
        <v>30.824160851514335</v>
      </c>
      <c r="F30" s="5">
        <v>2.6401044471753301</v>
      </c>
      <c r="G30" s="8">
        <v>49.990339464576451</v>
      </c>
      <c r="H30">
        <f t="shared" si="0"/>
        <v>323.14033946457641</v>
      </c>
      <c r="I30">
        <v>21</v>
      </c>
      <c r="J30" s="1">
        <f t="shared" si="1"/>
        <v>3.5E-4</v>
      </c>
      <c r="K30">
        <v>35.299841353881696</v>
      </c>
      <c r="L30">
        <v>2.5573256010264003</v>
      </c>
      <c r="M30">
        <f t="shared" si="2"/>
        <v>308.44984135388165</v>
      </c>
      <c r="N30">
        <f t="shared" si="3"/>
        <v>0.25573256010264001</v>
      </c>
      <c r="O30">
        <v>2.8900999999999999</v>
      </c>
      <c r="Q30">
        <f t="shared" si="17"/>
        <v>0.99797938124444174</v>
      </c>
      <c r="R30">
        <f t="shared" si="18"/>
        <v>20.957567006133278</v>
      </c>
      <c r="S30" s="7">
        <f t="shared" si="5"/>
        <v>3.4929278343555462E-4</v>
      </c>
      <c r="U30">
        <v>48</v>
      </c>
      <c r="V30">
        <v>64</v>
      </c>
      <c r="W30" s="8">
        <v>2.1801999999999998E-2</v>
      </c>
      <c r="X30" s="10">
        <v>205</v>
      </c>
    </row>
    <row r="31" spans="1:25" x14ac:dyDescent="0.25">
      <c r="D31" s="5"/>
      <c r="E31" s="8"/>
      <c r="F31" s="5"/>
      <c r="G31" s="8"/>
    </row>
    <row r="32" spans="1:25" x14ac:dyDescent="0.25">
      <c r="A32" s="3">
        <f>AVERAGE(B32:B40)</f>
        <v>2110.8888888888887</v>
      </c>
      <c r="B32" s="2">
        <v>2101</v>
      </c>
      <c r="C32">
        <f t="shared" ref="C32" si="20">B32*2*PI()/60</f>
        <v>220.01620550640519</v>
      </c>
      <c r="D32" s="5">
        <v>1.0059023703814414</v>
      </c>
      <c r="E32" s="8">
        <v>31.697879180218969</v>
      </c>
      <c r="F32" s="5">
        <v>5.0545578692872928</v>
      </c>
      <c r="G32" s="8">
        <v>50.736525871403359</v>
      </c>
      <c r="H32">
        <f t="shared" ref="H32:H40" si="21">G32+273.15</f>
        <v>323.88652587140336</v>
      </c>
      <c r="I32">
        <v>10</v>
      </c>
      <c r="J32" s="1">
        <f t="shared" ref="J32:J40" si="22">I32/60/1000</f>
        <v>1.6666666666666666E-4</v>
      </c>
      <c r="K32">
        <v>34.915330330526842</v>
      </c>
      <c r="L32">
        <v>5.0217427317420364</v>
      </c>
      <c r="M32">
        <f t="shared" ref="M32:M40" si="23">K32+273.15</f>
        <v>308.06533033052682</v>
      </c>
      <c r="N32">
        <f t="shared" ref="N32:N40" si="24">L32/10</f>
        <v>0.5021742731742036</v>
      </c>
      <c r="O32">
        <v>5.6853999999999996</v>
      </c>
      <c r="Q32">
        <f t="shared" ref="Q32:Q40" si="25">SQRT(1.2/O32)*SQRT(N32/0.101325)*SQRT(293.15/M32)</f>
        <v>0.99770596911223208</v>
      </c>
      <c r="R32">
        <f>I32*Q32</f>
        <v>9.9770596911223208</v>
      </c>
      <c r="S32" s="7">
        <f>R32/60/1000</f>
        <v>1.6628432818537199E-4</v>
      </c>
      <c r="U32">
        <v>55</v>
      </c>
      <c r="V32">
        <v>72</v>
      </c>
      <c r="W32" s="8">
        <v>1.7838E-2</v>
      </c>
      <c r="X32" s="10">
        <v>280</v>
      </c>
      <c r="Y32">
        <v>1.7838E-2</v>
      </c>
    </row>
    <row r="33" spans="1:25" x14ac:dyDescent="0.25">
      <c r="B33" s="2">
        <v>2112</v>
      </c>
      <c r="C33">
        <f>B33*2*PI()/60</f>
        <v>221.16812281272144</v>
      </c>
      <c r="D33" s="5">
        <v>1.0061059491213908</v>
      </c>
      <c r="E33" s="8">
        <v>32.0262582611306</v>
      </c>
      <c r="F33" s="5">
        <v>4.4350470643170885</v>
      </c>
      <c r="G33" s="8">
        <v>49.99081342244255</v>
      </c>
      <c r="H33">
        <f t="shared" si="21"/>
        <v>323.14081342244253</v>
      </c>
      <c r="I33">
        <v>11.5</v>
      </c>
      <c r="J33" s="1">
        <f t="shared" si="22"/>
        <v>1.9166666666666667E-4</v>
      </c>
      <c r="K33">
        <v>36.091330242567508</v>
      </c>
      <c r="L33">
        <v>4.398073191126322</v>
      </c>
      <c r="M33">
        <f t="shared" si="23"/>
        <v>309.24133024256747</v>
      </c>
      <c r="N33">
        <f t="shared" si="24"/>
        <v>0.43980731911263221</v>
      </c>
      <c r="O33">
        <v>4.9595000000000002</v>
      </c>
      <c r="Q33">
        <f t="shared" si="25"/>
        <v>0.99779374850115632</v>
      </c>
      <c r="R33">
        <f t="shared" ref="R33:R40" si="26">I33*Q33</f>
        <v>11.474628107763298</v>
      </c>
      <c r="S33" s="7">
        <f t="shared" ref="S33:S40" si="27">R33/60/1000</f>
        <v>1.9124380179605496E-4</v>
      </c>
      <c r="U33">
        <v>55</v>
      </c>
      <c r="V33">
        <v>72</v>
      </c>
      <c r="W33" s="8">
        <v>1.7838E-2</v>
      </c>
      <c r="X33" s="10">
        <v>270</v>
      </c>
      <c r="Y33">
        <v>1.7838E-2</v>
      </c>
    </row>
    <row r="34" spans="1:25" x14ac:dyDescent="0.25">
      <c r="B34" s="2">
        <v>2114</v>
      </c>
      <c r="C34">
        <f t="shared" ref="C34:C39" si="28">B34*2*PI()/60</f>
        <v>221.37756232296076</v>
      </c>
      <c r="D34" s="5">
        <v>1.0066583740337631</v>
      </c>
      <c r="E34" s="8">
        <v>32.048058065891794</v>
      </c>
      <c r="F34" s="5">
        <v>4.2201346805617597</v>
      </c>
      <c r="G34" s="8">
        <v>48.984398003218239</v>
      </c>
      <c r="H34">
        <f t="shared" si="21"/>
        <v>322.13439800321822</v>
      </c>
      <c r="I34">
        <v>12</v>
      </c>
      <c r="J34" s="1">
        <f t="shared" si="22"/>
        <v>2.0000000000000001E-4</v>
      </c>
      <c r="K34">
        <v>34.992384663945479</v>
      </c>
      <c r="L34">
        <v>4.1866511988703801</v>
      </c>
      <c r="M34">
        <f t="shared" si="23"/>
        <v>308.14238466394545</v>
      </c>
      <c r="N34">
        <f t="shared" si="24"/>
        <v>0.41866511988703803</v>
      </c>
      <c r="O34">
        <v>4.7378999999999998</v>
      </c>
      <c r="Q34">
        <f t="shared" si="25"/>
        <v>0.99779653516182709</v>
      </c>
      <c r="R34">
        <f t="shared" si="26"/>
        <v>11.973558421941926</v>
      </c>
      <c r="S34" s="7">
        <f t="shared" si="27"/>
        <v>1.9955930703236544E-4</v>
      </c>
      <c r="U34">
        <v>55</v>
      </c>
      <c r="V34">
        <v>72</v>
      </c>
      <c r="W34" s="8">
        <v>1.7838E-2</v>
      </c>
      <c r="X34" s="10">
        <v>265</v>
      </c>
      <c r="Y34">
        <v>1.7838E-2</v>
      </c>
    </row>
    <row r="35" spans="1:25" x14ac:dyDescent="0.25">
      <c r="A35" s="3">
        <f>AVERAGE(G32:G40)</f>
        <v>52.122160892238504</v>
      </c>
      <c r="B35" s="2">
        <v>2109</v>
      </c>
      <c r="C35">
        <f t="shared" si="28"/>
        <v>220.85396354736247</v>
      </c>
      <c r="D35" s="5">
        <v>1.0053780492937701</v>
      </c>
      <c r="E35" s="8">
        <v>31.985109146263699</v>
      </c>
      <c r="F35" s="5">
        <v>4.1660023180827803</v>
      </c>
      <c r="G35" s="8">
        <v>55.883603288041698</v>
      </c>
      <c r="H35">
        <f t="shared" si="21"/>
        <v>329.03360328804166</v>
      </c>
      <c r="I35">
        <v>12.5</v>
      </c>
      <c r="J35" s="1">
        <f t="shared" si="22"/>
        <v>2.0833333333333335E-4</v>
      </c>
      <c r="K35">
        <v>34.345290109700692</v>
      </c>
      <c r="L35">
        <v>4.1244500716481038</v>
      </c>
      <c r="M35">
        <f t="shared" si="23"/>
        <v>307.49529010970065</v>
      </c>
      <c r="N35">
        <f t="shared" si="24"/>
        <v>0.41244500716481036</v>
      </c>
      <c r="O35">
        <v>4.6772999999999998</v>
      </c>
      <c r="Q35">
        <f t="shared" si="25"/>
        <v>0.99779987275164905</v>
      </c>
      <c r="R35">
        <f t="shared" si="26"/>
        <v>12.472498409395612</v>
      </c>
      <c r="S35" s="7">
        <f t="shared" si="27"/>
        <v>2.0787497348992686E-4</v>
      </c>
      <c r="U35">
        <v>55</v>
      </c>
      <c r="V35">
        <v>72</v>
      </c>
      <c r="W35" s="8">
        <v>1.7838E-2</v>
      </c>
      <c r="X35" s="10">
        <v>265</v>
      </c>
      <c r="Y35">
        <v>1.7838E-2</v>
      </c>
    </row>
    <row r="36" spans="1:25" x14ac:dyDescent="0.25">
      <c r="A36" s="6"/>
      <c r="B36" s="2">
        <v>2114</v>
      </c>
      <c r="C36">
        <f t="shared" si="28"/>
        <v>221.37756232296076</v>
      </c>
      <c r="D36" s="5">
        <v>1.0066982516283061</v>
      </c>
      <c r="E36" s="8">
        <v>32.005684453369334</v>
      </c>
      <c r="F36" s="5">
        <v>4.003856630921188</v>
      </c>
      <c r="G36" s="8">
        <v>49.199552467406384</v>
      </c>
      <c r="H36">
        <f t="shared" si="21"/>
        <v>322.34955246740634</v>
      </c>
      <c r="I36">
        <v>14</v>
      </c>
      <c r="J36" s="1">
        <f t="shared" si="22"/>
        <v>2.3333333333333333E-4</v>
      </c>
      <c r="K36">
        <v>35.22898377743342</v>
      </c>
      <c r="L36">
        <v>3.9611569214138527</v>
      </c>
      <c r="M36">
        <f t="shared" si="23"/>
        <v>308.3789837774334</v>
      </c>
      <c r="N36">
        <f t="shared" si="24"/>
        <v>0.39611569214138526</v>
      </c>
      <c r="O36">
        <v>4.4790000000000001</v>
      </c>
      <c r="Q36">
        <f t="shared" si="25"/>
        <v>0.99782727755777623</v>
      </c>
      <c r="R36">
        <f t="shared" si="26"/>
        <v>13.969581885808868</v>
      </c>
      <c r="S36" s="7">
        <f t="shared" si="27"/>
        <v>2.3282636476348111E-4</v>
      </c>
      <c r="U36">
        <v>55</v>
      </c>
      <c r="V36">
        <v>72</v>
      </c>
      <c r="W36" s="8">
        <v>1.7838E-2</v>
      </c>
      <c r="X36" s="10">
        <v>260</v>
      </c>
      <c r="Y36">
        <v>1.7838E-2</v>
      </c>
    </row>
    <row r="37" spans="1:25" x14ac:dyDescent="0.25">
      <c r="B37" s="2">
        <v>2112</v>
      </c>
      <c r="C37">
        <f t="shared" si="28"/>
        <v>221.16812281272144</v>
      </c>
      <c r="D37" s="5">
        <v>1.0062165914400862</v>
      </c>
      <c r="E37" s="8">
        <v>31.970314452969511</v>
      </c>
      <c r="F37" s="5">
        <v>3.8882416114697662</v>
      </c>
      <c r="G37" s="8">
        <v>51.115333189585478</v>
      </c>
      <c r="H37">
        <f t="shared" si="21"/>
        <v>324.26533318958548</v>
      </c>
      <c r="I37">
        <v>16</v>
      </c>
      <c r="J37" s="1">
        <f t="shared" si="22"/>
        <v>2.6666666666666668E-4</v>
      </c>
      <c r="K37">
        <v>36.995893647839196</v>
      </c>
      <c r="L37">
        <v>3.838953350045629</v>
      </c>
      <c r="M37">
        <f t="shared" si="23"/>
        <v>310.14589364783916</v>
      </c>
      <c r="N37">
        <f t="shared" si="24"/>
        <v>0.38389533500456291</v>
      </c>
      <c r="O37">
        <v>4.3156999999999996</v>
      </c>
      <c r="Q37">
        <f t="shared" si="25"/>
        <v>0.99787247161187964</v>
      </c>
      <c r="R37">
        <f t="shared" si="26"/>
        <v>15.965959545790074</v>
      </c>
      <c r="S37" s="7">
        <f t="shared" si="27"/>
        <v>2.6609932576316791E-4</v>
      </c>
      <c r="U37">
        <v>55</v>
      </c>
      <c r="V37">
        <v>72</v>
      </c>
      <c r="W37" s="8">
        <v>1.7838E-2</v>
      </c>
      <c r="X37" s="10">
        <v>250</v>
      </c>
      <c r="Y37">
        <v>1.7838E-2</v>
      </c>
    </row>
    <row r="38" spans="1:25" x14ac:dyDescent="0.25">
      <c r="B38" s="2">
        <v>2111</v>
      </c>
      <c r="C38">
        <f t="shared" si="28"/>
        <v>221.06340305760176</v>
      </c>
      <c r="D38" s="5">
        <v>1.00622035047064</v>
      </c>
      <c r="E38" s="8">
        <v>32.022331469804698</v>
      </c>
      <c r="F38" s="5">
        <v>3.69061358519046</v>
      </c>
      <c r="G38" s="8">
        <v>55.823943947719599</v>
      </c>
      <c r="H38">
        <f t="shared" si="21"/>
        <v>328.97394394771959</v>
      </c>
      <c r="I38">
        <v>17</v>
      </c>
      <c r="J38" s="1">
        <f t="shared" si="22"/>
        <v>2.833333333333333E-4</v>
      </c>
      <c r="K38">
        <v>35.183946946549369</v>
      </c>
      <c r="L38">
        <v>3.6382551740685782</v>
      </c>
      <c r="M38">
        <f t="shared" si="23"/>
        <v>308.33394694654936</v>
      </c>
      <c r="N38">
        <f t="shared" si="24"/>
        <v>0.36382551740685781</v>
      </c>
      <c r="O38">
        <v>4.1142000000000003</v>
      </c>
      <c r="Q38">
        <f t="shared" si="25"/>
        <v>0.99786197341373895</v>
      </c>
      <c r="R38">
        <f t="shared" si="26"/>
        <v>16.963653548033562</v>
      </c>
      <c r="S38" s="7">
        <f t="shared" si="27"/>
        <v>2.827275591338927E-4</v>
      </c>
      <c r="U38">
        <v>55</v>
      </c>
      <c r="V38">
        <v>72</v>
      </c>
      <c r="W38" s="8">
        <v>1.7838E-2</v>
      </c>
      <c r="X38" s="10">
        <v>240</v>
      </c>
      <c r="Y38">
        <v>1.7838E-2</v>
      </c>
    </row>
    <row r="39" spans="1:25" x14ac:dyDescent="0.25">
      <c r="B39" s="2">
        <v>2112</v>
      </c>
      <c r="C39">
        <f t="shared" si="28"/>
        <v>221.16812281272144</v>
      </c>
      <c r="D39" s="5">
        <v>1.0075471234151576</v>
      </c>
      <c r="E39" s="8">
        <v>31.981519437650153</v>
      </c>
      <c r="F39" s="5">
        <v>3.3424664174525525</v>
      </c>
      <c r="G39" s="8">
        <v>54.463514185662618</v>
      </c>
      <c r="H39">
        <f t="shared" si="21"/>
        <v>327.61351418566261</v>
      </c>
      <c r="I39">
        <v>19</v>
      </c>
      <c r="J39" s="1">
        <f t="shared" si="22"/>
        <v>3.1666666666666665E-4</v>
      </c>
      <c r="K39">
        <v>36.165910744740373</v>
      </c>
      <c r="L39">
        <v>3.2729093370781328</v>
      </c>
      <c r="M39">
        <f t="shared" si="23"/>
        <v>309.31591074474034</v>
      </c>
      <c r="N39">
        <f t="shared" si="24"/>
        <v>0.32729093370781326</v>
      </c>
      <c r="O39">
        <v>3.6888999999999998</v>
      </c>
      <c r="Q39">
        <f t="shared" si="25"/>
        <v>0.99791760042068167</v>
      </c>
      <c r="R39">
        <f t="shared" si="26"/>
        <v>18.960434407992953</v>
      </c>
      <c r="S39" s="7">
        <f t="shared" si="27"/>
        <v>3.1600724013321587E-4</v>
      </c>
      <c r="U39">
        <v>55</v>
      </c>
      <c r="V39">
        <v>72</v>
      </c>
      <c r="W39" s="8">
        <v>1.7838E-2</v>
      </c>
      <c r="X39" s="10">
        <v>225</v>
      </c>
      <c r="Y39">
        <v>1.7838E-2</v>
      </c>
    </row>
    <row r="40" spans="1:25" x14ac:dyDescent="0.25">
      <c r="B40" s="2">
        <v>2113</v>
      </c>
      <c r="C40">
        <f>B40*2*PI()/60</f>
        <v>221.27284256784108</v>
      </c>
      <c r="D40" s="5">
        <v>1.00657455969937</v>
      </c>
      <c r="E40" s="8">
        <v>32.002248517148502</v>
      </c>
      <c r="F40" s="5">
        <v>2.5472304393617602</v>
      </c>
      <c r="G40" s="8">
        <v>52.901763654666603</v>
      </c>
      <c r="H40">
        <f t="shared" si="21"/>
        <v>326.05176365466656</v>
      </c>
      <c r="I40">
        <v>26</v>
      </c>
      <c r="J40" s="1">
        <f t="shared" si="22"/>
        <v>4.3333333333333337E-4</v>
      </c>
      <c r="K40">
        <v>37.109925562862749</v>
      </c>
      <c r="L40">
        <v>2.4564213377189379</v>
      </c>
      <c r="M40">
        <f t="shared" si="23"/>
        <v>310.25992556286275</v>
      </c>
      <c r="N40">
        <f t="shared" si="24"/>
        <v>0.24564213377189378</v>
      </c>
      <c r="O40">
        <v>2.7597</v>
      </c>
      <c r="Q40">
        <f t="shared" si="25"/>
        <v>0.99801005747028537</v>
      </c>
      <c r="R40">
        <f t="shared" si="26"/>
        <v>25.94826149422742</v>
      </c>
      <c r="S40" s="7">
        <f t="shared" si="27"/>
        <v>4.3247102490379037E-4</v>
      </c>
      <c r="U40">
        <v>55</v>
      </c>
      <c r="V40">
        <v>72</v>
      </c>
      <c r="W40" s="8">
        <v>1.7838E-2</v>
      </c>
      <c r="X40" s="10">
        <v>200</v>
      </c>
      <c r="Y40">
        <v>1.7838E-2</v>
      </c>
    </row>
    <row r="45" spans="1:25" ht="21" x14ac:dyDescent="0.35">
      <c r="D45" s="28"/>
      <c r="E45" s="60" t="s">
        <v>6</v>
      </c>
      <c r="F45" s="60"/>
      <c r="G45" s="60"/>
      <c r="H45" s="34"/>
      <c r="I45" s="34"/>
      <c r="J45" s="28"/>
      <c r="K45" s="61" t="s">
        <v>5</v>
      </c>
      <c r="L45" s="61"/>
      <c r="M45" s="61"/>
      <c r="N45" s="29"/>
      <c r="O45" s="60" t="s">
        <v>4</v>
      </c>
      <c r="P45" s="60"/>
      <c r="Q45" s="60"/>
      <c r="S45" s="13"/>
      <c r="T45" s="62" t="s">
        <v>19</v>
      </c>
      <c r="U45" s="62"/>
      <c r="V45" s="62"/>
      <c r="W45" s="62"/>
      <c r="X45" s="62"/>
      <c r="Y45" s="62"/>
    </row>
    <row r="46" spans="1:25" ht="18.75" x14ac:dyDescent="0.3">
      <c r="D46" s="30" t="s">
        <v>35</v>
      </c>
      <c r="E46" s="31" t="s">
        <v>23</v>
      </c>
      <c r="F46" s="31" t="s">
        <v>1</v>
      </c>
      <c r="G46" s="31" t="s">
        <v>0</v>
      </c>
      <c r="H46" s="35"/>
      <c r="I46" s="35"/>
      <c r="J46" s="30" t="s">
        <v>3</v>
      </c>
      <c r="K46" s="31" t="s">
        <v>23</v>
      </c>
      <c r="L46" s="31" t="s">
        <v>1</v>
      </c>
      <c r="M46" s="31" t="s">
        <v>2</v>
      </c>
      <c r="N46" s="31"/>
      <c r="O46" s="31" t="s">
        <v>23</v>
      </c>
      <c r="P46" s="31" t="s">
        <v>1</v>
      </c>
      <c r="Q46" s="31" t="s">
        <v>0</v>
      </c>
      <c r="T46" s="32" t="s">
        <v>21</v>
      </c>
      <c r="U46" s="33" t="s">
        <v>20</v>
      </c>
      <c r="V46" s="32" t="s">
        <v>24</v>
      </c>
      <c r="W46" s="33" t="s">
        <v>18</v>
      </c>
      <c r="X46" s="32" t="s">
        <v>25</v>
      </c>
      <c r="Y46" s="33" t="s">
        <v>22</v>
      </c>
    </row>
    <row r="47" spans="1:25" x14ac:dyDescent="0.25">
      <c r="B47" s="2">
        <f>B3</f>
        <v>1217</v>
      </c>
      <c r="C47" s="10">
        <f>B47*2*PI()/60</f>
        <v>127.44394198062595</v>
      </c>
      <c r="D47" s="25">
        <f>F3</f>
        <v>4.2632226981025703</v>
      </c>
      <c r="E47">
        <v>0.37519999999999998</v>
      </c>
      <c r="G47" s="5">
        <f>S3*O3*1000</f>
        <v>0.3247321478042306</v>
      </c>
      <c r="H47" s="36"/>
      <c r="I47" s="36"/>
      <c r="J47" s="25">
        <v>4.2444180924655104</v>
      </c>
      <c r="K47">
        <v>229.81809999999999</v>
      </c>
      <c r="M47" s="5">
        <f>C47*Q47</f>
        <v>219.923995478764</v>
      </c>
      <c r="O47">
        <v>1.8032999999999999</v>
      </c>
      <c r="Q47" s="5">
        <v>1.7256528012308101</v>
      </c>
      <c r="T47" s="9">
        <f>(E47-G47)/E47</f>
        <v>0.13450920094821264</v>
      </c>
      <c r="U47" s="4" t="e">
        <f>(F47-G47)/F47</f>
        <v>#DIV/0!</v>
      </c>
      <c r="V47" s="38">
        <f>(K47-M47)/M47</f>
        <v>4.498874486022772E-2</v>
      </c>
      <c r="W47" s="38">
        <f>(L47-M47)/M47</f>
        <v>-1</v>
      </c>
      <c r="X47" s="4">
        <f>(O47-Q47)/Q47</f>
        <v>4.4995840828356934E-2</v>
      </c>
      <c r="Y47" s="4">
        <f>(P47-Q47)/Q47</f>
        <v>-1</v>
      </c>
    </row>
    <row r="48" spans="1:25" x14ac:dyDescent="0.25">
      <c r="A48" s="22">
        <f>AVERAGE(B47:B51)</f>
        <v>1216</v>
      </c>
      <c r="B48" s="2">
        <f>B4</f>
        <v>1214</v>
      </c>
      <c r="C48" s="10">
        <f t="shared" ref="C48:C51" si="29">B48*2*PI()/60</f>
        <v>127.12978271526696</v>
      </c>
      <c r="D48" s="25">
        <f>F4</f>
        <v>3.7487816777695127</v>
      </c>
      <c r="G48" s="5">
        <f>S4*O4*1000</f>
        <v>0.35673312429200765</v>
      </c>
      <c r="H48" s="36"/>
      <c r="I48" s="36"/>
      <c r="J48" s="25">
        <v>3.7878232240313827</v>
      </c>
      <c r="M48" s="5">
        <f>C48*Q48</f>
        <v>201.06346911209982</v>
      </c>
      <c r="Q48" s="5">
        <v>1.5815607076307401</v>
      </c>
      <c r="T48" s="9" t="e">
        <f>(E48-G48)/E48</f>
        <v>#DIV/0!</v>
      </c>
      <c r="U48" s="4" t="e">
        <f>(F48-G48)/F48</f>
        <v>#DIV/0!</v>
      </c>
      <c r="V48" s="38">
        <f t="shared" ref="V48:V67" si="30">(K48-M48)/M48</f>
        <v>-1</v>
      </c>
      <c r="W48" s="38">
        <f t="shared" ref="W48:W67" si="31">(L48-M48)/M48</f>
        <v>-1</v>
      </c>
      <c r="X48" s="4">
        <f t="shared" ref="X48:X67" si="32">(O48-Q48)/Q48</f>
        <v>-1</v>
      </c>
      <c r="Y48" s="4">
        <f t="shared" ref="Y48:Y67" si="33">(P48-Q48)/Q48</f>
        <v>-1</v>
      </c>
    </row>
    <row r="49" spans="1:25" x14ac:dyDescent="0.25">
      <c r="A49" s="23"/>
      <c r="B49" s="2">
        <f>B5</f>
        <v>1217</v>
      </c>
      <c r="C49" s="10">
        <f t="shared" si="29"/>
        <v>127.44394198062595</v>
      </c>
      <c r="D49" s="25">
        <f>F5</f>
        <v>3.411492883316626</v>
      </c>
      <c r="G49" s="5">
        <f>S5*O5*1000</f>
        <v>0.45316198723503576</v>
      </c>
      <c r="H49" s="36"/>
      <c r="I49" s="36"/>
      <c r="J49" s="25">
        <v>3.4480098649583537</v>
      </c>
      <c r="M49" s="5">
        <f>C49*Q49</f>
        <v>193.63025834579085</v>
      </c>
      <c r="Q49" s="5">
        <v>1.5193367008000001</v>
      </c>
      <c r="T49" s="9" t="e">
        <f>(E49-G49)/E49</f>
        <v>#DIV/0!</v>
      </c>
      <c r="U49" s="4" t="e">
        <f>(F49-G49)/F49</f>
        <v>#DIV/0!</v>
      </c>
      <c r="V49" s="38">
        <f t="shared" si="30"/>
        <v>-1</v>
      </c>
      <c r="W49" s="38">
        <f t="shared" si="31"/>
        <v>-1</v>
      </c>
      <c r="X49" s="4">
        <f t="shared" si="32"/>
        <v>-1</v>
      </c>
      <c r="Y49" s="4">
        <f t="shared" si="33"/>
        <v>-1</v>
      </c>
    </row>
    <row r="50" spans="1:25" x14ac:dyDescent="0.25">
      <c r="A50" s="23"/>
      <c r="B50" s="2">
        <f>B6</f>
        <v>1215</v>
      </c>
      <c r="C50" s="10">
        <f t="shared" si="29"/>
        <v>127.23450247038662</v>
      </c>
      <c r="D50" s="25">
        <f>F6</f>
        <v>3.0036465230416098</v>
      </c>
      <c r="G50" s="5">
        <f>S6*O6*1000</f>
        <v>0.45543527309811571</v>
      </c>
      <c r="H50" s="36"/>
      <c r="I50" s="36"/>
      <c r="J50" s="25">
        <v>3.0515120209205819</v>
      </c>
      <c r="M50" s="5">
        <f>C50*Q50</f>
        <v>176.89683334223687</v>
      </c>
      <c r="Q50" s="5">
        <v>1.39032125648001</v>
      </c>
      <c r="T50" s="9" t="e">
        <f>(E50-G50)/E50</f>
        <v>#DIV/0!</v>
      </c>
      <c r="U50" s="4" t="e">
        <f>(F50-G50)/F50</f>
        <v>#DIV/0!</v>
      </c>
      <c r="V50" s="38">
        <f t="shared" si="30"/>
        <v>-1</v>
      </c>
      <c r="W50" s="38">
        <f t="shared" si="31"/>
        <v>-1</v>
      </c>
      <c r="X50" s="4">
        <f t="shared" si="32"/>
        <v>-1</v>
      </c>
      <c r="Y50" s="4">
        <f t="shared" si="33"/>
        <v>-1</v>
      </c>
    </row>
    <row r="51" spans="1:25" x14ac:dyDescent="0.25">
      <c r="A51" s="23"/>
      <c r="B51" s="2">
        <f>B7</f>
        <v>1217</v>
      </c>
      <c r="C51" s="10">
        <f t="shared" si="29"/>
        <v>127.44394198062595</v>
      </c>
      <c r="D51" s="25">
        <f>F7</f>
        <v>2.3975521098447898</v>
      </c>
      <c r="E51">
        <v>0.43459999999999999</v>
      </c>
      <c r="G51" s="5">
        <f>S7*O7*1000</f>
        <v>0.45359213147780497</v>
      </c>
      <c r="H51" s="36"/>
      <c r="I51" s="36"/>
      <c r="J51" s="25">
        <v>2.2725055761034807</v>
      </c>
      <c r="K51">
        <v>157.7713</v>
      </c>
      <c r="M51" s="5">
        <f>C51*Q51</f>
        <v>150.01311193399283</v>
      </c>
      <c r="O51">
        <v>1.238</v>
      </c>
      <c r="Q51" s="5">
        <v>1.1770909593866601</v>
      </c>
      <c r="T51" s="9">
        <f>(E51-G51)/E51</f>
        <v>-4.3700256506684278E-2</v>
      </c>
      <c r="U51" s="4" t="e">
        <f>(F51-G51)/F51</f>
        <v>#DIV/0!</v>
      </c>
      <c r="V51" s="38">
        <f t="shared" si="30"/>
        <v>5.1716733064112688E-2</v>
      </c>
      <c r="W51" s="38">
        <f t="shared" si="31"/>
        <v>-1</v>
      </c>
      <c r="X51" s="4">
        <f t="shared" si="32"/>
        <v>5.1745398371827969E-2</v>
      </c>
      <c r="Y51" s="4">
        <f t="shared" si="33"/>
        <v>-1</v>
      </c>
    </row>
    <row r="52" spans="1:25" x14ac:dyDescent="0.25">
      <c r="A52" s="24"/>
      <c r="B52" s="19"/>
      <c r="C52" s="16"/>
      <c r="D52" s="20"/>
      <c r="E52" s="16"/>
      <c r="F52" s="16"/>
      <c r="G52" s="16"/>
      <c r="H52" s="36"/>
      <c r="I52" s="36"/>
      <c r="J52" s="20"/>
      <c r="K52" s="16"/>
      <c r="L52" s="16"/>
      <c r="M52" s="16"/>
      <c r="N52" s="16"/>
      <c r="O52" s="16"/>
      <c r="P52" s="16"/>
      <c r="Q52" s="16"/>
      <c r="R52" s="16"/>
      <c r="S52" s="16"/>
      <c r="T52" s="17"/>
      <c r="U52" s="18"/>
      <c r="V52" s="18"/>
      <c r="W52" s="18"/>
      <c r="X52" s="18"/>
      <c r="Y52" s="18"/>
    </row>
    <row r="53" spans="1:25" x14ac:dyDescent="0.25">
      <c r="A53" s="24"/>
      <c r="B53" s="16"/>
      <c r="C53" s="16"/>
      <c r="D53" s="20"/>
      <c r="E53" s="16"/>
      <c r="F53" s="16"/>
      <c r="G53" s="16"/>
      <c r="H53" s="36"/>
      <c r="I53" s="36"/>
      <c r="J53" s="20"/>
      <c r="K53" s="16"/>
      <c r="L53" s="16"/>
      <c r="M53" s="16"/>
      <c r="N53" s="16"/>
      <c r="O53" s="16"/>
      <c r="P53" s="16"/>
      <c r="Q53" s="16"/>
      <c r="R53" s="16"/>
      <c r="S53" s="16"/>
      <c r="T53" s="17"/>
      <c r="U53" s="18"/>
      <c r="V53" s="18"/>
      <c r="W53" s="18"/>
      <c r="X53" s="18"/>
      <c r="Y53" s="18"/>
    </row>
    <row r="54" spans="1:25" x14ac:dyDescent="0.25">
      <c r="B54" s="2">
        <v>1427</v>
      </c>
      <c r="C54" s="10">
        <f>B54*2*PI()/60</f>
        <v>149.4350905557545</v>
      </c>
      <c r="D54" s="25">
        <f t="shared" ref="D54:D59" si="34">F9</f>
        <v>5.253362586763715</v>
      </c>
      <c r="E54">
        <v>0.47920000000000001</v>
      </c>
      <c r="G54" s="5">
        <f t="shared" ref="G54:G59" si="35">S9*O9*1000</f>
        <v>0.49942621079699617</v>
      </c>
      <c r="H54" s="36"/>
      <c r="I54" s="36"/>
      <c r="J54" s="25">
        <v>5.2406701587576698</v>
      </c>
      <c r="K54">
        <v>303.82069999999999</v>
      </c>
      <c r="M54" s="5">
        <f>C54*Q54</f>
        <v>312.41254145595809</v>
      </c>
      <c r="O54">
        <v>2.0331000000000001</v>
      </c>
      <c r="Q54" s="5">
        <v>2.0906236968444598</v>
      </c>
      <c r="T54" s="9">
        <f t="shared" ref="T54:T59" si="36">(E54-G54)/E54</f>
        <v>-4.2208286304249075E-2</v>
      </c>
      <c r="U54" s="4" t="e">
        <f t="shared" ref="U54:U59" si="37">(F54-G54)/F54</f>
        <v>#DIV/0!</v>
      </c>
      <c r="V54" s="38">
        <f t="shared" ref="V54:V58" si="38">(K54-M54)/M54</f>
        <v>-2.7501589455778384E-2</v>
      </c>
      <c r="W54" s="38">
        <f t="shared" ref="W54:W58" si="39">(L54-M54)/M54</f>
        <v>-1</v>
      </c>
      <c r="X54" s="4">
        <f t="shared" ref="X54:X58" si="40">(O54-Q54)/Q54</f>
        <v>-2.7515088885333428E-2</v>
      </c>
      <c r="Y54" s="4">
        <f>(P54-Q54)/Q54</f>
        <v>-1</v>
      </c>
    </row>
    <row r="55" spans="1:25" x14ac:dyDescent="0.25">
      <c r="A55" s="22">
        <f>AVERAGE(B54:B59)</f>
        <v>1416.6666666666667</v>
      </c>
      <c r="B55" s="2">
        <f>B10</f>
        <v>1411</v>
      </c>
      <c r="C55" s="10">
        <f>B55*2*PI()/60</f>
        <v>147.75957447383993</v>
      </c>
      <c r="D55" s="25">
        <f t="shared" si="34"/>
        <v>4.8223075689095696</v>
      </c>
      <c r="E55">
        <v>0.47799999999999998</v>
      </c>
      <c r="G55" s="5">
        <f t="shared" si="35"/>
        <v>0.51458234662294589</v>
      </c>
      <c r="H55" s="36"/>
      <c r="I55" s="36"/>
      <c r="J55" s="25">
        <v>4.8223075689095696</v>
      </c>
      <c r="K55">
        <v>286.3227</v>
      </c>
      <c r="M55" s="5">
        <f>Q55*C55</f>
        <v>277.23925387205941</v>
      </c>
      <c r="O55">
        <v>1.9378</v>
      </c>
      <c r="Q55" s="5">
        <v>1.8762862228000201</v>
      </c>
      <c r="T55" s="9">
        <f t="shared" si="36"/>
        <v>-7.653210590574458E-2</v>
      </c>
      <c r="U55" s="4" t="e">
        <f t="shared" si="37"/>
        <v>#DIV/0!</v>
      </c>
      <c r="V55" s="38">
        <f t="shared" si="38"/>
        <v>3.2763925025322806E-2</v>
      </c>
      <c r="W55" s="38">
        <f t="shared" si="39"/>
        <v>-1</v>
      </c>
      <c r="X55" s="4">
        <f t="shared" si="40"/>
        <v>3.2784857903066407E-2</v>
      </c>
      <c r="Y55" s="4">
        <f t="shared" ref="Y55:Y58" si="41">(P55-Q55)/Q55</f>
        <v>-1</v>
      </c>
    </row>
    <row r="56" spans="1:25" x14ac:dyDescent="0.25">
      <c r="A56" s="23"/>
      <c r="B56" s="2">
        <f>B11</f>
        <v>1412</v>
      </c>
      <c r="C56" s="10">
        <f t="shared" ref="C56:C59" si="42">B56*2*PI()/60</f>
        <v>147.86429422895961</v>
      </c>
      <c r="D56" s="25">
        <f t="shared" si="34"/>
        <v>4.236297847863618</v>
      </c>
      <c r="G56" s="5">
        <f t="shared" si="35"/>
        <v>0.48213212885652895</v>
      </c>
      <c r="H56" s="36"/>
      <c r="I56" s="36"/>
      <c r="J56" s="25">
        <v>4.2133657686475736</v>
      </c>
      <c r="M56" s="5">
        <f>C56*Q56</f>
        <v>252.5835649599077</v>
      </c>
      <c r="Q56" s="5">
        <v>1.7082120215499501</v>
      </c>
      <c r="T56" s="9" t="e">
        <f t="shared" si="36"/>
        <v>#DIV/0!</v>
      </c>
      <c r="U56" s="4" t="e">
        <f t="shared" si="37"/>
        <v>#DIV/0!</v>
      </c>
      <c r="V56" s="38">
        <f t="shared" si="38"/>
        <v>-1</v>
      </c>
      <c r="W56" s="38">
        <f t="shared" si="39"/>
        <v>-1</v>
      </c>
      <c r="X56" s="4">
        <f t="shared" si="40"/>
        <v>-1</v>
      </c>
      <c r="Y56" s="4">
        <f t="shared" si="41"/>
        <v>-1</v>
      </c>
    </row>
    <row r="57" spans="1:25" x14ac:dyDescent="0.25">
      <c r="A57" s="23"/>
      <c r="B57" s="2">
        <f>B12</f>
        <v>1415</v>
      </c>
      <c r="C57" s="10">
        <f t="shared" si="42"/>
        <v>148.17845349431857</v>
      </c>
      <c r="D57" s="25">
        <f t="shared" si="34"/>
        <v>3.661602244140135</v>
      </c>
      <c r="G57" s="5">
        <f t="shared" si="35"/>
        <v>0.55282985811386409</v>
      </c>
      <c r="H57" s="36"/>
      <c r="I57" s="36"/>
      <c r="J57" s="25">
        <v>3.6648343363992262</v>
      </c>
      <c r="M57" s="5">
        <f>C57*Q57</f>
        <v>233.85095355199863</v>
      </c>
      <c r="Q57" s="5">
        <v>1.5781711040800199</v>
      </c>
      <c r="T57" s="9" t="e">
        <f t="shared" si="36"/>
        <v>#DIV/0!</v>
      </c>
      <c r="U57" s="4" t="e">
        <f t="shared" si="37"/>
        <v>#DIV/0!</v>
      </c>
      <c r="V57" s="38">
        <f t="shared" si="38"/>
        <v>-1</v>
      </c>
      <c r="W57" s="38">
        <f t="shared" si="39"/>
        <v>-1</v>
      </c>
      <c r="X57" s="4">
        <f t="shared" si="40"/>
        <v>-1</v>
      </c>
      <c r="Y57" s="4">
        <f t="shared" si="41"/>
        <v>-1</v>
      </c>
    </row>
    <row r="58" spans="1:25" x14ac:dyDescent="0.25">
      <c r="A58" s="23"/>
      <c r="B58" s="2">
        <f>B13</f>
        <v>1412</v>
      </c>
      <c r="C58" s="10">
        <f t="shared" si="42"/>
        <v>147.86429422895961</v>
      </c>
      <c r="D58" s="25">
        <f t="shared" si="34"/>
        <v>2.9220510847489072</v>
      </c>
      <c r="G58" s="5">
        <f t="shared" si="35"/>
        <v>0.55064360312853888</v>
      </c>
      <c r="H58" s="36"/>
      <c r="I58" s="36"/>
      <c r="J58" s="25">
        <v>2.9593285147529595</v>
      </c>
      <c r="M58" s="5">
        <f>C58*Q58</f>
        <v>203.92491114934344</v>
      </c>
      <c r="Q58" s="5">
        <v>1.37913559330001</v>
      </c>
      <c r="T58" s="9" t="e">
        <f t="shared" si="36"/>
        <v>#DIV/0!</v>
      </c>
      <c r="U58" s="4" t="e">
        <f t="shared" si="37"/>
        <v>#DIV/0!</v>
      </c>
      <c r="V58" s="38">
        <f t="shared" si="38"/>
        <v>-1</v>
      </c>
      <c r="W58" s="38">
        <f t="shared" si="39"/>
        <v>-1</v>
      </c>
      <c r="X58" s="4">
        <f t="shared" si="40"/>
        <v>-1</v>
      </c>
      <c r="Y58" s="4">
        <f t="shared" si="41"/>
        <v>-1</v>
      </c>
    </row>
    <row r="59" spans="1:25" x14ac:dyDescent="0.25">
      <c r="A59" s="23"/>
      <c r="B59" s="2">
        <f>B14</f>
        <v>1423</v>
      </c>
      <c r="C59" s="10">
        <f t="shared" si="42"/>
        <v>149.01621153527586</v>
      </c>
      <c r="D59" s="25">
        <f t="shared" si="34"/>
        <v>2.6698755104625538</v>
      </c>
      <c r="E59">
        <v>0.54700000000000004</v>
      </c>
      <c r="G59" s="5">
        <f t="shared" si="35"/>
        <v>0.60090268980389583</v>
      </c>
      <c r="H59" s="36"/>
      <c r="I59" s="36"/>
      <c r="J59" s="25">
        <v>2.6546208338669319</v>
      </c>
      <c r="K59">
        <v>196.13929999999999</v>
      </c>
      <c r="M59" s="5">
        <f>C59*Q59</f>
        <v>199.07794559162474</v>
      </c>
      <c r="O59">
        <v>1.3162</v>
      </c>
      <c r="Q59" s="5">
        <v>1.3359482403999918</v>
      </c>
      <c r="T59" s="9">
        <f t="shared" si="36"/>
        <v>-9.8542394522661392E-2</v>
      </c>
      <c r="U59" s="4" t="e">
        <f t="shared" si="37"/>
        <v>#DIV/0!</v>
      </c>
      <c r="V59" s="38">
        <f t="shared" si="30"/>
        <v>-1.4761281481439891E-2</v>
      </c>
      <c r="W59" s="38">
        <f t="shared" si="31"/>
        <v>-1</v>
      </c>
      <c r="X59" s="4">
        <f>(O59-Q59)/Q59</f>
        <v>-1.4782189760644495E-2</v>
      </c>
      <c r="Y59" s="4">
        <f t="shared" si="33"/>
        <v>-1</v>
      </c>
    </row>
    <row r="60" spans="1:25" x14ac:dyDescent="0.25">
      <c r="A60" s="24"/>
      <c r="B60" s="16"/>
      <c r="C60" s="16"/>
      <c r="D60" s="20"/>
      <c r="E60" s="16"/>
      <c r="F60" s="16"/>
      <c r="G60" s="16"/>
      <c r="H60" s="36"/>
      <c r="I60" s="36"/>
      <c r="J60" s="20"/>
      <c r="K60" s="16"/>
      <c r="L60" s="16"/>
      <c r="M60" s="16"/>
      <c r="N60" s="16"/>
      <c r="O60" s="16"/>
      <c r="P60" s="16"/>
      <c r="Q60" s="16"/>
      <c r="R60" s="16"/>
      <c r="S60" s="16"/>
      <c r="T60" s="17"/>
      <c r="U60" s="18"/>
      <c r="V60" s="18"/>
      <c r="W60" s="18"/>
      <c r="X60" s="18"/>
      <c r="Y60" s="18"/>
    </row>
    <row r="61" spans="1:25" x14ac:dyDescent="0.25">
      <c r="A61" s="24"/>
      <c r="B61" s="16"/>
      <c r="C61" s="16"/>
      <c r="D61" s="20"/>
      <c r="E61" s="16"/>
      <c r="F61" s="16"/>
      <c r="G61" s="16"/>
      <c r="H61" s="36"/>
      <c r="I61" s="36"/>
      <c r="J61" s="20"/>
      <c r="K61" s="16"/>
      <c r="L61" s="16"/>
      <c r="M61" s="16"/>
      <c r="N61" s="16"/>
      <c r="O61" s="16"/>
      <c r="P61" s="16"/>
      <c r="Q61" s="16"/>
      <c r="R61" s="16"/>
      <c r="S61" s="16"/>
      <c r="T61" s="17"/>
      <c r="U61" s="18"/>
      <c r="V61" s="18"/>
      <c r="W61" s="18"/>
      <c r="X61" s="18"/>
      <c r="Y61" s="18"/>
    </row>
    <row r="62" spans="1:25" x14ac:dyDescent="0.25">
      <c r="B62" s="2">
        <f t="shared" ref="B62:B67" si="43">B16</f>
        <v>1638</v>
      </c>
      <c r="C62" s="10">
        <f t="shared" ref="C62:C67" si="44">B62*2*PI()/60</f>
        <v>171.53095888600271</v>
      </c>
      <c r="D62" s="25">
        <f t="shared" ref="D62:D67" si="45">F16</f>
        <v>5.3598489235258446</v>
      </c>
      <c r="G62" s="5">
        <f t="shared" ref="G62:G67" si="46">S16*O16*1000</f>
        <v>0.50962255574596027</v>
      </c>
      <c r="H62" s="36"/>
      <c r="I62" s="36"/>
      <c r="J62" s="25">
        <v>5.2676677023988514</v>
      </c>
      <c r="M62" s="5">
        <f t="shared" ref="M62:M67" si="47">C62*Q62</f>
        <v>350.36119156039933</v>
      </c>
      <c r="Q62" s="5">
        <v>2.0425536814799998</v>
      </c>
      <c r="T62" s="9" t="e">
        <f t="shared" ref="T62:T67" si="48">(E62-G62)/E62</f>
        <v>#DIV/0!</v>
      </c>
      <c r="U62" s="4" t="e">
        <f t="shared" ref="U62:U67" si="49">(F62-G62)/F62</f>
        <v>#DIV/0!</v>
      </c>
      <c r="V62" s="38">
        <f t="shared" si="30"/>
        <v>-1</v>
      </c>
      <c r="W62" s="38">
        <f t="shared" si="31"/>
        <v>-1</v>
      </c>
      <c r="X62" s="4">
        <f t="shared" si="32"/>
        <v>-1</v>
      </c>
      <c r="Y62" s="4">
        <f t="shared" si="33"/>
        <v>-1</v>
      </c>
    </row>
    <row r="63" spans="1:25" x14ac:dyDescent="0.25">
      <c r="A63" s="22">
        <f>AVERAGE(B62:B67)</f>
        <v>1638.8333333333333</v>
      </c>
      <c r="B63" s="2">
        <f t="shared" si="43"/>
        <v>1638</v>
      </c>
      <c r="C63" s="10">
        <f t="shared" si="44"/>
        <v>171.53095888600271</v>
      </c>
      <c r="D63" s="25">
        <f t="shared" si="45"/>
        <v>4.5488778229227878</v>
      </c>
      <c r="G63" s="5">
        <f t="shared" si="46"/>
        <v>0.60263466997840687</v>
      </c>
      <c r="H63" s="36"/>
      <c r="I63" s="36"/>
      <c r="J63" s="25">
        <v>4.5360871409008512</v>
      </c>
      <c r="M63" s="5">
        <f t="shared" si="47"/>
        <v>318.37107478027991</v>
      </c>
      <c r="Q63" s="5">
        <v>1.85605605453337</v>
      </c>
      <c r="T63" s="9" t="e">
        <f t="shared" si="48"/>
        <v>#DIV/0!</v>
      </c>
      <c r="U63" s="4" t="e">
        <f t="shared" si="49"/>
        <v>#DIV/0!</v>
      </c>
      <c r="V63" s="38">
        <f t="shared" si="30"/>
        <v>-1</v>
      </c>
      <c r="W63" s="38">
        <f t="shared" si="31"/>
        <v>-1</v>
      </c>
      <c r="X63" s="4">
        <f t="shared" si="32"/>
        <v>-1</v>
      </c>
      <c r="Y63" s="4">
        <f t="shared" si="33"/>
        <v>-1</v>
      </c>
    </row>
    <row r="64" spans="1:25" x14ac:dyDescent="0.25">
      <c r="A64" s="22"/>
      <c r="B64" s="2">
        <f t="shared" si="43"/>
        <v>1639</v>
      </c>
      <c r="C64" s="10">
        <f t="shared" si="44"/>
        <v>171.63567864112238</v>
      </c>
      <c r="D64" s="25">
        <f t="shared" si="45"/>
        <v>3.6851917499746314</v>
      </c>
      <c r="G64" s="5">
        <f t="shared" si="46"/>
        <v>0.69666610752823155</v>
      </c>
      <c r="H64" s="36"/>
      <c r="I64" s="36"/>
      <c r="J64" s="25">
        <v>3.6590501925338441</v>
      </c>
      <c r="M64" s="5">
        <f t="shared" si="47"/>
        <v>289.30173145285579</v>
      </c>
      <c r="Q64" s="5">
        <v>1.6855570691555599</v>
      </c>
      <c r="T64" s="9" t="e">
        <f t="shared" si="48"/>
        <v>#DIV/0!</v>
      </c>
      <c r="U64" s="4" t="e">
        <f t="shared" si="49"/>
        <v>#DIV/0!</v>
      </c>
      <c r="V64" s="38">
        <f t="shared" si="30"/>
        <v>-1</v>
      </c>
      <c r="W64" s="38">
        <f t="shared" si="31"/>
        <v>-1</v>
      </c>
      <c r="X64" s="4">
        <f t="shared" si="32"/>
        <v>-1</v>
      </c>
      <c r="Y64" s="4">
        <f t="shared" si="33"/>
        <v>-1</v>
      </c>
    </row>
    <row r="65" spans="1:25" x14ac:dyDescent="0.25">
      <c r="A65" s="23"/>
      <c r="B65" s="2">
        <f t="shared" si="43"/>
        <v>1639</v>
      </c>
      <c r="C65" s="10">
        <f t="shared" si="44"/>
        <v>171.63567864112238</v>
      </c>
      <c r="D65" s="25">
        <f t="shared" si="45"/>
        <v>3.2641584944265172</v>
      </c>
      <c r="G65" s="5">
        <f t="shared" si="46"/>
        <v>0.73556884310464887</v>
      </c>
      <c r="H65" s="36"/>
      <c r="I65" s="36"/>
      <c r="J65" s="25">
        <v>3.2748617732348366</v>
      </c>
      <c r="M65" s="5">
        <f t="shared" si="47"/>
        <v>271.84554968579704</v>
      </c>
      <c r="Q65" s="5">
        <v>1.58385221440005</v>
      </c>
      <c r="T65" s="9" t="e">
        <f t="shared" si="48"/>
        <v>#DIV/0!</v>
      </c>
      <c r="U65" s="4" t="e">
        <f t="shared" si="49"/>
        <v>#DIV/0!</v>
      </c>
      <c r="V65" s="38">
        <f t="shared" si="30"/>
        <v>-1</v>
      </c>
      <c r="W65" s="38">
        <f>(L65-M65)/M65</f>
        <v>-1</v>
      </c>
      <c r="X65" s="4">
        <f t="shared" si="32"/>
        <v>-1</v>
      </c>
      <c r="Y65" s="4">
        <f t="shared" si="33"/>
        <v>-1</v>
      </c>
    </row>
    <row r="66" spans="1:25" x14ac:dyDescent="0.25">
      <c r="A66" s="23"/>
      <c r="B66" s="2">
        <f t="shared" si="43"/>
        <v>1639</v>
      </c>
      <c r="C66" s="10">
        <f t="shared" si="44"/>
        <v>171.63567864112238</v>
      </c>
      <c r="D66" s="25">
        <f t="shared" si="45"/>
        <v>3.0682354873155337</v>
      </c>
      <c r="G66" s="5">
        <f t="shared" si="46"/>
        <v>0.80311495788323939</v>
      </c>
      <c r="H66" s="36"/>
      <c r="I66" s="36"/>
      <c r="J66" s="25">
        <v>3.0456727654803633</v>
      </c>
      <c r="M66" s="5">
        <f t="shared" si="47"/>
        <v>257.37260775625094</v>
      </c>
      <c r="Q66" s="5">
        <v>1.49952859332003</v>
      </c>
      <c r="T66" s="9" t="e">
        <f t="shared" si="48"/>
        <v>#DIV/0!</v>
      </c>
      <c r="U66" s="4" t="e">
        <f t="shared" si="49"/>
        <v>#DIV/0!</v>
      </c>
      <c r="V66" s="38">
        <f t="shared" si="30"/>
        <v>-1</v>
      </c>
      <c r="W66" s="38">
        <f>(L66-M66)/M66</f>
        <v>-1</v>
      </c>
      <c r="X66" s="4">
        <f t="shared" si="32"/>
        <v>-1</v>
      </c>
      <c r="Y66" s="4">
        <f t="shared" si="33"/>
        <v>-1</v>
      </c>
    </row>
    <row r="67" spans="1:25" x14ac:dyDescent="0.25">
      <c r="A67" s="23"/>
      <c r="B67" s="2">
        <f t="shared" si="43"/>
        <v>1640</v>
      </c>
      <c r="C67" s="10">
        <f t="shared" si="44"/>
        <v>171.74039839624203</v>
      </c>
      <c r="D67" s="25">
        <f t="shared" si="45"/>
        <v>2.8293806275398508</v>
      </c>
      <c r="G67" s="5">
        <f t="shared" si="46"/>
        <v>0.84332212411016105</v>
      </c>
      <c r="H67" s="36"/>
      <c r="I67" s="36"/>
      <c r="J67" s="25">
        <v>2.8706691758127212</v>
      </c>
      <c r="M67" s="5">
        <f t="shared" si="47"/>
        <v>242.54161373792925</v>
      </c>
      <c r="Q67" s="5">
        <v>1.4122571975076801</v>
      </c>
      <c r="T67" s="9" t="e">
        <f t="shared" si="48"/>
        <v>#DIV/0!</v>
      </c>
      <c r="U67" s="4" t="e">
        <f t="shared" si="49"/>
        <v>#DIV/0!</v>
      </c>
      <c r="V67" s="38">
        <f t="shared" si="30"/>
        <v>-1</v>
      </c>
      <c r="W67" s="38">
        <f t="shared" si="31"/>
        <v>-1</v>
      </c>
      <c r="X67" s="4">
        <f t="shared" si="32"/>
        <v>-1</v>
      </c>
      <c r="Y67" s="4">
        <f t="shared" si="33"/>
        <v>-1</v>
      </c>
    </row>
    <row r="68" spans="1:25" x14ac:dyDescent="0.25">
      <c r="A68" s="24"/>
      <c r="B68" s="16"/>
      <c r="C68" s="16"/>
      <c r="D68" s="20"/>
      <c r="E68" s="16"/>
      <c r="F68" s="16"/>
      <c r="G68" s="16"/>
      <c r="H68" s="36"/>
      <c r="I68" s="36"/>
      <c r="J68" s="20"/>
      <c r="K68" s="16"/>
      <c r="L68" s="16"/>
      <c r="M68" s="16"/>
      <c r="N68" s="16"/>
      <c r="O68" s="16"/>
      <c r="P68" s="16"/>
      <c r="Q68" s="16"/>
      <c r="R68" s="16"/>
      <c r="S68" s="16"/>
      <c r="T68" s="17"/>
      <c r="U68" s="18"/>
      <c r="V68" s="18"/>
      <c r="W68" s="18"/>
      <c r="X68" s="18"/>
      <c r="Y68" s="18"/>
    </row>
    <row r="69" spans="1:25" x14ac:dyDescent="0.25">
      <c r="A69" s="24"/>
      <c r="B69" s="16"/>
      <c r="C69" s="16"/>
      <c r="D69" s="20"/>
      <c r="E69" s="16"/>
      <c r="F69" s="16"/>
      <c r="G69" s="16"/>
      <c r="H69" s="36"/>
      <c r="I69" s="36"/>
      <c r="J69" s="20"/>
      <c r="K69" s="16"/>
      <c r="L69" s="16"/>
      <c r="M69" s="16"/>
      <c r="N69" s="16"/>
      <c r="O69" s="16"/>
      <c r="P69" s="16"/>
      <c r="Q69" s="16"/>
      <c r="R69" s="26" t="s">
        <v>40</v>
      </c>
      <c r="S69" s="16"/>
      <c r="T69" s="16"/>
      <c r="U69" s="16"/>
      <c r="V69" s="16"/>
      <c r="W69" s="16"/>
      <c r="X69" s="16"/>
      <c r="Y69" s="16"/>
    </row>
    <row r="70" spans="1:25" x14ac:dyDescent="0.25">
      <c r="A70" s="22">
        <f>AVERAGE(B70:B77)</f>
        <v>1838.5</v>
      </c>
      <c r="B70" s="2">
        <f t="shared" ref="B70:B77" si="50">B23</f>
        <v>1837</v>
      </c>
      <c r="C70" s="10">
        <f t="shared" ref="C70:C77" si="51">B70*2*PI()/60</f>
        <v>192.37019015481502</v>
      </c>
      <c r="D70" s="25">
        <f t="shared" ref="D70:D77" si="52">F23</f>
        <v>5.0653949430406557</v>
      </c>
      <c r="G70" s="5">
        <f t="shared" ref="G70:G77" si="53">S23*O23*1000</f>
        <v>0.85268071604110685</v>
      </c>
      <c r="H70" s="36"/>
      <c r="I70" s="36"/>
      <c r="J70" s="25">
        <v>5.0955470072880154</v>
      </c>
      <c r="M70" s="5">
        <f t="shared" ref="M70:M77" si="54">C70*Q70</f>
        <v>414.98108314334672</v>
      </c>
      <c r="Q70" s="5">
        <f>R70*-1</f>
        <v>2.15720056631113</v>
      </c>
      <c r="R70">
        <v>-2.15720056631113</v>
      </c>
      <c r="T70" s="9" t="e">
        <f t="shared" ref="T70:T77" si="55">(E70-G70)/E70</f>
        <v>#DIV/0!</v>
      </c>
      <c r="U70" s="4" t="e">
        <f t="shared" ref="U70:U77" si="56">(F70-G70)/F70</f>
        <v>#DIV/0!</v>
      </c>
      <c r="V70" s="38">
        <f t="shared" ref="V70:V77" si="57">(K70-M70)/M70</f>
        <v>-1</v>
      </c>
      <c r="W70" s="38">
        <f t="shared" ref="W70:W77" si="58">(L70-M70)/M70</f>
        <v>-1</v>
      </c>
      <c r="X70" s="4">
        <f t="shared" ref="X70:X71" si="59">(O70-Q70)/Q70</f>
        <v>-1</v>
      </c>
      <c r="Y70" s="4">
        <f>(P70-Q70)/Q70</f>
        <v>-1</v>
      </c>
    </row>
    <row r="71" spans="1:25" x14ac:dyDescent="0.25">
      <c r="A71" s="21">
        <v>1.1637999999999999</v>
      </c>
      <c r="B71" s="2">
        <f t="shared" si="50"/>
        <v>1838</v>
      </c>
      <c r="C71" s="10">
        <f t="shared" si="51"/>
        <v>192.47490990993464</v>
      </c>
      <c r="D71" s="25">
        <f t="shared" si="52"/>
        <v>5.112710058958517</v>
      </c>
      <c r="G71" s="5">
        <f t="shared" si="53"/>
        <v>0.86721342675766289</v>
      </c>
      <c r="H71" s="36"/>
      <c r="I71" s="36"/>
      <c r="J71" s="25">
        <v>5.09872372707712</v>
      </c>
      <c r="M71" s="5">
        <f t="shared" si="54"/>
        <v>423.76836504432305</v>
      </c>
      <c r="Q71" s="5">
        <f t="shared" ref="Q71:Q77" si="60">R71*-1</f>
        <v>2.20168106711996</v>
      </c>
      <c r="R71">
        <v>-2.20168106711996</v>
      </c>
      <c r="T71" s="9" t="e">
        <f t="shared" si="55"/>
        <v>#DIV/0!</v>
      </c>
      <c r="U71" s="4" t="e">
        <f t="shared" si="56"/>
        <v>#DIV/0!</v>
      </c>
      <c r="V71" s="38">
        <f t="shared" si="57"/>
        <v>-1</v>
      </c>
      <c r="W71" s="38">
        <f t="shared" si="58"/>
        <v>-1</v>
      </c>
      <c r="X71" s="4">
        <f t="shared" si="59"/>
        <v>-1</v>
      </c>
      <c r="Y71" s="4">
        <f t="shared" ref="Y71:Y77" si="61">(P71-Q71)/Q71</f>
        <v>-1</v>
      </c>
    </row>
    <row r="72" spans="1:25" x14ac:dyDescent="0.25">
      <c r="A72" s="23"/>
      <c r="B72" s="2">
        <f t="shared" si="50"/>
        <v>1837</v>
      </c>
      <c r="C72" s="10">
        <f t="shared" si="51"/>
        <v>192.37019015481502</v>
      </c>
      <c r="D72" s="25">
        <f t="shared" si="52"/>
        <v>4.5816778072219542</v>
      </c>
      <c r="G72" s="5">
        <f t="shared" si="53"/>
        <v>0.85827402956532706</v>
      </c>
      <c r="H72" s="36"/>
      <c r="I72" s="36"/>
      <c r="J72" s="25">
        <v>4.5563243588018114</v>
      </c>
      <c r="M72" s="5">
        <f t="shared" si="54"/>
        <v>377.6009892173239</v>
      </c>
      <c r="Q72" s="5">
        <f t="shared" si="60"/>
        <v>1.9628872275555764</v>
      </c>
      <c r="R72">
        <v>-1.9628872275555764</v>
      </c>
      <c r="T72" s="9" t="e">
        <f t="shared" si="55"/>
        <v>#DIV/0!</v>
      </c>
      <c r="U72" s="4" t="e">
        <f t="shared" si="56"/>
        <v>#DIV/0!</v>
      </c>
      <c r="V72" s="38">
        <f t="shared" si="57"/>
        <v>-1</v>
      </c>
      <c r="W72" s="38">
        <f t="shared" si="58"/>
        <v>-1</v>
      </c>
      <c r="X72" s="4">
        <f>(O72-Q72)/Q72</f>
        <v>-1</v>
      </c>
      <c r="Y72" s="4">
        <f t="shared" si="61"/>
        <v>-1</v>
      </c>
    </row>
    <row r="73" spans="1:25" x14ac:dyDescent="0.25">
      <c r="A73" s="23"/>
      <c r="B73" s="2">
        <f t="shared" si="50"/>
        <v>1839</v>
      </c>
      <c r="C73" s="10">
        <f t="shared" si="51"/>
        <v>192.57962966505431</v>
      </c>
      <c r="D73" s="25">
        <f t="shared" si="52"/>
        <v>4.0282260804900449</v>
      </c>
      <c r="G73" s="5">
        <f t="shared" si="53"/>
        <v>0.90545505322499509</v>
      </c>
      <c r="H73" s="36"/>
      <c r="I73" s="36"/>
      <c r="J73" s="25">
        <v>3.9555644863642447</v>
      </c>
      <c r="M73" s="5">
        <f t="shared" si="54"/>
        <v>348.33822229195874</v>
      </c>
      <c r="Q73" s="5">
        <f t="shared" si="60"/>
        <v>1.8088009770182278</v>
      </c>
      <c r="R73">
        <v>-1.8088009770182278</v>
      </c>
      <c r="T73" s="9" t="e">
        <f t="shared" si="55"/>
        <v>#DIV/0!</v>
      </c>
      <c r="U73" s="4" t="e">
        <f t="shared" si="56"/>
        <v>#DIV/0!</v>
      </c>
      <c r="V73" s="38">
        <f t="shared" si="57"/>
        <v>-1</v>
      </c>
      <c r="W73" s="38">
        <f t="shared" si="58"/>
        <v>-1</v>
      </c>
      <c r="X73" s="4">
        <f t="shared" ref="X73:X77" si="62">(O73-Q73)/Q73</f>
        <v>-1</v>
      </c>
      <c r="Y73" s="4">
        <f t="shared" si="61"/>
        <v>-1</v>
      </c>
    </row>
    <row r="74" spans="1:25" x14ac:dyDescent="0.25">
      <c r="A74" s="23"/>
      <c r="B74" s="2">
        <f t="shared" si="50"/>
        <v>1839</v>
      </c>
      <c r="C74" s="10">
        <f t="shared" si="51"/>
        <v>192.57962966505431</v>
      </c>
      <c r="D74" s="25">
        <f t="shared" si="52"/>
        <v>3.9074120702939243</v>
      </c>
      <c r="G74" s="5">
        <f t="shared" si="53"/>
        <v>1.021740907848405</v>
      </c>
      <c r="H74" s="36"/>
      <c r="I74" s="36"/>
      <c r="J74" s="25">
        <v>3.889458719246051</v>
      </c>
      <c r="M74" s="5">
        <f t="shared" si="54"/>
        <v>355.02095386164581</v>
      </c>
      <c r="Q74" s="5">
        <f t="shared" si="60"/>
        <v>1.8435021112000209</v>
      </c>
      <c r="R74">
        <v>-1.8435021112000209</v>
      </c>
      <c r="T74" s="9" t="e">
        <f t="shared" si="55"/>
        <v>#DIV/0!</v>
      </c>
      <c r="U74" s="4" t="e">
        <f t="shared" si="56"/>
        <v>#DIV/0!</v>
      </c>
      <c r="V74" s="38">
        <f t="shared" si="57"/>
        <v>-1</v>
      </c>
      <c r="W74" s="38">
        <f t="shared" si="58"/>
        <v>-1</v>
      </c>
      <c r="X74" s="4">
        <f t="shared" si="62"/>
        <v>-1</v>
      </c>
      <c r="Y74" s="4">
        <f t="shared" si="61"/>
        <v>-1</v>
      </c>
    </row>
    <row r="75" spans="1:25" x14ac:dyDescent="0.25">
      <c r="A75" s="23"/>
      <c r="B75" s="2">
        <f t="shared" si="50"/>
        <v>1839</v>
      </c>
      <c r="C75" s="10">
        <f t="shared" si="51"/>
        <v>192.57962966505431</v>
      </c>
      <c r="D75" s="25">
        <f t="shared" si="52"/>
        <v>3.6533986868675403</v>
      </c>
      <c r="G75" s="5">
        <f t="shared" si="53"/>
        <v>1.0884625091260001</v>
      </c>
      <c r="H75" s="36"/>
      <c r="I75" s="36"/>
      <c r="J75" s="25">
        <v>3.5979343489934528</v>
      </c>
      <c r="M75" s="5">
        <f t="shared" si="54"/>
        <v>344.11790533548407</v>
      </c>
      <c r="Q75" s="5">
        <f t="shared" si="60"/>
        <v>1.7868863178000391</v>
      </c>
      <c r="R75">
        <v>-1.7868863178000391</v>
      </c>
      <c r="T75" s="9" t="e">
        <f t="shared" si="55"/>
        <v>#DIV/0!</v>
      </c>
      <c r="U75" s="4" t="e">
        <f t="shared" si="56"/>
        <v>#DIV/0!</v>
      </c>
      <c r="V75" s="38">
        <f t="shared" si="57"/>
        <v>-1</v>
      </c>
      <c r="W75" s="38">
        <f t="shared" si="58"/>
        <v>-1</v>
      </c>
      <c r="X75" s="4">
        <f t="shared" si="62"/>
        <v>-1</v>
      </c>
      <c r="Y75" s="4">
        <f t="shared" si="61"/>
        <v>-1</v>
      </c>
    </row>
    <row r="76" spans="1:25" x14ac:dyDescent="0.25">
      <c r="A76" s="23"/>
      <c r="B76" s="2">
        <f t="shared" si="50"/>
        <v>1839</v>
      </c>
      <c r="C76" s="10">
        <f t="shared" si="51"/>
        <v>192.57962966505431</v>
      </c>
      <c r="D76" s="25">
        <f t="shared" si="52"/>
        <v>3.0732756854133072</v>
      </c>
      <c r="G76" s="5">
        <f t="shared" si="53"/>
        <v>1.0201251626579322</v>
      </c>
      <c r="H76" s="36"/>
      <c r="I76" s="36"/>
      <c r="J76" s="25">
        <v>3.1121112229606274</v>
      </c>
      <c r="M76" s="5">
        <f t="shared" si="54"/>
        <v>310.51013897327994</v>
      </c>
      <c r="Q76" s="5">
        <f t="shared" si="60"/>
        <v>1.612372707920029</v>
      </c>
      <c r="R76">
        <v>-1.612372707920029</v>
      </c>
      <c r="T76" s="9" t="e">
        <f t="shared" si="55"/>
        <v>#DIV/0!</v>
      </c>
      <c r="U76" s="4" t="e">
        <f t="shared" si="56"/>
        <v>#DIV/0!</v>
      </c>
      <c r="V76" s="38">
        <f t="shared" si="57"/>
        <v>-1</v>
      </c>
      <c r="W76" s="38">
        <f t="shared" si="58"/>
        <v>-1</v>
      </c>
      <c r="X76" s="4">
        <f t="shared" si="62"/>
        <v>-1</v>
      </c>
      <c r="Y76" s="4">
        <f t="shared" si="61"/>
        <v>-1</v>
      </c>
    </row>
    <row r="77" spans="1:25" x14ac:dyDescent="0.25">
      <c r="A77" s="23"/>
      <c r="B77" s="2">
        <f t="shared" si="50"/>
        <v>1840</v>
      </c>
      <c r="C77" s="10">
        <f t="shared" si="51"/>
        <v>192.68434942017399</v>
      </c>
      <c r="D77" s="25">
        <f t="shared" si="52"/>
        <v>2.6401044471753301</v>
      </c>
      <c r="E77">
        <v>0.90859999999999996</v>
      </c>
      <c r="G77" s="5">
        <f t="shared" si="53"/>
        <v>1.0094910734070963</v>
      </c>
      <c r="H77" s="36"/>
      <c r="I77" s="36"/>
      <c r="J77" s="25">
        <v>2.6186306105362576</v>
      </c>
      <c r="K77">
        <v>273.20260000000002</v>
      </c>
      <c r="M77" s="5">
        <f t="shared" si="54"/>
        <v>272.32024194294416</v>
      </c>
      <c r="O77">
        <v>1.4178999999999999</v>
      </c>
      <c r="Q77" s="5">
        <f t="shared" si="60"/>
        <v>1.4132971503000145</v>
      </c>
      <c r="R77">
        <v>-1.4132971503000145</v>
      </c>
      <c r="T77" s="9">
        <f t="shared" si="55"/>
        <v>-0.11104014242471534</v>
      </c>
      <c r="U77" s="4" t="e">
        <f t="shared" si="56"/>
        <v>#DIV/0!</v>
      </c>
      <c r="V77" s="38">
        <f t="shared" si="57"/>
        <v>3.2401486234017183E-3</v>
      </c>
      <c r="W77" s="38">
        <f t="shared" si="58"/>
        <v>-1</v>
      </c>
      <c r="X77" s="4">
        <f t="shared" si="62"/>
        <v>3.2568166567153883E-3</v>
      </c>
      <c r="Y77" s="4">
        <f t="shared" si="61"/>
        <v>-1</v>
      </c>
    </row>
    <row r="78" spans="1:25" x14ac:dyDescent="0.25">
      <c r="A78" s="24"/>
      <c r="B78" s="16"/>
      <c r="C78" s="16"/>
      <c r="D78" s="20"/>
      <c r="E78" s="16"/>
      <c r="F78" s="16"/>
      <c r="G78" s="16"/>
      <c r="H78" s="36"/>
      <c r="I78" s="36"/>
      <c r="J78" s="20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x14ac:dyDescent="0.25">
      <c r="A79" s="24"/>
      <c r="B79" s="16"/>
      <c r="C79" s="16"/>
      <c r="D79" s="20"/>
      <c r="E79" s="16"/>
      <c r="F79" s="16"/>
      <c r="G79" s="16"/>
      <c r="H79" s="36"/>
      <c r="I79" s="36"/>
      <c r="J79" s="20"/>
      <c r="K79" s="16"/>
      <c r="L79" s="16"/>
      <c r="M79" s="16"/>
      <c r="N79" s="16"/>
      <c r="O79" s="16"/>
      <c r="P79" s="16"/>
      <c r="Q79" s="16"/>
      <c r="R79" s="26" t="s">
        <v>40</v>
      </c>
      <c r="S79" s="16"/>
      <c r="T79" s="16"/>
      <c r="U79" s="16"/>
      <c r="V79" s="16"/>
      <c r="W79" s="16"/>
      <c r="X79" s="16"/>
      <c r="Y79" s="16"/>
    </row>
    <row r="80" spans="1:25" x14ac:dyDescent="0.25">
      <c r="A80" s="22">
        <f>AVERAGE(B80:B88)</f>
        <v>2110.8888888888887</v>
      </c>
      <c r="B80" s="2">
        <f t="shared" ref="B80:B88" si="63">B32</f>
        <v>2101</v>
      </c>
      <c r="C80" s="10">
        <f t="shared" ref="C80:C88" si="64">B80*2*PI()/60</f>
        <v>220.01620550640519</v>
      </c>
      <c r="D80" s="25">
        <f t="shared" ref="D80:D88" si="65">F32</f>
        <v>5.0545578692872928</v>
      </c>
      <c r="E80">
        <v>0.87219999999999998</v>
      </c>
      <c r="F80">
        <v>1.3131999999999999</v>
      </c>
      <c r="G80" s="5">
        <f t="shared" ref="G80:G88" si="66">S32*O32*1000</f>
        <v>0.94539291946511383</v>
      </c>
      <c r="H80" s="37">
        <v>2052</v>
      </c>
      <c r="I80" s="37">
        <f>H80/60*2*PI()</f>
        <v>214.88493750554187</v>
      </c>
      <c r="J80" s="25">
        <f>D80</f>
        <v>5.0545578692872928</v>
      </c>
      <c r="K80">
        <v>464.01589999999999</v>
      </c>
      <c r="L80">
        <v>496.07130000000001</v>
      </c>
      <c r="M80" s="5">
        <f t="shared" ref="M80:M88" si="67">C80*Q80</f>
        <v>534.93965412718592</v>
      </c>
      <c r="O80">
        <v>2.109</v>
      </c>
      <c r="P80">
        <v>2.2547000000000001</v>
      </c>
      <c r="Q80" s="5">
        <f t="shared" ref="Q80:Q82" si="68">R80*-1</f>
        <v>2.4313647846799746</v>
      </c>
      <c r="R80">
        <v>-2.4313647846799746</v>
      </c>
      <c r="T80" s="9">
        <f t="shared" ref="T80:T88" si="69">(E80-G80)/E80</f>
        <v>-8.3917587095980115E-2</v>
      </c>
      <c r="U80" s="4">
        <f t="shared" ref="U80:U88" si="70">(F80-G80)/F80</f>
        <v>0.28008458767505795</v>
      </c>
      <c r="V80" s="38">
        <f>(K80-M80)/M80</f>
        <v>-0.1325827195273194</v>
      </c>
      <c r="W80" s="38">
        <f>(L80-M80)/M80</f>
        <v>-7.2659324892644178E-2</v>
      </c>
      <c r="X80" s="4">
        <f t="shared" ref="X80:X86" si="71">(O80-Q80)/Q80</f>
        <v>-0.13258593967930876</v>
      </c>
      <c r="Y80" s="4">
        <f>(P80-Q80)/Q80</f>
        <v>-7.2660748314337276E-2</v>
      </c>
    </row>
    <row r="81" spans="1:25" x14ac:dyDescent="0.25">
      <c r="A81" s="21">
        <v>1.33</v>
      </c>
      <c r="B81" s="2">
        <f t="shared" si="63"/>
        <v>2112</v>
      </c>
      <c r="C81" s="10">
        <f t="shared" si="64"/>
        <v>221.16812281272144</v>
      </c>
      <c r="D81" s="25">
        <f t="shared" si="65"/>
        <v>4.4350470643170885</v>
      </c>
      <c r="E81">
        <v>1.0167999999999999</v>
      </c>
      <c r="F81">
        <v>1.3189</v>
      </c>
      <c r="G81" s="5">
        <f t="shared" si="66"/>
        <v>0.94847363500753468</v>
      </c>
      <c r="H81" s="36"/>
      <c r="I81" s="36"/>
      <c r="J81" s="25">
        <v>4.430646488532715</v>
      </c>
      <c r="K81">
        <v>446.54399999999998</v>
      </c>
      <c r="L81">
        <v>461.0378</v>
      </c>
      <c r="M81" s="5">
        <f t="shared" si="67"/>
        <v>455.1477762194761</v>
      </c>
      <c r="O81">
        <v>2.0190000000000001</v>
      </c>
      <c r="P81">
        <v>2.0846</v>
      </c>
      <c r="Q81" s="5">
        <f t="shared" si="68"/>
        <v>2.0579266597333361</v>
      </c>
      <c r="R81">
        <v>-2.0579266597333361</v>
      </c>
      <c r="T81" s="9">
        <f t="shared" si="69"/>
        <v>6.7197447868278179E-2</v>
      </c>
      <c r="U81" s="4">
        <f t="shared" si="70"/>
        <v>0.28086008415533043</v>
      </c>
      <c r="V81" s="38">
        <f>(K81-M81)/M81</f>
        <v>-1.8903258829341844E-2</v>
      </c>
      <c r="W81" s="38">
        <f>(L81-M81)/M81</f>
        <v>1.2940904225540334E-2</v>
      </c>
      <c r="X81" s="4">
        <f t="shared" si="71"/>
        <v>-1.8915474732408614E-2</v>
      </c>
      <c r="Y81" s="4">
        <f>(P81-Q81)/Q81</f>
        <v>1.2961268634383795E-2</v>
      </c>
    </row>
    <row r="82" spans="1:25" x14ac:dyDescent="0.25">
      <c r="A82" s="23"/>
      <c r="B82" s="2">
        <f t="shared" si="63"/>
        <v>2114</v>
      </c>
      <c r="C82" s="10">
        <f t="shared" si="64"/>
        <v>221.37756232296076</v>
      </c>
      <c r="D82" s="25">
        <f t="shared" si="65"/>
        <v>4.2201346805617597</v>
      </c>
      <c r="G82" s="5">
        <f t="shared" si="66"/>
        <v>0.94549204078864424</v>
      </c>
      <c r="H82" s="36"/>
      <c r="I82" s="36"/>
      <c r="J82" s="25">
        <v>4.2042450945562058</v>
      </c>
      <c r="M82" s="5">
        <f t="shared" si="67"/>
        <v>433.13431702395167</v>
      </c>
      <c r="Q82" s="5">
        <f t="shared" si="68"/>
        <v>1.9565411800499712</v>
      </c>
      <c r="R82">
        <v>-1.9565411800499712</v>
      </c>
      <c r="T82" s="9" t="e">
        <f t="shared" si="69"/>
        <v>#DIV/0!</v>
      </c>
      <c r="U82" s="4" t="e">
        <f t="shared" si="70"/>
        <v>#DIV/0!</v>
      </c>
      <c r="V82" s="38">
        <f t="shared" ref="V82:V88" si="72">(K82-M82)/M82</f>
        <v>-1</v>
      </c>
      <c r="W82" s="38">
        <f t="shared" ref="W82:W88" si="73">(L82-M82)/M82</f>
        <v>-1</v>
      </c>
      <c r="X82" s="4">
        <f t="shared" si="71"/>
        <v>-1</v>
      </c>
      <c r="Y82" s="4">
        <f t="shared" ref="Y82:Y88" si="74">(P82-Q82)/Q82</f>
        <v>-1</v>
      </c>
    </row>
    <row r="83" spans="1:25" x14ac:dyDescent="0.25">
      <c r="A83" s="23"/>
      <c r="B83" s="2">
        <f t="shared" si="63"/>
        <v>2109</v>
      </c>
      <c r="C83" s="10">
        <f t="shared" si="64"/>
        <v>220.85396354736247</v>
      </c>
      <c r="D83" s="25">
        <f t="shared" si="65"/>
        <v>4.1660023180827803</v>
      </c>
      <c r="E83">
        <v>1.0213000000000001</v>
      </c>
      <c r="G83" s="5">
        <f t="shared" si="66"/>
        <v>0.97229361350443488</v>
      </c>
      <c r="H83" s="36"/>
      <c r="I83" s="36"/>
      <c r="J83" s="25">
        <v>4.1579790556525804</v>
      </c>
      <c r="K83">
        <v>429.25970000000001</v>
      </c>
      <c r="M83" s="5">
        <f t="shared" si="67"/>
        <v>435.80333677080233</v>
      </c>
      <c r="O83">
        <v>1.9436</v>
      </c>
      <c r="Q83" s="5">
        <f>R83*-1</f>
        <v>1.9732647301000041</v>
      </c>
      <c r="R83">
        <v>-1.9732647301000041</v>
      </c>
      <c r="T83" s="9">
        <f t="shared" si="69"/>
        <v>4.7984320469563503E-2</v>
      </c>
      <c r="U83" s="4" t="e">
        <f t="shared" si="70"/>
        <v>#DIV/0!</v>
      </c>
      <c r="V83" s="38">
        <f>(K83-M83)/M83</f>
        <v>-1.5015113971565922E-2</v>
      </c>
      <c r="W83" s="38">
        <f>(L83-M83)/M83</f>
        <v>-1</v>
      </c>
      <c r="X83" s="4">
        <f>(O83-Q83)/Q83</f>
        <v>-1.5033325051373492E-2</v>
      </c>
      <c r="Y83" s="4">
        <f>(P83-R83)/R83</f>
        <v>-1</v>
      </c>
    </row>
    <row r="84" spans="1:25" x14ac:dyDescent="0.25">
      <c r="A84" s="23"/>
      <c r="B84" s="2">
        <f t="shared" si="63"/>
        <v>2114</v>
      </c>
      <c r="C84" s="10">
        <f t="shared" si="64"/>
        <v>221.37756232296076</v>
      </c>
      <c r="D84" s="25">
        <f t="shared" si="65"/>
        <v>4.003856630921188</v>
      </c>
      <c r="E84">
        <v>1.0285</v>
      </c>
      <c r="G84" s="5">
        <f t="shared" si="66"/>
        <v>1.042829287775632</v>
      </c>
      <c r="H84" s="36"/>
      <c r="I84" s="36"/>
      <c r="J84" s="25">
        <v>4.017045492351957</v>
      </c>
      <c r="K84">
        <v>420.72710000000001</v>
      </c>
      <c r="M84" s="5">
        <f t="shared" si="67"/>
        <v>404.21583325687345</v>
      </c>
      <c r="O84">
        <v>1.9005000000000001</v>
      </c>
      <c r="Q84" s="5">
        <f t="shared" ref="Q84:Q88" si="75">R84*-1</f>
        <v>1.8259114836000212</v>
      </c>
      <c r="R84">
        <v>-1.8259114836000212</v>
      </c>
      <c r="T84" s="9">
        <f t="shared" si="69"/>
        <v>-1.3932219519331091E-2</v>
      </c>
      <c r="U84" s="4" t="e">
        <f t="shared" si="70"/>
        <v>#DIV/0!</v>
      </c>
      <c r="V84" s="38">
        <f t="shared" ref="V84" si="76">(K84-M84)/M84</f>
        <v>4.0847649658082241E-2</v>
      </c>
      <c r="W84" s="38">
        <f t="shared" ref="W84" si="77">(L84-M84)/M84</f>
        <v>-1</v>
      </c>
      <c r="X84" s="4">
        <f t="shared" si="71"/>
        <v>4.0850017687011832E-2</v>
      </c>
      <c r="Y84" s="4">
        <f t="shared" ref="Y84" si="78">(P84-Q84)/Q84</f>
        <v>-1</v>
      </c>
    </row>
    <row r="85" spans="1:25" x14ac:dyDescent="0.25">
      <c r="A85" s="23"/>
      <c r="B85" s="2">
        <f t="shared" si="63"/>
        <v>2112</v>
      </c>
      <c r="C85" s="10">
        <f t="shared" si="64"/>
        <v>221.16812281272144</v>
      </c>
      <c r="D85" s="25">
        <f t="shared" si="65"/>
        <v>3.8882416114697662</v>
      </c>
      <c r="G85" s="5">
        <f t="shared" si="66"/>
        <v>1.1484048601961037</v>
      </c>
      <c r="H85" s="36"/>
      <c r="I85" s="36"/>
      <c r="J85" s="25">
        <v>3.898510452844163</v>
      </c>
      <c r="M85" s="5">
        <f t="shared" si="67"/>
        <v>411.38884927145062</v>
      </c>
      <c r="Q85" s="5">
        <f t="shared" si="75"/>
        <v>1.8600729799556259</v>
      </c>
      <c r="R85">
        <v>-1.8600729799556259</v>
      </c>
      <c r="T85" s="9" t="e">
        <f t="shared" si="69"/>
        <v>#DIV/0!</v>
      </c>
      <c r="U85" s="4" t="e">
        <f t="shared" si="70"/>
        <v>#DIV/0!</v>
      </c>
      <c r="V85" s="38">
        <f t="shared" si="72"/>
        <v>-1</v>
      </c>
      <c r="W85" s="38">
        <f t="shared" si="73"/>
        <v>-1</v>
      </c>
      <c r="X85" s="4">
        <f t="shared" si="71"/>
        <v>-1</v>
      </c>
      <c r="Y85" s="4">
        <f t="shared" si="74"/>
        <v>-1</v>
      </c>
    </row>
    <row r="86" spans="1:25" x14ac:dyDescent="0.25">
      <c r="A86" s="23"/>
      <c r="B86" s="2">
        <f t="shared" si="63"/>
        <v>2111</v>
      </c>
      <c r="C86" s="10">
        <f t="shared" si="64"/>
        <v>221.06340305760176</v>
      </c>
      <c r="D86" s="25">
        <f t="shared" si="65"/>
        <v>3.69061358519046</v>
      </c>
      <c r="E86">
        <v>1.0345</v>
      </c>
      <c r="G86" s="5">
        <f t="shared" si="66"/>
        <v>1.1631977237886615</v>
      </c>
      <c r="H86" s="36"/>
      <c r="I86" s="36"/>
      <c r="J86" s="25">
        <v>3.6982373185992503</v>
      </c>
      <c r="K86">
        <v>395.76510000000002</v>
      </c>
      <c r="M86" s="5">
        <f t="shared" si="67"/>
        <v>362.03189924269998</v>
      </c>
      <c r="O86">
        <v>1.7903</v>
      </c>
      <c r="Q86" s="5">
        <f t="shared" si="75"/>
        <v>1.6376835524800391</v>
      </c>
      <c r="R86">
        <v>-1.6376835524800391</v>
      </c>
      <c r="T86" s="9">
        <f t="shared" si="69"/>
        <v>-0.12440572623360224</v>
      </c>
      <c r="U86" s="4" t="e">
        <f t="shared" si="70"/>
        <v>#DIV/0!</v>
      </c>
      <c r="V86" s="38">
        <f t="shared" si="72"/>
        <v>9.3177426707047928E-2</v>
      </c>
      <c r="W86" s="38">
        <f t="shared" si="73"/>
        <v>-1</v>
      </c>
      <c r="X86" s="4">
        <f t="shared" si="71"/>
        <v>9.319043797493419E-2</v>
      </c>
      <c r="Y86" s="4">
        <f t="shared" si="74"/>
        <v>-1</v>
      </c>
    </row>
    <row r="87" spans="1:25" x14ac:dyDescent="0.25">
      <c r="A87" s="23"/>
      <c r="B87" s="2">
        <f t="shared" si="63"/>
        <v>2112</v>
      </c>
      <c r="C87" s="10">
        <f t="shared" si="64"/>
        <v>221.16812281272144</v>
      </c>
      <c r="D87" s="25">
        <f t="shared" si="65"/>
        <v>3.3424664174525525</v>
      </c>
      <c r="G87" s="5">
        <f t="shared" si="66"/>
        <v>1.1657191081274199</v>
      </c>
      <c r="H87" s="36"/>
      <c r="I87" s="36"/>
      <c r="J87" s="25">
        <v>3.3621021478520641</v>
      </c>
      <c r="M87" s="5">
        <f t="shared" si="67"/>
        <v>343.19032930307435</v>
      </c>
      <c r="Q87" s="5">
        <f t="shared" si="75"/>
        <v>1.5517169695999893</v>
      </c>
      <c r="R87">
        <v>-1.5517169695999893</v>
      </c>
      <c r="T87" s="9" t="e">
        <f t="shared" si="69"/>
        <v>#DIV/0!</v>
      </c>
      <c r="U87" s="4" t="e">
        <f t="shared" si="70"/>
        <v>#DIV/0!</v>
      </c>
      <c r="V87" s="38">
        <f>(K87-M87)/M87</f>
        <v>-1</v>
      </c>
      <c r="W87" s="38">
        <f>(L87-M87)/M87</f>
        <v>-1</v>
      </c>
      <c r="X87" s="4">
        <f>(O87-Q87)/Q87</f>
        <v>-1</v>
      </c>
      <c r="Y87" s="4">
        <f>(P87-Q87)/Q87</f>
        <v>-1</v>
      </c>
    </row>
    <row r="88" spans="1:25" x14ac:dyDescent="0.25">
      <c r="A88" s="23"/>
      <c r="B88" s="2">
        <f t="shared" si="63"/>
        <v>2113</v>
      </c>
      <c r="C88" s="10">
        <f t="shared" si="64"/>
        <v>221.27284256784108</v>
      </c>
      <c r="D88" s="25">
        <f t="shared" si="65"/>
        <v>2.5472304393617602</v>
      </c>
      <c r="E88">
        <v>1.0728</v>
      </c>
      <c r="F88">
        <v>1.3250999999999999</v>
      </c>
      <c r="G88" s="5">
        <f t="shared" si="66"/>
        <v>1.1934902874269904</v>
      </c>
      <c r="H88" s="36"/>
      <c r="I88" s="36"/>
      <c r="J88" s="25">
        <v>2.5797622364794712</v>
      </c>
      <c r="K88">
        <v>309.3064</v>
      </c>
      <c r="L88">
        <v>299.39389999999997</v>
      </c>
      <c r="M88" s="5">
        <f t="shared" si="67"/>
        <v>291.55202608163211</v>
      </c>
      <c r="O88">
        <v>1.3978999999999999</v>
      </c>
      <c r="P88">
        <v>1.3531</v>
      </c>
      <c r="Q88" s="5">
        <f t="shared" si="75"/>
        <v>1.317613235760027</v>
      </c>
      <c r="R88">
        <v>-1.317613235760027</v>
      </c>
      <c r="T88" s="9">
        <f t="shared" si="69"/>
        <v>-0.11250026792225055</v>
      </c>
      <c r="U88" s="4">
        <f t="shared" si="70"/>
        <v>9.9320589067247445E-2</v>
      </c>
      <c r="V88" s="38">
        <f t="shared" si="72"/>
        <v>6.0896074559937424E-2</v>
      </c>
      <c r="W88" s="38">
        <f t="shared" si="73"/>
        <v>2.6896996819950784E-2</v>
      </c>
      <c r="X88" s="4">
        <f>(O88-Q88)/Q88</f>
        <v>6.0933483408476728E-2</v>
      </c>
      <c r="Y88" s="4">
        <f t="shared" si="74"/>
        <v>2.6932610630238153E-2</v>
      </c>
    </row>
  </sheetData>
  <mergeCells count="5">
    <mergeCell ref="Q2:S2"/>
    <mergeCell ref="E45:G45"/>
    <mergeCell ref="K45:M45"/>
    <mergeCell ref="O45:Q45"/>
    <mergeCell ref="T45:Y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690B-2549-49A7-BDA8-A877D022E599}">
  <sheetPr codeName="Sheet2"/>
  <dimension ref="A1:Y88"/>
  <sheetViews>
    <sheetView topLeftCell="A37" zoomScale="71" zoomScaleNormal="71" workbookViewId="0">
      <selection activeCell="K82" sqref="K82"/>
    </sheetView>
  </sheetViews>
  <sheetFormatPr defaultRowHeight="15" x14ac:dyDescent="0.25"/>
  <cols>
    <col min="1" max="1" width="14.85546875" bestFit="1" customWidth="1"/>
    <col min="3" max="3" width="17.140625" customWidth="1"/>
    <col min="4" max="4" width="14.140625" bestFit="1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9" max="19" width="13" bestFit="1" customWidth="1"/>
    <col min="21" max="21" width="13.85546875" bestFit="1" customWidth="1"/>
    <col min="22" max="22" width="11.42578125" bestFit="1" customWidth="1"/>
    <col min="23" max="23" width="12.28515625" bestFit="1" customWidth="1"/>
    <col min="24" max="25" width="10.4257812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AVERAGE(B3:B10)</f>
        <v>1274</v>
      </c>
      <c r="B3" s="2">
        <v>1217</v>
      </c>
      <c r="C3">
        <f>B3*2*PI()/60</f>
        <v>127.44394198062595</v>
      </c>
      <c r="D3" s="5">
        <v>1.0093232680562929</v>
      </c>
      <c r="E3" s="8">
        <v>30.513166981308061</v>
      </c>
      <c r="F3" s="5">
        <v>4.2632226981025712</v>
      </c>
      <c r="G3" s="8">
        <v>38.469673882555718</v>
      </c>
      <c r="H3">
        <f t="shared" ref="H3:H30" si="0">G3+273.15</f>
        <v>311.61967388255567</v>
      </c>
      <c r="I3">
        <v>4</v>
      </c>
      <c r="J3" s="1">
        <f t="shared" ref="J3:J30" si="1">I3/60/1000</f>
        <v>6.666666666666667E-5</v>
      </c>
      <c r="K3">
        <v>30.592198151939574</v>
      </c>
      <c r="L3">
        <v>4.251841012112453</v>
      </c>
      <c r="M3">
        <f t="shared" ref="M3:M30" si="2">K3+273.15</f>
        <v>303.74219815193953</v>
      </c>
      <c r="N3">
        <f t="shared" ref="N3:N30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4.3603999999999997E-2</v>
      </c>
      <c r="X3" s="10">
        <v>265</v>
      </c>
    </row>
    <row r="4" spans="1:24" x14ac:dyDescent="0.25">
      <c r="B4" s="2">
        <v>1214</v>
      </c>
      <c r="C4">
        <f t="shared" ref="C4:C30" si="4">B4*2*PI()/60</f>
        <v>127.12978271526696</v>
      </c>
      <c r="D4" s="5">
        <v>1.0093740377162599</v>
      </c>
      <c r="E4" s="8">
        <v>30.53840403258803</v>
      </c>
      <c r="F4" s="5">
        <v>3.7487816777695127</v>
      </c>
      <c r="G4" s="8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30" si="5">R4/60/1000</f>
        <v>8.3148759828451999E-5</v>
      </c>
      <c r="U4">
        <v>38</v>
      </c>
      <c r="V4">
        <v>48</v>
      </c>
      <c r="W4" s="8">
        <v>4.3603999999999997E-2</v>
      </c>
      <c r="X4" s="10">
        <v>240</v>
      </c>
    </row>
    <row r="5" spans="1:24" x14ac:dyDescent="0.25">
      <c r="A5" s="3">
        <f>AVERAGE(G3:G7)</f>
        <v>39.638566942886222</v>
      </c>
      <c r="B5" s="2">
        <v>1217</v>
      </c>
      <c r="C5">
        <f t="shared" si="4"/>
        <v>127.44394198062595</v>
      </c>
      <c r="D5" s="5">
        <v>1.0100027712944923</v>
      </c>
      <c r="E5" s="8">
        <v>30.523255059465928</v>
      </c>
      <c r="F5" s="5">
        <v>3.411492883316626</v>
      </c>
      <c r="G5" s="8">
        <v>39.278800793004258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4.3603999999999997E-2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5">
        <v>1.00926410736023</v>
      </c>
      <c r="E6" s="8">
        <v>30.568783382737202</v>
      </c>
      <c r="F6" s="5">
        <v>3.0036465230416098</v>
      </c>
      <c r="G6" s="8">
        <v>40.450708190043798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4.3603999999999997E-2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5">
        <v>1.0094537558613426</v>
      </c>
      <c r="E7" s="8">
        <v>30.528195668985514</v>
      </c>
      <c r="F7" s="5">
        <v>2.3975521098447876</v>
      </c>
      <c r="G7" s="8">
        <v>40.146233053990038</v>
      </c>
      <c r="H7">
        <f t="shared" si="0"/>
        <v>313.29623305399002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 t="shared" si="5"/>
        <v>1.6632764895962928E-4</v>
      </c>
      <c r="U7">
        <v>38</v>
      </c>
      <c r="V7">
        <v>48</v>
      </c>
      <c r="W7" s="8">
        <v>4.3603999999999997E-2</v>
      </c>
      <c r="X7" s="10">
        <v>195</v>
      </c>
    </row>
    <row r="8" spans="1:24" x14ac:dyDescent="0.25">
      <c r="B8" s="12"/>
      <c r="D8" s="5"/>
      <c r="E8" s="8"/>
      <c r="F8" s="5"/>
      <c r="G8" s="8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 s="5">
        <v>1.0094287437153799</v>
      </c>
      <c r="E9" s="8">
        <v>30.612974840972779</v>
      </c>
      <c r="F9" s="5">
        <v>5.253362586763715</v>
      </c>
      <c r="G9" s="8">
        <v>42.253028073273747</v>
      </c>
      <c r="H9">
        <f t="shared" si="0"/>
        <v>315.40302807327373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43</v>
      </c>
      <c r="V9">
        <v>54</v>
      </c>
      <c r="W9" s="3">
        <v>3.1711999999999997E-2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5">
        <v>1.0092810759105539</v>
      </c>
      <c r="E10" s="8">
        <v>30.581004375999676</v>
      </c>
      <c r="F10" s="5">
        <v>4.8223075689095696</v>
      </c>
      <c r="G10" s="8">
        <v>42.953073171144517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43</v>
      </c>
      <c r="V10">
        <v>54</v>
      </c>
      <c r="W10" s="3">
        <v>3.1711999999999997E-2</v>
      </c>
      <c r="X10" s="10">
        <v>280</v>
      </c>
    </row>
    <row r="11" spans="1:24" x14ac:dyDescent="0.25">
      <c r="A11" s="3">
        <f>AVERAGE(G10:G14)</f>
        <v>44.384191269147763</v>
      </c>
      <c r="B11" s="2">
        <v>1412</v>
      </c>
      <c r="C11">
        <f t="shared" si="4"/>
        <v>147.86429422895961</v>
      </c>
      <c r="D11" s="5">
        <v>1.0086912644002075</v>
      </c>
      <c r="E11" s="8">
        <v>30.622728786584258</v>
      </c>
      <c r="F11" s="5">
        <v>4.236297847863618</v>
      </c>
      <c r="G11" s="8">
        <v>43.47355288963702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43</v>
      </c>
      <c r="V11">
        <v>54</v>
      </c>
      <c r="W11" s="3">
        <v>3.1711999999999997E-2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5">
        <v>1.0077573177644057</v>
      </c>
      <c r="E12" s="8">
        <v>30.816080276902358</v>
      </c>
      <c r="F12" s="5">
        <v>3.661602244140135</v>
      </c>
      <c r="G12" s="8">
        <v>46.069186852835934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43</v>
      </c>
      <c r="V12">
        <v>54</v>
      </c>
      <c r="W12" s="3">
        <v>3.1711999999999997E-2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5">
        <v>1.0085733794744123</v>
      </c>
      <c r="E13" s="8">
        <v>30.635044840682401</v>
      </c>
      <c r="F13" s="5">
        <v>2.9220510847489072</v>
      </c>
      <c r="G13" s="8">
        <v>45.018485236153708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43</v>
      </c>
      <c r="V13">
        <v>54</v>
      </c>
      <c r="W13" s="3">
        <v>3.1711999999999997E-2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5">
        <v>1.0101998654115738</v>
      </c>
      <c r="E14" s="8">
        <v>30.714603931016253</v>
      </c>
      <c r="F14" s="5">
        <v>2.6698755104625538</v>
      </c>
      <c r="G14" s="8">
        <v>44.406658195967637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43</v>
      </c>
      <c r="V14">
        <v>54</v>
      </c>
      <c r="W14" s="3">
        <v>3.1711999999999997E-2</v>
      </c>
      <c r="X14" s="10">
        <v>205</v>
      </c>
    </row>
    <row r="15" spans="1:24" x14ac:dyDescent="0.25">
      <c r="B15" s="14"/>
      <c r="D15" s="5"/>
      <c r="E15" s="8"/>
      <c r="F15" s="5"/>
      <c r="G15" s="8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5">
        <v>1.0083333009861652</v>
      </c>
      <c r="E16" s="8">
        <v>30.610294022691615</v>
      </c>
      <c r="F16" s="5">
        <v>5.3598489235258446</v>
      </c>
      <c r="G16" s="8">
        <v>43.470274717189263</v>
      </c>
      <c r="H16">
        <f t="shared" si="0"/>
        <v>316.62027471718926</v>
      </c>
      <c r="I16">
        <v>5</v>
      </c>
      <c r="J16" s="1">
        <f t="shared" si="1"/>
        <v>8.3333333333333331E-5</v>
      </c>
      <c r="K16">
        <v>31.301886563534723</v>
      </c>
      <c r="L16">
        <v>5.3499444016932181</v>
      </c>
      <c r="M16">
        <f t="shared" si="2"/>
        <v>304.45188656353469</v>
      </c>
      <c r="N16">
        <f t="shared" si="3"/>
        <v>0.53499444016932185</v>
      </c>
      <c r="O16">
        <v>6.1302000000000003</v>
      </c>
      <c r="Q16">
        <f t="shared" ref="Q16:Q21" si="11">SQRT(1.2/O16)*SQRT(N16/0.101325)*SQRT(293.15/M16)</f>
        <v>0.99759725114213604</v>
      </c>
      <c r="R16">
        <f t="shared" ref="R16:R21" si="12">I16*Q16</f>
        <v>4.9879862557106804</v>
      </c>
      <c r="S16" s="7">
        <f>R16/60/1000</f>
        <v>8.3133104261844674E-5</v>
      </c>
      <c r="U16">
        <v>45</v>
      </c>
      <c r="V16">
        <v>58</v>
      </c>
      <c r="W16" s="8">
        <v>2.7747999999999998E-2</v>
      </c>
      <c r="X16" s="10">
        <v>287</v>
      </c>
    </row>
    <row r="17" spans="1:25" x14ac:dyDescent="0.25">
      <c r="B17" s="2">
        <v>1638</v>
      </c>
      <c r="C17">
        <f t="shared" si="4"/>
        <v>171.53095888600271</v>
      </c>
      <c r="D17" s="5">
        <v>1.0076793956943377</v>
      </c>
      <c r="E17" s="8">
        <v>30.547663333782278</v>
      </c>
      <c r="F17" s="5">
        <v>4.5488778229227878</v>
      </c>
      <c r="G17" s="8">
        <v>43.94469464255323</v>
      </c>
      <c r="H17">
        <f t="shared" si="0"/>
        <v>317.09469464255324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58</v>
      </c>
      <c r="W17" s="8">
        <v>2.7747999999999998E-2</v>
      </c>
      <c r="X17" s="10">
        <v>270</v>
      </c>
    </row>
    <row r="18" spans="1:25" x14ac:dyDescent="0.25">
      <c r="A18" s="3">
        <f>AVERAGE(G16:G21)</f>
        <v>45.823425249720117</v>
      </c>
      <c r="B18" s="2">
        <v>1639</v>
      </c>
      <c r="C18">
        <f t="shared" si="4"/>
        <v>171.63567864112238</v>
      </c>
      <c r="D18" s="5">
        <v>1.0095081019886243</v>
      </c>
      <c r="E18" s="8">
        <v>30.628921865606085</v>
      </c>
      <c r="F18" s="5">
        <v>3.6851917499746314</v>
      </c>
      <c r="G18" s="8">
        <v>45.13479868010257</v>
      </c>
      <c r="H18">
        <f t="shared" si="0"/>
        <v>318.28479868010254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58</v>
      </c>
      <c r="W18" s="8">
        <v>2.7747999999999998E-2</v>
      </c>
      <c r="X18" s="10">
        <v>235</v>
      </c>
    </row>
    <row r="19" spans="1:25" x14ac:dyDescent="0.25">
      <c r="B19" s="2">
        <v>1639</v>
      </c>
      <c r="C19">
        <f t="shared" si="4"/>
        <v>171.63567864112238</v>
      </c>
      <c r="D19" s="5">
        <v>1.0086524685865665</v>
      </c>
      <c r="E19" s="8">
        <v>30.622924679670273</v>
      </c>
      <c r="F19" s="5">
        <v>3.2641584944265172</v>
      </c>
      <c r="G19" s="8">
        <v>46.943107203221921</v>
      </c>
      <c r="H19">
        <f t="shared" si="0"/>
        <v>320.0931072032219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58</v>
      </c>
      <c r="W19" s="8">
        <v>2.7747999999999998E-2</v>
      </c>
      <c r="X19" s="10">
        <v>220</v>
      </c>
    </row>
    <row r="20" spans="1:25" x14ac:dyDescent="0.25">
      <c r="B20" s="2">
        <v>1639</v>
      </c>
      <c r="C20">
        <f t="shared" si="4"/>
        <v>171.63567864112238</v>
      </c>
      <c r="D20" s="5">
        <v>1.0091083977955064</v>
      </c>
      <c r="E20" s="8">
        <v>30.616946893747738</v>
      </c>
      <c r="F20" s="5">
        <v>3.0682354873155337</v>
      </c>
      <c r="G20" s="8">
        <v>48.030195935011974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58</v>
      </c>
      <c r="W20" s="8">
        <v>2.7747999999999998E-2</v>
      </c>
      <c r="X20" s="10">
        <v>215</v>
      </c>
    </row>
    <row r="21" spans="1:25" x14ac:dyDescent="0.25">
      <c r="B21" s="2">
        <v>1640</v>
      </c>
      <c r="C21">
        <f t="shared" si="4"/>
        <v>171.74039839624203</v>
      </c>
      <c r="D21" s="5">
        <v>1.0089421600028088</v>
      </c>
      <c r="E21" s="8">
        <v>30.660577754608099</v>
      </c>
      <c r="F21" s="5">
        <v>2.8293806275398508</v>
      </c>
      <c r="G21" s="8">
        <v>47.417480320241744</v>
      </c>
      <c r="H21">
        <f t="shared" si="0"/>
        <v>320.56748032024171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58</v>
      </c>
      <c r="W21" s="8">
        <v>2.7747999999999998E-2</v>
      </c>
      <c r="X21" s="10">
        <v>205</v>
      </c>
    </row>
    <row r="22" spans="1:25" x14ac:dyDescent="0.25">
      <c r="B22" s="14"/>
      <c r="D22" s="5"/>
      <c r="E22" s="8"/>
      <c r="F22" s="5"/>
      <c r="G22" s="8"/>
      <c r="J22" s="1"/>
      <c r="S22" s="15"/>
    </row>
    <row r="23" spans="1:25" x14ac:dyDescent="0.25">
      <c r="A23" s="3">
        <f>AVERAGE(B23:B30)</f>
        <v>1838.5</v>
      </c>
      <c r="B23" s="2">
        <v>1837</v>
      </c>
      <c r="C23">
        <f t="shared" si="4"/>
        <v>192.37019015481502</v>
      </c>
      <c r="D23" s="5">
        <v>1.0074809569159044</v>
      </c>
      <c r="E23" s="8">
        <v>30.849170721143583</v>
      </c>
      <c r="F23" s="5">
        <v>5.0653949430406557</v>
      </c>
      <c r="G23" s="8">
        <v>49.552490253392484</v>
      </c>
      <c r="H23">
        <f t="shared" si="0"/>
        <v>322.70249025339245</v>
      </c>
      <c r="I23">
        <v>9</v>
      </c>
      <c r="J23" s="1">
        <f t="shared" ref="J23:J24" si="14">I23/60/1000</f>
        <v>1.4999999999999999E-4</v>
      </c>
      <c r="K23">
        <v>34.911742272595383</v>
      </c>
      <c r="L23">
        <v>5.0324751973883091</v>
      </c>
      <c r="M23">
        <f t="shared" ref="M23:M24" si="15">K23+273.15</f>
        <v>308.06174227259538</v>
      </c>
      <c r="N23">
        <f t="shared" ref="N23:N24" si="16">L23/10</f>
        <v>0.50324751973883086</v>
      </c>
      <c r="O23">
        <v>5.6976000000000004</v>
      </c>
      <c r="Q23">
        <f t="shared" ref="Q23:Q30" si="17">SQRT(1.2/O23)*SQRT(N23/0.101325)*SQRT(293.15/M23)</f>
        <v>0.99770747454028219</v>
      </c>
      <c r="R23">
        <f t="shared" ref="R23:R30" si="18">I23*Q23</f>
        <v>8.9793672708625394</v>
      </c>
      <c r="S23" s="7">
        <f t="shared" ref="S23:S24" si="19">R23/60/1000</f>
        <v>1.4965612118104232E-4</v>
      </c>
      <c r="U23">
        <v>48</v>
      </c>
      <c r="V23">
        <v>64</v>
      </c>
      <c r="W23" s="8">
        <v>2.1801999999999998E-2</v>
      </c>
      <c r="X23" s="10">
        <v>280</v>
      </c>
    </row>
    <row r="24" spans="1:25" x14ac:dyDescent="0.25">
      <c r="B24" s="2">
        <v>1838</v>
      </c>
      <c r="C24">
        <f t="shared" si="4"/>
        <v>192.47490990993464</v>
      </c>
      <c r="D24" s="5">
        <v>1.0063833162082423</v>
      </c>
      <c r="E24" s="8">
        <v>30.76201711395526</v>
      </c>
      <c r="F24" s="5">
        <v>5.112710058958517</v>
      </c>
      <c r="G24" s="8">
        <v>47.556274872386432</v>
      </c>
      <c r="H24">
        <f t="shared" si="0"/>
        <v>320.70627487238642</v>
      </c>
      <c r="I24">
        <v>9</v>
      </c>
      <c r="J24" s="1">
        <f t="shared" si="14"/>
        <v>1.4999999999999999E-4</v>
      </c>
      <c r="K24">
        <v>32.57027436070107</v>
      </c>
      <c r="L24">
        <v>5.079087990467352</v>
      </c>
      <c r="M24">
        <f t="shared" si="15"/>
        <v>305.72027436070107</v>
      </c>
      <c r="N24">
        <f t="shared" si="16"/>
        <v>0.50790879904673525</v>
      </c>
      <c r="O24">
        <v>5.7949999999999999</v>
      </c>
      <c r="Q24">
        <f t="shared" si="17"/>
        <v>0.99765709146696913</v>
      </c>
      <c r="R24">
        <f t="shared" si="18"/>
        <v>8.9789138232027224</v>
      </c>
      <c r="S24" s="7">
        <f t="shared" si="19"/>
        <v>1.4964856372004536E-4</v>
      </c>
      <c r="U24">
        <v>48</v>
      </c>
      <c r="V24">
        <v>64</v>
      </c>
      <c r="W24" s="8">
        <v>2.1801999999999998E-2</v>
      </c>
      <c r="X24" s="10">
        <v>280</v>
      </c>
    </row>
    <row r="25" spans="1:25" x14ac:dyDescent="0.25">
      <c r="A25" s="3">
        <f>AVERAGE(G23:G30)</f>
        <v>48.965377092856045</v>
      </c>
      <c r="B25" s="2">
        <v>1837</v>
      </c>
      <c r="C25">
        <f t="shared" si="4"/>
        <v>192.37019015481502</v>
      </c>
      <c r="D25" s="5">
        <v>1.0076637581773951</v>
      </c>
      <c r="E25" s="8">
        <v>30.854876597503971</v>
      </c>
      <c r="F25" s="5">
        <v>4.5816778072219542</v>
      </c>
      <c r="G25" s="8">
        <v>49.648556094417991</v>
      </c>
      <c r="H25">
        <f t="shared" si="0"/>
        <v>322.79855609441796</v>
      </c>
      <c r="I25">
        <v>10</v>
      </c>
      <c r="J25" s="1">
        <f t="shared" si="1"/>
        <v>1.6666666666666666E-4</v>
      </c>
      <c r="K25">
        <v>33.965123681967277</v>
      </c>
      <c r="L25">
        <v>4.5450850240495768</v>
      </c>
      <c r="M25">
        <f t="shared" si="2"/>
        <v>307.11512368196725</v>
      </c>
      <c r="N25">
        <f t="shared" si="3"/>
        <v>0.45450850240495766</v>
      </c>
      <c r="O25">
        <v>5.1612999999999998</v>
      </c>
      <c r="Q25">
        <f t="shared" si="17"/>
        <v>0.99774168860402668</v>
      </c>
      <c r="R25">
        <f t="shared" si="18"/>
        <v>9.9774168860402668</v>
      </c>
      <c r="S25" s="7">
        <f t="shared" si="5"/>
        <v>1.6629028143400445E-4</v>
      </c>
      <c r="U25">
        <v>48</v>
      </c>
      <c r="V25">
        <v>64</v>
      </c>
      <c r="W25" s="8">
        <v>2.1801999999999998E-2</v>
      </c>
      <c r="X25" s="10">
        <v>270</v>
      </c>
    </row>
    <row r="26" spans="1:25" x14ac:dyDescent="0.25">
      <c r="B26" s="2">
        <v>1839</v>
      </c>
      <c r="C26">
        <f>B26*2*PI()/60</f>
        <v>192.57962966505431</v>
      </c>
      <c r="D26" s="5">
        <v>1.007937890712175</v>
      </c>
      <c r="E26" s="8">
        <v>30.707389246709546</v>
      </c>
      <c r="F26" s="5">
        <v>4.0282260804900449</v>
      </c>
      <c r="G26" s="8">
        <v>47.598924246369272</v>
      </c>
      <c r="H26">
        <f t="shared" si="0"/>
        <v>320.74892424636926</v>
      </c>
      <c r="I26">
        <v>12</v>
      </c>
      <c r="J26" s="1">
        <f t="shared" si="1"/>
        <v>2.0000000000000001E-4</v>
      </c>
      <c r="K26">
        <v>32.938857350692899</v>
      </c>
      <c r="L26">
        <v>3.9826238950298061</v>
      </c>
      <c r="M26">
        <f t="shared" si="2"/>
        <v>306.08885735069288</v>
      </c>
      <c r="N26">
        <f t="shared" si="3"/>
        <v>0.3982623895029806</v>
      </c>
      <c r="O26">
        <v>4.5373000000000001</v>
      </c>
      <c r="Q26">
        <f t="shared" si="17"/>
        <v>0.99779059487469979</v>
      </c>
      <c r="R26">
        <f t="shared" si="18"/>
        <v>11.973487138496397</v>
      </c>
      <c r="S26" s="7">
        <f t="shared" si="5"/>
        <v>1.9955811897493994E-4</v>
      </c>
      <c r="U26">
        <v>48</v>
      </c>
      <c r="V26">
        <v>64</v>
      </c>
      <c r="W26" s="8">
        <v>2.1801999999999998E-2</v>
      </c>
      <c r="X26" s="10">
        <v>260</v>
      </c>
    </row>
    <row r="27" spans="1:25" x14ac:dyDescent="0.25">
      <c r="B27" s="2">
        <v>1839</v>
      </c>
      <c r="C27">
        <f t="shared" si="4"/>
        <v>192.57962966505431</v>
      </c>
      <c r="D27" s="5">
        <v>1.0083960489740302</v>
      </c>
      <c r="E27" s="8">
        <v>30.783007727180575</v>
      </c>
      <c r="F27" s="5">
        <v>3.9074120702939243</v>
      </c>
      <c r="G27" s="8">
        <v>50.371808006417567</v>
      </c>
      <c r="H27">
        <f t="shared" si="0"/>
        <v>323.52180800641753</v>
      </c>
      <c r="I27">
        <v>14</v>
      </c>
      <c r="J27" s="1">
        <f t="shared" si="1"/>
        <v>2.3333333333333333E-4</v>
      </c>
      <c r="K27">
        <v>33.085523294711152</v>
      </c>
      <c r="L27">
        <v>3.8540107834774919</v>
      </c>
      <c r="M27">
        <f t="shared" si="2"/>
        <v>306.23552329471113</v>
      </c>
      <c r="N27">
        <f t="shared" si="3"/>
        <v>0.38540107834774917</v>
      </c>
      <c r="O27">
        <v>4.3884999999999996</v>
      </c>
      <c r="Q27">
        <f t="shared" si="17"/>
        <v>0.99781009571940138</v>
      </c>
      <c r="R27">
        <f t="shared" si="18"/>
        <v>13.969341340071619</v>
      </c>
      <c r="S27" s="7">
        <f t="shared" si="5"/>
        <v>2.328223556678603E-4</v>
      </c>
      <c r="U27">
        <v>48</v>
      </c>
      <c r="V27">
        <v>64</v>
      </c>
      <c r="W27" s="8">
        <v>2.1801999999999998E-2</v>
      </c>
      <c r="X27" s="10">
        <v>255</v>
      </c>
    </row>
    <row r="28" spans="1:25" x14ac:dyDescent="0.25">
      <c r="B28" s="2">
        <v>1839</v>
      </c>
      <c r="C28">
        <f t="shared" si="4"/>
        <v>192.57962966505431</v>
      </c>
      <c r="D28" s="5">
        <v>1.0075465725805357</v>
      </c>
      <c r="E28" s="8">
        <v>30.654826109108207</v>
      </c>
      <c r="F28" s="5">
        <v>3.6533986868675403</v>
      </c>
      <c r="G28" s="8">
        <v>46.402179551899437</v>
      </c>
      <c r="H28">
        <f t="shared" si="0"/>
        <v>319.55217955189943</v>
      </c>
      <c r="I28">
        <v>16</v>
      </c>
      <c r="J28" s="1">
        <f t="shared" si="1"/>
        <v>2.6666666666666668E-4</v>
      </c>
      <c r="K28">
        <v>32.704388837077452</v>
      </c>
      <c r="L28">
        <v>3.5880844465849808</v>
      </c>
      <c r="M28">
        <f t="shared" si="2"/>
        <v>305.85438883707741</v>
      </c>
      <c r="N28">
        <f t="shared" si="3"/>
        <v>0.35880844465849809</v>
      </c>
      <c r="O28">
        <v>4.0906000000000002</v>
      </c>
      <c r="Q28">
        <f t="shared" si="17"/>
        <v>0.9978326918355499</v>
      </c>
      <c r="R28">
        <f t="shared" si="18"/>
        <v>15.965323069368798</v>
      </c>
      <c r="S28" s="7">
        <f t="shared" si="5"/>
        <v>2.6608871782281328E-4</v>
      </c>
      <c r="U28">
        <v>48</v>
      </c>
      <c r="V28">
        <v>64</v>
      </c>
      <c r="W28" s="8">
        <v>2.1801999999999998E-2</v>
      </c>
      <c r="X28" s="10">
        <v>235</v>
      </c>
    </row>
    <row r="29" spans="1:25" x14ac:dyDescent="0.25">
      <c r="B29" s="2">
        <v>1839</v>
      </c>
      <c r="C29">
        <f t="shared" si="4"/>
        <v>192.57962966505431</v>
      </c>
      <c r="D29" s="5">
        <v>1.007730407897355</v>
      </c>
      <c r="E29" s="8">
        <v>30.822986667073145</v>
      </c>
      <c r="F29" s="5">
        <v>3.0732756854133072</v>
      </c>
      <c r="G29" s="8">
        <v>50.602444253388761</v>
      </c>
      <c r="H29">
        <f t="shared" si="0"/>
        <v>323.75244425338872</v>
      </c>
      <c r="I29">
        <v>18</v>
      </c>
      <c r="J29" s="1">
        <f t="shared" si="1"/>
        <v>2.9999999999999997E-4</v>
      </c>
      <c r="K29">
        <v>34.160465950496068</v>
      </c>
      <c r="L29">
        <v>3.0036641094433802</v>
      </c>
      <c r="M29">
        <f t="shared" si="2"/>
        <v>307.31046595049605</v>
      </c>
      <c r="N29">
        <f t="shared" si="3"/>
        <v>0.30036641094433802</v>
      </c>
      <c r="O29">
        <v>3.4075000000000002</v>
      </c>
      <c r="Q29">
        <f t="shared" si="17"/>
        <v>0.99792141125745404</v>
      </c>
      <c r="R29">
        <f t="shared" si="18"/>
        <v>17.962585402634172</v>
      </c>
      <c r="S29" s="7">
        <f t="shared" si="5"/>
        <v>2.9937642337723617E-4</v>
      </c>
      <c r="U29">
        <v>48</v>
      </c>
      <c r="V29">
        <v>64</v>
      </c>
      <c r="W29" s="8">
        <v>2.1801999999999998E-2</v>
      </c>
      <c r="X29" s="10">
        <v>215</v>
      </c>
    </row>
    <row r="30" spans="1:25" x14ac:dyDescent="0.25">
      <c r="B30" s="2">
        <v>1840</v>
      </c>
      <c r="C30">
        <f t="shared" si="4"/>
        <v>192.68434942017399</v>
      </c>
      <c r="D30" s="5">
        <v>1.0069040471898754</v>
      </c>
      <c r="E30" s="8">
        <v>30.824160851514335</v>
      </c>
      <c r="F30" s="5">
        <v>2.6401044471753301</v>
      </c>
      <c r="G30" s="8">
        <v>49.990339464576451</v>
      </c>
      <c r="H30">
        <f t="shared" si="0"/>
        <v>323.14033946457641</v>
      </c>
      <c r="I30">
        <v>21</v>
      </c>
      <c r="J30" s="1">
        <f t="shared" si="1"/>
        <v>3.5E-4</v>
      </c>
      <c r="K30">
        <v>35.299841353881696</v>
      </c>
      <c r="L30">
        <v>2.5573256010264003</v>
      </c>
      <c r="M30">
        <f t="shared" si="2"/>
        <v>308.44984135388165</v>
      </c>
      <c r="N30">
        <f t="shared" si="3"/>
        <v>0.25573256010264001</v>
      </c>
      <c r="O30">
        <v>2.8900999999999999</v>
      </c>
      <c r="Q30">
        <f t="shared" si="17"/>
        <v>0.99797938124444174</v>
      </c>
      <c r="R30">
        <f t="shared" si="18"/>
        <v>20.957567006133278</v>
      </c>
      <c r="S30" s="7">
        <f t="shared" si="5"/>
        <v>3.4929278343555462E-4</v>
      </c>
      <c r="U30">
        <v>48</v>
      </c>
      <c r="V30">
        <v>64</v>
      </c>
      <c r="W30" s="8">
        <v>2.1801999999999998E-2</v>
      </c>
      <c r="X30" s="10">
        <v>205</v>
      </c>
    </row>
    <row r="31" spans="1:25" x14ac:dyDescent="0.25">
      <c r="D31" s="5"/>
      <c r="E31" s="8"/>
      <c r="F31" s="5"/>
      <c r="G31" s="8"/>
    </row>
    <row r="32" spans="1:25" x14ac:dyDescent="0.25">
      <c r="A32" s="3">
        <f>AVERAGE(B32:B40)</f>
        <v>2110.8888888888887</v>
      </c>
      <c r="B32" s="2">
        <v>2101</v>
      </c>
      <c r="C32">
        <f t="shared" ref="C32" si="20">B32*2*PI()/60</f>
        <v>220.01620550640519</v>
      </c>
      <c r="D32" s="5">
        <v>1.00590237038144</v>
      </c>
      <c r="E32" s="8">
        <v>31.697879180219001</v>
      </c>
      <c r="F32" s="5">
        <v>5.0545578692872901</v>
      </c>
      <c r="G32" s="8">
        <v>50.736525871403401</v>
      </c>
      <c r="H32">
        <f t="shared" ref="H32:H40" si="21">G32+273.15</f>
        <v>323.88652587140336</v>
      </c>
      <c r="I32">
        <v>10</v>
      </c>
      <c r="J32" s="1">
        <f t="shared" ref="J32:J40" si="22">I32/60/1000</f>
        <v>1.6666666666666666E-4</v>
      </c>
      <c r="K32">
        <v>34.915330330526842</v>
      </c>
      <c r="L32">
        <v>5.0217427317420364</v>
      </c>
      <c r="M32">
        <f t="shared" ref="M32:M40" si="23">K32+273.15</f>
        <v>308.06533033052682</v>
      </c>
      <c r="N32">
        <f t="shared" ref="N32:N40" si="24">L32/10</f>
        <v>0.5021742731742036</v>
      </c>
      <c r="O32">
        <v>5.6853999999999996</v>
      </c>
      <c r="Q32">
        <f t="shared" ref="Q32:Q40" si="25">SQRT(1.2/O32)*SQRT(N32/0.101325)*SQRT(293.15/M32)</f>
        <v>0.99770596911223208</v>
      </c>
      <c r="R32">
        <f>I32*Q32</f>
        <v>9.9770596911223208</v>
      </c>
      <c r="S32" s="7">
        <f>R32/60/1000</f>
        <v>1.6628432818537199E-4</v>
      </c>
      <c r="U32">
        <v>55</v>
      </c>
      <c r="V32">
        <v>72</v>
      </c>
      <c r="W32" s="8">
        <v>1.9820000000000001E-2</v>
      </c>
      <c r="X32" s="10">
        <v>280</v>
      </c>
      <c r="Y32">
        <v>1.7838E-2</v>
      </c>
    </row>
    <row r="33" spans="1:25" x14ac:dyDescent="0.25">
      <c r="B33" s="2">
        <v>2112</v>
      </c>
      <c r="C33">
        <f>B33*2*PI()/60</f>
        <v>221.16812281272144</v>
      </c>
      <c r="D33" s="5">
        <v>1.0061059491213908</v>
      </c>
      <c r="E33" s="8">
        <v>32.0262582611306</v>
      </c>
      <c r="F33" s="5">
        <v>4.4350470643170885</v>
      </c>
      <c r="G33" s="8">
        <v>49.99081342244255</v>
      </c>
      <c r="H33">
        <f t="shared" si="21"/>
        <v>323.14081342244253</v>
      </c>
      <c r="I33">
        <v>11.5</v>
      </c>
      <c r="J33" s="1">
        <f t="shared" si="22"/>
        <v>1.9166666666666667E-4</v>
      </c>
      <c r="K33">
        <v>36.091330242567508</v>
      </c>
      <c r="L33">
        <v>4.398073191126322</v>
      </c>
      <c r="M33">
        <f t="shared" si="23"/>
        <v>309.24133024256747</v>
      </c>
      <c r="N33">
        <f t="shared" si="24"/>
        <v>0.43980731911263221</v>
      </c>
      <c r="O33">
        <v>4.9595000000000002</v>
      </c>
      <c r="Q33">
        <f t="shared" si="25"/>
        <v>0.99779374850115632</v>
      </c>
      <c r="R33">
        <f t="shared" ref="R33:R40" si="26">I33*Q33</f>
        <v>11.474628107763298</v>
      </c>
      <c r="S33" s="7">
        <f t="shared" ref="S33:S40" si="27">R33/60/1000</f>
        <v>1.9124380179605496E-4</v>
      </c>
      <c r="U33">
        <v>55</v>
      </c>
      <c r="V33">
        <v>72</v>
      </c>
      <c r="W33" s="8">
        <v>1.9820000000000001E-2</v>
      </c>
      <c r="X33" s="10">
        <v>270</v>
      </c>
      <c r="Y33">
        <v>1.7838E-2</v>
      </c>
    </row>
    <row r="34" spans="1:25" x14ac:dyDescent="0.25">
      <c r="B34" s="2">
        <v>2114</v>
      </c>
      <c r="C34">
        <f t="shared" ref="C34:C39" si="28">B34*2*PI()/60</f>
        <v>221.37756232296076</v>
      </c>
      <c r="D34" s="5">
        <v>1.0066583740337631</v>
      </c>
      <c r="E34" s="8">
        <v>32.048058065891794</v>
      </c>
      <c r="F34" s="5">
        <v>4.2201346805617597</v>
      </c>
      <c r="G34" s="8">
        <v>48.984398003218239</v>
      </c>
      <c r="H34">
        <f t="shared" si="21"/>
        <v>322.13439800321822</v>
      </c>
      <c r="I34">
        <v>12</v>
      </c>
      <c r="J34" s="1">
        <f t="shared" si="22"/>
        <v>2.0000000000000001E-4</v>
      </c>
      <c r="K34">
        <v>34.992384663945479</v>
      </c>
      <c r="L34">
        <v>4.1866511988703801</v>
      </c>
      <c r="M34">
        <f t="shared" si="23"/>
        <v>308.14238466394545</v>
      </c>
      <c r="N34">
        <f t="shared" si="24"/>
        <v>0.41866511988703803</v>
      </c>
      <c r="O34">
        <v>4.7378999999999998</v>
      </c>
      <c r="Q34">
        <f t="shared" si="25"/>
        <v>0.99779653516182709</v>
      </c>
      <c r="R34">
        <f t="shared" si="26"/>
        <v>11.973558421941926</v>
      </c>
      <c r="S34" s="7">
        <f t="shared" si="27"/>
        <v>1.9955930703236544E-4</v>
      </c>
      <c r="U34">
        <v>55</v>
      </c>
      <c r="V34">
        <v>72</v>
      </c>
      <c r="W34" s="8">
        <v>1.9820000000000001E-2</v>
      </c>
      <c r="X34" s="10">
        <v>265</v>
      </c>
      <c r="Y34">
        <v>1.7838E-2</v>
      </c>
    </row>
    <row r="35" spans="1:25" x14ac:dyDescent="0.25">
      <c r="A35" s="3">
        <f>AVERAGE(G32:G40)</f>
        <v>52.122160892238504</v>
      </c>
      <c r="B35" s="2">
        <v>2109</v>
      </c>
      <c r="C35">
        <f t="shared" si="28"/>
        <v>220.85396354736247</v>
      </c>
      <c r="D35" s="5">
        <v>1.0053780492937701</v>
      </c>
      <c r="E35" s="8">
        <v>31.985109146263699</v>
      </c>
      <c r="F35" s="5">
        <v>4.1660023180827803</v>
      </c>
      <c r="G35" s="8">
        <v>55.883603288041698</v>
      </c>
      <c r="H35">
        <f t="shared" si="21"/>
        <v>329.03360328804166</v>
      </c>
      <c r="I35">
        <v>12.5</v>
      </c>
      <c r="J35" s="1">
        <f t="shared" si="22"/>
        <v>2.0833333333333335E-4</v>
      </c>
      <c r="K35">
        <v>34.345290109700692</v>
      </c>
      <c r="L35">
        <v>4.1244500716481038</v>
      </c>
      <c r="M35">
        <f t="shared" si="23"/>
        <v>307.49529010970065</v>
      </c>
      <c r="N35">
        <f t="shared" si="24"/>
        <v>0.41244500716481036</v>
      </c>
      <c r="O35">
        <v>4.6772999999999998</v>
      </c>
      <c r="Q35">
        <f t="shared" si="25"/>
        <v>0.99779987275164905</v>
      </c>
      <c r="R35">
        <f t="shared" si="26"/>
        <v>12.472498409395612</v>
      </c>
      <c r="S35" s="7">
        <f t="shared" si="27"/>
        <v>2.0787497348992686E-4</v>
      </c>
      <c r="U35">
        <v>55</v>
      </c>
      <c r="V35">
        <v>72</v>
      </c>
      <c r="W35" s="8">
        <v>1.9820000000000001E-2</v>
      </c>
      <c r="X35" s="10">
        <v>265</v>
      </c>
      <c r="Y35">
        <v>1.7838E-2</v>
      </c>
    </row>
    <row r="36" spans="1:25" x14ac:dyDescent="0.25">
      <c r="A36" s="6"/>
      <c r="B36" s="2">
        <v>2114</v>
      </c>
      <c r="C36">
        <f t="shared" si="28"/>
        <v>221.37756232296076</v>
      </c>
      <c r="D36" s="5">
        <v>1.0066982516283061</v>
      </c>
      <c r="E36" s="8">
        <v>32.005684453369334</v>
      </c>
      <c r="F36" s="5">
        <v>4.003856630921188</v>
      </c>
      <c r="G36" s="8">
        <v>49.199552467406384</v>
      </c>
      <c r="H36">
        <f t="shared" si="21"/>
        <v>322.34955246740634</v>
      </c>
      <c r="I36">
        <v>14</v>
      </c>
      <c r="J36" s="1">
        <f t="shared" si="22"/>
        <v>2.3333333333333333E-4</v>
      </c>
      <c r="K36">
        <v>35.22898377743342</v>
      </c>
      <c r="L36">
        <v>3.9611569214138527</v>
      </c>
      <c r="M36">
        <f t="shared" si="23"/>
        <v>308.3789837774334</v>
      </c>
      <c r="N36">
        <f t="shared" si="24"/>
        <v>0.39611569214138526</v>
      </c>
      <c r="O36">
        <v>4.4790000000000001</v>
      </c>
      <c r="Q36">
        <f t="shared" si="25"/>
        <v>0.99782727755777623</v>
      </c>
      <c r="R36">
        <f t="shared" si="26"/>
        <v>13.969581885808868</v>
      </c>
      <c r="S36" s="7">
        <f t="shared" si="27"/>
        <v>2.3282636476348111E-4</v>
      </c>
      <c r="U36">
        <v>55</v>
      </c>
      <c r="V36">
        <v>72</v>
      </c>
      <c r="W36" s="8">
        <v>1.9820000000000001E-2</v>
      </c>
      <c r="X36" s="10">
        <v>260</v>
      </c>
      <c r="Y36">
        <v>1.7838E-2</v>
      </c>
    </row>
    <row r="37" spans="1:25" x14ac:dyDescent="0.25">
      <c r="B37" s="2">
        <v>2112</v>
      </c>
      <c r="C37">
        <f t="shared" si="28"/>
        <v>221.16812281272144</v>
      </c>
      <c r="D37" s="5">
        <v>1.0062165914400862</v>
      </c>
      <c r="E37" s="8">
        <v>31.970314452969511</v>
      </c>
      <c r="F37" s="5">
        <v>3.8882416114697662</v>
      </c>
      <c r="G37" s="8">
        <v>51.115333189585478</v>
      </c>
      <c r="H37">
        <f t="shared" si="21"/>
        <v>324.26533318958548</v>
      </c>
      <c r="I37">
        <v>16</v>
      </c>
      <c r="J37" s="1">
        <f t="shared" si="22"/>
        <v>2.6666666666666668E-4</v>
      </c>
      <c r="K37">
        <v>36.995893647839196</v>
      </c>
      <c r="L37">
        <v>3.838953350045629</v>
      </c>
      <c r="M37">
        <f t="shared" si="23"/>
        <v>310.14589364783916</v>
      </c>
      <c r="N37">
        <f t="shared" si="24"/>
        <v>0.38389533500456291</v>
      </c>
      <c r="O37">
        <v>4.3156999999999996</v>
      </c>
      <c r="Q37">
        <f t="shared" si="25"/>
        <v>0.99787247161187964</v>
      </c>
      <c r="R37">
        <f t="shared" si="26"/>
        <v>15.965959545790074</v>
      </c>
      <c r="S37" s="7">
        <f t="shared" si="27"/>
        <v>2.6609932576316791E-4</v>
      </c>
      <c r="U37">
        <v>55</v>
      </c>
      <c r="V37">
        <v>72</v>
      </c>
      <c r="W37" s="8">
        <v>1.9820000000000001E-2</v>
      </c>
      <c r="X37" s="10">
        <v>250</v>
      </c>
      <c r="Y37">
        <v>1.7838E-2</v>
      </c>
    </row>
    <row r="38" spans="1:25" x14ac:dyDescent="0.25">
      <c r="B38" s="2">
        <v>2111</v>
      </c>
      <c r="C38">
        <f t="shared" si="28"/>
        <v>221.06340305760176</v>
      </c>
      <c r="D38" s="5">
        <v>1.00622035047064</v>
      </c>
      <c r="E38" s="8">
        <v>32.022331469804698</v>
      </c>
      <c r="F38" s="5">
        <v>3.69061358519046</v>
      </c>
      <c r="G38" s="8">
        <v>55.823943947719599</v>
      </c>
      <c r="H38">
        <f t="shared" si="21"/>
        <v>328.97394394771959</v>
      </c>
      <c r="I38">
        <v>17</v>
      </c>
      <c r="J38" s="1">
        <f t="shared" si="22"/>
        <v>2.833333333333333E-4</v>
      </c>
      <c r="K38">
        <v>35.183946946549369</v>
      </c>
      <c r="L38">
        <v>3.6382551740685782</v>
      </c>
      <c r="M38">
        <f t="shared" si="23"/>
        <v>308.33394694654936</v>
      </c>
      <c r="N38">
        <f t="shared" si="24"/>
        <v>0.36382551740685781</v>
      </c>
      <c r="O38">
        <v>4.1142000000000003</v>
      </c>
      <c r="Q38">
        <f t="shared" si="25"/>
        <v>0.99786197341373895</v>
      </c>
      <c r="R38">
        <f t="shared" si="26"/>
        <v>16.963653548033562</v>
      </c>
      <c r="S38" s="7">
        <f t="shared" si="27"/>
        <v>2.827275591338927E-4</v>
      </c>
      <c r="U38">
        <v>55</v>
      </c>
      <c r="V38">
        <v>72</v>
      </c>
      <c r="W38" s="8">
        <v>1.9820000000000001E-2</v>
      </c>
      <c r="X38" s="10">
        <v>240</v>
      </c>
      <c r="Y38">
        <v>1.7838E-2</v>
      </c>
    </row>
    <row r="39" spans="1:25" x14ac:dyDescent="0.25">
      <c r="B39" s="2">
        <v>2112</v>
      </c>
      <c r="C39">
        <f t="shared" si="28"/>
        <v>221.16812281272144</v>
      </c>
      <c r="D39" s="5">
        <v>1.0075471234151576</v>
      </c>
      <c r="E39" s="8">
        <v>31.981519437650153</v>
      </c>
      <c r="F39" s="5">
        <v>3.3424664174525525</v>
      </c>
      <c r="G39" s="8">
        <v>54.463514185662618</v>
      </c>
      <c r="H39">
        <f t="shared" si="21"/>
        <v>327.61351418566261</v>
      </c>
      <c r="I39">
        <v>19</v>
      </c>
      <c r="J39" s="1">
        <f t="shared" si="22"/>
        <v>3.1666666666666665E-4</v>
      </c>
      <c r="K39">
        <v>36.165910744740373</v>
      </c>
      <c r="L39">
        <v>3.2729093370781328</v>
      </c>
      <c r="M39">
        <f t="shared" si="23"/>
        <v>309.31591074474034</v>
      </c>
      <c r="N39">
        <f t="shared" si="24"/>
        <v>0.32729093370781326</v>
      </c>
      <c r="O39">
        <v>3.6888999999999998</v>
      </c>
      <c r="Q39">
        <f t="shared" si="25"/>
        <v>0.99791760042068167</v>
      </c>
      <c r="R39">
        <f t="shared" si="26"/>
        <v>18.960434407992953</v>
      </c>
      <c r="S39" s="7">
        <f t="shared" si="27"/>
        <v>3.1600724013321587E-4</v>
      </c>
      <c r="U39">
        <v>55</v>
      </c>
      <c r="V39">
        <v>72</v>
      </c>
      <c r="W39" s="8">
        <v>1.9820000000000001E-2</v>
      </c>
      <c r="X39" s="10">
        <v>225</v>
      </c>
      <c r="Y39">
        <v>1.7838E-2</v>
      </c>
    </row>
    <row r="40" spans="1:25" x14ac:dyDescent="0.25">
      <c r="B40" s="2">
        <v>2113</v>
      </c>
      <c r="C40">
        <f>B40*2*PI()/60</f>
        <v>221.27284256784108</v>
      </c>
      <c r="D40" s="5">
        <v>1.00657455969937</v>
      </c>
      <c r="E40" s="8">
        <v>32.002248517148502</v>
      </c>
      <c r="F40" s="5">
        <v>2.5472304393617602</v>
      </c>
      <c r="G40" s="8">
        <v>52.901763654666603</v>
      </c>
      <c r="H40">
        <f t="shared" si="21"/>
        <v>326.05176365466656</v>
      </c>
      <c r="I40">
        <v>26</v>
      </c>
      <c r="J40" s="1">
        <f t="shared" si="22"/>
        <v>4.3333333333333337E-4</v>
      </c>
      <c r="K40">
        <v>37.109925562862749</v>
      </c>
      <c r="L40">
        <v>2.4564213377189379</v>
      </c>
      <c r="M40">
        <f t="shared" si="23"/>
        <v>310.25992556286275</v>
      </c>
      <c r="N40">
        <f t="shared" si="24"/>
        <v>0.24564213377189378</v>
      </c>
      <c r="O40">
        <v>2.7597</v>
      </c>
      <c r="Q40">
        <f t="shared" si="25"/>
        <v>0.99801005747028537</v>
      </c>
      <c r="R40">
        <f t="shared" si="26"/>
        <v>25.94826149422742</v>
      </c>
      <c r="S40" s="7">
        <f t="shared" si="27"/>
        <v>4.3247102490379037E-4</v>
      </c>
      <c r="U40">
        <v>55</v>
      </c>
      <c r="V40">
        <v>72</v>
      </c>
      <c r="W40" s="8">
        <v>1.9820000000000001E-2</v>
      </c>
      <c r="X40" s="10">
        <v>200</v>
      </c>
      <c r="Y40">
        <v>1.7838E-2</v>
      </c>
    </row>
    <row r="45" spans="1:25" ht="21" x14ac:dyDescent="0.35">
      <c r="D45" s="28"/>
      <c r="E45" s="60" t="s">
        <v>6</v>
      </c>
      <c r="F45" s="60"/>
      <c r="G45" s="60"/>
      <c r="H45" s="34"/>
      <c r="I45" s="34"/>
      <c r="J45" s="28"/>
      <c r="K45" s="61" t="s">
        <v>5</v>
      </c>
      <c r="L45" s="61"/>
      <c r="M45" s="61"/>
      <c r="N45" s="29"/>
      <c r="O45" s="60" t="s">
        <v>4</v>
      </c>
      <c r="P45" s="60"/>
      <c r="Q45" s="60"/>
      <c r="S45" s="13"/>
      <c r="T45" s="62" t="s">
        <v>19</v>
      </c>
      <c r="U45" s="62"/>
      <c r="V45" s="62"/>
      <c r="W45" s="62"/>
      <c r="X45" s="62"/>
      <c r="Y45" s="62"/>
    </row>
    <row r="46" spans="1:25" ht="18.75" x14ac:dyDescent="0.3">
      <c r="D46" s="30" t="s">
        <v>35</v>
      </c>
      <c r="E46" s="31" t="s">
        <v>23</v>
      </c>
      <c r="F46" s="31" t="s">
        <v>1</v>
      </c>
      <c r="G46" s="31" t="s">
        <v>0</v>
      </c>
      <c r="H46" s="35"/>
      <c r="I46" s="35"/>
      <c r="J46" s="30" t="s">
        <v>3</v>
      </c>
      <c r="K46" s="31" t="s">
        <v>23</v>
      </c>
      <c r="L46" s="31" t="s">
        <v>1</v>
      </c>
      <c r="M46" s="31" t="s">
        <v>2</v>
      </c>
      <c r="N46" s="31"/>
      <c r="O46" s="31" t="s">
        <v>23</v>
      </c>
      <c r="P46" s="31" t="s">
        <v>1</v>
      </c>
      <c r="Q46" s="31" t="s">
        <v>0</v>
      </c>
      <c r="T46" s="32" t="s">
        <v>21</v>
      </c>
      <c r="U46" s="33" t="s">
        <v>20</v>
      </c>
      <c r="V46" s="32" t="s">
        <v>24</v>
      </c>
      <c r="W46" s="33" t="s">
        <v>18</v>
      </c>
      <c r="X46" s="32" t="s">
        <v>25</v>
      </c>
      <c r="Y46" s="33" t="s">
        <v>22</v>
      </c>
    </row>
    <row r="47" spans="1:25" x14ac:dyDescent="0.25">
      <c r="B47" s="2">
        <f>B3</f>
        <v>1217</v>
      </c>
      <c r="C47" s="10">
        <f>B47*2*PI()/60</f>
        <v>127.44394198062595</v>
      </c>
      <c r="D47" s="25">
        <f>F3</f>
        <v>4.2632226981025712</v>
      </c>
      <c r="E47">
        <v>0.49199999999999999</v>
      </c>
      <c r="G47" s="5">
        <f>S3*O3*1000</f>
        <v>0.3247321478042306</v>
      </c>
      <c r="H47" s="36"/>
      <c r="I47" s="36"/>
      <c r="J47" s="25">
        <v>4.2444180924655104</v>
      </c>
      <c r="K47">
        <v>238.87889999999999</v>
      </c>
      <c r="M47" s="5">
        <f>C47*Q47</f>
        <v>219.923995478764</v>
      </c>
      <c r="O47">
        <v>1.8744000000000001</v>
      </c>
      <c r="Q47" s="5">
        <v>1.7256528012308101</v>
      </c>
      <c r="T47" s="9">
        <f>(E47-G47)/G47</f>
        <v>0.51509483531827349</v>
      </c>
      <c r="U47" s="4" t="e">
        <f>(F47-G47)/F47</f>
        <v>#DIV/0!</v>
      </c>
      <c r="V47" s="38">
        <f>(K47-M47)/M47</f>
        <v>8.6188432871874984E-2</v>
      </c>
      <c r="W47" s="38">
        <f>(L47-M47)/M47</f>
        <v>-1</v>
      </c>
      <c r="X47" s="4">
        <f>(O47-Q47)/Q47</f>
        <v>8.6197639909428497E-2</v>
      </c>
      <c r="Y47" s="4">
        <f>(P47-Q47)/Q47</f>
        <v>-1</v>
      </c>
    </row>
    <row r="48" spans="1:25" x14ac:dyDescent="0.25">
      <c r="A48" s="22">
        <f>AVERAGE(B47:B51)</f>
        <v>1216</v>
      </c>
      <c r="B48" s="2">
        <f>B4</f>
        <v>1214</v>
      </c>
      <c r="C48" s="10">
        <f t="shared" ref="C48:C51" si="29">B48*2*PI()/60</f>
        <v>127.12978271526696</v>
      </c>
      <c r="D48" s="25">
        <f>F4</f>
        <v>3.7487816777695127</v>
      </c>
      <c r="E48">
        <v>0.501</v>
      </c>
      <c r="G48" s="5">
        <f>S4*O4*1000</f>
        <v>0.35673312429200765</v>
      </c>
      <c r="H48" s="36"/>
      <c r="I48" s="36"/>
      <c r="J48" s="25">
        <v>3.7878232240313827</v>
      </c>
      <c r="K48">
        <v>219.1018</v>
      </c>
      <c r="M48" s="5">
        <f>C48*Q48</f>
        <v>201.06346911209982</v>
      </c>
      <c r="O48">
        <v>1.7234</v>
      </c>
      <c r="Q48" s="5">
        <v>1.5815607076307401</v>
      </c>
      <c r="T48" s="9">
        <f t="shared" ref="T48:T51" si="30">(E48-G48)/G48</f>
        <v>0.40441121354881859</v>
      </c>
      <c r="U48" s="4" t="e">
        <f>(F48-G48)/F48</f>
        <v>#DIV/0!</v>
      </c>
      <c r="V48" s="38">
        <f t="shared" ref="V48:V67" si="31">(K48-M48)/M48</f>
        <v>8.9714610851776261E-2</v>
      </c>
      <c r="W48" s="38">
        <f t="shared" ref="W48:W67" si="32">(L48-M48)/M48</f>
        <v>-1</v>
      </c>
      <c r="X48" s="4">
        <f t="shared" ref="X48:X67" si="33">(O48-Q48)/Q48</f>
        <v>8.9683115978356959E-2</v>
      </c>
      <c r="Y48" s="4">
        <f t="shared" ref="Y48:Y67" si="34">(P48-Q48)/Q48</f>
        <v>-1</v>
      </c>
    </row>
    <row r="49" spans="1:25" x14ac:dyDescent="0.25">
      <c r="A49" s="23"/>
      <c r="B49" s="2">
        <f>B5</f>
        <v>1217</v>
      </c>
      <c r="C49" s="10">
        <f t="shared" si="29"/>
        <v>127.44394198062595</v>
      </c>
      <c r="D49" s="25">
        <f>F5</f>
        <v>3.411492883316626</v>
      </c>
      <c r="E49">
        <v>0.51100000000000001</v>
      </c>
      <c r="G49" s="5">
        <f>S5*O5*1000</f>
        <v>0.45316198723503576</v>
      </c>
      <c r="H49" s="36"/>
      <c r="I49" s="36"/>
      <c r="J49" s="25">
        <v>3.4480098649583537</v>
      </c>
      <c r="K49">
        <v>206.6695</v>
      </c>
      <c r="M49" s="5">
        <f>C49*Q49</f>
        <v>193.63025834579085</v>
      </c>
      <c r="O49">
        <v>1.6216999999999999</v>
      </c>
      <c r="Q49" s="5">
        <v>1.5193367008000001</v>
      </c>
      <c r="T49" s="9">
        <f t="shared" si="30"/>
        <v>0.12763209270455897</v>
      </c>
      <c r="U49" s="4" t="e">
        <f>(F49-G49)/F49</f>
        <v>#DIV/0!</v>
      </c>
      <c r="V49" s="38">
        <f t="shared" si="31"/>
        <v>6.7340929902201918E-2</v>
      </c>
      <c r="W49" s="38">
        <f t="shared" si="32"/>
        <v>-1</v>
      </c>
      <c r="X49" s="4">
        <f t="shared" si="33"/>
        <v>6.7373676385294276E-2</v>
      </c>
      <c r="Y49" s="4">
        <f t="shared" si="34"/>
        <v>-1</v>
      </c>
    </row>
    <row r="50" spans="1:25" x14ac:dyDescent="0.25">
      <c r="A50" s="23"/>
      <c r="B50" s="2">
        <f>B6</f>
        <v>1215</v>
      </c>
      <c r="C50" s="10">
        <f t="shared" si="29"/>
        <v>127.23450247038662</v>
      </c>
      <c r="D50" s="25">
        <f>F6</f>
        <v>3.0036465230416098</v>
      </c>
      <c r="E50">
        <v>0.52210000000000001</v>
      </c>
      <c r="G50" s="5">
        <f>S6*O6*1000</f>
        <v>0.45543527309811571</v>
      </c>
      <c r="H50" s="36"/>
      <c r="I50" s="36"/>
      <c r="J50" s="25">
        <v>3.0515120209205819</v>
      </c>
      <c r="K50">
        <v>187.97309999999999</v>
      </c>
      <c r="M50" s="5">
        <f>C50*Q50</f>
        <v>176.89683334223687</v>
      </c>
      <c r="O50">
        <v>1.4774</v>
      </c>
      <c r="Q50" s="5">
        <v>1.39032125648001</v>
      </c>
      <c r="T50" s="9">
        <f t="shared" si="30"/>
        <v>0.14637585369353359</v>
      </c>
      <c r="U50" s="4" t="e">
        <f>(F50-G50)/F50</f>
        <v>#DIV/0!</v>
      </c>
      <c r="V50" s="38">
        <f t="shared" si="31"/>
        <v>6.2614273237634507E-2</v>
      </c>
      <c r="W50" s="38">
        <f t="shared" si="32"/>
        <v>-1</v>
      </c>
      <c r="X50" s="4">
        <f t="shared" si="33"/>
        <v>6.2632102554811234E-2</v>
      </c>
      <c r="Y50" s="4">
        <f t="shared" si="34"/>
        <v>-1</v>
      </c>
    </row>
    <row r="51" spans="1:25" x14ac:dyDescent="0.25">
      <c r="A51" s="23"/>
      <c r="B51" s="2">
        <f>B7</f>
        <v>1217</v>
      </c>
      <c r="C51" s="10">
        <f t="shared" si="29"/>
        <v>127.44394198062595</v>
      </c>
      <c r="D51" s="25">
        <f>F7</f>
        <v>2.3975521098447876</v>
      </c>
      <c r="E51">
        <v>0.54620000000000002</v>
      </c>
      <c r="G51" s="5">
        <f>S7*O7*1000</f>
        <v>0.45359213147780497</v>
      </c>
      <c r="H51" s="36"/>
      <c r="I51" s="36"/>
      <c r="J51" s="25">
        <v>2.2725055761034807</v>
      </c>
      <c r="K51">
        <v>160.74780000000001</v>
      </c>
      <c r="M51" s="5">
        <f>C51*Q51</f>
        <v>150.01311193399283</v>
      </c>
      <c r="O51">
        <v>1.2613000000000001</v>
      </c>
      <c r="Q51" s="5">
        <v>1.1770909593866601</v>
      </c>
      <c r="T51" s="9">
        <f t="shared" si="30"/>
        <v>0.20416550926595275</v>
      </c>
      <c r="U51" s="4" t="e">
        <f>(F51-G51)/F51</f>
        <v>#DIV/0!</v>
      </c>
      <c r="V51" s="38">
        <f t="shared" si="31"/>
        <v>7.1558331985876966E-2</v>
      </c>
      <c r="W51" s="38">
        <f t="shared" si="32"/>
        <v>-1</v>
      </c>
      <c r="X51" s="4">
        <f t="shared" si="33"/>
        <v>7.1539960392881033E-2</v>
      </c>
      <c r="Y51" s="4">
        <f t="shared" si="34"/>
        <v>-1</v>
      </c>
    </row>
    <row r="52" spans="1:25" x14ac:dyDescent="0.25">
      <c r="A52" s="24"/>
      <c r="B52" s="19"/>
      <c r="C52" s="16"/>
      <c r="D52" s="20"/>
      <c r="E52" s="16"/>
      <c r="F52" s="16"/>
      <c r="G52" s="16"/>
      <c r="H52" s="36"/>
      <c r="I52" s="36"/>
      <c r="J52" s="20"/>
      <c r="K52" s="16"/>
      <c r="L52" s="16"/>
      <c r="M52" s="16"/>
      <c r="N52" s="16"/>
      <c r="O52" s="16"/>
      <c r="P52" s="16"/>
      <c r="Q52" s="16"/>
      <c r="R52" s="16"/>
      <c r="S52" s="16"/>
      <c r="T52" s="17"/>
      <c r="U52" s="18"/>
      <c r="V52" s="18"/>
      <c r="W52" s="18"/>
      <c r="X52" s="18"/>
      <c r="Y52" s="18"/>
    </row>
    <row r="53" spans="1:25" x14ac:dyDescent="0.25">
      <c r="A53" s="24"/>
      <c r="B53" s="16"/>
      <c r="C53" s="16"/>
      <c r="D53" s="20"/>
      <c r="E53" s="16"/>
      <c r="F53" s="16"/>
      <c r="G53" s="16"/>
      <c r="H53" s="36"/>
      <c r="I53" s="36"/>
      <c r="J53" s="20"/>
      <c r="K53" s="16"/>
      <c r="L53" s="16"/>
      <c r="M53" s="16"/>
      <c r="N53" s="16"/>
      <c r="O53" s="16"/>
      <c r="P53" s="16"/>
      <c r="Q53" s="16"/>
      <c r="R53" s="16"/>
      <c r="S53" s="16"/>
      <c r="T53" s="17"/>
      <c r="U53" s="18"/>
      <c r="V53" s="18"/>
      <c r="W53" s="18"/>
      <c r="X53" s="18"/>
      <c r="Y53" s="18"/>
    </row>
    <row r="54" spans="1:25" x14ac:dyDescent="0.25">
      <c r="B54" s="2">
        <v>1427</v>
      </c>
      <c r="C54" s="10">
        <f>B54*2*PI()/60</f>
        <v>149.4350905557545</v>
      </c>
      <c r="D54" s="25">
        <f t="shared" ref="D54:D59" si="35">F9</f>
        <v>5.253362586763715</v>
      </c>
      <c r="E54">
        <v>0.59840000000000004</v>
      </c>
      <c r="G54" s="5">
        <f t="shared" ref="G54:G59" si="36">S9*O9*1000</f>
        <v>0.49942621079699617</v>
      </c>
      <c r="H54" s="36"/>
      <c r="I54" s="36"/>
      <c r="J54" s="25">
        <v>5.2406701587576698</v>
      </c>
      <c r="K54">
        <v>319.50790000000001</v>
      </c>
      <c r="M54" s="5">
        <f>C54*Q54</f>
        <v>312.41254145595809</v>
      </c>
      <c r="O54">
        <v>2.1381000000000001</v>
      </c>
      <c r="Q54" s="5">
        <v>2.0906236968444598</v>
      </c>
      <c r="T54" s="9">
        <f>(E54-G54)/G54</f>
        <v>0.19817499975633868</v>
      </c>
      <c r="U54" s="4" t="e">
        <f t="shared" ref="U54:U59" si="37">(F54-G54)/F54</f>
        <v>#DIV/0!</v>
      </c>
      <c r="V54" s="38">
        <f t="shared" ref="V54:V58" si="38">(K54-M54)/M54</f>
        <v>2.2711503549041012E-2</v>
      </c>
      <c r="W54" s="38">
        <f t="shared" ref="W54:W58" si="39">(L54-M54)/M54</f>
        <v>-1</v>
      </c>
      <c r="X54" s="4">
        <f t="shared" ref="X54:X58" si="40">(O54-Q54)/Q54</f>
        <v>2.27091576677333E-2</v>
      </c>
      <c r="Y54" s="4">
        <f>(P54-Q54)/Q54</f>
        <v>-1</v>
      </c>
    </row>
    <row r="55" spans="1:25" x14ac:dyDescent="0.25">
      <c r="A55" s="22">
        <f>AVERAGE(B54:B59)</f>
        <v>1416.6666666666667</v>
      </c>
      <c r="B55" s="2">
        <f>B10</f>
        <v>1411</v>
      </c>
      <c r="C55" s="10">
        <f>B55*2*PI()/60</f>
        <v>147.75957447383993</v>
      </c>
      <c r="D55" s="25">
        <f t="shared" si="35"/>
        <v>4.8223075689095696</v>
      </c>
      <c r="E55">
        <v>0.59460000000000002</v>
      </c>
      <c r="G55" s="5">
        <f t="shared" si="36"/>
        <v>0.51458234662294589</v>
      </c>
      <c r="H55" s="36"/>
      <c r="I55" s="36"/>
      <c r="J55" s="25">
        <v>4.8223075689095696</v>
      </c>
      <c r="K55">
        <v>303.77890000000002</v>
      </c>
      <c r="M55" s="5">
        <f>Q55*C55</f>
        <v>277.23925387205941</v>
      </c>
      <c r="O55">
        <v>2.0558999999999998</v>
      </c>
      <c r="Q55" s="5">
        <v>1.8762862228000201</v>
      </c>
      <c r="T55" s="9">
        <f t="shared" ref="T55:T59" si="41">(E55-G55)/G55</f>
        <v>0.1555001913730362</v>
      </c>
      <c r="U55" s="4" t="e">
        <f t="shared" si="37"/>
        <v>#DIV/0!</v>
      </c>
      <c r="V55" s="38">
        <f t="shared" si="38"/>
        <v>9.5728313207004048E-2</v>
      </c>
      <c r="W55" s="38">
        <f t="shared" si="39"/>
        <v>-1</v>
      </c>
      <c r="X55" s="4">
        <f t="shared" si="40"/>
        <v>9.5728346249826651E-2</v>
      </c>
      <c r="Y55" s="4">
        <f t="shared" ref="Y55:Y58" si="42">(P55-Q55)/Q55</f>
        <v>-1</v>
      </c>
    </row>
    <row r="56" spans="1:25" x14ac:dyDescent="0.25">
      <c r="A56" s="23"/>
      <c r="B56" s="2">
        <f>B11</f>
        <v>1412</v>
      </c>
      <c r="C56" s="10">
        <f t="shared" ref="C56:C59" si="43">B56*2*PI()/60</f>
        <v>147.86429422895961</v>
      </c>
      <c r="D56" s="25">
        <f t="shared" si="35"/>
        <v>4.236297847863618</v>
      </c>
      <c r="E56">
        <v>0.60880000000000001</v>
      </c>
      <c r="G56" s="5">
        <f t="shared" si="36"/>
        <v>0.48213212885652895</v>
      </c>
      <c r="H56" s="36"/>
      <c r="I56" s="36"/>
      <c r="J56" s="25">
        <v>4.2133657686475736</v>
      </c>
      <c r="K56">
        <v>277.88060000000002</v>
      </c>
      <c r="M56" s="5">
        <f>C56*Q56</f>
        <v>252.5835649599077</v>
      </c>
      <c r="O56">
        <v>1.8793</v>
      </c>
      <c r="Q56" s="5">
        <v>1.7082120215499501</v>
      </c>
      <c r="T56" s="9">
        <f t="shared" si="41"/>
        <v>0.26272439350575699</v>
      </c>
      <c r="U56" s="4" t="e">
        <f t="shared" si="37"/>
        <v>#DIV/0!</v>
      </c>
      <c r="V56" s="38">
        <f t="shared" si="38"/>
        <v>0.10015313167389842</v>
      </c>
      <c r="W56" s="38">
        <f t="shared" si="39"/>
        <v>-1</v>
      </c>
      <c r="X56" s="4">
        <f t="shared" si="40"/>
        <v>0.10015617282380017</v>
      </c>
      <c r="Y56" s="4">
        <f t="shared" si="42"/>
        <v>-1</v>
      </c>
    </row>
    <row r="57" spans="1:25" x14ac:dyDescent="0.25">
      <c r="A57" s="23"/>
      <c r="B57" s="2">
        <f>B12</f>
        <v>1415</v>
      </c>
      <c r="C57" s="10">
        <f t="shared" si="43"/>
        <v>148.17845349431857</v>
      </c>
      <c r="D57" s="25">
        <f t="shared" si="35"/>
        <v>3.661602244140135</v>
      </c>
      <c r="G57" s="5">
        <f t="shared" si="36"/>
        <v>0.55282985811386409</v>
      </c>
      <c r="H57" s="36"/>
      <c r="I57" s="36"/>
      <c r="J57" s="25">
        <v>3.6648343363992262</v>
      </c>
      <c r="M57" s="5">
        <f>C57*Q57</f>
        <v>233.85095355199863</v>
      </c>
      <c r="Q57" s="5">
        <v>1.5781711040800199</v>
      </c>
      <c r="T57" s="9">
        <f>(E57-G57)/G57</f>
        <v>-1</v>
      </c>
      <c r="U57" s="4" t="e">
        <f t="shared" si="37"/>
        <v>#DIV/0!</v>
      </c>
      <c r="V57" s="38">
        <f t="shared" si="38"/>
        <v>-1</v>
      </c>
      <c r="W57" s="38">
        <f t="shared" si="39"/>
        <v>-1</v>
      </c>
      <c r="X57" s="4">
        <f t="shared" si="40"/>
        <v>-1</v>
      </c>
      <c r="Y57" s="4">
        <f t="shared" si="42"/>
        <v>-1</v>
      </c>
    </row>
    <row r="58" spans="1:25" x14ac:dyDescent="0.25">
      <c r="A58" s="23"/>
      <c r="B58" s="2">
        <f>B13</f>
        <v>1412</v>
      </c>
      <c r="C58" s="10">
        <f t="shared" si="43"/>
        <v>147.86429422895961</v>
      </c>
      <c r="D58" s="25">
        <f t="shared" si="35"/>
        <v>2.9220510847489072</v>
      </c>
      <c r="E58">
        <v>0.64359999999999995</v>
      </c>
      <c r="G58" s="5">
        <f t="shared" si="36"/>
        <v>0.55064360312853888</v>
      </c>
      <c r="H58" s="36"/>
      <c r="I58" s="36"/>
      <c r="J58" s="25">
        <v>2.9593285147529595</v>
      </c>
      <c r="K58">
        <v>211.71860000000001</v>
      </c>
      <c r="M58" s="5">
        <f>C58*Q58</f>
        <v>203.92491114934344</v>
      </c>
      <c r="O58">
        <v>1.4318</v>
      </c>
      <c r="Q58" s="5">
        <v>1.37913559330001</v>
      </c>
      <c r="T58" s="9">
        <f t="shared" si="41"/>
        <v>0.16881408654040406</v>
      </c>
      <c r="U58" s="4" t="e">
        <f t="shared" si="37"/>
        <v>#DIV/0!</v>
      </c>
      <c r="V58" s="38">
        <f t="shared" si="38"/>
        <v>3.8218424648222081E-2</v>
      </c>
      <c r="W58" s="38">
        <f t="shared" si="39"/>
        <v>-1</v>
      </c>
      <c r="X58" s="4">
        <f t="shared" si="40"/>
        <v>3.8186532894835971E-2</v>
      </c>
      <c r="Y58" s="4">
        <f t="shared" si="42"/>
        <v>-1</v>
      </c>
    </row>
    <row r="59" spans="1:25" x14ac:dyDescent="0.25">
      <c r="A59" s="23"/>
      <c r="B59" s="2">
        <f>B14</f>
        <v>1423</v>
      </c>
      <c r="C59" s="10">
        <f t="shared" si="43"/>
        <v>149.01621153527586</v>
      </c>
      <c r="D59" s="25">
        <f t="shared" si="35"/>
        <v>2.6698755104625538</v>
      </c>
      <c r="G59" s="5">
        <f t="shared" si="36"/>
        <v>0.60090268980389583</v>
      </c>
      <c r="H59" s="36"/>
      <c r="I59" s="36"/>
      <c r="J59" s="25">
        <v>2.6546208338669319</v>
      </c>
      <c r="M59" s="5">
        <f>C59*Q59</f>
        <v>199.07794559162474</v>
      </c>
      <c r="Q59" s="5">
        <v>1.3359482403999918</v>
      </c>
      <c r="T59" s="9">
        <f t="shared" si="41"/>
        <v>-1</v>
      </c>
      <c r="U59" s="4" t="e">
        <f t="shared" si="37"/>
        <v>#DIV/0!</v>
      </c>
      <c r="V59" s="38">
        <f t="shared" si="31"/>
        <v>-1</v>
      </c>
      <c r="W59" s="38">
        <f t="shared" si="32"/>
        <v>-1</v>
      </c>
      <c r="X59" s="4">
        <f>(O59-Q59)/Q59</f>
        <v>-1</v>
      </c>
      <c r="Y59" s="4">
        <f t="shared" si="34"/>
        <v>-1</v>
      </c>
    </row>
    <row r="60" spans="1:25" x14ac:dyDescent="0.25">
      <c r="A60" s="24"/>
      <c r="B60" s="16"/>
      <c r="C60" s="16"/>
      <c r="D60" s="20"/>
      <c r="E60" s="16"/>
      <c r="F60" s="16"/>
      <c r="G60" s="16"/>
      <c r="H60" s="36"/>
      <c r="I60" s="36"/>
      <c r="J60" s="20"/>
      <c r="K60" s="16"/>
      <c r="L60" s="16"/>
      <c r="M60" s="16"/>
      <c r="N60" s="16"/>
      <c r="O60" s="16"/>
      <c r="P60" s="16"/>
      <c r="Q60" s="16"/>
      <c r="R60" s="16"/>
      <c r="S60" s="16"/>
      <c r="T60" s="17"/>
      <c r="U60" s="18"/>
      <c r="V60" s="18"/>
      <c r="W60" s="18"/>
      <c r="X60" s="18"/>
      <c r="Y60" s="18"/>
    </row>
    <row r="61" spans="1:25" x14ac:dyDescent="0.25">
      <c r="A61" s="24"/>
      <c r="B61" s="16"/>
      <c r="C61" s="16"/>
      <c r="D61" s="20"/>
      <c r="E61" s="16"/>
      <c r="F61" s="16"/>
      <c r="G61" s="16"/>
      <c r="H61" s="36"/>
      <c r="I61" s="36"/>
      <c r="J61" s="20"/>
      <c r="K61" s="16"/>
      <c r="L61" s="16"/>
      <c r="M61" s="16"/>
      <c r="N61" s="16"/>
      <c r="O61" s="16"/>
      <c r="P61" s="16"/>
      <c r="Q61" s="16"/>
      <c r="R61" s="16"/>
      <c r="S61" s="16"/>
      <c r="T61" s="17"/>
      <c r="U61" s="18"/>
      <c r="V61" s="18"/>
      <c r="W61" s="18"/>
      <c r="X61" s="18"/>
      <c r="Y61" s="18"/>
    </row>
    <row r="62" spans="1:25" x14ac:dyDescent="0.25">
      <c r="B62" s="2">
        <f t="shared" ref="B62:B67" si="44">B16</f>
        <v>1638</v>
      </c>
      <c r="C62" s="10">
        <f t="shared" ref="C62:C67" si="45">B62*2*PI()/60</f>
        <v>171.53095888600271</v>
      </c>
      <c r="D62" s="25">
        <f t="shared" ref="D62:D67" si="46">F16</f>
        <v>5.3598489235258446</v>
      </c>
      <c r="E62">
        <v>0.72140000000000004</v>
      </c>
      <c r="G62" s="5">
        <f t="shared" ref="G62:G67" si="47">S16*O16*1000</f>
        <v>0.50962255574596027</v>
      </c>
      <c r="H62" s="36"/>
      <c r="I62" s="36"/>
      <c r="J62" s="25">
        <v>5.2676677023988514</v>
      </c>
      <c r="K62">
        <v>376.358</v>
      </c>
      <c r="M62" s="5">
        <f t="shared" ref="M62:M67" si="48">C62*Q62</f>
        <v>350.36119156039933</v>
      </c>
      <c r="O62">
        <v>2.1941000000000002</v>
      </c>
      <c r="Q62" s="5">
        <v>2.0425536814799998</v>
      </c>
      <c r="T62" s="9">
        <f>(E62-G62)/G62</f>
        <v>0.41555743925825739</v>
      </c>
      <c r="U62" s="4" t="e">
        <f t="shared" ref="U62:U67" si="49">(F62-G62)/F62</f>
        <v>#DIV/0!</v>
      </c>
      <c r="V62" s="38">
        <f t="shared" si="31"/>
        <v>7.420002290727179E-2</v>
      </c>
      <c r="W62" s="38">
        <f t="shared" si="32"/>
        <v>-1</v>
      </c>
      <c r="X62" s="4">
        <f t="shared" si="33"/>
        <v>7.4194533976797344E-2</v>
      </c>
      <c r="Y62" s="4">
        <f t="shared" si="34"/>
        <v>-1</v>
      </c>
    </row>
    <row r="63" spans="1:25" x14ac:dyDescent="0.25">
      <c r="A63" s="22">
        <f>AVERAGE(B62:B67)</f>
        <v>1638.8333333333333</v>
      </c>
      <c r="B63" s="2">
        <f t="shared" si="44"/>
        <v>1638</v>
      </c>
      <c r="C63" s="10">
        <f t="shared" si="45"/>
        <v>171.53095888600271</v>
      </c>
      <c r="D63" s="25">
        <f t="shared" si="46"/>
        <v>4.5488778229227878</v>
      </c>
      <c r="E63">
        <v>0.7359</v>
      </c>
      <c r="G63" s="5">
        <f t="shared" si="47"/>
        <v>0.60263466997840687</v>
      </c>
      <c r="H63" s="36"/>
      <c r="I63" s="36"/>
      <c r="J63" s="25">
        <v>4.5360871409008512</v>
      </c>
      <c r="K63">
        <v>344.49310000000003</v>
      </c>
      <c r="M63" s="5">
        <f t="shared" si="48"/>
        <v>318.37107478027991</v>
      </c>
      <c r="O63">
        <v>2.0083000000000002</v>
      </c>
      <c r="Q63" s="5">
        <v>1.85605605453337</v>
      </c>
      <c r="T63" s="9">
        <f t="shared" ref="T63:T67" si="50">(E63-G63)/G63</f>
        <v>0.2211378413166441</v>
      </c>
      <c r="U63" s="4" t="e">
        <f t="shared" si="49"/>
        <v>#DIV/0!</v>
      </c>
      <c r="V63" s="38">
        <f t="shared" si="31"/>
        <v>8.2048990278868542E-2</v>
      </c>
      <c r="W63" s="38">
        <f t="shared" si="32"/>
        <v>-1</v>
      </c>
      <c r="X63" s="4">
        <f t="shared" si="33"/>
        <v>8.2025510541439861E-2</v>
      </c>
      <c r="Y63" s="4">
        <f t="shared" si="34"/>
        <v>-1</v>
      </c>
    </row>
    <row r="64" spans="1:25" x14ac:dyDescent="0.25">
      <c r="A64" s="22"/>
      <c r="B64" s="2">
        <f t="shared" si="44"/>
        <v>1639</v>
      </c>
      <c r="C64" s="10">
        <f t="shared" si="45"/>
        <v>171.63567864112238</v>
      </c>
      <c r="D64" s="25">
        <f t="shared" si="46"/>
        <v>3.6851917499746314</v>
      </c>
      <c r="E64">
        <v>0.75780000000000003</v>
      </c>
      <c r="G64" s="5">
        <f t="shared" si="47"/>
        <v>0.69666610752823155</v>
      </c>
      <c r="H64" s="36"/>
      <c r="I64" s="36"/>
      <c r="J64" s="25">
        <v>3.6590501925338441</v>
      </c>
      <c r="K64">
        <v>297.77809999999999</v>
      </c>
      <c r="M64" s="5">
        <f t="shared" si="48"/>
        <v>289.30173145285579</v>
      </c>
      <c r="O64">
        <v>1.7349000000000001</v>
      </c>
      <c r="Q64" s="5">
        <v>1.6855570691555599</v>
      </c>
      <c r="T64" s="9">
        <f t="shared" si="50"/>
        <v>8.7752069192329848E-2</v>
      </c>
      <c r="U64" s="4" t="e">
        <f t="shared" si="49"/>
        <v>#DIV/0!</v>
      </c>
      <c r="V64" s="38">
        <f t="shared" si="31"/>
        <v>2.9299404827535579E-2</v>
      </c>
      <c r="W64" s="38">
        <f t="shared" si="32"/>
        <v>-1</v>
      </c>
      <c r="X64" s="4">
        <f t="shared" si="33"/>
        <v>2.9273960370360109E-2</v>
      </c>
      <c r="Y64" s="4">
        <f t="shared" si="34"/>
        <v>-1</v>
      </c>
    </row>
    <row r="65" spans="1:25" x14ac:dyDescent="0.25">
      <c r="A65" s="23"/>
      <c r="B65" s="2">
        <f t="shared" si="44"/>
        <v>1639</v>
      </c>
      <c r="C65" s="10">
        <f t="shared" si="45"/>
        <v>171.63567864112238</v>
      </c>
      <c r="D65" s="25">
        <f t="shared" si="46"/>
        <v>3.2641584944265172</v>
      </c>
      <c r="E65">
        <v>0.76890000000000003</v>
      </c>
      <c r="G65" s="5">
        <f t="shared" si="47"/>
        <v>0.73556884310464887</v>
      </c>
      <c r="H65" s="36"/>
      <c r="I65" s="36"/>
      <c r="J65" s="25">
        <v>3.2748617732348366</v>
      </c>
      <c r="K65">
        <v>274.09030000000001</v>
      </c>
      <c r="M65" s="5">
        <f t="shared" si="48"/>
        <v>271.84554968579704</v>
      </c>
      <c r="O65">
        <v>1.5969</v>
      </c>
      <c r="Q65" s="5">
        <v>1.58385221440005</v>
      </c>
      <c r="T65" s="9">
        <f t="shared" si="50"/>
        <v>4.53134430689979E-2</v>
      </c>
      <c r="U65" s="4" t="e">
        <f t="shared" si="49"/>
        <v>#DIV/0!</v>
      </c>
      <c r="V65" s="38">
        <f t="shared" si="31"/>
        <v>8.2574473512532724E-3</v>
      </c>
      <c r="W65" s="38">
        <f>(L65-M65)/M65</f>
        <v>-1</v>
      </c>
      <c r="X65" s="4">
        <f t="shared" si="33"/>
        <v>8.2380069815367243E-3</v>
      </c>
      <c r="Y65" s="4">
        <f t="shared" si="34"/>
        <v>-1</v>
      </c>
    </row>
    <row r="66" spans="1:25" x14ac:dyDescent="0.25">
      <c r="A66" s="23"/>
      <c r="B66" s="2">
        <f t="shared" si="44"/>
        <v>1639</v>
      </c>
      <c r="C66" s="10">
        <f t="shared" si="45"/>
        <v>171.63567864112238</v>
      </c>
      <c r="D66" s="25">
        <f t="shared" si="46"/>
        <v>3.0682354873155337</v>
      </c>
      <c r="E66">
        <v>0.77549999999999997</v>
      </c>
      <c r="G66" s="5">
        <f t="shared" si="47"/>
        <v>0.80311495788323939</v>
      </c>
      <c r="H66" s="36"/>
      <c r="I66" s="36"/>
      <c r="J66" s="25">
        <v>3.0456727654803633</v>
      </c>
      <c r="K66">
        <v>262.77359999999999</v>
      </c>
      <c r="M66" s="5">
        <f t="shared" si="48"/>
        <v>257.37260775625094</v>
      </c>
      <c r="O66">
        <v>1.5309999999999999</v>
      </c>
      <c r="Q66" s="5">
        <v>1.49952859332003</v>
      </c>
      <c r="T66" s="9">
        <f t="shared" si="50"/>
        <v>-3.438481329749335E-2</v>
      </c>
      <c r="U66" s="4" t="e">
        <f t="shared" si="49"/>
        <v>#DIV/0!</v>
      </c>
      <c r="V66" s="38">
        <f t="shared" si="31"/>
        <v>2.0985109063603791E-2</v>
      </c>
      <c r="W66" s="38">
        <f>(L66-M66)/M66</f>
        <v>-1</v>
      </c>
      <c r="X66" s="4">
        <f t="shared" si="33"/>
        <v>2.0987533562324884E-2</v>
      </c>
      <c r="Y66" s="4">
        <f t="shared" si="34"/>
        <v>-1</v>
      </c>
    </row>
    <row r="67" spans="1:25" x14ac:dyDescent="0.25">
      <c r="A67" s="23"/>
      <c r="B67" s="2">
        <f t="shared" si="44"/>
        <v>1640</v>
      </c>
      <c r="C67" s="10">
        <f t="shared" si="45"/>
        <v>171.74039839624203</v>
      </c>
      <c r="D67" s="25">
        <f t="shared" si="46"/>
        <v>2.8293806275398508</v>
      </c>
      <c r="E67">
        <v>0.78380000000000005</v>
      </c>
      <c r="G67" s="5">
        <f t="shared" si="47"/>
        <v>0.84332212411016105</v>
      </c>
      <c r="H67" s="36"/>
      <c r="I67" s="36"/>
      <c r="J67" s="25">
        <v>2.8706691758127212</v>
      </c>
      <c r="K67">
        <v>247.8826</v>
      </c>
      <c r="M67" s="5">
        <f t="shared" si="48"/>
        <v>242.54161373792925</v>
      </c>
      <c r="O67">
        <v>1.4434</v>
      </c>
      <c r="Q67" s="5">
        <v>1.4122571975076801</v>
      </c>
      <c r="T67" s="9">
        <f t="shared" si="50"/>
        <v>-7.0580531932523782E-2</v>
      </c>
      <c r="U67" s="4" t="e">
        <f t="shared" si="49"/>
        <v>#DIV/0!</v>
      </c>
      <c r="V67" s="38">
        <f t="shared" si="31"/>
        <v>2.2020906762176402E-2</v>
      </c>
      <c r="W67" s="38">
        <f t="shared" si="32"/>
        <v>-1</v>
      </c>
      <c r="X67" s="4">
        <f t="shared" si="33"/>
        <v>2.2051792369888468E-2</v>
      </c>
      <c r="Y67" s="4">
        <f t="shared" si="34"/>
        <v>-1</v>
      </c>
    </row>
    <row r="68" spans="1:25" x14ac:dyDescent="0.25">
      <c r="A68" s="24"/>
      <c r="B68" s="16"/>
      <c r="C68" s="16"/>
      <c r="D68" s="20"/>
      <c r="E68" s="16"/>
      <c r="F68" s="16"/>
      <c r="G68" s="16"/>
      <c r="H68" s="36"/>
      <c r="I68" s="36"/>
      <c r="J68" s="20"/>
      <c r="K68" s="16"/>
      <c r="L68" s="16"/>
      <c r="M68" s="16"/>
      <c r="N68" s="16"/>
      <c r="O68" s="16"/>
      <c r="P68" s="16"/>
      <c r="Q68" s="16"/>
      <c r="R68" s="16"/>
      <c r="S68" s="16"/>
      <c r="T68" s="17"/>
      <c r="U68" s="18"/>
      <c r="V68" s="18"/>
      <c r="W68" s="18"/>
      <c r="X68" s="18"/>
      <c r="Y68" s="18"/>
    </row>
    <row r="69" spans="1:25" x14ac:dyDescent="0.25">
      <c r="A69" s="24"/>
      <c r="B69" s="16"/>
      <c r="C69" s="16"/>
      <c r="D69" s="20"/>
      <c r="E69" s="16"/>
      <c r="F69" s="16"/>
      <c r="G69" s="16"/>
      <c r="H69" s="36"/>
      <c r="I69" s="36"/>
      <c r="J69" s="20"/>
      <c r="K69" s="16"/>
      <c r="L69" s="16"/>
      <c r="M69" s="16"/>
      <c r="N69" s="16"/>
      <c r="O69" s="16"/>
      <c r="P69" s="16"/>
      <c r="Q69" s="16"/>
      <c r="R69" s="26" t="s">
        <v>40</v>
      </c>
      <c r="S69" s="16"/>
      <c r="T69" s="16"/>
      <c r="U69" s="16"/>
      <c r="V69" s="16"/>
      <c r="W69" s="16"/>
      <c r="X69" s="16"/>
      <c r="Y69" s="16"/>
    </row>
    <row r="70" spans="1:25" x14ac:dyDescent="0.25">
      <c r="A70" s="22">
        <f>AVERAGE(B70:B77)</f>
        <v>1838.5</v>
      </c>
      <c r="B70" s="2">
        <f t="shared" ref="B70:B77" si="51">B23</f>
        <v>1837</v>
      </c>
      <c r="C70" s="10">
        <f t="shared" ref="C70:C77" si="52">B70*2*PI()/60</f>
        <v>192.37019015481502</v>
      </c>
      <c r="D70" s="25">
        <f t="shared" ref="D70:D77" si="53">F23</f>
        <v>5.0653949430406557</v>
      </c>
      <c r="E70">
        <v>0.8448</v>
      </c>
      <c r="G70" s="5">
        <f t="shared" ref="G70:G77" si="54">S23*O23*1000</f>
        <v>0.85268071604110685</v>
      </c>
      <c r="H70" s="36"/>
      <c r="I70" s="36"/>
      <c r="J70" s="25">
        <v>5.0955470072880154</v>
      </c>
      <c r="K70">
        <v>417.577</v>
      </c>
      <c r="M70" s="5">
        <f t="shared" ref="M70:M77" si="55">C70*Q70</f>
        <v>414.98108314334672</v>
      </c>
      <c r="O70">
        <v>2.1707000000000001</v>
      </c>
      <c r="Q70" s="5">
        <f>R70*-1</f>
        <v>2.15720056631113</v>
      </c>
      <c r="R70">
        <v>-2.15720056631113</v>
      </c>
      <c r="T70" s="9">
        <f>(E70-G70)/G70</f>
        <v>-9.2422824778963675E-3</v>
      </c>
      <c r="U70" s="4" t="e">
        <f t="shared" ref="U70:U77" si="56">(F70-G70)/F70</f>
        <v>#DIV/0!</v>
      </c>
      <c r="V70" s="38">
        <f t="shared" ref="V70:V77" si="57">(K70-M70)/M70</f>
        <v>6.2555064847535933E-3</v>
      </c>
      <c r="W70" s="38">
        <f t="shared" ref="W70:W77" si="58">(L70-M70)/M70</f>
        <v>-1</v>
      </c>
      <c r="X70" s="4">
        <f t="shared" ref="X70:X71" si="59">(O70-Q70)/Q70</f>
        <v>6.257848203681156E-3</v>
      </c>
      <c r="Y70" s="4">
        <f>(P70-Q70)/Q70</f>
        <v>-1</v>
      </c>
    </row>
    <row r="71" spans="1:25" x14ac:dyDescent="0.25">
      <c r="A71" s="21">
        <v>1.1637999999999999</v>
      </c>
      <c r="B71" s="2">
        <f t="shared" si="51"/>
        <v>1838</v>
      </c>
      <c r="C71" s="10">
        <f t="shared" si="52"/>
        <v>192.47490990993464</v>
      </c>
      <c r="D71" s="25">
        <f t="shared" si="53"/>
        <v>5.112710058958517</v>
      </c>
      <c r="G71" s="5">
        <f t="shared" si="54"/>
        <v>0.86721342675766289</v>
      </c>
      <c r="H71" s="36"/>
      <c r="I71" s="36"/>
      <c r="J71" s="25">
        <v>5.0987237270771244</v>
      </c>
      <c r="M71" s="5">
        <f t="shared" si="55"/>
        <v>423.76836504432305</v>
      </c>
      <c r="Q71" s="5">
        <f t="shared" ref="Q71:Q77" si="60">R71*-1</f>
        <v>2.20168106711996</v>
      </c>
      <c r="R71">
        <v>-2.20168106711996</v>
      </c>
      <c r="T71" s="9">
        <f t="shared" ref="T71:T77" si="61">(E71-G71)/G71</f>
        <v>-1</v>
      </c>
      <c r="U71" s="4" t="e">
        <f t="shared" si="56"/>
        <v>#DIV/0!</v>
      </c>
      <c r="V71" s="38">
        <f t="shared" si="57"/>
        <v>-1</v>
      </c>
      <c r="W71" s="38">
        <f t="shared" si="58"/>
        <v>-1</v>
      </c>
      <c r="X71" s="4">
        <f t="shared" si="59"/>
        <v>-1</v>
      </c>
      <c r="Y71" s="4">
        <f t="shared" ref="Y71:Y77" si="62">(P71-Q71)/Q71</f>
        <v>-1</v>
      </c>
    </row>
    <row r="72" spans="1:25" x14ac:dyDescent="0.25">
      <c r="A72" s="23"/>
      <c r="B72" s="2">
        <f t="shared" si="51"/>
        <v>1837</v>
      </c>
      <c r="C72" s="10">
        <f t="shared" si="52"/>
        <v>192.37019015481502</v>
      </c>
      <c r="D72" s="25">
        <f t="shared" si="53"/>
        <v>4.5816778072219542</v>
      </c>
      <c r="G72" s="5">
        <f t="shared" si="54"/>
        <v>0.85827402956532706</v>
      </c>
      <c r="H72" s="36"/>
      <c r="I72" s="36"/>
      <c r="J72" s="25">
        <v>4.5563243588018114</v>
      </c>
      <c r="M72" s="5">
        <f t="shared" si="55"/>
        <v>377.6009892173239</v>
      </c>
      <c r="Q72" s="5">
        <f t="shared" si="60"/>
        <v>1.9628872275555764</v>
      </c>
      <c r="R72">
        <v>-1.9628872275555764</v>
      </c>
      <c r="T72" s="9">
        <f t="shared" si="61"/>
        <v>-1</v>
      </c>
      <c r="U72" s="4" t="e">
        <f t="shared" si="56"/>
        <v>#DIV/0!</v>
      </c>
      <c r="V72" s="38">
        <f t="shared" si="57"/>
        <v>-1</v>
      </c>
      <c r="W72" s="38">
        <f t="shared" si="58"/>
        <v>-1</v>
      </c>
      <c r="X72" s="4">
        <f>(O72-Q72)/Q72</f>
        <v>-1</v>
      </c>
      <c r="Y72" s="4">
        <f t="shared" si="62"/>
        <v>-1</v>
      </c>
    </row>
    <row r="73" spans="1:25" x14ac:dyDescent="0.25">
      <c r="A73" s="23"/>
      <c r="B73" s="2">
        <f t="shared" si="51"/>
        <v>1839</v>
      </c>
      <c r="C73" s="10">
        <f t="shared" si="52"/>
        <v>192.57962966505431</v>
      </c>
      <c r="D73" s="25">
        <f t="shared" si="53"/>
        <v>4.0282260804900449</v>
      </c>
      <c r="G73" s="5">
        <f t="shared" si="54"/>
        <v>0.90545505322499509</v>
      </c>
      <c r="H73" s="36"/>
      <c r="I73" s="36"/>
      <c r="J73" s="25">
        <v>3.9555644863642447</v>
      </c>
      <c r="M73" s="5">
        <f t="shared" si="55"/>
        <v>348.33822229195874</v>
      </c>
      <c r="Q73" s="5">
        <f t="shared" si="60"/>
        <v>1.8088009770182278</v>
      </c>
      <c r="R73">
        <v>-1.8088009770182278</v>
      </c>
      <c r="T73" s="9">
        <f t="shared" si="61"/>
        <v>-1</v>
      </c>
      <c r="U73" s="4" t="e">
        <f t="shared" si="56"/>
        <v>#DIV/0!</v>
      </c>
      <c r="V73" s="38">
        <f t="shared" si="57"/>
        <v>-1</v>
      </c>
      <c r="W73" s="38">
        <f t="shared" si="58"/>
        <v>-1</v>
      </c>
      <c r="X73" s="4">
        <f t="shared" ref="X73:X77" si="63">(O73-Q73)/Q73</f>
        <v>-1</v>
      </c>
      <c r="Y73" s="4">
        <f t="shared" si="62"/>
        <v>-1</v>
      </c>
    </row>
    <row r="74" spans="1:25" x14ac:dyDescent="0.25">
      <c r="A74" s="23"/>
      <c r="B74" s="2">
        <f t="shared" si="51"/>
        <v>1839</v>
      </c>
      <c r="C74" s="10">
        <f t="shared" si="52"/>
        <v>192.57962966505431</v>
      </c>
      <c r="D74" s="25">
        <f t="shared" si="53"/>
        <v>3.9074120702939243</v>
      </c>
      <c r="E74">
        <v>0.87450000000000006</v>
      </c>
      <c r="G74" s="5">
        <f t="shared" si="54"/>
        <v>1.021740907848405</v>
      </c>
      <c r="H74" s="36"/>
      <c r="I74" s="36"/>
      <c r="J74" s="25">
        <v>3.889458719246051</v>
      </c>
      <c r="K74">
        <v>348.90949999999998</v>
      </c>
      <c r="M74" s="5">
        <f t="shared" si="55"/>
        <v>355.02095386164581</v>
      </c>
      <c r="O74">
        <v>1.8118000000000001</v>
      </c>
      <c r="Q74" s="5">
        <f t="shared" si="60"/>
        <v>1.8435021112000209</v>
      </c>
      <c r="R74">
        <v>-1.8435021112000209</v>
      </c>
      <c r="T74" s="9">
        <f t="shared" si="61"/>
        <v>-0.14410787188551227</v>
      </c>
      <c r="U74" s="4" t="e">
        <f t="shared" si="56"/>
        <v>#DIV/0!</v>
      </c>
      <c r="V74" s="38">
        <f t="shared" si="57"/>
        <v>-1.7214346914372566E-2</v>
      </c>
      <c r="W74" s="38">
        <f t="shared" si="58"/>
        <v>-1</v>
      </c>
      <c r="X74" s="4">
        <f t="shared" si="63"/>
        <v>-1.719667745831031E-2</v>
      </c>
      <c r="Y74" s="4">
        <f t="shared" si="62"/>
        <v>-1</v>
      </c>
    </row>
    <row r="75" spans="1:25" x14ac:dyDescent="0.25">
      <c r="A75" s="23"/>
      <c r="B75" s="2">
        <f t="shared" si="51"/>
        <v>1839</v>
      </c>
      <c r="C75" s="10">
        <f t="shared" si="52"/>
        <v>192.57962966505431</v>
      </c>
      <c r="D75" s="25">
        <f t="shared" si="53"/>
        <v>3.6533986868675403</v>
      </c>
      <c r="G75" s="5">
        <f t="shared" si="54"/>
        <v>1.0884625091260001</v>
      </c>
      <c r="H75" s="36"/>
      <c r="I75" s="36"/>
      <c r="J75" s="25">
        <v>3.5979343489934528</v>
      </c>
      <c r="M75" s="5">
        <f t="shared" si="55"/>
        <v>344.11790533548407</v>
      </c>
      <c r="Q75" s="5">
        <f t="shared" si="60"/>
        <v>1.7868863178000391</v>
      </c>
      <c r="R75">
        <v>-1.7868863178000391</v>
      </c>
      <c r="T75" s="9">
        <f t="shared" si="61"/>
        <v>-1</v>
      </c>
      <c r="U75" s="4" t="e">
        <f t="shared" si="56"/>
        <v>#DIV/0!</v>
      </c>
      <c r="V75" s="38">
        <f t="shared" si="57"/>
        <v>-1</v>
      </c>
      <c r="W75" s="38">
        <f t="shared" si="58"/>
        <v>-1</v>
      </c>
      <c r="X75" s="4">
        <f t="shared" si="63"/>
        <v>-1</v>
      </c>
      <c r="Y75" s="4">
        <f t="shared" si="62"/>
        <v>-1</v>
      </c>
    </row>
    <row r="76" spans="1:25" x14ac:dyDescent="0.25">
      <c r="A76" s="23"/>
      <c r="B76" s="2">
        <f t="shared" si="51"/>
        <v>1839</v>
      </c>
      <c r="C76" s="10">
        <f t="shared" si="52"/>
        <v>192.57962966505431</v>
      </c>
      <c r="D76" s="25">
        <f t="shared" si="53"/>
        <v>3.0732756854133072</v>
      </c>
      <c r="G76" s="5">
        <f t="shared" si="54"/>
        <v>1.0201251626579322</v>
      </c>
      <c r="H76" s="36"/>
      <c r="I76" s="36"/>
      <c r="J76" s="25">
        <v>3.1121112229606274</v>
      </c>
      <c r="M76" s="5">
        <f t="shared" si="55"/>
        <v>310.51013897327994</v>
      </c>
      <c r="Q76" s="5">
        <f t="shared" si="60"/>
        <v>1.612372707920029</v>
      </c>
      <c r="R76">
        <v>-1.612372707920029</v>
      </c>
      <c r="T76" s="9">
        <f t="shared" si="61"/>
        <v>-1</v>
      </c>
      <c r="U76" s="4" t="e">
        <f t="shared" si="56"/>
        <v>#DIV/0!</v>
      </c>
      <c r="V76" s="38">
        <f t="shared" si="57"/>
        <v>-1</v>
      </c>
      <c r="W76" s="38">
        <f t="shared" si="58"/>
        <v>-1</v>
      </c>
      <c r="X76" s="4">
        <f t="shared" si="63"/>
        <v>-1</v>
      </c>
      <c r="Y76" s="4">
        <f t="shared" si="62"/>
        <v>-1</v>
      </c>
    </row>
    <row r="77" spans="1:25" x14ac:dyDescent="0.25">
      <c r="A77" s="23"/>
      <c r="B77" s="2">
        <f t="shared" si="51"/>
        <v>1840</v>
      </c>
      <c r="C77" s="10">
        <f t="shared" si="52"/>
        <v>192.68434942017399</v>
      </c>
      <c r="D77" s="25">
        <f t="shared" si="53"/>
        <v>2.6401044471753301</v>
      </c>
      <c r="E77">
        <v>0.90859999999999996</v>
      </c>
      <c r="G77" s="5">
        <f t="shared" si="54"/>
        <v>1.0094910734070963</v>
      </c>
      <c r="H77" s="36"/>
      <c r="I77" s="36"/>
      <c r="J77" s="25">
        <v>2.6186306105362576</v>
      </c>
      <c r="K77">
        <v>273.20260000000002</v>
      </c>
      <c r="M77" s="5">
        <f t="shared" si="55"/>
        <v>272.32024194294416</v>
      </c>
      <c r="O77">
        <v>1.4178999999999999</v>
      </c>
      <c r="Q77" s="5">
        <f t="shared" si="60"/>
        <v>1.4132971503000145</v>
      </c>
      <c r="R77">
        <v>-1.4132971503000145</v>
      </c>
      <c r="T77" s="9">
        <f t="shared" si="61"/>
        <v>-9.9942511692136707E-2</v>
      </c>
      <c r="U77" s="4" t="e">
        <f t="shared" si="56"/>
        <v>#DIV/0!</v>
      </c>
      <c r="V77" s="38">
        <f t="shared" si="57"/>
        <v>3.2401486234017183E-3</v>
      </c>
      <c r="W77" s="38">
        <f t="shared" si="58"/>
        <v>-1</v>
      </c>
      <c r="X77" s="4">
        <f t="shared" si="63"/>
        <v>3.2568166567153883E-3</v>
      </c>
      <c r="Y77" s="4">
        <f t="shared" si="62"/>
        <v>-1</v>
      </c>
    </row>
    <row r="78" spans="1:25" x14ac:dyDescent="0.25">
      <c r="A78" s="24"/>
      <c r="B78" s="16"/>
      <c r="C78" s="16"/>
      <c r="D78" s="20"/>
      <c r="E78" s="16"/>
      <c r="F78" s="16"/>
      <c r="G78" s="16"/>
      <c r="H78" s="36"/>
      <c r="I78" s="36"/>
      <c r="J78" s="20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x14ac:dyDescent="0.25">
      <c r="A79" s="24"/>
      <c r="B79" s="16"/>
      <c r="C79" s="16"/>
      <c r="D79" s="20"/>
      <c r="E79" s="16"/>
      <c r="F79" s="16"/>
      <c r="G79" s="16"/>
      <c r="H79" s="36"/>
      <c r="I79" s="36"/>
      <c r="J79" s="20"/>
      <c r="K79" s="16"/>
      <c r="L79" s="16"/>
      <c r="M79" s="16"/>
      <c r="N79" s="16"/>
      <c r="O79" s="16"/>
      <c r="P79" s="16"/>
      <c r="Q79" s="16"/>
      <c r="R79" s="26" t="s">
        <v>40</v>
      </c>
      <c r="S79" s="16"/>
      <c r="T79" s="16"/>
      <c r="U79" s="16"/>
      <c r="V79" s="16"/>
      <c r="W79" s="16"/>
      <c r="X79" s="16"/>
      <c r="Y79" s="16"/>
    </row>
    <row r="80" spans="1:25" x14ac:dyDescent="0.25">
      <c r="A80" s="22">
        <f>AVERAGE(B80:B88)</f>
        <v>2110.8888888888887</v>
      </c>
      <c r="B80" s="2">
        <f t="shared" ref="B80:B88" si="64">B32</f>
        <v>2101</v>
      </c>
      <c r="C80" s="10">
        <f t="shared" ref="C80:C88" si="65">B80*2*PI()/60</f>
        <v>220.01620550640519</v>
      </c>
      <c r="D80" s="25">
        <f t="shared" ref="D80:D88" si="66">F32</f>
        <v>5.0545578692872901</v>
      </c>
      <c r="E80">
        <v>0.99719999999999998</v>
      </c>
      <c r="F80">
        <v>1.3131999999999999</v>
      </c>
      <c r="G80" s="5">
        <f t="shared" ref="G80:G88" si="67">S32*O32*1000</f>
        <v>0.94539291946511383</v>
      </c>
      <c r="H80" s="37">
        <v>2052</v>
      </c>
      <c r="I80" s="37">
        <f>H80/60*2*PI()</f>
        <v>214.88493750554187</v>
      </c>
      <c r="J80" s="25">
        <f>D80</f>
        <v>5.0545578692872901</v>
      </c>
      <c r="K80">
        <v>480.94110000000001</v>
      </c>
      <c r="L80">
        <v>496.07130000000001</v>
      </c>
      <c r="M80" s="5">
        <f>C80*Q80</f>
        <v>534.93965412718592</v>
      </c>
      <c r="O80">
        <v>2.1859000000000002</v>
      </c>
      <c r="P80">
        <v>2.2547000000000001</v>
      </c>
      <c r="Q80" s="5">
        <f t="shared" ref="Q80:Q82" si="68">R80*-1</f>
        <v>2.4313647846799746</v>
      </c>
      <c r="R80">
        <v>-2.4313647846799746</v>
      </c>
      <c r="T80" s="9">
        <f>(E80-G80)/G80</f>
        <v>5.4799522471775698E-2</v>
      </c>
      <c r="U80" s="4">
        <f t="shared" ref="U80:U88" si="69">(F80-G80)/F80</f>
        <v>0.28008458767505795</v>
      </c>
      <c r="V80" s="38">
        <f>(K80-M80)/M80</f>
        <v>-0.10094326287194134</v>
      </c>
      <c r="W80" s="38">
        <f>(L80-M80)/M80</f>
        <v>-7.2659324892644178E-2</v>
      </c>
      <c r="X80" s="4">
        <f>(O80-Q80)/Q80</f>
        <v>-0.10095761287102933</v>
      </c>
      <c r="Y80" s="4">
        <f>(P80-Q80)/Q80</f>
        <v>-7.2660748314337276E-2</v>
      </c>
    </row>
    <row r="81" spans="1:25" x14ac:dyDescent="0.25">
      <c r="A81" s="21">
        <v>1.33</v>
      </c>
      <c r="B81" s="2">
        <f t="shared" si="64"/>
        <v>2112</v>
      </c>
      <c r="C81" s="10">
        <f t="shared" si="65"/>
        <v>221.16812281272144</v>
      </c>
      <c r="D81" s="25">
        <f t="shared" si="66"/>
        <v>4.4350470643170885</v>
      </c>
      <c r="E81">
        <v>1.0167999999999999</v>
      </c>
      <c r="F81">
        <v>1.3189</v>
      </c>
      <c r="G81" s="5">
        <f t="shared" si="67"/>
        <v>0.94847363500753468</v>
      </c>
      <c r="H81" s="36"/>
      <c r="I81" s="36"/>
      <c r="J81" s="25">
        <v>4.430646488532715</v>
      </c>
      <c r="K81">
        <v>446.54399999999998</v>
      </c>
      <c r="L81">
        <v>461.0378</v>
      </c>
      <c r="M81" s="5">
        <f t="shared" ref="M81:M88" si="70">C81*Q81</f>
        <v>455.1477762194761</v>
      </c>
      <c r="O81">
        <v>2.0190000000000001</v>
      </c>
      <c r="P81">
        <v>2.0846</v>
      </c>
      <c r="Q81" s="5">
        <f t="shared" si="68"/>
        <v>2.0579266597333361</v>
      </c>
      <c r="R81">
        <v>-2.0579266597333361</v>
      </c>
      <c r="T81" s="9">
        <f t="shared" ref="T81:T88" si="71">(E81-G81)/G81</f>
        <v>7.2038233294616005E-2</v>
      </c>
      <c r="U81" s="4">
        <f t="shared" si="69"/>
        <v>0.28086008415533043</v>
      </c>
      <c r="V81" s="38">
        <f>(K81-M81)/M81</f>
        <v>-1.8903258829341844E-2</v>
      </c>
      <c r="W81" s="38">
        <f>(L81-M81)/M81</f>
        <v>1.2940904225540334E-2</v>
      </c>
      <c r="X81" s="4">
        <f t="shared" ref="X81:X86" si="72">(O81-Q81)/Q81</f>
        <v>-1.8915474732408614E-2</v>
      </c>
      <c r="Y81" s="4">
        <f>(P81-Q81)/Q81</f>
        <v>1.2961268634383795E-2</v>
      </c>
    </row>
    <row r="82" spans="1:25" x14ac:dyDescent="0.25">
      <c r="A82" s="23"/>
      <c r="B82" s="2">
        <f t="shared" si="64"/>
        <v>2114</v>
      </c>
      <c r="C82" s="10">
        <f t="shared" si="65"/>
        <v>221.37756232296076</v>
      </c>
      <c r="D82" s="25">
        <f t="shared" si="66"/>
        <v>4.2201346805617597</v>
      </c>
      <c r="G82" s="5">
        <f t="shared" si="67"/>
        <v>0.94549204078864424</v>
      </c>
      <c r="H82" s="36"/>
      <c r="I82" s="36"/>
      <c r="J82" s="25">
        <v>4.2042450945562058</v>
      </c>
      <c r="M82" s="5">
        <f t="shared" si="70"/>
        <v>433.13431702395167</v>
      </c>
      <c r="Q82" s="5">
        <f t="shared" si="68"/>
        <v>1.9565411800499712</v>
      </c>
      <c r="R82">
        <v>-1.9565411800499712</v>
      </c>
      <c r="T82" s="9">
        <f t="shared" si="71"/>
        <v>-1</v>
      </c>
      <c r="U82" s="4" t="e">
        <f t="shared" si="69"/>
        <v>#DIV/0!</v>
      </c>
      <c r="V82" s="38">
        <f t="shared" ref="V82:V88" si="73">(K82-M82)/M82</f>
        <v>-1</v>
      </c>
      <c r="W82" s="38">
        <f t="shared" ref="W82:W88" si="74">(L82-M82)/M82</f>
        <v>-1</v>
      </c>
      <c r="X82" s="4">
        <f t="shared" si="72"/>
        <v>-1</v>
      </c>
      <c r="Y82" s="4">
        <f t="shared" ref="Y82:Y88" si="75">(P82-Q82)/Q82</f>
        <v>-1</v>
      </c>
    </row>
    <row r="83" spans="1:25" x14ac:dyDescent="0.25">
      <c r="A83" s="23"/>
      <c r="B83" s="2">
        <f t="shared" si="64"/>
        <v>2109</v>
      </c>
      <c r="C83" s="10">
        <f t="shared" si="65"/>
        <v>220.85396354736247</v>
      </c>
      <c r="D83" s="25">
        <f t="shared" si="66"/>
        <v>4.1660023180827803</v>
      </c>
      <c r="E83">
        <v>1.0213000000000001</v>
      </c>
      <c r="G83" s="5">
        <f t="shared" si="67"/>
        <v>0.97229361350443488</v>
      </c>
      <c r="H83" s="36"/>
      <c r="I83" s="36"/>
      <c r="J83" s="25">
        <v>4.1579790556525804</v>
      </c>
      <c r="K83">
        <v>429.25970000000001</v>
      </c>
      <c r="M83" s="5">
        <f t="shared" si="70"/>
        <v>435.80333677080233</v>
      </c>
      <c r="O83">
        <v>1.9436</v>
      </c>
      <c r="Q83" s="5">
        <f>R83*-1</f>
        <v>1.9732647301000041</v>
      </c>
      <c r="R83">
        <v>-1.9732647301000041</v>
      </c>
      <c r="T83" s="9">
        <f t="shared" si="71"/>
        <v>5.0402867832209292E-2</v>
      </c>
      <c r="U83" s="4" t="e">
        <f t="shared" si="69"/>
        <v>#DIV/0!</v>
      </c>
      <c r="V83" s="38">
        <f>(K83-M83)/M83</f>
        <v>-1.5015113971565922E-2</v>
      </c>
      <c r="W83" s="38">
        <f>(L83-M83)/M83</f>
        <v>-1</v>
      </c>
      <c r="X83" s="4">
        <f>(O83-Q83)/Q83</f>
        <v>-1.5033325051373492E-2</v>
      </c>
      <c r="Y83" s="4">
        <f>(P83-R83)/R83</f>
        <v>-1</v>
      </c>
    </row>
    <row r="84" spans="1:25" x14ac:dyDescent="0.25">
      <c r="A84" s="23"/>
      <c r="B84" s="2">
        <f t="shared" si="64"/>
        <v>2114</v>
      </c>
      <c r="C84" s="10">
        <f t="shared" si="65"/>
        <v>221.37756232296076</v>
      </c>
      <c r="D84" s="25">
        <f t="shared" si="66"/>
        <v>4.003856630921188</v>
      </c>
      <c r="E84">
        <v>1.0285</v>
      </c>
      <c r="G84" s="5">
        <f t="shared" si="67"/>
        <v>1.042829287775632</v>
      </c>
      <c r="H84" s="36"/>
      <c r="I84" s="36"/>
      <c r="J84" s="25">
        <v>4.017045492351957</v>
      </c>
      <c r="K84">
        <v>420.72710000000001</v>
      </c>
      <c r="M84" s="5">
        <f t="shared" si="70"/>
        <v>404.21583325687345</v>
      </c>
      <c r="O84">
        <v>1.9005000000000001</v>
      </c>
      <c r="Q84" s="5">
        <f t="shared" ref="Q84:Q88" si="76">R84*-1</f>
        <v>1.8259114836000212</v>
      </c>
      <c r="R84">
        <v>-1.8259114836000212</v>
      </c>
      <c r="T84" s="9">
        <f t="shared" si="71"/>
        <v>-1.3740779956608792E-2</v>
      </c>
      <c r="U84" s="4" t="e">
        <f t="shared" si="69"/>
        <v>#DIV/0!</v>
      </c>
      <c r="V84" s="38">
        <f t="shared" ref="V84" si="77">(K84-M84)/M84</f>
        <v>4.0847649658082241E-2</v>
      </c>
      <c r="W84" s="38">
        <f t="shared" ref="W84" si="78">(L84-M84)/M84</f>
        <v>-1</v>
      </c>
      <c r="X84" s="4">
        <f t="shared" si="72"/>
        <v>4.0850017687011832E-2</v>
      </c>
      <c r="Y84" s="4">
        <f t="shared" ref="Y84" si="79">(P84-Q84)/Q84</f>
        <v>-1</v>
      </c>
    </row>
    <row r="85" spans="1:25" x14ac:dyDescent="0.25">
      <c r="A85" s="23"/>
      <c r="B85" s="2">
        <f t="shared" si="64"/>
        <v>2112</v>
      </c>
      <c r="C85" s="10">
        <f t="shared" si="65"/>
        <v>221.16812281272144</v>
      </c>
      <c r="D85" s="25">
        <f t="shared" si="66"/>
        <v>3.8882416114697662</v>
      </c>
      <c r="G85" s="5">
        <f t="shared" si="67"/>
        <v>1.1484048601961037</v>
      </c>
      <c r="H85" s="36"/>
      <c r="I85" s="36"/>
      <c r="J85" s="25">
        <v>3.898510452844163</v>
      </c>
      <c r="M85" s="5">
        <f t="shared" si="70"/>
        <v>411.38884927145062</v>
      </c>
      <c r="Q85" s="5">
        <f t="shared" si="76"/>
        <v>1.8600729799556259</v>
      </c>
      <c r="R85">
        <v>-1.8600729799556259</v>
      </c>
      <c r="T85" s="9">
        <f t="shared" si="71"/>
        <v>-1</v>
      </c>
      <c r="U85" s="4" t="e">
        <f t="shared" si="69"/>
        <v>#DIV/0!</v>
      </c>
      <c r="V85" s="38">
        <f t="shared" si="73"/>
        <v>-1</v>
      </c>
      <c r="W85" s="38">
        <f t="shared" si="74"/>
        <v>-1</v>
      </c>
      <c r="X85" s="4">
        <f t="shared" si="72"/>
        <v>-1</v>
      </c>
      <c r="Y85" s="4">
        <f t="shared" si="75"/>
        <v>-1</v>
      </c>
    </row>
    <row r="86" spans="1:25" x14ac:dyDescent="0.25">
      <c r="A86" s="23"/>
      <c r="B86" s="2">
        <f t="shared" si="64"/>
        <v>2111</v>
      </c>
      <c r="C86" s="10">
        <f t="shared" si="65"/>
        <v>221.06340305760176</v>
      </c>
      <c r="D86" s="25">
        <f t="shared" si="66"/>
        <v>3.69061358519046</v>
      </c>
      <c r="E86">
        <v>1.0345</v>
      </c>
      <c r="G86" s="5">
        <f t="shared" si="67"/>
        <v>1.1631977237886615</v>
      </c>
      <c r="H86" s="36"/>
      <c r="I86" s="36"/>
      <c r="J86" s="25">
        <v>3.6982373185992503</v>
      </c>
      <c r="K86">
        <v>395.76510000000002</v>
      </c>
      <c r="M86" s="5">
        <f t="shared" si="70"/>
        <v>362.03189924269998</v>
      </c>
      <c r="O86">
        <v>1.7903</v>
      </c>
      <c r="Q86" s="5">
        <f t="shared" si="76"/>
        <v>1.6376835524800391</v>
      </c>
      <c r="R86">
        <v>-1.6376835524800391</v>
      </c>
      <c r="T86" s="9">
        <f t="shared" si="71"/>
        <v>-0.11064131330095715</v>
      </c>
      <c r="U86" s="4" t="e">
        <f t="shared" si="69"/>
        <v>#DIV/0!</v>
      </c>
      <c r="V86" s="38">
        <f t="shared" si="73"/>
        <v>9.3177426707047928E-2</v>
      </c>
      <c r="W86" s="38">
        <f t="shared" si="74"/>
        <v>-1</v>
      </c>
      <c r="X86" s="4">
        <f t="shared" si="72"/>
        <v>9.319043797493419E-2</v>
      </c>
      <c r="Y86" s="4">
        <f t="shared" si="75"/>
        <v>-1</v>
      </c>
    </row>
    <row r="87" spans="1:25" x14ac:dyDescent="0.25">
      <c r="A87" s="23"/>
      <c r="B87" s="2">
        <f t="shared" si="64"/>
        <v>2112</v>
      </c>
      <c r="C87" s="10">
        <f t="shared" si="65"/>
        <v>221.16812281272144</v>
      </c>
      <c r="D87" s="25">
        <f t="shared" si="66"/>
        <v>3.3424664174525525</v>
      </c>
      <c r="G87" s="5">
        <f t="shared" si="67"/>
        <v>1.1657191081274199</v>
      </c>
      <c r="H87" s="36"/>
      <c r="I87" s="36"/>
      <c r="J87" s="25">
        <v>3.3621021478520641</v>
      </c>
      <c r="M87" s="5">
        <f t="shared" si="70"/>
        <v>343.19032930307435</v>
      </c>
      <c r="Q87" s="5">
        <f t="shared" si="76"/>
        <v>1.5517169695999893</v>
      </c>
      <c r="R87">
        <v>-1.5517169695999893</v>
      </c>
      <c r="T87" s="9">
        <f t="shared" si="71"/>
        <v>-1</v>
      </c>
      <c r="U87" s="4" t="e">
        <f t="shared" si="69"/>
        <v>#DIV/0!</v>
      </c>
      <c r="V87" s="38">
        <f>(K87-M87)/M87</f>
        <v>-1</v>
      </c>
      <c r="W87" s="38">
        <f>(L87-M87)/M87</f>
        <v>-1</v>
      </c>
      <c r="X87" s="4">
        <f>(O87-Q87)/Q87</f>
        <v>-1</v>
      </c>
      <c r="Y87" s="4">
        <f>(P87-Q87)/Q87</f>
        <v>-1</v>
      </c>
    </row>
    <row r="88" spans="1:25" x14ac:dyDescent="0.25">
      <c r="A88" s="23"/>
      <c r="B88" s="2">
        <f t="shared" si="64"/>
        <v>2113</v>
      </c>
      <c r="C88" s="10">
        <f t="shared" si="65"/>
        <v>221.27284256784108</v>
      </c>
      <c r="D88" s="25">
        <f t="shared" si="66"/>
        <v>2.5472304393617602</v>
      </c>
      <c r="E88">
        <v>1.0728</v>
      </c>
      <c r="F88">
        <v>1.3250999999999999</v>
      </c>
      <c r="G88" s="5">
        <f t="shared" si="67"/>
        <v>1.1934902874269904</v>
      </c>
      <c r="H88" s="36"/>
      <c r="I88" s="36"/>
      <c r="J88" s="25">
        <v>2.5797622364794712</v>
      </c>
      <c r="K88">
        <v>309.3064</v>
      </c>
      <c r="L88">
        <v>299.39389999999997</v>
      </c>
      <c r="M88" s="5">
        <f t="shared" si="70"/>
        <v>291.55202608163211</v>
      </c>
      <c r="O88">
        <v>1.3978999999999999</v>
      </c>
      <c r="P88">
        <v>1.3531</v>
      </c>
      <c r="Q88" s="5">
        <f t="shared" si="76"/>
        <v>1.317613235760027</v>
      </c>
      <c r="R88">
        <v>-1.317613235760027</v>
      </c>
      <c r="T88" s="9">
        <f t="shared" si="71"/>
        <v>-0.10112381198106181</v>
      </c>
      <c r="U88" s="4">
        <f t="shared" si="69"/>
        <v>9.9320589067247445E-2</v>
      </c>
      <c r="V88" s="38">
        <f t="shared" si="73"/>
        <v>6.0896074559937424E-2</v>
      </c>
      <c r="W88" s="38">
        <f t="shared" si="74"/>
        <v>2.6896996819950784E-2</v>
      </c>
      <c r="X88" s="4">
        <f>(O88-Q88)/Q88</f>
        <v>6.0933483408476728E-2</v>
      </c>
      <c r="Y88" s="4">
        <f t="shared" si="75"/>
        <v>2.6932610630238153E-2</v>
      </c>
    </row>
  </sheetData>
  <mergeCells count="5">
    <mergeCell ref="Q2:S2"/>
    <mergeCell ref="E45:G45"/>
    <mergeCell ref="K45:M45"/>
    <mergeCell ref="O45:Q45"/>
    <mergeCell ref="T45:Y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A075-E869-45BE-908D-427D2C36EFFE}">
  <sheetPr codeName="Sheet3"/>
  <dimension ref="A1:AF90"/>
  <sheetViews>
    <sheetView topLeftCell="A40" zoomScale="71" zoomScaleNormal="71" workbookViewId="0">
      <selection activeCell="N86" sqref="N86"/>
    </sheetView>
  </sheetViews>
  <sheetFormatPr defaultRowHeight="15" x14ac:dyDescent="0.25"/>
  <cols>
    <col min="1" max="1" width="14.85546875" bestFit="1" customWidth="1"/>
    <col min="3" max="3" width="17.140625" customWidth="1"/>
    <col min="4" max="4" width="14.140625" bestFit="1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9" max="19" width="13" bestFit="1" customWidth="1"/>
    <col min="21" max="21" width="13.85546875" bestFit="1" customWidth="1"/>
    <col min="22" max="22" width="11.42578125" bestFit="1" customWidth="1"/>
    <col min="23" max="23" width="12.28515625" bestFit="1" customWidth="1"/>
    <col min="24" max="24" width="10.4257812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AVERAGE(B3:B10)</f>
        <v>1274</v>
      </c>
      <c r="B3" s="2">
        <v>1217</v>
      </c>
      <c r="C3">
        <f>B3*2*PI()/60</f>
        <v>127.44394198062595</v>
      </c>
      <c r="D3" s="6">
        <v>1.0093232680562929</v>
      </c>
      <c r="E3">
        <v>30.513166981308061</v>
      </c>
      <c r="F3">
        <v>4.2632226981025712</v>
      </c>
      <c r="G3">
        <v>38.469673882555718</v>
      </c>
      <c r="H3">
        <f t="shared" ref="H3:H31" si="0">G3+273.15</f>
        <v>311.61967388255567</v>
      </c>
      <c r="I3">
        <v>4</v>
      </c>
      <c r="J3" s="1">
        <f t="shared" ref="J3:J31" si="1">I3/60/1000</f>
        <v>6.666666666666667E-5</v>
      </c>
      <c r="K3">
        <v>30.592198151939574</v>
      </c>
      <c r="L3">
        <v>4.251841012112453</v>
      </c>
      <c r="M3">
        <f t="shared" ref="M3:M31" si="2">K3+273.15</f>
        <v>303.74219815193953</v>
      </c>
      <c r="N3">
        <f t="shared" ref="N3:N31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4.5586000000000002E-2</v>
      </c>
      <c r="X3" s="10">
        <v>265</v>
      </c>
    </row>
    <row r="4" spans="1:24" x14ac:dyDescent="0.25">
      <c r="B4" s="2">
        <v>1214</v>
      </c>
      <c r="C4">
        <f t="shared" ref="C4:C31" si="4">B4*2*PI()/60</f>
        <v>127.12978271526696</v>
      </c>
      <c r="D4" s="6">
        <v>1.0093740377162599</v>
      </c>
      <c r="E4">
        <v>30.53840403258803</v>
      </c>
      <c r="F4">
        <v>3.7487816777695127</v>
      </c>
      <c r="G4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31" si="5">R4/60/1000</f>
        <v>8.3148759828451999E-5</v>
      </c>
      <c r="U4">
        <v>38</v>
      </c>
      <c r="V4">
        <v>48</v>
      </c>
      <c r="W4" s="8">
        <v>4.5586000000000002E-2</v>
      </c>
      <c r="X4" s="10">
        <v>240</v>
      </c>
    </row>
    <row r="5" spans="1:24" x14ac:dyDescent="0.25">
      <c r="A5" s="3">
        <f>AVERAGE(G3:G7)</f>
        <v>39.638566942886222</v>
      </c>
      <c r="B5" s="2">
        <v>1217</v>
      </c>
      <c r="C5">
        <f t="shared" si="4"/>
        <v>127.44394198062595</v>
      </c>
      <c r="D5" s="6">
        <v>1.0100027712944923</v>
      </c>
      <c r="E5">
        <v>30.523255059465928</v>
      </c>
      <c r="F5">
        <v>3.411492883316626</v>
      </c>
      <c r="G5">
        <v>39.278800793004258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4.5586000000000002E-2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6">
        <v>1.0092641073602298</v>
      </c>
      <c r="E6">
        <v>30.568783382737152</v>
      </c>
      <c r="F6">
        <v>3.0036465230416134</v>
      </c>
      <c r="G6">
        <v>40.450708190043791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4.5586000000000002E-2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6">
        <v>1.0094537558613426</v>
      </c>
      <c r="E7">
        <v>30.528195668985514</v>
      </c>
      <c r="F7">
        <v>2.3975521098447876</v>
      </c>
      <c r="G7">
        <v>40.146233053990038</v>
      </c>
      <c r="H7">
        <f t="shared" si="0"/>
        <v>313.29623305399002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 t="shared" si="5"/>
        <v>1.6632764895962928E-4</v>
      </c>
      <c r="U7">
        <v>38</v>
      </c>
      <c r="V7">
        <v>48</v>
      </c>
      <c r="W7" s="8">
        <v>4.5586000000000002E-2</v>
      </c>
      <c r="X7" s="10">
        <v>190</v>
      </c>
    </row>
    <row r="8" spans="1:24" x14ac:dyDescent="0.25">
      <c r="B8" s="12"/>
      <c r="D8" s="6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>
        <v>1.0094287437153799</v>
      </c>
      <c r="E9">
        <v>30.612974840972779</v>
      </c>
      <c r="F9">
        <v>5.253362586763715</v>
      </c>
      <c r="G9">
        <v>42.253028073273747</v>
      </c>
      <c r="H9">
        <f t="shared" si="0"/>
        <v>315.40302807327373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42</v>
      </c>
      <c r="V9">
        <v>52</v>
      </c>
      <c r="W9" s="3">
        <v>3.5675999999999999E-2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6">
        <v>1.0092810759105539</v>
      </c>
      <c r="E10">
        <v>30.581004375999676</v>
      </c>
      <c r="F10">
        <v>4.92509496623821</v>
      </c>
      <c r="G10">
        <v>42.953073171144517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42</v>
      </c>
      <c r="V10">
        <v>52</v>
      </c>
      <c r="W10" s="3">
        <v>3.5675999999999999E-2</v>
      </c>
      <c r="X10" s="10">
        <v>280</v>
      </c>
    </row>
    <row r="11" spans="1:24" x14ac:dyDescent="0.25">
      <c r="A11" s="3">
        <f>AVERAGE(G10:G14)</f>
        <v>44.384191269147763</v>
      </c>
      <c r="B11" s="2">
        <v>1412</v>
      </c>
      <c r="C11">
        <f t="shared" si="4"/>
        <v>147.86429422895961</v>
      </c>
      <c r="D11" s="6">
        <v>1.0086912644002075</v>
      </c>
      <c r="E11">
        <v>30.622728786584258</v>
      </c>
      <c r="F11">
        <v>4.236297847863618</v>
      </c>
      <c r="G11">
        <v>43.47355288963702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42</v>
      </c>
      <c r="V11">
        <v>52</v>
      </c>
      <c r="W11" s="3">
        <v>3.5675999999999999E-2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6">
        <v>1.0077573177644057</v>
      </c>
      <c r="E12">
        <v>30.816080276902358</v>
      </c>
      <c r="F12">
        <v>3.661602244140135</v>
      </c>
      <c r="G12">
        <v>46.069186852835934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42</v>
      </c>
      <c r="V12">
        <v>52</v>
      </c>
      <c r="W12" s="3">
        <v>3.5675999999999999E-2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6">
        <v>1.0085733794744123</v>
      </c>
      <c r="E13">
        <v>30.635044840682401</v>
      </c>
      <c r="F13">
        <v>2.9220510847489072</v>
      </c>
      <c r="G13">
        <v>45.018485236153708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42</v>
      </c>
      <c r="V13">
        <v>52</v>
      </c>
      <c r="W13" s="3">
        <v>3.5675999999999999E-2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6">
        <v>1.0101998654115738</v>
      </c>
      <c r="E14">
        <v>30.714603931016253</v>
      </c>
      <c r="F14">
        <v>2.6698755104625538</v>
      </c>
      <c r="G14">
        <v>44.406658195967637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42</v>
      </c>
      <c r="V14">
        <v>52</v>
      </c>
      <c r="W14" s="3">
        <v>3.5675999999999999E-2</v>
      </c>
      <c r="X14" s="10">
        <v>200</v>
      </c>
    </row>
    <row r="15" spans="1:24" x14ac:dyDescent="0.25">
      <c r="B15" s="14"/>
      <c r="D15" s="6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6">
        <v>1.0083333009861652</v>
      </c>
      <c r="E16">
        <v>30.610294022691615</v>
      </c>
      <c r="F16">
        <v>5.3598489235258446</v>
      </c>
      <c r="G16">
        <v>43.470274717189263</v>
      </c>
      <c r="H16">
        <f t="shared" si="0"/>
        <v>316.62027471718926</v>
      </c>
      <c r="I16">
        <v>5</v>
      </c>
      <c r="J16" s="1">
        <f t="shared" si="1"/>
        <v>8.3333333333333331E-5</v>
      </c>
      <c r="K16">
        <v>31.301886563534723</v>
      </c>
      <c r="L16">
        <v>5.3499444016932181</v>
      </c>
      <c r="M16">
        <f t="shared" si="2"/>
        <v>304.45188656353469</v>
      </c>
      <c r="N16">
        <f t="shared" si="3"/>
        <v>0.53499444016932185</v>
      </c>
      <c r="O16">
        <v>6.1302000000000003</v>
      </c>
      <c r="Q16">
        <f t="shared" ref="Q16:Q21" si="11">SQRT(1.2/O16)*SQRT(N16/0.101325)*SQRT(293.15/M16)</f>
        <v>0.99759725114213604</v>
      </c>
      <c r="R16">
        <f t="shared" ref="R16:R21" si="12">I16*Q16</f>
        <v>4.9879862557106804</v>
      </c>
      <c r="S16" s="7">
        <f>R16/60/1000</f>
        <v>8.3133104261844674E-5</v>
      </c>
      <c r="U16">
        <v>45</v>
      </c>
      <c r="V16">
        <v>56</v>
      </c>
      <c r="W16" s="8">
        <v>2.9729999999999999E-2</v>
      </c>
      <c r="X16" s="10">
        <v>287</v>
      </c>
    </row>
    <row r="17" spans="1:24" x14ac:dyDescent="0.25">
      <c r="B17" s="2">
        <v>1638</v>
      </c>
      <c r="C17">
        <f t="shared" si="4"/>
        <v>171.53095888600271</v>
      </c>
      <c r="D17" s="6">
        <v>1.0076793956943377</v>
      </c>
      <c r="E17">
        <v>30.547663333782278</v>
      </c>
      <c r="F17">
        <v>4.5488778229227878</v>
      </c>
      <c r="G17">
        <v>43.94469464255323</v>
      </c>
      <c r="H17">
        <f t="shared" si="0"/>
        <v>317.09469464255324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56</v>
      </c>
      <c r="W17" s="8">
        <v>2.9729999999999999E-2</v>
      </c>
      <c r="X17" s="10">
        <v>270</v>
      </c>
    </row>
    <row r="18" spans="1:24" x14ac:dyDescent="0.25">
      <c r="A18" s="3">
        <f>AVERAGE(G16:G21)</f>
        <v>45.823425249720117</v>
      </c>
      <c r="B18" s="2">
        <v>1639</v>
      </c>
      <c r="C18">
        <f t="shared" si="4"/>
        <v>171.63567864112238</v>
      </c>
      <c r="D18" s="6">
        <v>1.0095081019886243</v>
      </c>
      <c r="E18">
        <v>30.628921865606085</v>
      </c>
      <c r="F18">
        <v>3.6851917499746314</v>
      </c>
      <c r="G18">
        <v>45.13479868010257</v>
      </c>
      <c r="H18">
        <f t="shared" si="0"/>
        <v>318.28479868010254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56</v>
      </c>
      <c r="W18" s="8">
        <v>2.9729999999999999E-2</v>
      </c>
      <c r="X18" s="10">
        <v>235</v>
      </c>
    </row>
    <row r="19" spans="1:24" x14ac:dyDescent="0.25">
      <c r="B19" s="2">
        <v>1639</v>
      </c>
      <c r="C19">
        <f t="shared" si="4"/>
        <v>171.63567864112238</v>
      </c>
      <c r="D19" s="6">
        <v>1.0086524685865665</v>
      </c>
      <c r="E19">
        <v>30.622924679670273</v>
      </c>
      <c r="F19">
        <v>3.2641584944265172</v>
      </c>
      <c r="G19">
        <v>46.943107203221921</v>
      </c>
      <c r="H19">
        <f t="shared" si="0"/>
        <v>320.0931072032219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56</v>
      </c>
      <c r="W19" s="8">
        <v>2.9729999999999999E-2</v>
      </c>
      <c r="X19" s="10">
        <v>220</v>
      </c>
    </row>
    <row r="20" spans="1:24" x14ac:dyDescent="0.25">
      <c r="B20" s="2">
        <v>1639</v>
      </c>
      <c r="C20">
        <f t="shared" si="4"/>
        <v>171.63567864112238</v>
      </c>
      <c r="D20">
        <v>1.0091083977955064</v>
      </c>
      <c r="E20">
        <v>30.616946893747738</v>
      </c>
      <c r="F20">
        <v>3.0682354873155337</v>
      </c>
      <c r="G20">
        <v>48.030195935011974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56</v>
      </c>
      <c r="W20" s="8">
        <v>2.9729999999999999E-2</v>
      </c>
      <c r="X20" s="10">
        <v>215</v>
      </c>
    </row>
    <row r="21" spans="1:24" x14ac:dyDescent="0.25">
      <c r="B21" s="2">
        <v>1640</v>
      </c>
      <c r="C21">
        <f t="shared" si="4"/>
        <v>171.74039839624203</v>
      </c>
      <c r="D21">
        <v>1.0089421600028088</v>
      </c>
      <c r="E21">
        <v>30.660577754608099</v>
      </c>
      <c r="F21">
        <v>2.8293806275398508</v>
      </c>
      <c r="G21">
        <v>47.417480320241744</v>
      </c>
      <c r="H21">
        <f t="shared" si="0"/>
        <v>320.56748032024171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56</v>
      </c>
      <c r="W21" s="8">
        <v>2.9729999999999999E-2</v>
      </c>
      <c r="X21" s="10">
        <v>205</v>
      </c>
    </row>
    <row r="22" spans="1:24" x14ac:dyDescent="0.25">
      <c r="B22" s="14"/>
      <c r="J22" s="1"/>
      <c r="S22" s="15"/>
    </row>
    <row r="23" spans="1:24" x14ac:dyDescent="0.25">
      <c r="A23" s="3">
        <f>AVERAGE(B24:B31)</f>
        <v>1838.5</v>
      </c>
      <c r="B23" s="2">
        <v>1801</v>
      </c>
      <c r="C23">
        <f>B23*2*PI()/60</f>
        <v>188.60027897050725</v>
      </c>
      <c r="D23">
        <v>1.0080210000000001</v>
      </c>
      <c r="E23">
        <v>30.54177</v>
      </c>
      <c r="F23">
        <v>5.2919130000000001</v>
      </c>
      <c r="G23">
        <v>48.034759999999999</v>
      </c>
      <c r="H23">
        <f t="shared" ref="H23" si="14">G23+273.15</f>
        <v>321.18475999999998</v>
      </c>
      <c r="I23">
        <v>7</v>
      </c>
      <c r="J23" s="1">
        <f t="shared" ref="J23:J25" si="15">I23/60/1000</f>
        <v>1.1666666666666667E-4</v>
      </c>
      <c r="K23">
        <v>32.183487699854936</v>
      </c>
      <c r="L23">
        <v>5.2726539192746635</v>
      </c>
      <c r="M23">
        <f t="shared" ref="M23:M25" si="16">K23+273.15</f>
        <v>305.33348769985491</v>
      </c>
      <c r="N23">
        <f t="shared" ref="N23:N25" si="17">L23/10</f>
        <v>0.52726539192746635</v>
      </c>
      <c r="O23">
        <v>6.0239000000000003</v>
      </c>
      <c r="Q23">
        <f t="shared" ref="Q23:Q31" si="18">SQRT(1.2/O23)*SQRT(N23/0.101325)*SQRT(293.15/M23)</f>
        <v>0.99762150700778396</v>
      </c>
      <c r="R23">
        <f t="shared" ref="R23:R31" si="19">I23*Q23</f>
        <v>6.9833505490544878</v>
      </c>
      <c r="S23" s="7">
        <f t="shared" ref="S23:S25" si="20">R23/60/1000</f>
        <v>1.163891758175748E-4</v>
      </c>
      <c r="U23">
        <v>48</v>
      </c>
      <c r="V23">
        <v>60</v>
      </c>
      <c r="W23" s="8">
        <v>2.7747999999999998E-2</v>
      </c>
      <c r="X23" s="10">
        <v>285</v>
      </c>
    </row>
    <row r="24" spans="1:24" x14ac:dyDescent="0.25">
      <c r="B24" s="2">
        <v>1837</v>
      </c>
      <c r="C24">
        <f t="shared" si="4"/>
        <v>192.37019015481502</v>
      </c>
      <c r="D24">
        <v>1.0074809569159044</v>
      </c>
      <c r="E24">
        <v>30.849170721143583</v>
      </c>
      <c r="F24">
        <v>5.0653949430406557</v>
      </c>
      <c r="G24">
        <v>49.552490253392484</v>
      </c>
      <c r="H24">
        <f t="shared" si="0"/>
        <v>322.70249025339245</v>
      </c>
      <c r="I24">
        <v>9</v>
      </c>
      <c r="J24" s="1">
        <f t="shared" si="15"/>
        <v>1.4999999999999999E-4</v>
      </c>
      <c r="K24">
        <v>34.911742272595383</v>
      </c>
      <c r="L24">
        <v>5.0324751973883091</v>
      </c>
      <c r="M24">
        <f t="shared" si="16"/>
        <v>308.06174227259538</v>
      </c>
      <c r="N24">
        <f t="shared" si="17"/>
        <v>0.50324751973883086</v>
      </c>
      <c r="O24">
        <v>5.6976000000000004</v>
      </c>
      <c r="Q24">
        <f t="shared" si="18"/>
        <v>0.99770747454028219</v>
      </c>
      <c r="R24">
        <f t="shared" si="19"/>
        <v>8.9793672708625394</v>
      </c>
      <c r="S24" s="7">
        <f t="shared" si="20"/>
        <v>1.4965612118104232E-4</v>
      </c>
      <c r="U24">
        <v>48</v>
      </c>
      <c r="V24">
        <v>60</v>
      </c>
      <c r="W24" s="8">
        <v>2.7747999999999998E-2</v>
      </c>
      <c r="X24" s="10">
        <v>280</v>
      </c>
    </row>
    <row r="25" spans="1:24" x14ac:dyDescent="0.25">
      <c r="B25" s="2">
        <v>1838</v>
      </c>
      <c r="C25">
        <f t="shared" si="4"/>
        <v>192.47490990993464</v>
      </c>
      <c r="D25">
        <v>1.0063833162082423</v>
      </c>
      <c r="E25">
        <v>30.76201711395526</v>
      </c>
      <c r="F25">
        <v>5.112710058958517</v>
      </c>
      <c r="G25">
        <v>47.556274872386432</v>
      </c>
      <c r="H25">
        <f t="shared" si="0"/>
        <v>320.70627487238642</v>
      </c>
      <c r="I25">
        <v>9</v>
      </c>
      <c r="J25" s="1">
        <f t="shared" si="15"/>
        <v>1.4999999999999999E-4</v>
      </c>
      <c r="K25">
        <v>32.57027436070107</v>
      </c>
      <c r="L25">
        <v>5.079087990467352</v>
      </c>
      <c r="M25">
        <f t="shared" si="16"/>
        <v>305.72027436070107</v>
      </c>
      <c r="N25">
        <f t="shared" si="17"/>
        <v>0.50790879904673525</v>
      </c>
      <c r="O25">
        <v>5.7949999999999999</v>
      </c>
      <c r="Q25">
        <f t="shared" si="18"/>
        <v>0.99765709146696913</v>
      </c>
      <c r="R25">
        <f t="shared" si="19"/>
        <v>8.9789138232027224</v>
      </c>
      <c r="S25" s="7">
        <f t="shared" si="20"/>
        <v>1.4964856372004536E-4</v>
      </c>
      <c r="U25">
        <v>48</v>
      </c>
      <c r="V25">
        <v>60</v>
      </c>
      <c r="W25" s="8">
        <v>2.7747999999999998E-2</v>
      </c>
      <c r="X25" s="10">
        <v>280</v>
      </c>
    </row>
    <row r="26" spans="1:24" x14ac:dyDescent="0.25">
      <c r="A26" s="3">
        <f>AVERAGE(G24:G31)</f>
        <v>48.965377092856045</v>
      </c>
      <c r="B26" s="2">
        <v>1837</v>
      </c>
      <c r="C26">
        <f t="shared" si="4"/>
        <v>192.37019015481502</v>
      </c>
      <c r="D26">
        <v>1.0076637581773951</v>
      </c>
      <c r="E26">
        <v>30.854876597503971</v>
      </c>
      <c r="F26">
        <v>4.5816778072219542</v>
      </c>
      <c r="G26">
        <v>49.648556094417991</v>
      </c>
      <c r="H26">
        <f t="shared" si="0"/>
        <v>322.79855609441796</v>
      </c>
      <c r="I26">
        <v>10</v>
      </c>
      <c r="J26" s="1">
        <f t="shared" si="1"/>
        <v>1.6666666666666666E-4</v>
      </c>
      <c r="K26">
        <v>33.965123681967277</v>
      </c>
      <c r="L26">
        <v>4.5450850240495768</v>
      </c>
      <c r="M26">
        <f t="shared" si="2"/>
        <v>307.11512368196725</v>
      </c>
      <c r="N26">
        <f t="shared" si="3"/>
        <v>0.45450850240495766</v>
      </c>
      <c r="O26">
        <v>5.1612999999999998</v>
      </c>
      <c r="Q26">
        <f t="shared" si="18"/>
        <v>0.99774168860402668</v>
      </c>
      <c r="R26">
        <f t="shared" si="19"/>
        <v>9.9774168860402668</v>
      </c>
      <c r="S26" s="7">
        <f t="shared" si="5"/>
        <v>1.6629028143400445E-4</v>
      </c>
      <c r="U26">
        <v>48</v>
      </c>
      <c r="V26">
        <v>60</v>
      </c>
      <c r="W26" s="8">
        <v>2.7747999999999998E-2</v>
      </c>
      <c r="X26" s="10">
        <v>270</v>
      </c>
    </row>
    <row r="27" spans="1:24" x14ac:dyDescent="0.25">
      <c r="B27" s="2">
        <v>1839</v>
      </c>
      <c r="C27">
        <f>B27*2*PI()/60</f>
        <v>192.57962966505431</v>
      </c>
      <c r="D27">
        <v>1.007937890712175</v>
      </c>
      <c r="E27">
        <v>30.707389246709546</v>
      </c>
      <c r="F27">
        <v>4.0282260804900449</v>
      </c>
      <c r="G27">
        <v>47.598924246369272</v>
      </c>
      <c r="H27">
        <f t="shared" si="0"/>
        <v>320.74892424636926</v>
      </c>
      <c r="I27">
        <v>12</v>
      </c>
      <c r="J27" s="1">
        <f t="shared" si="1"/>
        <v>2.0000000000000001E-4</v>
      </c>
      <c r="K27">
        <v>32.938857350692899</v>
      </c>
      <c r="L27">
        <v>3.9826238950298061</v>
      </c>
      <c r="M27">
        <f t="shared" si="2"/>
        <v>306.08885735069288</v>
      </c>
      <c r="N27">
        <f t="shared" si="3"/>
        <v>0.3982623895029806</v>
      </c>
      <c r="O27">
        <v>4.5373000000000001</v>
      </c>
      <c r="Q27">
        <f t="shared" si="18"/>
        <v>0.99779059487469979</v>
      </c>
      <c r="R27">
        <f t="shared" si="19"/>
        <v>11.973487138496397</v>
      </c>
      <c r="S27" s="7">
        <f t="shared" si="5"/>
        <v>1.9955811897493994E-4</v>
      </c>
      <c r="U27">
        <v>48</v>
      </c>
      <c r="V27">
        <v>60</v>
      </c>
      <c r="W27" s="8">
        <v>2.7747999999999998E-2</v>
      </c>
      <c r="X27" s="10">
        <v>260</v>
      </c>
    </row>
    <row r="28" spans="1:24" x14ac:dyDescent="0.25">
      <c r="B28" s="2">
        <v>1839</v>
      </c>
      <c r="C28">
        <f t="shared" si="4"/>
        <v>192.57962966505431</v>
      </c>
      <c r="D28">
        <v>1.0083960489740302</v>
      </c>
      <c r="E28">
        <v>30.783007727180575</v>
      </c>
      <c r="F28">
        <v>3.9074120702939243</v>
      </c>
      <c r="G28">
        <v>50.371808006417567</v>
      </c>
      <c r="H28">
        <f t="shared" si="0"/>
        <v>323.52180800641753</v>
      </c>
      <c r="I28">
        <v>14</v>
      </c>
      <c r="J28" s="1">
        <f t="shared" si="1"/>
        <v>2.3333333333333333E-4</v>
      </c>
      <c r="K28">
        <v>33.085523294711152</v>
      </c>
      <c r="L28">
        <v>3.8540107834774919</v>
      </c>
      <c r="M28">
        <f t="shared" si="2"/>
        <v>306.23552329471113</v>
      </c>
      <c r="N28">
        <f t="shared" si="3"/>
        <v>0.38540107834774917</v>
      </c>
      <c r="O28">
        <v>4.3884999999999996</v>
      </c>
      <c r="Q28">
        <f t="shared" si="18"/>
        <v>0.99781009571940138</v>
      </c>
      <c r="R28">
        <f t="shared" si="19"/>
        <v>13.969341340071619</v>
      </c>
      <c r="S28" s="7">
        <f t="shared" si="5"/>
        <v>2.328223556678603E-4</v>
      </c>
      <c r="U28">
        <v>48</v>
      </c>
      <c r="V28">
        <v>60</v>
      </c>
      <c r="W28" s="8">
        <v>2.7747999999999998E-2</v>
      </c>
      <c r="X28" s="10">
        <v>255</v>
      </c>
    </row>
    <row r="29" spans="1:24" x14ac:dyDescent="0.25">
      <c r="B29" s="2">
        <v>1839</v>
      </c>
      <c r="C29">
        <f t="shared" si="4"/>
        <v>192.57962966505431</v>
      </c>
      <c r="D29">
        <v>1.0075465725805357</v>
      </c>
      <c r="E29">
        <v>30.654826109108207</v>
      </c>
      <c r="F29">
        <v>3.6533986868675403</v>
      </c>
      <c r="G29">
        <v>46.402179551899437</v>
      </c>
      <c r="H29">
        <f t="shared" si="0"/>
        <v>319.55217955189943</v>
      </c>
      <c r="I29">
        <v>16</v>
      </c>
      <c r="J29" s="1">
        <f t="shared" si="1"/>
        <v>2.6666666666666668E-4</v>
      </c>
      <c r="K29">
        <v>32.704388837077452</v>
      </c>
      <c r="L29">
        <v>3.5880844465849808</v>
      </c>
      <c r="M29">
        <f t="shared" si="2"/>
        <v>305.85438883707741</v>
      </c>
      <c r="N29">
        <f t="shared" si="3"/>
        <v>0.35880844465849809</v>
      </c>
      <c r="O29">
        <v>4.0906000000000002</v>
      </c>
      <c r="Q29">
        <f t="shared" si="18"/>
        <v>0.9978326918355499</v>
      </c>
      <c r="R29">
        <f t="shared" si="19"/>
        <v>15.965323069368798</v>
      </c>
      <c r="S29" s="7">
        <f t="shared" si="5"/>
        <v>2.6608871782281328E-4</v>
      </c>
      <c r="U29">
        <v>48</v>
      </c>
      <c r="V29">
        <v>60</v>
      </c>
      <c r="W29" s="8">
        <v>2.7747999999999998E-2</v>
      </c>
      <c r="X29" s="10">
        <v>235</v>
      </c>
    </row>
    <row r="30" spans="1:24" x14ac:dyDescent="0.25">
      <c r="B30" s="2">
        <v>1839</v>
      </c>
      <c r="C30">
        <f t="shared" si="4"/>
        <v>192.57962966505431</v>
      </c>
      <c r="D30">
        <v>1.007730407897355</v>
      </c>
      <c r="E30">
        <v>30.822986667073145</v>
      </c>
      <c r="F30">
        <v>3.0732756854133072</v>
      </c>
      <c r="G30">
        <v>50.602444253388761</v>
      </c>
      <c r="H30">
        <f t="shared" si="0"/>
        <v>323.75244425338872</v>
      </c>
      <c r="I30">
        <v>18</v>
      </c>
      <c r="J30" s="1">
        <f t="shared" si="1"/>
        <v>2.9999999999999997E-4</v>
      </c>
      <c r="K30">
        <v>34.160465950496068</v>
      </c>
      <c r="L30">
        <v>3.0036641094433802</v>
      </c>
      <c r="M30">
        <f t="shared" si="2"/>
        <v>307.31046595049605</v>
      </c>
      <c r="N30">
        <f t="shared" si="3"/>
        <v>0.30036641094433802</v>
      </c>
      <c r="O30">
        <v>3.4075000000000002</v>
      </c>
      <c r="Q30">
        <f t="shared" si="18"/>
        <v>0.99792141125745404</v>
      </c>
      <c r="R30">
        <f t="shared" si="19"/>
        <v>17.962585402634172</v>
      </c>
      <c r="S30" s="7">
        <f t="shared" si="5"/>
        <v>2.9937642337723617E-4</v>
      </c>
      <c r="U30">
        <v>48</v>
      </c>
      <c r="V30">
        <v>60</v>
      </c>
      <c r="W30" s="8">
        <v>2.7747999999999998E-2</v>
      </c>
      <c r="X30" s="10">
        <v>215</v>
      </c>
    </row>
    <row r="31" spans="1:24" x14ac:dyDescent="0.25">
      <c r="B31" s="2">
        <v>1840</v>
      </c>
      <c r="C31">
        <f t="shared" si="4"/>
        <v>192.68434942017399</v>
      </c>
      <c r="D31">
        <v>1.0069040471898754</v>
      </c>
      <c r="E31">
        <v>30.824160851514335</v>
      </c>
      <c r="F31">
        <v>2.6401044471753301</v>
      </c>
      <c r="G31">
        <v>49.990339464576451</v>
      </c>
      <c r="H31">
        <f t="shared" si="0"/>
        <v>323.14033946457641</v>
      </c>
      <c r="I31">
        <v>21</v>
      </c>
      <c r="J31" s="1">
        <f t="shared" si="1"/>
        <v>3.5E-4</v>
      </c>
      <c r="K31">
        <v>35.299841353881696</v>
      </c>
      <c r="L31">
        <v>2.5573256010264003</v>
      </c>
      <c r="M31">
        <f t="shared" si="2"/>
        <v>308.44984135388165</v>
      </c>
      <c r="N31">
        <f t="shared" si="3"/>
        <v>0.25573256010264001</v>
      </c>
      <c r="O31">
        <v>2.8900999999999999</v>
      </c>
      <c r="Q31">
        <f t="shared" si="18"/>
        <v>0.99797938124444174</v>
      </c>
      <c r="R31">
        <f t="shared" si="19"/>
        <v>20.957567006133278</v>
      </c>
      <c r="S31" s="7">
        <f t="shared" si="5"/>
        <v>3.4929278343555462E-4</v>
      </c>
      <c r="U31">
        <v>48</v>
      </c>
      <c r="V31">
        <v>60</v>
      </c>
      <c r="W31" s="8">
        <v>2.7747999999999998E-2</v>
      </c>
      <c r="X31" s="10">
        <v>200</v>
      </c>
    </row>
    <row r="33" spans="1:32" x14ac:dyDescent="0.25">
      <c r="A33" s="3">
        <f>AVERAGE(B33:B41)</f>
        <v>2110.8888888888887</v>
      </c>
      <c r="B33" s="2">
        <v>2101</v>
      </c>
      <c r="C33">
        <f t="shared" ref="C33" si="21">B33*2*PI()/60</f>
        <v>220.01620550640519</v>
      </c>
      <c r="D33">
        <v>1.0059023703814414</v>
      </c>
      <c r="E33">
        <v>31.697879180218969</v>
      </c>
      <c r="F33">
        <v>5.0545578692872928</v>
      </c>
      <c r="G33">
        <v>50.736525871403359</v>
      </c>
      <c r="H33">
        <f t="shared" ref="H33:H41" si="22">G33+273.15</f>
        <v>323.88652587140336</v>
      </c>
      <c r="I33">
        <v>10</v>
      </c>
      <c r="J33" s="1">
        <f t="shared" ref="J33:J41" si="23">I33/60/1000</f>
        <v>1.6666666666666666E-4</v>
      </c>
      <c r="K33">
        <v>34.915330330526842</v>
      </c>
      <c r="L33">
        <v>5.0217427317420364</v>
      </c>
      <c r="M33">
        <f t="shared" ref="M33:M41" si="24">K33+273.15</f>
        <v>308.06533033052682</v>
      </c>
      <c r="N33">
        <f t="shared" ref="N33:N41" si="25">L33/10</f>
        <v>0.5021742731742036</v>
      </c>
      <c r="O33">
        <v>5.6853999999999996</v>
      </c>
      <c r="Q33">
        <f t="shared" ref="Q33:Q41" si="26">SQRT(1.2/O33)*SQRT(N33/0.101325)*SQRT(293.15/M33)</f>
        <v>0.99770596911223208</v>
      </c>
      <c r="R33">
        <f t="shared" ref="R33:R41" si="27">I33*Q33</f>
        <v>9.9770596911223208</v>
      </c>
      <c r="S33" s="7">
        <f t="shared" ref="S33:S41" si="28">R33/60/1000</f>
        <v>1.6628432818537199E-4</v>
      </c>
      <c r="U33">
        <v>55</v>
      </c>
      <c r="V33">
        <v>68</v>
      </c>
      <c r="W33" s="8">
        <v>1.9820000000000001E-2</v>
      </c>
      <c r="X33" s="10">
        <v>280</v>
      </c>
    </row>
    <row r="34" spans="1:32" x14ac:dyDescent="0.25">
      <c r="B34" s="2">
        <v>2112</v>
      </c>
      <c r="C34">
        <f>B34*2*PI()/60</f>
        <v>221.16812281272144</v>
      </c>
      <c r="D34">
        <v>1.0061059491213908</v>
      </c>
      <c r="E34">
        <v>32.026258261130579</v>
      </c>
      <c r="F34">
        <v>4.4350470643170885</v>
      </c>
      <c r="G34">
        <v>49.99081342244255</v>
      </c>
      <c r="H34">
        <f t="shared" si="22"/>
        <v>323.14081342244253</v>
      </c>
      <c r="I34">
        <v>11.5</v>
      </c>
      <c r="J34" s="1">
        <f t="shared" si="23"/>
        <v>1.9166666666666667E-4</v>
      </c>
      <c r="K34">
        <v>36.091330242567508</v>
      </c>
      <c r="L34">
        <v>4.398073191126322</v>
      </c>
      <c r="M34">
        <f t="shared" si="24"/>
        <v>309.24133024256747</v>
      </c>
      <c r="N34">
        <f t="shared" si="25"/>
        <v>0.43980731911263221</v>
      </c>
      <c r="O34">
        <v>4.9595000000000002</v>
      </c>
      <c r="Q34">
        <f t="shared" si="26"/>
        <v>0.99779374850115632</v>
      </c>
      <c r="R34">
        <f t="shared" si="27"/>
        <v>11.474628107763298</v>
      </c>
      <c r="S34" s="7">
        <f t="shared" si="28"/>
        <v>1.9124380179605496E-4</v>
      </c>
      <c r="U34">
        <v>55</v>
      </c>
      <c r="V34">
        <v>68</v>
      </c>
      <c r="W34" s="8">
        <v>1.9820000000000001E-2</v>
      </c>
      <c r="X34" s="10">
        <v>270</v>
      </c>
    </row>
    <row r="35" spans="1:32" x14ac:dyDescent="0.25">
      <c r="B35" s="2">
        <v>2114</v>
      </c>
      <c r="C35">
        <f t="shared" ref="C35:C40" si="29">B35*2*PI()/60</f>
        <v>221.37756232296076</v>
      </c>
      <c r="D35">
        <v>1.0066583740337631</v>
      </c>
      <c r="E35">
        <v>32.048058065891794</v>
      </c>
      <c r="F35">
        <v>4.2201346805617597</v>
      </c>
      <c r="G35">
        <v>48.984398003218239</v>
      </c>
      <c r="H35">
        <f t="shared" si="22"/>
        <v>322.13439800321822</v>
      </c>
      <c r="I35">
        <v>12</v>
      </c>
      <c r="J35" s="1">
        <f t="shared" si="23"/>
        <v>2.0000000000000001E-4</v>
      </c>
      <c r="K35">
        <v>34.992384663945479</v>
      </c>
      <c r="L35">
        <v>4.1866511988703801</v>
      </c>
      <c r="M35">
        <f t="shared" si="24"/>
        <v>308.14238466394545</v>
      </c>
      <c r="N35">
        <f t="shared" si="25"/>
        <v>0.41866511988703803</v>
      </c>
      <c r="O35">
        <v>4.7378999999999998</v>
      </c>
      <c r="Q35">
        <f t="shared" si="26"/>
        <v>0.99779653516182709</v>
      </c>
      <c r="R35">
        <f t="shared" si="27"/>
        <v>11.973558421941926</v>
      </c>
      <c r="S35" s="7">
        <f t="shared" si="28"/>
        <v>1.9955930703236544E-4</v>
      </c>
      <c r="U35">
        <v>55</v>
      </c>
      <c r="V35">
        <v>68</v>
      </c>
      <c r="W35" s="8">
        <v>1.9820000000000001E-2</v>
      </c>
      <c r="X35" s="10">
        <v>265</v>
      </c>
    </row>
    <row r="36" spans="1:32" x14ac:dyDescent="0.25">
      <c r="A36" s="3">
        <f>AVERAGE(G33:G41)</f>
        <v>52.122160892238497</v>
      </c>
      <c r="B36" s="2">
        <v>2109</v>
      </c>
      <c r="C36">
        <f t="shared" si="29"/>
        <v>220.85396354736247</v>
      </c>
      <c r="D36">
        <v>1.0053780492937707</v>
      </c>
      <c r="E36">
        <v>31.985109146263685</v>
      </c>
      <c r="F36">
        <v>4.1660023180827821</v>
      </c>
      <c r="G36">
        <v>55.88360328804167</v>
      </c>
      <c r="H36">
        <f t="shared" si="22"/>
        <v>329.03360328804166</v>
      </c>
      <c r="I36">
        <v>12.5</v>
      </c>
      <c r="J36" s="1">
        <f t="shared" si="23"/>
        <v>2.0833333333333335E-4</v>
      </c>
      <c r="K36">
        <v>34.345290109700692</v>
      </c>
      <c r="L36">
        <v>4.1244500716481038</v>
      </c>
      <c r="M36">
        <f t="shared" si="24"/>
        <v>307.49529010970065</v>
      </c>
      <c r="N36">
        <f t="shared" si="25"/>
        <v>0.41244500716481036</v>
      </c>
      <c r="O36">
        <v>4.6772999999999998</v>
      </c>
      <c r="Q36">
        <f t="shared" si="26"/>
        <v>0.99779987275164905</v>
      </c>
      <c r="R36">
        <f t="shared" si="27"/>
        <v>12.472498409395612</v>
      </c>
      <c r="S36" s="7">
        <f t="shared" si="28"/>
        <v>2.0787497348992686E-4</v>
      </c>
      <c r="U36">
        <v>55</v>
      </c>
      <c r="V36">
        <v>68</v>
      </c>
      <c r="W36" s="8">
        <v>1.9820000000000001E-2</v>
      </c>
      <c r="X36" s="10">
        <v>265</v>
      </c>
    </row>
    <row r="37" spans="1:32" x14ac:dyDescent="0.25">
      <c r="A37" s="6"/>
      <c r="B37" s="2">
        <v>2114</v>
      </c>
      <c r="C37">
        <f t="shared" si="29"/>
        <v>221.37756232296076</v>
      </c>
      <c r="D37">
        <v>1.0066982516283061</v>
      </c>
      <c r="E37">
        <v>32.005684453369334</v>
      </c>
      <c r="F37">
        <v>4.003856630921188</v>
      </c>
      <c r="G37">
        <v>49.199552467406384</v>
      </c>
      <c r="H37">
        <f t="shared" si="22"/>
        <v>322.34955246740634</v>
      </c>
      <c r="I37">
        <v>14</v>
      </c>
      <c r="J37" s="1">
        <f t="shared" si="23"/>
        <v>2.3333333333333333E-4</v>
      </c>
      <c r="K37">
        <v>35.22898377743342</v>
      </c>
      <c r="L37">
        <v>3.9611569214138527</v>
      </c>
      <c r="M37">
        <f t="shared" si="24"/>
        <v>308.3789837774334</v>
      </c>
      <c r="N37">
        <f t="shared" si="25"/>
        <v>0.39611569214138526</v>
      </c>
      <c r="O37">
        <v>4.4790000000000001</v>
      </c>
      <c r="Q37">
        <f t="shared" si="26"/>
        <v>0.99782727755777623</v>
      </c>
      <c r="R37">
        <f t="shared" si="27"/>
        <v>13.969581885808868</v>
      </c>
      <c r="S37" s="7">
        <f t="shared" si="28"/>
        <v>2.3282636476348111E-4</v>
      </c>
      <c r="U37">
        <v>55</v>
      </c>
      <c r="V37">
        <v>68</v>
      </c>
      <c r="W37" s="8">
        <v>1.9820000000000001E-2</v>
      </c>
      <c r="X37" s="10">
        <v>260</v>
      </c>
    </row>
    <row r="38" spans="1:32" x14ac:dyDescent="0.25">
      <c r="B38" s="2">
        <v>2112</v>
      </c>
      <c r="C38">
        <f t="shared" si="29"/>
        <v>221.16812281272144</v>
      </c>
      <c r="D38">
        <v>1.0062165914400862</v>
      </c>
      <c r="E38">
        <v>31.970314452969511</v>
      </c>
      <c r="F38">
        <v>3.8882416114697662</v>
      </c>
      <c r="G38">
        <v>51.115333189585478</v>
      </c>
      <c r="H38">
        <f t="shared" si="22"/>
        <v>324.26533318958548</v>
      </c>
      <c r="I38">
        <v>16</v>
      </c>
      <c r="J38" s="1">
        <f t="shared" si="23"/>
        <v>2.6666666666666668E-4</v>
      </c>
      <c r="K38">
        <v>36.995893647839196</v>
      </c>
      <c r="L38">
        <v>3.838953350045629</v>
      </c>
      <c r="M38">
        <f t="shared" si="24"/>
        <v>310.14589364783916</v>
      </c>
      <c r="N38">
        <f t="shared" si="25"/>
        <v>0.38389533500456291</v>
      </c>
      <c r="O38">
        <v>4.3156999999999996</v>
      </c>
      <c r="Q38">
        <f t="shared" si="26"/>
        <v>0.99787247161187964</v>
      </c>
      <c r="R38">
        <f t="shared" si="27"/>
        <v>15.965959545790074</v>
      </c>
      <c r="S38" s="7">
        <f t="shared" si="28"/>
        <v>2.6609932576316791E-4</v>
      </c>
      <c r="U38">
        <v>55</v>
      </c>
      <c r="V38">
        <v>68</v>
      </c>
      <c r="W38" s="8">
        <v>1.9820000000000001E-2</v>
      </c>
      <c r="X38" s="10">
        <v>250</v>
      </c>
    </row>
    <row r="39" spans="1:32" x14ac:dyDescent="0.25">
      <c r="B39" s="2">
        <v>2111</v>
      </c>
      <c r="C39">
        <f t="shared" si="29"/>
        <v>221.06340305760176</v>
      </c>
      <c r="D39">
        <v>1.0062203504706426</v>
      </c>
      <c r="E39">
        <v>32.022331469804662</v>
      </c>
      <c r="F39">
        <v>3.6906135851904573</v>
      </c>
      <c r="G39">
        <v>55.82394394771957</v>
      </c>
      <c r="H39">
        <f t="shared" si="22"/>
        <v>328.97394394771953</v>
      </c>
      <c r="I39">
        <v>17</v>
      </c>
      <c r="J39" s="1">
        <f t="shared" si="23"/>
        <v>2.833333333333333E-4</v>
      </c>
      <c r="K39">
        <v>35.183946946549369</v>
      </c>
      <c r="L39">
        <v>3.6382551740685782</v>
      </c>
      <c r="M39">
        <f t="shared" si="24"/>
        <v>308.33394694654936</v>
      </c>
      <c r="N39">
        <f t="shared" si="25"/>
        <v>0.36382551740685781</v>
      </c>
      <c r="O39">
        <v>4.1142000000000003</v>
      </c>
      <c r="Q39">
        <f t="shared" si="26"/>
        <v>0.99786197341373895</v>
      </c>
      <c r="R39">
        <f t="shared" si="27"/>
        <v>16.963653548033562</v>
      </c>
      <c r="S39" s="7">
        <f t="shared" si="28"/>
        <v>2.827275591338927E-4</v>
      </c>
      <c r="U39">
        <v>55</v>
      </c>
      <c r="V39">
        <v>68</v>
      </c>
      <c r="W39" s="8">
        <v>1.9820000000000001E-2</v>
      </c>
      <c r="X39" s="10">
        <v>240</v>
      </c>
    </row>
    <row r="40" spans="1:32" x14ac:dyDescent="0.25">
      <c r="B40" s="2">
        <v>2112</v>
      </c>
      <c r="C40">
        <f t="shared" si="29"/>
        <v>221.16812281272144</v>
      </c>
      <c r="D40">
        <v>1.0075471234151576</v>
      </c>
      <c r="E40">
        <v>31.981519437650153</v>
      </c>
      <c r="F40">
        <v>3.3424664174525525</v>
      </c>
      <c r="G40">
        <v>54.463514185662618</v>
      </c>
      <c r="H40">
        <f t="shared" si="22"/>
        <v>327.61351418566261</v>
      </c>
      <c r="I40">
        <v>19</v>
      </c>
      <c r="J40" s="1">
        <f t="shared" si="23"/>
        <v>3.1666666666666665E-4</v>
      </c>
      <c r="K40">
        <v>36.165910744740373</v>
      </c>
      <c r="L40">
        <v>3.2729093370781328</v>
      </c>
      <c r="M40">
        <f t="shared" si="24"/>
        <v>309.31591074474034</v>
      </c>
      <c r="N40">
        <f t="shared" si="25"/>
        <v>0.32729093370781326</v>
      </c>
      <c r="O40">
        <v>3.6888999999999998</v>
      </c>
      <c r="Q40">
        <f t="shared" si="26"/>
        <v>0.99791760042068167</v>
      </c>
      <c r="R40">
        <f t="shared" si="27"/>
        <v>18.960434407992953</v>
      </c>
      <c r="S40" s="7">
        <f t="shared" si="28"/>
        <v>3.1600724013321587E-4</v>
      </c>
      <c r="U40">
        <v>55</v>
      </c>
      <c r="V40">
        <v>68</v>
      </c>
      <c r="W40" s="8">
        <v>1.9820000000000001E-2</v>
      </c>
      <c r="X40" s="10">
        <v>225</v>
      </c>
    </row>
    <row r="41" spans="1:32" x14ac:dyDescent="0.25">
      <c r="B41" s="2">
        <v>2113</v>
      </c>
      <c r="C41">
        <f>B41*2*PI()/60</f>
        <v>221.27284256784108</v>
      </c>
      <c r="D41">
        <v>1.0065745596993658</v>
      </c>
      <c r="E41">
        <v>32.002248517148523</v>
      </c>
      <c r="F41">
        <v>2.547230439361762</v>
      </c>
      <c r="G41">
        <v>52.90176365466656</v>
      </c>
      <c r="H41">
        <f t="shared" si="22"/>
        <v>326.05176365466656</v>
      </c>
      <c r="I41">
        <v>26</v>
      </c>
      <c r="J41" s="1">
        <f t="shared" si="23"/>
        <v>4.3333333333333337E-4</v>
      </c>
      <c r="K41">
        <v>37.109925562862749</v>
      </c>
      <c r="L41">
        <v>2.4564213377189379</v>
      </c>
      <c r="M41">
        <f t="shared" si="24"/>
        <v>310.25992556286275</v>
      </c>
      <c r="N41">
        <f t="shared" si="25"/>
        <v>0.24564213377189378</v>
      </c>
      <c r="O41">
        <v>2.7597</v>
      </c>
      <c r="Q41">
        <f t="shared" si="26"/>
        <v>0.99801005747028537</v>
      </c>
      <c r="R41">
        <f t="shared" si="27"/>
        <v>25.94826149422742</v>
      </c>
      <c r="S41" s="7">
        <f t="shared" si="28"/>
        <v>4.3247102490379037E-4</v>
      </c>
      <c r="U41">
        <v>55</v>
      </c>
      <c r="V41">
        <v>68</v>
      </c>
      <c r="W41" s="8">
        <v>1.9820000000000001E-2</v>
      </c>
      <c r="X41" s="10">
        <v>195</v>
      </c>
    </row>
    <row r="46" spans="1:32" ht="21" x14ac:dyDescent="0.35">
      <c r="D46" s="28"/>
      <c r="E46" s="60" t="s">
        <v>6</v>
      </c>
      <c r="F46" s="60"/>
      <c r="G46" s="60"/>
      <c r="H46" s="34"/>
      <c r="I46" s="34"/>
      <c r="J46" s="28"/>
      <c r="K46" s="61" t="s">
        <v>5</v>
      </c>
      <c r="L46" s="61"/>
      <c r="M46" s="61"/>
      <c r="N46" s="29"/>
      <c r="O46" s="60" t="s">
        <v>4</v>
      </c>
      <c r="P46" s="60"/>
      <c r="Q46" s="60"/>
      <c r="S46" s="13"/>
      <c r="T46" s="62" t="s">
        <v>19</v>
      </c>
      <c r="U46" s="62"/>
      <c r="V46" s="62"/>
      <c r="W46" s="62"/>
      <c r="X46" s="62"/>
      <c r="Y46" s="62"/>
      <c r="AA46" s="62" t="s">
        <v>41</v>
      </c>
      <c r="AB46" s="62"/>
      <c r="AC46" s="62"/>
      <c r="AD46" s="62"/>
      <c r="AE46" s="62"/>
      <c r="AF46" s="62"/>
    </row>
    <row r="47" spans="1:32" ht="18.75" x14ac:dyDescent="0.3">
      <c r="D47" s="30" t="s">
        <v>35</v>
      </c>
      <c r="E47" s="31" t="s">
        <v>23</v>
      </c>
      <c r="F47" s="31" t="s">
        <v>1</v>
      </c>
      <c r="G47" s="31" t="s">
        <v>0</v>
      </c>
      <c r="H47" s="35"/>
      <c r="I47" s="35"/>
      <c r="J47" s="30" t="s">
        <v>3</v>
      </c>
      <c r="K47" s="31" t="s">
        <v>23</v>
      </c>
      <c r="L47" s="31" t="s">
        <v>1</v>
      </c>
      <c r="M47" s="31" t="s">
        <v>2</v>
      </c>
      <c r="N47" s="31"/>
      <c r="O47" s="31" t="s">
        <v>23</v>
      </c>
      <c r="P47" s="31" t="s">
        <v>1</v>
      </c>
      <c r="Q47" s="31" t="s">
        <v>0</v>
      </c>
      <c r="T47" s="32" t="s">
        <v>21</v>
      </c>
      <c r="U47" s="33" t="s">
        <v>20</v>
      </c>
      <c r="V47" s="32" t="s">
        <v>24</v>
      </c>
      <c r="W47" s="33" t="s">
        <v>18</v>
      </c>
      <c r="X47" s="32" t="s">
        <v>25</v>
      </c>
      <c r="Y47" s="33" t="s">
        <v>22</v>
      </c>
      <c r="AA47" s="32" t="s">
        <v>21</v>
      </c>
      <c r="AB47" s="33" t="s">
        <v>20</v>
      </c>
      <c r="AC47" s="32" t="s">
        <v>24</v>
      </c>
      <c r="AD47" s="33" t="s">
        <v>18</v>
      </c>
      <c r="AE47" s="32" t="s">
        <v>25</v>
      </c>
      <c r="AF47" s="33" t="s">
        <v>22</v>
      </c>
    </row>
    <row r="48" spans="1:32" x14ac:dyDescent="0.25">
      <c r="B48" s="2">
        <f>B3</f>
        <v>1217</v>
      </c>
      <c r="C48" s="10">
        <f>B48*2*PI()/60</f>
        <v>127.44394198062595</v>
      </c>
      <c r="D48" s="25">
        <f>F3</f>
        <v>4.2632226981025712</v>
      </c>
      <c r="E48">
        <v>0.69740000000000002</v>
      </c>
      <c r="F48">
        <v>0.77049999999999996</v>
      </c>
      <c r="G48" s="5">
        <f>S3*O3*1000</f>
        <v>0.3247321478042306</v>
      </c>
      <c r="H48" s="36"/>
      <c r="I48" s="36"/>
      <c r="J48" s="25">
        <v>4.2444180924655104</v>
      </c>
      <c r="K48">
        <v>198.70740000000001</v>
      </c>
      <c r="L48">
        <v>204.5453</v>
      </c>
      <c r="M48" s="5">
        <f>C48*Q48</f>
        <v>219.923995478764</v>
      </c>
      <c r="O48">
        <v>1.5591999999999999</v>
      </c>
      <c r="P48">
        <v>1.605</v>
      </c>
      <c r="Q48" s="5">
        <v>1.7256528012308101</v>
      </c>
      <c r="T48" s="9">
        <f>(E48-G48)/E48</f>
        <v>0.53436743934007658</v>
      </c>
      <c r="U48" s="4">
        <f>(F48-G48)/F48</f>
        <v>0.57854361089652095</v>
      </c>
      <c r="V48" s="4">
        <f>(K48-M48)/M48</f>
        <v>-9.6472399169433426E-2</v>
      </c>
      <c r="W48" s="4">
        <f>(L48-M48)/M48</f>
        <v>-6.9927319414533728E-2</v>
      </c>
      <c r="X48" s="4">
        <f>(O48-Q48)/Q48</f>
        <v>-9.6457874441538222E-2</v>
      </c>
      <c r="Y48" s="4">
        <f>(P48-Q48)/Q48</f>
        <v>-6.9917193739525901E-2</v>
      </c>
      <c r="AD48">
        <f>_xlfn.STDEV.P(W48:W52)</f>
        <v>6.5452284093478655E-2</v>
      </c>
    </row>
    <row r="49" spans="1:25" x14ac:dyDescent="0.25">
      <c r="A49" s="22">
        <f>AVERAGE(B48:B52)</f>
        <v>1216</v>
      </c>
      <c r="B49" s="2">
        <f>B4</f>
        <v>1214</v>
      </c>
      <c r="C49" s="10">
        <f t="shared" ref="C49:C52" si="30">B49*2*PI()/60</f>
        <v>127.12978271526696</v>
      </c>
      <c r="D49" s="25">
        <f>F4</f>
        <v>3.7487816777695127</v>
      </c>
      <c r="F49">
        <v>0.77049999999999996</v>
      </c>
      <c r="G49" s="5">
        <f>S4*O4*1000</f>
        <v>0.35673312429200765</v>
      </c>
      <c r="H49" s="36"/>
      <c r="I49" s="36"/>
      <c r="J49" s="25">
        <v>3.7878232240313827</v>
      </c>
      <c r="L49">
        <v>187.7894</v>
      </c>
      <c r="M49" s="5">
        <f>C49*Q49</f>
        <v>201.06346911209982</v>
      </c>
      <c r="P49">
        <v>1.4771000000000001</v>
      </c>
      <c r="Q49" s="5">
        <v>1.5815607076307401</v>
      </c>
      <c r="T49" s="9" t="e">
        <f>(E49-G49)/E49</f>
        <v>#DIV/0!</v>
      </c>
      <c r="U49" s="4">
        <f>(F49-G49)/F49</f>
        <v>0.53701087048409124</v>
      </c>
      <c r="V49" s="4">
        <f t="shared" ref="V49:V68" si="31">(K49-M49)/M49</f>
        <v>-1</v>
      </c>
      <c r="W49" s="4">
        <f t="shared" ref="W49:W68" si="32">(L49-M49)/M49</f>
        <v>-6.6019298138634386E-2</v>
      </c>
      <c r="X49" s="4">
        <f t="shared" ref="X49:X68" si="33">(O49-Q49)/Q49</f>
        <v>-1</v>
      </c>
      <c r="Y49" s="4">
        <f t="shared" ref="Y49:Y68" si="34">(P49-Q49)/Q49</f>
        <v>-6.6049129272582621E-2</v>
      </c>
    </row>
    <row r="50" spans="1:25" x14ac:dyDescent="0.25">
      <c r="A50" s="23"/>
      <c r="B50" s="2">
        <f>B5</f>
        <v>1217</v>
      </c>
      <c r="C50" s="10">
        <f t="shared" si="30"/>
        <v>127.44394198062595</v>
      </c>
      <c r="D50" s="25">
        <f>F5</f>
        <v>3.411492883316626</v>
      </c>
      <c r="F50">
        <v>0.77100000000000002</v>
      </c>
      <c r="G50" s="5">
        <f>S5*O5*1000</f>
        <v>0.45316198723503576</v>
      </c>
      <c r="H50" s="36"/>
      <c r="I50" s="36"/>
      <c r="J50" s="25">
        <v>3.4480098649583537</v>
      </c>
      <c r="L50">
        <v>198.62100000000001</v>
      </c>
      <c r="M50" s="5">
        <f>C50*Q50</f>
        <v>193.63025834579085</v>
      </c>
      <c r="P50">
        <v>1.5585</v>
      </c>
      <c r="Q50" s="5">
        <v>1.5193367008000001</v>
      </c>
      <c r="T50" s="9" t="e">
        <f>(E50-G50)/E50</f>
        <v>#DIV/0!</v>
      </c>
      <c r="U50" s="4">
        <f>(F50-G50)/F50</f>
        <v>0.41224126169256065</v>
      </c>
      <c r="V50" s="4">
        <f t="shared" si="31"/>
        <v>-1</v>
      </c>
      <c r="W50" s="4">
        <f t="shared" si="32"/>
        <v>2.5774595855243554E-2</v>
      </c>
      <c r="X50" s="4">
        <f t="shared" si="33"/>
        <v>-1</v>
      </c>
      <c r="Y50" s="4">
        <f t="shared" si="34"/>
        <v>2.577657683078325E-2</v>
      </c>
    </row>
    <row r="51" spans="1:25" x14ac:dyDescent="0.25">
      <c r="A51" s="23"/>
      <c r="B51" s="2">
        <f>B6</f>
        <v>1215</v>
      </c>
      <c r="C51" s="10">
        <f t="shared" si="30"/>
        <v>127.23450247038662</v>
      </c>
      <c r="D51" s="25">
        <f>F6</f>
        <v>3.0036465230416134</v>
      </c>
      <c r="F51">
        <v>0.76910000000000001</v>
      </c>
      <c r="G51" s="5">
        <f>S6*O6*1000</f>
        <v>0.45543527309811571</v>
      </c>
      <c r="H51" s="36"/>
      <c r="I51" s="36"/>
      <c r="J51" s="25">
        <v>3.0515120209205819</v>
      </c>
      <c r="L51">
        <v>164.3861</v>
      </c>
      <c r="M51" s="5">
        <f>C51*Q51</f>
        <v>176.89683334223687</v>
      </c>
      <c r="P51">
        <v>1.292</v>
      </c>
      <c r="Q51" s="5">
        <v>1.39032125648001</v>
      </c>
      <c r="T51" s="9" t="e">
        <f>(E51-G51)/E51</f>
        <v>#DIV/0!</v>
      </c>
      <c r="U51" s="4">
        <f>(F51-G51)/F51</f>
        <v>0.40783347666348235</v>
      </c>
      <c r="V51" s="4">
        <f t="shared" si="31"/>
        <v>-1</v>
      </c>
      <c r="W51" s="4">
        <f t="shared" si="32"/>
        <v>-7.0723331253944741E-2</v>
      </c>
      <c r="X51" s="4">
        <f t="shared" si="33"/>
        <v>-1</v>
      </c>
      <c r="Y51" s="4">
        <f t="shared" si="34"/>
        <v>-7.071837247812636E-2</v>
      </c>
    </row>
    <row r="52" spans="1:25" x14ac:dyDescent="0.25">
      <c r="A52" s="23"/>
      <c r="B52" s="2">
        <f>B7</f>
        <v>1217</v>
      </c>
      <c r="C52" s="10">
        <f t="shared" si="30"/>
        <v>127.44394198062595</v>
      </c>
      <c r="D52" s="25">
        <f>F7</f>
        <v>2.3975521098447876</v>
      </c>
      <c r="E52">
        <v>0.58399999999999996</v>
      </c>
      <c r="F52">
        <v>0.77059999999999995</v>
      </c>
      <c r="G52" s="5">
        <f>S7*O7*1000</f>
        <v>0.45359213147780497</v>
      </c>
      <c r="H52" s="36"/>
      <c r="I52" s="36"/>
      <c r="J52" s="25">
        <v>2.2725055761034807</v>
      </c>
      <c r="K52">
        <v>137.48740000000001</v>
      </c>
      <c r="L52">
        <v>163.55439999999999</v>
      </c>
      <c r="M52" s="5">
        <f>C52*Q52</f>
        <v>150.01311193399283</v>
      </c>
      <c r="O52">
        <v>1.0788</v>
      </c>
      <c r="P52">
        <v>1.2833000000000001</v>
      </c>
      <c r="Q52" s="5">
        <v>1.1770909593866601</v>
      </c>
      <c r="T52" s="9">
        <f>(E52-G52)/E52</f>
        <v>0.22330114472978596</v>
      </c>
      <c r="U52" s="4">
        <f>(F52-G52)/F52</f>
        <v>0.4113779762810732</v>
      </c>
      <c r="V52" s="4">
        <f t="shared" si="31"/>
        <v>-8.3497447473153241E-2</v>
      </c>
      <c r="W52" s="4">
        <f t="shared" si="32"/>
        <v>9.0267363241990792E-2</v>
      </c>
      <c r="X52" s="4">
        <f t="shared" si="33"/>
        <v>-8.3503282905066228E-2</v>
      </c>
      <c r="Y52" s="4">
        <f t="shared" si="34"/>
        <v>9.0230104790441815E-2</v>
      </c>
    </row>
    <row r="53" spans="1:25" x14ac:dyDescent="0.25">
      <c r="A53" s="24"/>
      <c r="B53" s="19"/>
      <c r="C53" s="16"/>
      <c r="D53" s="20"/>
      <c r="E53" s="16"/>
      <c r="F53" s="16"/>
      <c r="G53" s="16"/>
      <c r="H53" s="36"/>
      <c r="I53" s="36"/>
      <c r="J53" s="20"/>
      <c r="K53" s="16"/>
      <c r="L53" s="16"/>
      <c r="M53" s="16"/>
      <c r="N53" s="16"/>
      <c r="O53" s="16"/>
      <c r="P53" s="16"/>
      <c r="Q53" s="16"/>
      <c r="R53" s="16"/>
      <c r="S53" s="16"/>
      <c r="T53" s="17"/>
      <c r="U53" s="18"/>
      <c r="V53" s="18"/>
      <c r="W53" s="18"/>
      <c r="X53" s="18"/>
      <c r="Y53" s="18"/>
    </row>
    <row r="54" spans="1:25" x14ac:dyDescent="0.25">
      <c r="A54" s="24"/>
      <c r="B54" s="16"/>
      <c r="C54" s="16"/>
      <c r="D54" s="20"/>
      <c r="E54" s="16"/>
      <c r="F54" s="16"/>
      <c r="G54" s="16"/>
      <c r="H54" s="36"/>
      <c r="I54" s="36"/>
      <c r="J54" s="20"/>
      <c r="K54" s="16"/>
      <c r="L54" s="16"/>
      <c r="M54" s="16"/>
      <c r="N54" s="16"/>
      <c r="O54" s="16"/>
      <c r="P54" s="16"/>
      <c r="Q54" s="16"/>
      <c r="R54" s="16"/>
      <c r="S54" s="16"/>
      <c r="T54" s="17"/>
      <c r="U54" s="18"/>
      <c r="V54" s="18"/>
      <c r="W54" s="18"/>
      <c r="X54" s="18"/>
      <c r="Y54" s="18"/>
    </row>
    <row r="55" spans="1:25" x14ac:dyDescent="0.25">
      <c r="B55" s="2">
        <v>1431</v>
      </c>
      <c r="C55" s="10">
        <f>B55*2*PI()/60</f>
        <v>149.85396957623314</v>
      </c>
      <c r="D55" s="25">
        <f t="shared" ref="D55:D60" si="35">F9</f>
        <v>5.253362586763715</v>
      </c>
      <c r="F55">
        <v>0.90310000000000001</v>
      </c>
      <c r="G55" s="5">
        <f t="shared" ref="G55:G60" si="36">S9*O9*1000</f>
        <v>0.49942621079699617</v>
      </c>
      <c r="H55" s="36"/>
      <c r="I55" s="36"/>
      <c r="J55" s="25">
        <v>5.2406701587576698</v>
      </c>
      <c r="L55">
        <v>302.18279999999999</v>
      </c>
      <c r="M55" s="5">
        <f>C55*Q55</f>
        <v>313.28825986228173</v>
      </c>
      <c r="P55">
        <v>2.0222000000000002</v>
      </c>
      <c r="Q55" s="5">
        <v>2.0906236968444598</v>
      </c>
      <c r="T55" s="9" t="e">
        <f t="shared" ref="T55:T60" si="37">(E55-G55)/E55</f>
        <v>#DIV/0!</v>
      </c>
      <c r="U55" s="4">
        <f t="shared" ref="U55:U60" si="38">(F55-G55)/F55</f>
        <v>0.44698681120917266</v>
      </c>
      <c r="V55" s="4">
        <f t="shared" ref="V55:V59" si="39">(K55-M55)/M55</f>
        <v>-1</v>
      </c>
      <c r="W55" s="4">
        <f t="shared" ref="W55:W59" si="40">(L55-M55)/M55</f>
        <v>-3.5448056263466726E-2</v>
      </c>
      <c r="X55" s="4">
        <f t="shared" ref="X55:X59" si="41">(O55-Q55)/Q55</f>
        <v>-1</v>
      </c>
      <c r="Y55" s="4">
        <f>(P55-Q55)/Q55</f>
        <v>-3.272884400369936E-2</v>
      </c>
    </row>
    <row r="56" spans="1:25" x14ac:dyDescent="0.25">
      <c r="A56" s="22">
        <f>AVERAGE(B55:B60)</f>
        <v>1417.3333333333333</v>
      </c>
      <c r="B56" s="2">
        <f>B10</f>
        <v>1411</v>
      </c>
      <c r="C56" s="10">
        <f>B56*2*PI()/60</f>
        <v>147.75957447383993</v>
      </c>
      <c r="D56" s="25">
        <f t="shared" si="35"/>
        <v>4.92509496623821</v>
      </c>
      <c r="G56" s="5">
        <f t="shared" si="36"/>
        <v>0.51458234662294589</v>
      </c>
      <c r="H56" s="36"/>
      <c r="I56" s="36"/>
      <c r="J56" s="25">
        <v>4.8223075689095696</v>
      </c>
      <c r="M56" s="5">
        <f>Q56*C56</f>
        <v>277.23925387205941</v>
      </c>
      <c r="Q56" s="5">
        <v>1.8762862228000201</v>
      </c>
      <c r="T56" s="9" t="e">
        <f t="shared" si="37"/>
        <v>#DIV/0!</v>
      </c>
      <c r="U56" s="4" t="e">
        <f t="shared" si="38"/>
        <v>#DIV/0!</v>
      </c>
      <c r="V56" s="4">
        <f t="shared" si="39"/>
        <v>-1</v>
      </c>
      <c r="W56" s="4">
        <f t="shared" si="40"/>
        <v>-1</v>
      </c>
      <c r="X56" s="4">
        <f t="shared" si="41"/>
        <v>-1</v>
      </c>
      <c r="Y56" s="4">
        <f t="shared" ref="Y56:Y59" si="42">(P56-Q56)/Q56</f>
        <v>-1</v>
      </c>
    </row>
    <row r="57" spans="1:25" x14ac:dyDescent="0.25">
      <c r="A57" s="23"/>
      <c r="B57" s="2">
        <f>B11</f>
        <v>1412</v>
      </c>
      <c r="C57" s="10">
        <f t="shared" ref="C57:C60" si="43">B57*2*PI()/60</f>
        <v>147.86429422895961</v>
      </c>
      <c r="D57" s="25">
        <f t="shared" si="35"/>
        <v>4.236297847863618</v>
      </c>
      <c r="G57" s="5">
        <f t="shared" si="36"/>
        <v>0.48213212885652895</v>
      </c>
      <c r="H57" s="36"/>
      <c r="I57" s="36"/>
      <c r="J57" s="25">
        <v>4.2133657686475736</v>
      </c>
      <c r="M57" s="5">
        <f>C57*Q57</f>
        <v>252.5835649599077</v>
      </c>
      <c r="Q57" s="5">
        <v>1.7082120215499501</v>
      </c>
      <c r="T57" s="9" t="e">
        <f t="shared" si="37"/>
        <v>#DIV/0!</v>
      </c>
      <c r="U57" s="4" t="e">
        <f t="shared" si="38"/>
        <v>#DIV/0!</v>
      </c>
      <c r="V57" s="4">
        <f t="shared" si="39"/>
        <v>-1</v>
      </c>
      <c r="W57" s="4">
        <f t="shared" si="40"/>
        <v>-1</v>
      </c>
      <c r="X57" s="4">
        <f t="shared" si="41"/>
        <v>-1</v>
      </c>
      <c r="Y57" s="4">
        <f t="shared" si="42"/>
        <v>-1</v>
      </c>
    </row>
    <row r="58" spans="1:25" x14ac:dyDescent="0.25">
      <c r="A58" s="23"/>
      <c r="B58" s="2">
        <f>B12</f>
        <v>1415</v>
      </c>
      <c r="C58" s="10">
        <f t="shared" si="43"/>
        <v>148.17845349431857</v>
      </c>
      <c r="D58" s="25">
        <f t="shared" si="35"/>
        <v>3.661602244140135</v>
      </c>
      <c r="G58" s="5">
        <f t="shared" si="36"/>
        <v>0.55282985811386409</v>
      </c>
      <c r="H58" s="36"/>
      <c r="I58" s="36"/>
      <c r="J58" s="25">
        <v>3.6648343363992262</v>
      </c>
      <c r="M58" s="5">
        <f>C58*Q58</f>
        <v>233.85095355199863</v>
      </c>
      <c r="Q58" s="5">
        <v>1.5781711040800199</v>
      </c>
      <c r="T58" s="9" t="e">
        <f t="shared" si="37"/>
        <v>#DIV/0!</v>
      </c>
      <c r="U58" s="4" t="e">
        <f t="shared" si="38"/>
        <v>#DIV/0!</v>
      </c>
      <c r="V58" s="4">
        <f t="shared" si="39"/>
        <v>-1</v>
      </c>
      <c r="W58" s="4">
        <f t="shared" si="40"/>
        <v>-1</v>
      </c>
      <c r="X58" s="4">
        <f t="shared" si="41"/>
        <v>-1</v>
      </c>
      <c r="Y58" s="4">
        <f t="shared" si="42"/>
        <v>-1</v>
      </c>
    </row>
    <row r="59" spans="1:25" x14ac:dyDescent="0.25">
      <c r="A59" s="23"/>
      <c r="B59" s="2">
        <f>B13</f>
        <v>1412</v>
      </c>
      <c r="C59" s="10">
        <f t="shared" si="43"/>
        <v>147.86429422895961</v>
      </c>
      <c r="D59" s="25">
        <f t="shared" si="35"/>
        <v>2.9220510847489072</v>
      </c>
      <c r="G59" s="5">
        <f t="shared" si="36"/>
        <v>0.55064360312853888</v>
      </c>
      <c r="H59" s="36"/>
      <c r="I59" s="36"/>
      <c r="J59" s="25">
        <v>2.9593285147529595</v>
      </c>
      <c r="M59" s="5">
        <f>C59*Q59</f>
        <v>203.92491114934344</v>
      </c>
      <c r="Q59" s="5">
        <v>1.37913559330001</v>
      </c>
      <c r="T59" s="9" t="e">
        <f t="shared" si="37"/>
        <v>#DIV/0!</v>
      </c>
      <c r="U59" s="4" t="e">
        <f t="shared" si="38"/>
        <v>#DIV/0!</v>
      </c>
      <c r="V59" s="4">
        <f t="shared" si="39"/>
        <v>-1</v>
      </c>
      <c r="W59" s="4">
        <f t="shared" si="40"/>
        <v>-1</v>
      </c>
      <c r="X59" s="4">
        <f t="shared" si="41"/>
        <v>-1</v>
      </c>
      <c r="Y59" s="4">
        <f t="shared" si="42"/>
        <v>-1</v>
      </c>
    </row>
    <row r="60" spans="1:25" x14ac:dyDescent="0.25">
      <c r="A60" s="23"/>
      <c r="B60" s="2">
        <f>B14</f>
        <v>1423</v>
      </c>
      <c r="C60" s="10">
        <f t="shared" si="43"/>
        <v>149.01621153527586</v>
      </c>
      <c r="D60" s="25">
        <f t="shared" si="35"/>
        <v>2.6698755104625538</v>
      </c>
      <c r="F60">
        <v>0.90090000000000003</v>
      </c>
      <c r="G60" s="5">
        <f t="shared" si="36"/>
        <v>0.60090268980389583</v>
      </c>
      <c r="H60" s="36"/>
      <c r="I60" s="36"/>
      <c r="J60" s="25">
        <v>2.6546208338669319</v>
      </c>
      <c r="L60">
        <v>193.74870000000001</v>
      </c>
      <c r="M60" s="5">
        <f>C60*Q60</f>
        <v>199.07794559162474</v>
      </c>
      <c r="P60">
        <v>1.3002</v>
      </c>
      <c r="Q60" s="5">
        <v>1.3359482403999918</v>
      </c>
      <c r="T60" s="9" t="e">
        <f t="shared" si="37"/>
        <v>#DIV/0!</v>
      </c>
      <c r="U60" s="4">
        <f t="shared" si="38"/>
        <v>0.33299734731502295</v>
      </c>
      <c r="V60" s="4">
        <f t="shared" si="31"/>
        <v>-1</v>
      </c>
      <c r="W60" s="4">
        <f t="shared" si="32"/>
        <v>-2.6769643296183025E-2</v>
      </c>
      <c r="X60" s="4">
        <f>(O60-Q60)/Q60</f>
        <v>-1</v>
      </c>
      <c r="Y60" s="4">
        <f t="shared" si="34"/>
        <v>-2.6758701661442019E-2</v>
      </c>
    </row>
    <row r="61" spans="1:25" x14ac:dyDescent="0.25">
      <c r="A61" s="24"/>
      <c r="B61" s="16"/>
      <c r="C61" s="16"/>
      <c r="D61" s="20"/>
      <c r="E61" s="16"/>
      <c r="F61" s="16"/>
      <c r="G61" s="16"/>
      <c r="H61" s="36"/>
      <c r="I61" s="36"/>
      <c r="J61" s="20"/>
      <c r="K61" s="16"/>
      <c r="L61" s="16"/>
      <c r="M61" s="16"/>
      <c r="N61" s="16"/>
      <c r="O61" s="16"/>
      <c r="P61" s="16"/>
      <c r="Q61" s="16"/>
      <c r="R61" s="16"/>
      <c r="S61" s="16"/>
      <c r="T61" s="17"/>
      <c r="U61" s="18"/>
      <c r="V61" s="18"/>
      <c r="W61" s="18"/>
      <c r="X61" s="18"/>
      <c r="Y61" s="18"/>
    </row>
    <row r="62" spans="1:25" x14ac:dyDescent="0.25">
      <c r="A62" s="24"/>
      <c r="B62" s="16"/>
      <c r="C62" s="16"/>
      <c r="D62" s="20"/>
      <c r="E62" s="16"/>
      <c r="F62" s="16"/>
      <c r="G62" s="16"/>
      <c r="H62" s="36"/>
      <c r="I62" s="36"/>
      <c r="J62" s="20"/>
      <c r="K62" s="16"/>
      <c r="L62" s="16"/>
      <c r="M62" s="16"/>
      <c r="N62" s="16"/>
      <c r="O62" s="16"/>
      <c r="P62" s="16"/>
      <c r="Q62" s="16"/>
      <c r="R62" s="16"/>
      <c r="S62" s="16"/>
      <c r="T62" s="17"/>
      <c r="U62" s="18"/>
      <c r="V62" s="18"/>
      <c r="W62" s="18"/>
      <c r="X62" s="18"/>
      <c r="Y62" s="18"/>
    </row>
    <row r="63" spans="1:25" x14ac:dyDescent="0.25">
      <c r="B63" s="2">
        <f t="shared" ref="B63:B68" si="44">B16</f>
        <v>1638</v>
      </c>
      <c r="C63" s="10">
        <f t="shared" ref="C63:C68" si="45">B63*2*PI()/60</f>
        <v>171.53095888600271</v>
      </c>
      <c r="D63" s="25">
        <f t="shared" ref="D63:D68" si="46">F16</f>
        <v>5.3598489235258446</v>
      </c>
      <c r="F63">
        <v>1.0351999999999999</v>
      </c>
      <c r="G63" s="5">
        <f t="shared" ref="G63:G68" si="47">S16*O16*1000</f>
        <v>0.50962255574596027</v>
      </c>
      <c r="H63" s="36"/>
      <c r="I63" s="36"/>
      <c r="J63" s="25">
        <v>5.2676677023988514</v>
      </c>
      <c r="L63">
        <v>351.88670000000002</v>
      </c>
      <c r="M63" s="5">
        <f t="shared" ref="M63:M68" si="48">C63*Q63</f>
        <v>350.36119156039933</v>
      </c>
      <c r="P63">
        <v>2.0514000000000001</v>
      </c>
      <c r="Q63" s="5">
        <v>2.0425536814799998</v>
      </c>
      <c r="T63" s="9" t="e">
        <f t="shared" ref="T63:T68" si="49">(E63-G63)/E63</f>
        <v>#DIV/0!</v>
      </c>
      <c r="U63" s="4">
        <f t="shared" ref="U63:U68" si="50">(F63-G63)/F63</f>
        <v>0.50770618648960553</v>
      </c>
      <c r="V63" s="4">
        <f t="shared" si="31"/>
        <v>-1</v>
      </c>
      <c r="W63" s="4">
        <f t="shared" si="32"/>
        <v>4.3541022132232935E-3</v>
      </c>
      <c r="X63" s="4">
        <f t="shared" si="33"/>
        <v>-1</v>
      </c>
      <c r="Y63" s="4">
        <f t="shared" si="34"/>
        <v>4.3310090697789606E-3</v>
      </c>
    </row>
    <row r="64" spans="1:25" x14ac:dyDescent="0.25">
      <c r="A64" s="22">
        <f>AVERAGE(B63:B68)</f>
        <v>1638.8333333333333</v>
      </c>
      <c r="B64" s="2">
        <f t="shared" si="44"/>
        <v>1638</v>
      </c>
      <c r="C64" s="10">
        <f t="shared" si="45"/>
        <v>171.53095888600271</v>
      </c>
      <c r="D64" s="25">
        <f t="shared" si="46"/>
        <v>4.5488778229227878</v>
      </c>
      <c r="G64" s="5">
        <f t="shared" si="47"/>
        <v>0.60263466997840687</v>
      </c>
      <c r="H64" s="36"/>
      <c r="I64" s="36"/>
      <c r="J64" s="25">
        <v>4.5360871409008512</v>
      </c>
      <c r="M64" s="5">
        <f t="shared" si="48"/>
        <v>318.37107478027991</v>
      </c>
      <c r="Q64" s="5">
        <v>1.85605605453337</v>
      </c>
      <c r="T64" s="9" t="e">
        <f t="shared" si="49"/>
        <v>#DIV/0!</v>
      </c>
      <c r="U64" s="4" t="e">
        <f t="shared" si="50"/>
        <v>#DIV/0!</v>
      </c>
      <c r="V64" s="4">
        <f t="shared" si="31"/>
        <v>-1</v>
      </c>
      <c r="W64" s="4">
        <f t="shared" si="32"/>
        <v>-1</v>
      </c>
      <c r="X64" s="4">
        <f t="shared" si="33"/>
        <v>-1</v>
      </c>
      <c r="Y64" s="4">
        <f t="shared" si="34"/>
        <v>-1</v>
      </c>
    </row>
    <row r="65" spans="1:25" x14ac:dyDescent="0.25">
      <c r="A65" s="22"/>
      <c r="B65" s="2">
        <f t="shared" si="44"/>
        <v>1639</v>
      </c>
      <c r="C65" s="10">
        <f t="shared" si="45"/>
        <v>171.63567864112238</v>
      </c>
      <c r="D65" s="25">
        <f t="shared" si="46"/>
        <v>3.6851917499746314</v>
      </c>
      <c r="G65" s="5">
        <f t="shared" si="47"/>
        <v>0.69666610752823155</v>
      </c>
      <c r="H65" s="36"/>
      <c r="I65" s="36"/>
      <c r="J65" s="25">
        <v>3.6590501925338441</v>
      </c>
      <c r="M65" s="5">
        <f t="shared" si="48"/>
        <v>289.30173145285579</v>
      </c>
      <c r="Q65" s="5">
        <v>1.6855570691555599</v>
      </c>
      <c r="T65" s="9" t="e">
        <f t="shared" si="49"/>
        <v>#DIV/0!</v>
      </c>
      <c r="U65" s="4" t="e">
        <f t="shared" si="50"/>
        <v>#DIV/0!</v>
      </c>
      <c r="V65" s="4">
        <f t="shared" si="31"/>
        <v>-1</v>
      </c>
      <c r="W65" s="4">
        <f t="shared" si="32"/>
        <v>-1</v>
      </c>
      <c r="X65" s="4">
        <f t="shared" si="33"/>
        <v>-1</v>
      </c>
      <c r="Y65" s="4">
        <f t="shared" si="34"/>
        <v>-1</v>
      </c>
    </row>
    <row r="66" spans="1:25" x14ac:dyDescent="0.25">
      <c r="A66" s="23"/>
      <c r="B66" s="2">
        <f t="shared" si="44"/>
        <v>1639</v>
      </c>
      <c r="C66" s="10">
        <f t="shared" si="45"/>
        <v>171.63567864112238</v>
      </c>
      <c r="D66" s="25">
        <f t="shared" si="46"/>
        <v>3.2641584944265172</v>
      </c>
      <c r="F66">
        <v>1.0366</v>
      </c>
      <c r="G66" s="5">
        <f t="shared" si="47"/>
        <v>0.73556884310464887</v>
      </c>
      <c r="H66" s="36"/>
      <c r="I66" s="36"/>
      <c r="J66" s="25">
        <v>3.2748617732348366</v>
      </c>
      <c r="L66">
        <v>266.62979999999999</v>
      </c>
      <c r="M66" s="5">
        <f t="shared" si="48"/>
        <v>271.84554968579704</v>
      </c>
      <c r="P66">
        <v>1.5535000000000001</v>
      </c>
      <c r="Q66" s="5">
        <v>1.58385221440005</v>
      </c>
      <c r="T66" s="9" t="e">
        <f t="shared" si="49"/>
        <v>#DIV/0!</v>
      </c>
      <c r="U66" s="4">
        <f t="shared" si="50"/>
        <v>0.29040242802947241</v>
      </c>
      <c r="V66" s="4">
        <f t="shared" si="31"/>
        <v>-1</v>
      </c>
      <c r="W66" s="4">
        <f t="shared" si="32"/>
        <v>-1.9186444993583629E-2</v>
      </c>
      <c r="X66" s="4">
        <f t="shared" si="33"/>
        <v>-1</v>
      </c>
      <c r="Y66" s="4">
        <f t="shared" si="34"/>
        <v>-1.9163539454056348E-2</v>
      </c>
    </row>
    <row r="67" spans="1:25" x14ac:dyDescent="0.25">
      <c r="A67" s="23"/>
      <c r="B67" s="2">
        <f t="shared" si="44"/>
        <v>1639</v>
      </c>
      <c r="C67" s="10">
        <f t="shared" si="45"/>
        <v>171.63567864112238</v>
      </c>
      <c r="D67" s="25">
        <f t="shared" si="46"/>
        <v>3.0682354873155337</v>
      </c>
      <c r="G67" s="5">
        <f t="shared" si="47"/>
        <v>0.80311495788323939</v>
      </c>
      <c r="H67" s="36"/>
      <c r="I67" s="36"/>
      <c r="J67" s="25">
        <v>3.0456727654803633</v>
      </c>
      <c r="M67" s="5">
        <f t="shared" si="48"/>
        <v>257.37260775625094</v>
      </c>
      <c r="Q67" s="5">
        <v>1.49952859332003</v>
      </c>
      <c r="T67" s="9" t="e">
        <f t="shared" si="49"/>
        <v>#DIV/0!</v>
      </c>
      <c r="U67" s="4" t="e">
        <f t="shared" si="50"/>
        <v>#DIV/0!</v>
      </c>
      <c r="V67" s="4">
        <f t="shared" si="31"/>
        <v>-1</v>
      </c>
      <c r="W67" s="4">
        <f t="shared" si="32"/>
        <v>-1</v>
      </c>
      <c r="X67" s="4">
        <f t="shared" si="33"/>
        <v>-1</v>
      </c>
      <c r="Y67" s="4">
        <f t="shared" si="34"/>
        <v>-1</v>
      </c>
    </row>
    <row r="68" spans="1:25" x14ac:dyDescent="0.25">
      <c r="A68" s="23"/>
      <c r="B68" s="2">
        <f t="shared" si="44"/>
        <v>1640</v>
      </c>
      <c r="C68" s="10">
        <f t="shared" si="45"/>
        <v>171.74039839624203</v>
      </c>
      <c r="D68" s="25">
        <f t="shared" si="46"/>
        <v>2.8293806275398508</v>
      </c>
      <c r="F68">
        <v>1.0368999999999999</v>
      </c>
      <c r="G68" s="5">
        <f t="shared" si="47"/>
        <v>0.84332212411016105</v>
      </c>
      <c r="H68" s="36"/>
      <c r="I68" s="36"/>
      <c r="J68" s="25">
        <v>2.8706691758127212</v>
      </c>
      <c r="L68">
        <v>231.19669999999999</v>
      </c>
      <c r="M68" s="5">
        <f t="shared" si="48"/>
        <v>242.54161373792925</v>
      </c>
      <c r="P68">
        <v>1.3462000000000001</v>
      </c>
      <c r="Q68" s="5">
        <v>1.4122571975076801</v>
      </c>
      <c r="T68" s="9" t="e">
        <f t="shared" si="49"/>
        <v>#DIV/0!</v>
      </c>
      <c r="U68" s="4">
        <f t="shared" si="50"/>
        <v>0.18668904994680191</v>
      </c>
      <c r="V68" s="4">
        <f t="shared" si="31"/>
        <v>-1</v>
      </c>
      <c r="W68" s="4">
        <f t="shared" si="32"/>
        <v>-4.6775122681370677E-2</v>
      </c>
      <c r="X68" s="4">
        <f t="shared" si="33"/>
        <v>-1</v>
      </c>
      <c r="Y68" s="4">
        <f t="shared" si="34"/>
        <v>-4.6774197804943948E-2</v>
      </c>
    </row>
    <row r="69" spans="1:25" x14ac:dyDescent="0.25">
      <c r="A69" s="24"/>
      <c r="B69" s="16"/>
      <c r="C69" s="16"/>
      <c r="D69" s="20"/>
      <c r="E69" s="16"/>
      <c r="F69" s="16"/>
      <c r="G69" s="16"/>
      <c r="H69" s="36"/>
      <c r="I69" s="36"/>
      <c r="J69" s="20"/>
      <c r="K69" s="16"/>
      <c r="L69" s="16"/>
      <c r="M69" s="16"/>
      <c r="N69" s="16"/>
      <c r="O69" s="16"/>
      <c r="P69" s="16"/>
      <c r="Q69" s="16"/>
      <c r="R69" s="16"/>
      <c r="S69" s="16"/>
      <c r="T69" s="17"/>
      <c r="U69" s="18"/>
      <c r="V69" s="18"/>
      <c r="W69" s="18"/>
      <c r="X69" s="18"/>
      <c r="Y69" s="18"/>
    </row>
    <row r="70" spans="1:25" x14ac:dyDescent="0.25">
      <c r="A70" s="24"/>
      <c r="B70" s="16"/>
      <c r="C70" s="16"/>
      <c r="D70" s="20"/>
      <c r="E70" s="16"/>
      <c r="F70" s="16"/>
      <c r="G70" s="16"/>
      <c r="H70" s="36"/>
      <c r="I70" s="36"/>
      <c r="J70" s="20"/>
      <c r="K70" s="16"/>
      <c r="L70" s="16"/>
      <c r="M70" s="16"/>
      <c r="N70" s="16"/>
      <c r="O70" s="16"/>
      <c r="P70" s="16"/>
      <c r="Q70" s="16"/>
      <c r="R70" s="26" t="s">
        <v>40</v>
      </c>
      <c r="S70" s="16"/>
      <c r="T70" s="16"/>
      <c r="U70" s="16"/>
      <c r="V70" s="16"/>
      <c r="W70" s="16"/>
      <c r="X70" s="16"/>
      <c r="Y70" s="16"/>
    </row>
    <row r="71" spans="1:25" x14ac:dyDescent="0.25">
      <c r="A71" s="22">
        <f>AVERAGE(B71:B79)</f>
        <v>1834.3333333333333</v>
      </c>
      <c r="B71" s="2">
        <v>1801</v>
      </c>
      <c r="C71" s="10">
        <f t="shared" ref="C71:C79" si="51">B71*2*PI()/60</f>
        <v>188.60027897050725</v>
      </c>
      <c r="D71" s="25">
        <f>F23</f>
        <v>5.2919130000000001</v>
      </c>
      <c r="G71" s="5">
        <f>S23*O23*1000</f>
        <v>0.70111675620748892</v>
      </c>
      <c r="H71" s="36"/>
      <c r="I71" s="36"/>
      <c r="J71" s="25">
        <v>5.2734194533618233</v>
      </c>
      <c r="M71" s="5">
        <f t="shared" ref="M71:M79" si="52">C71*Q71</f>
        <v>387.45572388539853</v>
      </c>
      <c r="Q71" s="5">
        <v>2.0543751366666201</v>
      </c>
      <c r="T71" s="9" t="e">
        <f t="shared" ref="T71:T79" si="53">(E71-G71)/E71</f>
        <v>#DIV/0!</v>
      </c>
      <c r="U71" s="4" t="e">
        <f t="shared" ref="U71:U79" si="54">(F71-G71)/F71</f>
        <v>#DIV/0!</v>
      </c>
      <c r="V71" s="4">
        <f t="shared" ref="V71:V79" si="55">(K71-M71)/M71</f>
        <v>-1</v>
      </c>
      <c r="W71" s="4">
        <f t="shared" ref="W71:W79" si="56">(L71-M71)/M71</f>
        <v>-1</v>
      </c>
      <c r="X71" s="4">
        <f t="shared" ref="X71:X73" si="57">(O71-Q71)/Q71</f>
        <v>-1</v>
      </c>
      <c r="Y71" s="4">
        <f t="shared" ref="Y71" si="58">(P71-Q71)/Q71</f>
        <v>-1</v>
      </c>
    </row>
    <row r="72" spans="1:25" x14ac:dyDescent="0.25">
      <c r="A72" s="21">
        <v>1.1637999999999999</v>
      </c>
      <c r="B72" s="2">
        <f t="shared" ref="B72:B79" si="59">B24</f>
        <v>1837</v>
      </c>
      <c r="C72" s="10">
        <f t="shared" si="51"/>
        <v>192.37019015481502</v>
      </c>
      <c r="D72" s="25">
        <f t="shared" ref="D72:D79" si="60">F24</f>
        <v>5.0653949430406557</v>
      </c>
      <c r="F72">
        <v>1.1588000000000001</v>
      </c>
      <c r="G72" s="5">
        <f t="shared" ref="G72:G79" si="61">S24*O24*1000</f>
        <v>0.85268071604110685</v>
      </c>
      <c r="H72" s="36"/>
      <c r="I72" s="36"/>
      <c r="J72" s="25">
        <v>5.0955470072880154</v>
      </c>
      <c r="L72">
        <v>387.07249999999999</v>
      </c>
      <c r="M72" s="5">
        <f t="shared" si="52"/>
        <v>414.98108314334672</v>
      </c>
      <c r="P72">
        <v>2.0121000000000002</v>
      </c>
      <c r="Q72" s="5">
        <f>R72*-1</f>
        <v>2.15720056631113</v>
      </c>
      <c r="R72">
        <v>-2.15720056631113</v>
      </c>
      <c r="T72" s="9" t="e">
        <f t="shared" si="53"/>
        <v>#DIV/0!</v>
      </c>
      <c r="U72" s="4">
        <f t="shared" si="54"/>
        <v>0.26416921294347012</v>
      </c>
      <c r="V72" s="4">
        <f t="shared" si="55"/>
        <v>-1</v>
      </c>
      <c r="W72" s="4">
        <f t="shared" si="56"/>
        <v>-6.7252663499618573E-2</v>
      </c>
      <c r="X72" s="4">
        <f t="shared" si="57"/>
        <v>-1</v>
      </c>
      <c r="Y72" s="4">
        <f>(P72-Q72)/Q72</f>
        <v>-6.7263363721091346E-2</v>
      </c>
    </row>
    <row r="73" spans="1:25" x14ac:dyDescent="0.25">
      <c r="A73" s="23"/>
      <c r="B73" s="2">
        <f t="shared" si="59"/>
        <v>1838</v>
      </c>
      <c r="C73" s="10">
        <f t="shared" si="51"/>
        <v>192.47490990993464</v>
      </c>
      <c r="D73" s="25">
        <f t="shared" si="60"/>
        <v>5.112710058958517</v>
      </c>
      <c r="F73">
        <v>1.1585000000000001</v>
      </c>
      <c r="G73" s="5">
        <f t="shared" si="61"/>
        <v>0.86721342675766289</v>
      </c>
      <c r="H73" s="36"/>
      <c r="I73" s="36"/>
      <c r="J73" s="25">
        <v>5.0987237270771244</v>
      </c>
      <c r="L73">
        <v>389.19909999999999</v>
      </c>
      <c r="M73" s="5">
        <f t="shared" si="52"/>
        <v>423.76836504432305</v>
      </c>
      <c r="P73">
        <v>2.0221</v>
      </c>
      <c r="Q73" s="5">
        <f t="shared" ref="Q73:Q79" si="62">R73*-1</f>
        <v>2.20168106711996</v>
      </c>
      <c r="R73">
        <v>-2.20168106711996</v>
      </c>
      <c r="T73" s="9" t="e">
        <f t="shared" si="53"/>
        <v>#DIV/0!</v>
      </c>
      <c r="U73" s="4">
        <f t="shared" si="54"/>
        <v>0.25143424535376535</v>
      </c>
      <c r="V73" s="4">
        <f t="shared" si="55"/>
        <v>-1</v>
      </c>
      <c r="W73" s="4">
        <f t="shared" si="56"/>
        <v>-8.157585109192228E-2</v>
      </c>
      <c r="X73" s="4">
        <f t="shared" si="57"/>
        <v>-1</v>
      </c>
      <c r="Y73" s="4">
        <f t="shared" ref="Y73:Y79" si="63">(P73-Q73)/Q73</f>
        <v>-8.156543188831239E-2</v>
      </c>
    </row>
    <row r="74" spans="1:25" x14ac:dyDescent="0.25">
      <c r="A74" s="23"/>
      <c r="B74" s="2">
        <f t="shared" si="59"/>
        <v>1837</v>
      </c>
      <c r="C74" s="10">
        <f t="shared" si="51"/>
        <v>192.37019015481502</v>
      </c>
      <c r="D74" s="25">
        <f t="shared" si="60"/>
        <v>4.5816778072219542</v>
      </c>
      <c r="G74" s="5">
        <f t="shared" si="61"/>
        <v>0.85827402956532706</v>
      </c>
      <c r="H74" s="36"/>
      <c r="I74" s="36"/>
      <c r="J74" s="25">
        <v>4.5563243588018114</v>
      </c>
      <c r="M74" s="5">
        <f t="shared" si="52"/>
        <v>377.6009892173239</v>
      </c>
      <c r="Q74" s="5">
        <f t="shared" si="62"/>
        <v>1.9628872275555764</v>
      </c>
      <c r="R74">
        <v>-1.9628872275555764</v>
      </c>
      <c r="T74" s="9" t="e">
        <f t="shared" si="53"/>
        <v>#DIV/0!</v>
      </c>
      <c r="U74" s="4" t="e">
        <f t="shared" si="54"/>
        <v>#DIV/0!</v>
      </c>
      <c r="V74" s="4">
        <f t="shared" si="55"/>
        <v>-1</v>
      </c>
      <c r="W74" s="4">
        <f t="shared" si="56"/>
        <v>-1</v>
      </c>
      <c r="X74" s="4">
        <f>(O74-Q74)/Q74</f>
        <v>-1</v>
      </c>
      <c r="Y74" s="4">
        <f t="shared" si="63"/>
        <v>-1</v>
      </c>
    </row>
    <row r="75" spans="1:25" x14ac:dyDescent="0.25">
      <c r="A75" s="23"/>
      <c r="B75" s="2">
        <f t="shared" si="59"/>
        <v>1839</v>
      </c>
      <c r="C75" s="10">
        <f t="shared" si="51"/>
        <v>192.57962966505431</v>
      </c>
      <c r="D75" s="25">
        <f t="shared" si="60"/>
        <v>4.0282260804900449</v>
      </c>
      <c r="G75" s="5">
        <f t="shared" si="61"/>
        <v>0.90545505322499509</v>
      </c>
      <c r="H75" s="36"/>
      <c r="I75" s="36"/>
      <c r="J75" s="25">
        <v>3.9555644863642447</v>
      </c>
      <c r="M75" s="5">
        <f t="shared" si="52"/>
        <v>348.33822229195874</v>
      </c>
      <c r="Q75" s="5">
        <f t="shared" si="62"/>
        <v>1.8088009770182278</v>
      </c>
      <c r="R75">
        <v>-1.8088009770182278</v>
      </c>
      <c r="T75" s="9" t="e">
        <f t="shared" si="53"/>
        <v>#DIV/0!</v>
      </c>
      <c r="U75" s="4" t="e">
        <f t="shared" si="54"/>
        <v>#DIV/0!</v>
      </c>
      <c r="V75" s="4">
        <f t="shared" si="55"/>
        <v>-1</v>
      </c>
      <c r="W75" s="4">
        <f t="shared" si="56"/>
        <v>-1</v>
      </c>
      <c r="X75" s="4">
        <f t="shared" ref="X75:X79" si="64">(O75-Q75)/Q75</f>
        <v>-1</v>
      </c>
      <c r="Y75" s="4">
        <f t="shared" si="63"/>
        <v>-1</v>
      </c>
    </row>
    <row r="76" spans="1:25" x14ac:dyDescent="0.25">
      <c r="A76" s="23"/>
      <c r="B76" s="2">
        <f t="shared" si="59"/>
        <v>1839</v>
      </c>
      <c r="C76" s="10">
        <f t="shared" si="51"/>
        <v>192.57962966505431</v>
      </c>
      <c r="D76" s="25">
        <f t="shared" si="60"/>
        <v>3.9074120702939243</v>
      </c>
      <c r="G76" s="5">
        <f t="shared" si="61"/>
        <v>1.021740907848405</v>
      </c>
      <c r="H76" s="36"/>
      <c r="I76" s="36"/>
      <c r="J76" s="25">
        <v>3.889458719246051</v>
      </c>
      <c r="M76" s="5">
        <f t="shared" si="52"/>
        <v>355.02095386164581</v>
      </c>
      <c r="Q76" s="5">
        <f t="shared" si="62"/>
        <v>1.8435021112000209</v>
      </c>
      <c r="R76">
        <v>-1.8435021112000209</v>
      </c>
      <c r="T76" s="9" t="e">
        <f t="shared" si="53"/>
        <v>#DIV/0!</v>
      </c>
      <c r="U76" s="4" t="e">
        <f t="shared" si="54"/>
        <v>#DIV/0!</v>
      </c>
      <c r="V76" s="4">
        <f t="shared" si="55"/>
        <v>-1</v>
      </c>
      <c r="W76" s="4">
        <f t="shared" si="56"/>
        <v>-1</v>
      </c>
      <c r="X76" s="4">
        <f t="shared" si="64"/>
        <v>-1</v>
      </c>
      <c r="Y76" s="4">
        <f t="shared" si="63"/>
        <v>-1</v>
      </c>
    </row>
    <row r="77" spans="1:25" x14ac:dyDescent="0.25">
      <c r="A77" s="23"/>
      <c r="B77" s="2">
        <f t="shared" si="59"/>
        <v>1839</v>
      </c>
      <c r="C77" s="10">
        <f t="shared" si="51"/>
        <v>192.57962966505431</v>
      </c>
      <c r="D77" s="25">
        <f t="shared" si="60"/>
        <v>3.6533986868675403</v>
      </c>
      <c r="G77" s="5">
        <f t="shared" si="61"/>
        <v>1.0884625091260001</v>
      </c>
      <c r="H77" s="36"/>
      <c r="I77" s="36"/>
      <c r="J77" s="25">
        <v>3.5979343489934528</v>
      </c>
      <c r="M77" s="5">
        <f t="shared" si="52"/>
        <v>344.11790533548407</v>
      </c>
      <c r="Q77" s="5">
        <f t="shared" si="62"/>
        <v>1.7868863178000391</v>
      </c>
      <c r="R77">
        <v>-1.7868863178000391</v>
      </c>
      <c r="T77" s="9" t="e">
        <f t="shared" si="53"/>
        <v>#DIV/0!</v>
      </c>
      <c r="U77" s="4" t="e">
        <f t="shared" si="54"/>
        <v>#DIV/0!</v>
      </c>
      <c r="V77" s="4">
        <f t="shared" si="55"/>
        <v>-1</v>
      </c>
      <c r="W77" s="4">
        <f t="shared" si="56"/>
        <v>-1</v>
      </c>
      <c r="X77" s="4">
        <f t="shared" si="64"/>
        <v>-1</v>
      </c>
      <c r="Y77" s="4">
        <f t="shared" si="63"/>
        <v>-1</v>
      </c>
    </row>
    <row r="78" spans="1:25" x14ac:dyDescent="0.25">
      <c r="A78" s="23"/>
      <c r="B78" s="2">
        <f t="shared" si="59"/>
        <v>1839</v>
      </c>
      <c r="C78" s="10">
        <f t="shared" si="51"/>
        <v>192.57962966505431</v>
      </c>
      <c r="D78" s="25">
        <f t="shared" si="60"/>
        <v>3.0732756854133072</v>
      </c>
      <c r="G78" s="5">
        <f t="shared" si="61"/>
        <v>1.0201251626579322</v>
      </c>
      <c r="H78" s="36"/>
      <c r="I78" s="36"/>
      <c r="J78" s="25">
        <v>3.1121112229606274</v>
      </c>
      <c r="M78" s="5">
        <f t="shared" si="52"/>
        <v>310.51013897327994</v>
      </c>
      <c r="Q78" s="5">
        <f t="shared" si="62"/>
        <v>1.612372707920029</v>
      </c>
      <c r="R78">
        <v>-1.612372707920029</v>
      </c>
      <c r="T78" s="9" t="e">
        <f t="shared" si="53"/>
        <v>#DIV/0!</v>
      </c>
      <c r="U78" s="4" t="e">
        <f t="shared" si="54"/>
        <v>#DIV/0!</v>
      </c>
      <c r="V78" s="4">
        <f t="shared" si="55"/>
        <v>-1</v>
      </c>
      <c r="W78" s="4">
        <f t="shared" si="56"/>
        <v>-1</v>
      </c>
      <c r="X78" s="4">
        <f t="shared" si="64"/>
        <v>-1</v>
      </c>
      <c r="Y78" s="4">
        <f t="shared" si="63"/>
        <v>-1</v>
      </c>
    </row>
    <row r="79" spans="1:25" x14ac:dyDescent="0.25">
      <c r="A79" s="23"/>
      <c r="B79" s="2">
        <f t="shared" si="59"/>
        <v>1840</v>
      </c>
      <c r="C79" s="10">
        <f t="shared" si="51"/>
        <v>192.68434942017399</v>
      </c>
      <c r="D79" s="25">
        <f t="shared" si="60"/>
        <v>2.6401044471753301</v>
      </c>
      <c r="F79">
        <v>1.1599999999999999</v>
      </c>
      <c r="G79" s="5">
        <f t="shared" si="61"/>
        <v>1.0094910734070963</v>
      </c>
      <c r="H79" s="36"/>
      <c r="I79" s="36"/>
      <c r="J79" s="25">
        <v>2.6186306105362576</v>
      </c>
      <c r="L79">
        <v>252.45150000000001</v>
      </c>
      <c r="M79" s="5">
        <f t="shared" si="52"/>
        <v>272.32024194294416</v>
      </c>
      <c r="P79">
        <v>1.3102</v>
      </c>
      <c r="Q79" s="5">
        <f t="shared" si="62"/>
        <v>1.4132971503000145</v>
      </c>
      <c r="R79">
        <v>-1.4132971503000145</v>
      </c>
      <c r="T79" s="9" t="e">
        <f t="shared" si="53"/>
        <v>#DIV/0!</v>
      </c>
      <c r="U79" s="4">
        <f t="shared" si="54"/>
        <v>0.12974907464905483</v>
      </c>
      <c r="V79" s="4">
        <f t="shared" si="55"/>
        <v>-1</v>
      </c>
      <c r="W79" s="4">
        <f t="shared" si="56"/>
        <v>-7.2960944075200262E-2</v>
      </c>
      <c r="X79" s="4">
        <f t="shared" si="64"/>
        <v>-1</v>
      </c>
      <c r="Y79" s="4">
        <f t="shared" si="63"/>
        <v>-7.294796446602117E-2</v>
      </c>
    </row>
    <row r="80" spans="1:25" x14ac:dyDescent="0.25">
      <c r="A80" s="24"/>
      <c r="B80" s="16"/>
      <c r="C80" s="16"/>
      <c r="D80" s="20"/>
      <c r="E80" s="16"/>
      <c r="F80" s="16"/>
      <c r="G80" s="16"/>
      <c r="H80" s="36"/>
      <c r="I80" s="36"/>
      <c r="J80" s="20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x14ac:dyDescent="0.25">
      <c r="A81" s="24"/>
      <c r="B81" s="16"/>
      <c r="C81" s="16"/>
      <c r="D81" s="20"/>
      <c r="E81" s="16"/>
      <c r="F81" s="16"/>
      <c r="G81" s="16"/>
      <c r="H81" s="36"/>
      <c r="I81" s="36"/>
      <c r="J81" s="20"/>
      <c r="K81" s="16"/>
      <c r="L81" s="16"/>
      <c r="M81" s="16"/>
      <c r="N81" s="16"/>
      <c r="O81" s="16"/>
      <c r="P81" s="16"/>
      <c r="Q81" s="16"/>
      <c r="R81" s="26" t="s">
        <v>40</v>
      </c>
      <c r="S81" s="16"/>
      <c r="T81" s="16"/>
      <c r="U81" s="16"/>
      <c r="V81" s="16"/>
      <c r="W81" s="16"/>
      <c r="X81" s="16"/>
      <c r="Y81" s="16"/>
    </row>
    <row r="82" spans="1:25" x14ac:dyDescent="0.25">
      <c r="A82" s="22">
        <f>AVERAGE(B82:B90)</f>
        <v>2110.8888888888887</v>
      </c>
      <c r="B82" s="2">
        <f t="shared" ref="B82:B90" si="65">B33</f>
        <v>2101</v>
      </c>
      <c r="C82" s="10">
        <f t="shared" ref="C82:C90" si="66">B82*2*PI()/60</f>
        <v>220.01620550640519</v>
      </c>
      <c r="D82" s="25">
        <f t="shared" ref="D82:D90" si="67">F33</f>
        <v>5.0545578692872928</v>
      </c>
      <c r="F82">
        <v>1.3189</v>
      </c>
      <c r="G82" s="5">
        <f t="shared" ref="G82:G90" si="68">S33*O33*1000</f>
        <v>0.94539291946511383</v>
      </c>
      <c r="H82" s="37">
        <v>2052</v>
      </c>
      <c r="I82" s="37">
        <f>H82/60*2*PI()</f>
        <v>214.88493750554187</v>
      </c>
      <c r="J82" s="25">
        <v>4.9851257630307053</v>
      </c>
      <c r="L82">
        <v>419.90069999999997</v>
      </c>
      <c r="M82" s="5">
        <f t="shared" ref="M82:M90" si="69">C82*Q82</f>
        <v>407.85866007740981</v>
      </c>
      <c r="P82">
        <v>1.9085000000000001</v>
      </c>
      <c r="Q82" s="5">
        <v>1.8537664493333701</v>
      </c>
      <c r="R82">
        <v>-2.4313647846799746</v>
      </c>
      <c r="T82" s="9" t="e">
        <f t="shared" ref="T82:T90" si="70">(E82-G82)/E82</f>
        <v>#DIV/0!</v>
      </c>
      <c r="U82" s="4">
        <f t="shared" ref="U82:U90" si="71">(F82-G82)/F82</f>
        <v>0.28319590608452966</v>
      </c>
      <c r="V82" s="4">
        <f>(K82-M82)/M82</f>
        <v>-1</v>
      </c>
      <c r="W82" s="27">
        <f>(L82-M82)/M82</f>
        <v>2.9525031834078591E-2</v>
      </c>
      <c r="X82" s="4">
        <f t="shared" ref="X82:X88" si="72">(O82-Q82)/Q82</f>
        <v>-1</v>
      </c>
      <c r="Y82" s="4">
        <f>(P82-Q82)/Q82</f>
        <v>2.9525591363633016E-2</v>
      </c>
    </row>
    <row r="83" spans="1:25" x14ac:dyDescent="0.25">
      <c r="A83" s="21">
        <v>1.33</v>
      </c>
      <c r="B83" s="2">
        <f t="shared" si="65"/>
        <v>2112</v>
      </c>
      <c r="C83" s="10">
        <f t="shared" si="66"/>
        <v>221.16812281272144</v>
      </c>
      <c r="D83" s="25">
        <f t="shared" si="67"/>
        <v>4.4350470643170885</v>
      </c>
      <c r="G83" s="5">
        <f t="shared" si="68"/>
        <v>0.94847363500753468</v>
      </c>
      <c r="H83" s="37">
        <v>2108</v>
      </c>
      <c r="I83" s="37">
        <f t="shared" ref="I83:I89" si="73">H83/60*2*PI()</f>
        <v>220.74924379224279</v>
      </c>
      <c r="J83" s="25">
        <v>4.4015282983963919</v>
      </c>
      <c r="L83">
        <v>379.14499999999998</v>
      </c>
      <c r="M83" s="5">
        <f>I83*Q83</f>
        <v>426.4361261643478</v>
      </c>
      <c r="Q83" s="5">
        <f t="shared" ref="Q83:Q84" si="74">R83*-1</f>
        <v>1.9317670984444519</v>
      </c>
      <c r="R83">
        <v>-1.9317670984444519</v>
      </c>
      <c r="T83" s="9" t="e">
        <f t="shared" si="70"/>
        <v>#DIV/0!</v>
      </c>
      <c r="U83" s="4" t="e">
        <f t="shared" si="71"/>
        <v>#DIV/0!</v>
      </c>
      <c r="V83" s="4">
        <f>(K83-M83)/M83</f>
        <v>-1</v>
      </c>
      <c r="W83" s="27">
        <f>(L83-M83)/M83</f>
        <v>-0.11089849865609624</v>
      </c>
      <c r="X83" s="4">
        <f t="shared" si="72"/>
        <v>-1</v>
      </c>
      <c r="Y83" s="4">
        <f>(P83-Q83)/Q83</f>
        <v>-1</v>
      </c>
    </row>
    <row r="84" spans="1:25" x14ac:dyDescent="0.25">
      <c r="A84" s="23"/>
      <c r="B84" s="2">
        <f t="shared" si="65"/>
        <v>2114</v>
      </c>
      <c r="C84" s="10">
        <f t="shared" si="66"/>
        <v>221.37756232296076</v>
      </c>
      <c r="D84" s="25">
        <f t="shared" si="67"/>
        <v>4.2201346805617597</v>
      </c>
      <c r="F84">
        <v>1.3266</v>
      </c>
      <c r="G84" s="5">
        <f t="shared" si="68"/>
        <v>0.94549204078864424</v>
      </c>
      <c r="H84" s="36"/>
      <c r="I84" s="37">
        <f t="shared" si="73"/>
        <v>0</v>
      </c>
      <c r="J84" s="25">
        <v>4.2042450945562058</v>
      </c>
      <c r="L84">
        <v>402.7054</v>
      </c>
      <c r="M84" s="5">
        <f t="shared" si="69"/>
        <v>433.13431702395167</v>
      </c>
      <c r="P84">
        <v>1.8182</v>
      </c>
      <c r="Q84" s="5">
        <f t="shared" si="74"/>
        <v>1.9565411800499712</v>
      </c>
      <c r="R84">
        <v>-1.9565411800499712</v>
      </c>
      <c r="T84" s="9" t="e">
        <f t="shared" si="70"/>
        <v>#DIV/0!</v>
      </c>
      <c r="U84" s="4">
        <f t="shared" si="71"/>
        <v>0.28728174220666047</v>
      </c>
      <c r="V84" s="4">
        <f t="shared" ref="V84:V90" si="75">(K84-M84)/M84</f>
        <v>-1</v>
      </c>
      <c r="W84" s="4">
        <f t="shared" ref="W84:W90" si="76">(L84-M84)/M84</f>
        <v>-7.025284265866423E-2</v>
      </c>
      <c r="X84" s="4">
        <f t="shared" si="72"/>
        <v>-1</v>
      </c>
      <c r="Y84" s="4">
        <f t="shared" ref="Y84:Y90" si="77">(P84-Q84)/Q84</f>
        <v>-7.0707011669663852E-2</v>
      </c>
    </row>
    <row r="85" spans="1:25" x14ac:dyDescent="0.25">
      <c r="A85" s="23"/>
      <c r="B85" s="2">
        <f t="shared" si="65"/>
        <v>2109</v>
      </c>
      <c r="C85" s="10">
        <f t="shared" si="66"/>
        <v>220.85396354736247</v>
      </c>
      <c r="D85" s="25">
        <f t="shared" si="67"/>
        <v>4.1660023180827821</v>
      </c>
      <c r="G85" s="5">
        <f t="shared" si="68"/>
        <v>0.97229361350443488</v>
      </c>
      <c r="H85" s="36"/>
      <c r="I85" s="37">
        <f t="shared" si="73"/>
        <v>0</v>
      </c>
      <c r="J85" s="25">
        <v>4.1579790556525804</v>
      </c>
      <c r="M85" s="5">
        <f t="shared" si="69"/>
        <v>435.80333677080233</v>
      </c>
      <c r="Q85" s="5">
        <f>R85*-1</f>
        <v>1.9732647301000041</v>
      </c>
      <c r="R85">
        <v>-1.9732647301000041</v>
      </c>
      <c r="T85" s="9" t="e">
        <f t="shared" si="70"/>
        <v>#DIV/0!</v>
      </c>
      <c r="U85" s="4" t="e">
        <f t="shared" si="71"/>
        <v>#DIV/0!</v>
      </c>
      <c r="V85" s="4">
        <f>(K85-M85)/M85</f>
        <v>-1</v>
      </c>
      <c r="W85" s="4">
        <f>(L85-M85)/M85</f>
        <v>-1</v>
      </c>
      <c r="X85" s="4">
        <f t="shared" si="72"/>
        <v>-1</v>
      </c>
      <c r="Y85" s="4">
        <f>(P85-R85)/R85</f>
        <v>-1</v>
      </c>
    </row>
    <row r="86" spans="1:25" x14ac:dyDescent="0.25">
      <c r="A86" s="23"/>
      <c r="B86" s="2">
        <f t="shared" si="65"/>
        <v>2114</v>
      </c>
      <c r="C86" s="10">
        <f t="shared" si="66"/>
        <v>221.37756232296076</v>
      </c>
      <c r="D86" s="25">
        <f t="shared" si="67"/>
        <v>4.003856630921188</v>
      </c>
      <c r="G86" s="5">
        <f t="shared" si="68"/>
        <v>1.042829287775632</v>
      </c>
      <c r="H86" s="36"/>
      <c r="I86" s="37">
        <f t="shared" si="73"/>
        <v>0</v>
      </c>
      <c r="J86" s="25">
        <v>4.017045492351957</v>
      </c>
      <c r="M86" s="5">
        <f t="shared" si="69"/>
        <v>404.21583325687345</v>
      </c>
      <c r="Q86" s="5">
        <f t="shared" ref="Q86:Q90" si="78">R86*-1</f>
        <v>1.8259114836000212</v>
      </c>
      <c r="R86">
        <v>-1.8259114836000212</v>
      </c>
      <c r="T86" s="9" t="e">
        <f t="shared" si="70"/>
        <v>#DIV/0!</v>
      </c>
      <c r="U86" s="4" t="e">
        <f t="shared" si="71"/>
        <v>#DIV/0!</v>
      </c>
      <c r="V86" s="4">
        <f t="shared" ref="V86" si="79">(K86-M86)/M86</f>
        <v>-1</v>
      </c>
      <c r="W86" s="4">
        <f t="shared" ref="W86" si="80">(L86-M86)/M86</f>
        <v>-1</v>
      </c>
      <c r="X86" s="4">
        <f t="shared" si="72"/>
        <v>-1</v>
      </c>
      <c r="Y86" s="4">
        <f t="shared" ref="Y86" si="81">(P86-Q86)/Q86</f>
        <v>-1</v>
      </c>
    </row>
    <row r="87" spans="1:25" x14ac:dyDescent="0.25">
      <c r="A87" s="23"/>
      <c r="B87" s="2">
        <f t="shared" si="65"/>
        <v>2112</v>
      </c>
      <c r="C87" s="10">
        <f t="shared" si="66"/>
        <v>221.16812281272144</v>
      </c>
      <c r="D87" s="25">
        <f t="shared" si="67"/>
        <v>3.8882416114697662</v>
      </c>
      <c r="G87" s="5">
        <f t="shared" si="68"/>
        <v>1.1484048601961037</v>
      </c>
      <c r="H87" s="36"/>
      <c r="I87" s="37">
        <f t="shared" si="73"/>
        <v>0</v>
      </c>
      <c r="J87" s="25">
        <v>3.898510452844163</v>
      </c>
      <c r="M87" s="5">
        <f t="shared" si="69"/>
        <v>411.38884927145062</v>
      </c>
      <c r="Q87" s="5">
        <f t="shared" si="78"/>
        <v>1.8600729799556259</v>
      </c>
      <c r="R87">
        <v>-1.8600729799556259</v>
      </c>
      <c r="T87" s="9" t="e">
        <f t="shared" si="70"/>
        <v>#DIV/0!</v>
      </c>
      <c r="U87" s="4" t="e">
        <f t="shared" si="71"/>
        <v>#DIV/0!</v>
      </c>
      <c r="V87" s="4">
        <f t="shared" si="75"/>
        <v>-1</v>
      </c>
      <c r="W87" s="4">
        <f t="shared" si="76"/>
        <v>-1</v>
      </c>
      <c r="X87" s="4">
        <f t="shared" si="72"/>
        <v>-1</v>
      </c>
      <c r="Y87" s="4">
        <f t="shared" si="77"/>
        <v>-1</v>
      </c>
    </row>
    <row r="88" spans="1:25" x14ac:dyDescent="0.25">
      <c r="A88" s="23"/>
      <c r="B88" s="2">
        <f t="shared" si="65"/>
        <v>2111</v>
      </c>
      <c r="C88" s="10">
        <f t="shared" si="66"/>
        <v>221.06340305760176</v>
      </c>
      <c r="D88" s="25">
        <f t="shared" si="67"/>
        <v>3.6906135851904573</v>
      </c>
      <c r="G88" s="5">
        <f t="shared" si="68"/>
        <v>1.1631977237886615</v>
      </c>
      <c r="H88" s="36"/>
      <c r="I88" s="37">
        <f t="shared" si="73"/>
        <v>0</v>
      </c>
      <c r="J88" s="25">
        <v>3.6982373185992503</v>
      </c>
      <c r="M88" s="5">
        <f t="shared" si="69"/>
        <v>362.03189924269998</v>
      </c>
      <c r="Q88" s="5">
        <f t="shared" si="78"/>
        <v>1.6376835524800391</v>
      </c>
      <c r="R88">
        <v>-1.6376835524800391</v>
      </c>
      <c r="T88" s="9" t="e">
        <f t="shared" si="70"/>
        <v>#DIV/0!</v>
      </c>
      <c r="U88" s="4" t="e">
        <f t="shared" si="71"/>
        <v>#DIV/0!</v>
      </c>
      <c r="V88" s="4">
        <f t="shared" si="75"/>
        <v>-1</v>
      </c>
      <c r="W88" s="4">
        <f t="shared" si="76"/>
        <v>-1</v>
      </c>
      <c r="X88" s="4">
        <f t="shared" si="72"/>
        <v>-1</v>
      </c>
      <c r="Y88" s="4">
        <f t="shared" si="77"/>
        <v>-1</v>
      </c>
    </row>
    <row r="89" spans="1:25" x14ac:dyDescent="0.25">
      <c r="A89" s="23"/>
      <c r="B89" s="2">
        <f t="shared" si="65"/>
        <v>2112</v>
      </c>
      <c r="C89" s="10">
        <f t="shared" si="66"/>
        <v>221.16812281272144</v>
      </c>
      <c r="D89" s="25">
        <f t="shared" si="67"/>
        <v>3.3424664174525525</v>
      </c>
      <c r="G89" s="5">
        <f t="shared" si="68"/>
        <v>1.1657191081274199</v>
      </c>
      <c r="H89" s="36"/>
      <c r="I89" s="37">
        <f t="shared" si="73"/>
        <v>0</v>
      </c>
      <c r="J89" s="25">
        <v>3.3621021478520641</v>
      </c>
      <c r="M89" s="5">
        <f t="shared" si="69"/>
        <v>343.19032930307435</v>
      </c>
      <c r="Q89" s="5">
        <f t="shared" si="78"/>
        <v>1.5517169695999893</v>
      </c>
      <c r="R89">
        <v>-1.5517169695999893</v>
      </c>
      <c r="T89" s="9" t="e">
        <f t="shared" si="70"/>
        <v>#DIV/0!</v>
      </c>
      <c r="U89" s="4" t="e">
        <f t="shared" si="71"/>
        <v>#DIV/0!</v>
      </c>
      <c r="V89" s="4">
        <f>(K89-M89)/M89</f>
        <v>-1</v>
      </c>
      <c r="W89" s="4">
        <f>(L89-M89)/M89</f>
        <v>-1</v>
      </c>
      <c r="X89" s="4">
        <f>(O89-Q89)/Q89</f>
        <v>-1</v>
      </c>
      <c r="Y89" s="4">
        <f>(P89-Q89)/Q89</f>
        <v>-1</v>
      </c>
    </row>
    <row r="90" spans="1:25" x14ac:dyDescent="0.25">
      <c r="A90" s="23"/>
      <c r="B90" s="2">
        <f t="shared" si="65"/>
        <v>2113</v>
      </c>
      <c r="C90" s="10">
        <f t="shared" si="66"/>
        <v>221.27284256784108</v>
      </c>
      <c r="D90" s="25">
        <f t="shared" si="67"/>
        <v>2.547230439361762</v>
      </c>
      <c r="F90">
        <v>1.3250999999999999</v>
      </c>
      <c r="G90" s="5">
        <f t="shared" si="68"/>
        <v>1.1934902874269904</v>
      </c>
      <c r="H90" s="36"/>
      <c r="I90" s="36"/>
      <c r="J90" s="25">
        <v>2.5797622364794712</v>
      </c>
      <c r="L90">
        <v>299.39389999999997</v>
      </c>
      <c r="M90" s="5">
        <f t="shared" si="69"/>
        <v>291.55202608163211</v>
      </c>
      <c r="P90">
        <v>1.3531</v>
      </c>
      <c r="Q90" s="5">
        <f t="shared" si="78"/>
        <v>1.317613235760027</v>
      </c>
      <c r="R90">
        <v>-1.317613235760027</v>
      </c>
      <c r="T90" s="9" t="e">
        <f t="shared" si="70"/>
        <v>#DIV/0!</v>
      </c>
      <c r="U90" s="4">
        <f t="shared" si="71"/>
        <v>9.9320589067247445E-2</v>
      </c>
      <c r="V90" s="4">
        <f t="shared" si="75"/>
        <v>-1</v>
      </c>
      <c r="W90" s="4">
        <f t="shared" si="76"/>
        <v>2.6896996819950784E-2</v>
      </c>
      <c r="X90" s="4">
        <f>(O90-Q90)/Q90</f>
        <v>-1</v>
      </c>
      <c r="Y90" s="4">
        <f t="shared" si="77"/>
        <v>2.6932610630238153E-2</v>
      </c>
    </row>
  </sheetData>
  <mergeCells count="6">
    <mergeCell ref="AA46:AF46"/>
    <mergeCell ref="Q2:S2"/>
    <mergeCell ref="E46:G46"/>
    <mergeCell ref="K46:M46"/>
    <mergeCell ref="O46:Q46"/>
    <mergeCell ref="T46:Y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B357-323C-4BB5-B5E6-BF10B474D65E}">
  <dimension ref="A1:AH131"/>
  <sheetViews>
    <sheetView topLeftCell="A43" zoomScale="71" zoomScaleNormal="71" workbookViewId="0">
      <selection activeCell="J79" sqref="J79"/>
    </sheetView>
  </sheetViews>
  <sheetFormatPr defaultRowHeight="15" x14ac:dyDescent="0.25"/>
  <cols>
    <col min="1" max="1" width="14.85546875" bestFit="1" customWidth="1"/>
    <col min="3" max="3" width="17.140625" customWidth="1"/>
    <col min="4" max="4" width="14.140625" bestFit="1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9" max="19" width="13" bestFit="1" customWidth="1"/>
    <col min="21" max="21" width="13.85546875" bestFit="1" customWidth="1"/>
    <col min="22" max="22" width="11.42578125" bestFit="1" customWidth="1"/>
    <col min="23" max="23" width="12.28515625" bestFit="1" customWidth="1"/>
    <col min="24" max="25" width="10.42578125" bestFit="1" customWidth="1"/>
    <col min="30" max="30" width="15.5703125" customWidth="1"/>
    <col min="31" max="31" width="3.5703125" bestFit="1" customWidth="1"/>
    <col min="32" max="32" width="24.710937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AVERAGE(B3:B10)</f>
        <v>1274</v>
      </c>
      <c r="B3" s="2">
        <v>1217</v>
      </c>
      <c r="C3">
        <f>B3*2*PI()/60</f>
        <v>127.44394198062595</v>
      </c>
      <c r="D3" s="5">
        <v>1.0093232680562929</v>
      </c>
      <c r="E3" s="8">
        <v>30.513166981308061</v>
      </c>
      <c r="F3" s="5">
        <v>4.2632226981025712</v>
      </c>
      <c r="G3" s="8">
        <v>38.469673882555718</v>
      </c>
      <c r="H3">
        <f t="shared" ref="H3:H28" si="0">G3+273.15</f>
        <v>311.61967388255567</v>
      </c>
      <c r="I3">
        <v>4</v>
      </c>
      <c r="J3" s="1">
        <f t="shared" ref="J3:J28" si="1">I3/60/1000</f>
        <v>6.666666666666667E-5</v>
      </c>
      <c r="K3">
        <v>30.592198151939574</v>
      </c>
      <c r="L3">
        <v>4.251841012112453</v>
      </c>
      <c r="M3">
        <f t="shared" ref="M3:M28" si="2">K3+273.15</f>
        <v>303.74219815193953</v>
      </c>
      <c r="N3">
        <f t="shared" ref="N3:N28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4.3603999999999997E-2</v>
      </c>
      <c r="X3" s="10">
        <v>265</v>
      </c>
    </row>
    <row r="4" spans="1:24" x14ac:dyDescent="0.25">
      <c r="B4" s="2">
        <v>1214</v>
      </c>
      <c r="C4">
        <f t="shared" ref="C4:C28" si="4">B4*2*PI()/60</f>
        <v>127.12978271526696</v>
      </c>
      <c r="D4" s="5">
        <v>1.0093740377162599</v>
      </c>
      <c r="E4" s="8">
        <v>30.53840403258803</v>
      </c>
      <c r="F4" s="5">
        <v>3.7487816777695127</v>
      </c>
      <c r="G4" s="8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28" si="5">R4/60/1000</f>
        <v>8.3148759828451999E-5</v>
      </c>
      <c r="U4">
        <v>38</v>
      </c>
      <c r="V4">
        <v>48</v>
      </c>
      <c r="W4" s="8">
        <v>4.3603999999999997E-2</v>
      </c>
      <c r="X4" s="10">
        <v>240</v>
      </c>
    </row>
    <row r="5" spans="1:24" x14ac:dyDescent="0.25">
      <c r="A5" s="3">
        <f>AVERAGE(G3:G7)</f>
        <v>39.638566942886236</v>
      </c>
      <c r="B5" s="2">
        <v>1217</v>
      </c>
      <c r="C5">
        <f t="shared" si="4"/>
        <v>127.44394198062595</v>
      </c>
      <c r="D5" s="5">
        <v>1.0100027712944899</v>
      </c>
      <c r="E5" s="8">
        <v>30.5232550594659</v>
      </c>
      <c r="F5" s="5">
        <v>3.41149288331663</v>
      </c>
      <c r="G5" s="8">
        <v>39.278800793004301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4.3603999999999997E-2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5">
        <v>1.00926410736023</v>
      </c>
      <c r="E6" s="8">
        <v>30.568783382737202</v>
      </c>
      <c r="F6" s="5">
        <v>3.0036465230416098</v>
      </c>
      <c r="G6" s="8">
        <v>40.450708190043798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4.3603999999999997E-2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5">
        <v>1.0094537558613426</v>
      </c>
      <c r="E7" s="8">
        <v>30.528195668985514</v>
      </c>
      <c r="F7" s="5">
        <v>2.3975521098447876</v>
      </c>
      <c r="G7" s="8">
        <v>40.146233053990038</v>
      </c>
      <c r="H7">
        <f t="shared" si="0"/>
        <v>313.29623305399002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 t="shared" si="5"/>
        <v>1.6632764895962928E-4</v>
      </c>
      <c r="U7">
        <v>38</v>
      </c>
      <c r="V7">
        <v>48</v>
      </c>
      <c r="W7" s="8">
        <v>4.3603999999999997E-2</v>
      </c>
      <c r="X7" s="10">
        <v>195</v>
      </c>
    </row>
    <row r="8" spans="1:24" x14ac:dyDescent="0.25">
      <c r="B8" s="12"/>
      <c r="D8" s="5"/>
      <c r="E8" s="8"/>
      <c r="F8" s="5"/>
      <c r="G8" s="8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 s="5">
        <v>1.0094287437153799</v>
      </c>
      <c r="E9" s="8">
        <v>30.612974840972779</v>
      </c>
      <c r="F9" s="5">
        <v>5.253362586763715</v>
      </c>
      <c r="G9" s="8">
        <v>42.253028073273747</v>
      </c>
      <c r="H9">
        <f t="shared" si="0"/>
        <v>315.40302807327373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43</v>
      </c>
      <c r="V9">
        <v>55</v>
      </c>
      <c r="W9" s="3">
        <v>3.1711999999999997E-2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5">
        <v>1.0092810759105539</v>
      </c>
      <c r="E10" s="8">
        <v>30.581004375999676</v>
      </c>
      <c r="F10" s="5">
        <v>4.8223075689095696</v>
      </c>
      <c r="G10" s="8">
        <v>42.953073171144517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43</v>
      </c>
      <c r="V10">
        <v>55</v>
      </c>
      <c r="W10" s="3">
        <v>3.1711999999999997E-2</v>
      </c>
      <c r="X10" s="10">
        <v>275</v>
      </c>
    </row>
    <row r="11" spans="1:24" x14ac:dyDescent="0.25">
      <c r="A11" s="3">
        <f>AVERAGE(G10:G14)</f>
        <v>44.384191269147763</v>
      </c>
      <c r="B11" s="2">
        <v>1412</v>
      </c>
      <c r="C11">
        <f t="shared" si="4"/>
        <v>147.86429422895961</v>
      </c>
      <c r="D11" s="5">
        <v>1.0086912644002075</v>
      </c>
      <c r="E11" s="8">
        <v>30.622728786584258</v>
      </c>
      <c r="F11" s="5">
        <v>4.236297847863618</v>
      </c>
      <c r="G11" s="8">
        <v>43.47355288963702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43</v>
      </c>
      <c r="V11">
        <v>55</v>
      </c>
      <c r="W11" s="3">
        <v>3.1711999999999997E-2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5">
        <v>1.0077573177644057</v>
      </c>
      <c r="E12" s="8">
        <v>30.816080276902358</v>
      </c>
      <c r="F12" s="5">
        <v>3.661602244140135</v>
      </c>
      <c r="G12" s="8">
        <v>46.069186852835934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43</v>
      </c>
      <c r="V12">
        <v>55</v>
      </c>
      <c r="W12" s="3">
        <v>3.1711999999999997E-2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5">
        <v>1.0085733794744123</v>
      </c>
      <c r="E13" s="8">
        <v>30.635044840682401</v>
      </c>
      <c r="F13" s="5">
        <v>2.9220510847489072</v>
      </c>
      <c r="G13" s="8">
        <v>45.018485236153708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43</v>
      </c>
      <c r="V13">
        <v>55</v>
      </c>
      <c r="W13" s="3">
        <v>3.1711999999999997E-2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5">
        <v>1.0101998654115738</v>
      </c>
      <c r="E14" s="8">
        <v>30.714603931016253</v>
      </c>
      <c r="F14" s="5">
        <v>2.6698755104625538</v>
      </c>
      <c r="G14" s="8">
        <v>44.406658195967637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43</v>
      </c>
      <c r="V14">
        <v>55</v>
      </c>
      <c r="W14" s="3">
        <v>3.1711999999999997E-2</v>
      </c>
      <c r="X14" s="10">
        <v>205</v>
      </c>
    </row>
    <row r="15" spans="1:24" x14ac:dyDescent="0.25">
      <c r="B15" s="14"/>
      <c r="D15" s="5"/>
      <c r="E15" s="8"/>
      <c r="F15" s="5"/>
      <c r="G15" s="8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5">
        <v>1.0083333009861652</v>
      </c>
      <c r="E16" s="8">
        <v>30.610294022691615</v>
      </c>
      <c r="F16" s="5">
        <v>5.2676677023988514</v>
      </c>
      <c r="G16" s="8">
        <v>43.470274717189263</v>
      </c>
      <c r="H16">
        <f t="shared" si="0"/>
        <v>316.62027471718926</v>
      </c>
      <c r="I16">
        <v>5</v>
      </c>
      <c r="J16" s="1">
        <f t="shared" si="1"/>
        <v>8.3333333333333331E-5</v>
      </c>
      <c r="K16">
        <v>31.301886563534723</v>
      </c>
      <c r="L16">
        <v>5.2565102493546449</v>
      </c>
      <c r="M16">
        <f t="shared" si="2"/>
        <v>304.45188656353469</v>
      </c>
      <c r="N16">
        <f t="shared" si="3"/>
        <v>0.52565102493546445</v>
      </c>
      <c r="O16">
        <v>6.0229999999999997</v>
      </c>
      <c r="Q16">
        <f t="shared" ref="Q16:Q21" si="11">SQRT(1.2/O16)*SQRT(N16/0.101325)*SQRT(293.15/M16)</f>
        <v>0.99760876797529452</v>
      </c>
      <c r="R16">
        <f t="shared" ref="R16:R21" si="12">I16*Q16</f>
        <v>4.9880438398764726</v>
      </c>
      <c r="S16" s="7">
        <f>R16/60/1000</f>
        <v>8.3134063997941204E-5</v>
      </c>
      <c r="U16">
        <v>45</v>
      </c>
      <c r="V16">
        <v>60</v>
      </c>
      <c r="W16" s="8">
        <v>2.7747999999999998E-2</v>
      </c>
      <c r="X16" s="10">
        <v>285</v>
      </c>
    </row>
    <row r="17" spans="1:25" x14ac:dyDescent="0.25">
      <c r="B17" s="2">
        <v>1638</v>
      </c>
      <c r="C17">
        <f t="shared" si="4"/>
        <v>171.53095888600271</v>
      </c>
      <c r="D17" s="5">
        <v>1.00767939569434</v>
      </c>
      <c r="E17" s="8">
        <v>30.5476633337823</v>
      </c>
      <c r="F17" s="5">
        <v>4.5488778229227904</v>
      </c>
      <c r="G17" s="8">
        <v>43.944694642553202</v>
      </c>
      <c r="H17">
        <f t="shared" si="0"/>
        <v>317.09469464255318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60</v>
      </c>
      <c r="W17" s="8">
        <v>2.7747999999999998E-2</v>
      </c>
      <c r="X17" s="10">
        <v>270</v>
      </c>
    </row>
    <row r="18" spans="1:25" x14ac:dyDescent="0.25">
      <c r="A18" s="3">
        <f>AVERAGE(G16:G21)</f>
        <v>45.82342524972011</v>
      </c>
      <c r="B18" s="2">
        <v>1639</v>
      </c>
      <c r="C18">
        <f t="shared" si="4"/>
        <v>171.63567864112238</v>
      </c>
      <c r="D18" s="5">
        <v>1.0095081019886201</v>
      </c>
      <c r="E18" s="8">
        <v>30.628921865606099</v>
      </c>
      <c r="F18" s="5">
        <v>3.6851917499746301</v>
      </c>
      <c r="G18" s="8">
        <v>45.134798680102598</v>
      </c>
      <c r="H18">
        <f t="shared" si="0"/>
        <v>318.2847986801026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60</v>
      </c>
      <c r="W18" s="8">
        <v>2.7747999999999998E-2</v>
      </c>
      <c r="X18" s="10">
        <v>235</v>
      </c>
    </row>
    <row r="19" spans="1:25" x14ac:dyDescent="0.25">
      <c r="B19" s="2">
        <v>1639</v>
      </c>
      <c r="C19">
        <f t="shared" si="4"/>
        <v>171.63567864112238</v>
      </c>
      <c r="D19" s="5">
        <v>1.0086524685865665</v>
      </c>
      <c r="E19" s="8">
        <v>30.622924679670273</v>
      </c>
      <c r="F19" s="5">
        <v>3.2641584944265172</v>
      </c>
      <c r="G19" s="8">
        <v>46.943107203221921</v>
      </c>
      <c r="H19">
        <f t="shared" si="0"/>
        <v>320.0931072032219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60</v>
      </c>
      <c r="W19" s="8">
        <v>2.7747999999999998E-2</v>
      </c>
      <c r="X19" s="10">
        <v>220</v>
      </c>
    </row>
    <row r="20" spans="1:25" x14ac:dyDescent="0.25">
      <c r="B20" s="2">
        <v>1639</v>
      </c>
      <c r="C20">
        <f t="shared" si="4"/>
        <v>171.63567864112238</v>
      </c>
      <c r="D20" s="5">
        <v>1.00910839779551</v>
      </c>
      <c r="E20" s="8">
        <v>30.616946893747699</v>
      </c>
      <c r="F20" s="5">
        <v>3.0682354873155302</v>
      </c>
      <c r="G20" s="8">
        <v>48.030195935012003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60</v>
      </c>
      <c r="W20" s="8">
        <v>2.7747999999999998E-2</v>
      </c>
      <c r="X20" s="10">
        <v>215</v>
      </c>
    </row>
    <row r="21" spans="1:25" x14ac:dyDescent="0.25">
      <c r="B21" s="2">
        <v>1640</v>
      </c>
      <c r="C21">
        <f t="shared" si="4"/>
        <v>171.74039839624203</v>
      </c>
      <c r="D21" s="5">
        <v>1.0089421600028099</v>
      </c>
      <c r="E21" s="8">
        <v>30.660577754608099</v>
      </c>
      <c r="F21" s="5">
        <v>2.8293806275398499</v>
      </c>
      <c r="G21" s="8">
        <v>47.417480320241701</v>
      </c>
      <c r="H21">
        <f t="shared" si="0"/>
        <v>320.56748032024166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60</v>
      </c>
      <c r="W21" s="8">
        <v>2.7747999999999998E-2</v>
      </c>
      <c r="X21" s="10">
        <v>205</v>
      </c>
    </row>
    <row r="22" spans="1:25" x14ac:dyDescent="0.25">
      <c r="B22" s="14"/>
      <c r="D22" s="5"/>
      <c r="E22" s="8"/>
      <c r="F22" s="5"/>
      <c r="G22" s="8"/>
      <c r="J22" s="1"/>
      <c r="S22" s="15"/>
    </row>
    <row r="23" spans="1:25" x14ac:dyDescent="0.25">
      <c r="A23" s="3">
        <f>AVERAGE(B23:B28)</f>
        <v>1838.5</v>
      </c>
      <c r="B23" s="2">
        <v>1837</v>
      </c>
      <c r="C23">
        <f t="shared" si="4"/>
        <v>192.37019015481502</v>
      </c>
      <c r="D23" s="5">
        <v>1.0074809569159044</v>
      </c>
      <c r="E23" s="8">
        <v>30.849170721143583</v>
      </c>
      <c r="F23" s="5">
        <v>5.0653949430406557</v>
      </c>
      <c r="G23" s="8">
        <v>49.552490253392484</v>
      </c>
      <c r="H23">
        <f t="shared" si="0"/>
        <v>322.70249025339245</v>
      </c>
      <c r="I23">
        <v>8.5</v>
      </c>
      <c r="J23" s="1">
        <f t="shared" ref="J23" si="14">I23/60/1000</f>
        <v>1.4166666666666665E-4</v>
      </c>
      <c r="K23">
        <v>34.911742272595383</v>
      </c>
      <c r="L23">
        <v>5.0324751973883091</v>
      </c>
      <c r="M23">
        <f t="shared" ref="M23" si="15">K23+273.15</f>
        <v>308.06174227259538</v>
      </c>
      <c r="N23">
        <f t="shared" ref="N23" si="16">L23/10</f>
        <v>0.50324751973883086</v>
      </c>
      <c r="O23">
        <v>5.6976000000000004</v>
      </c>
      <c r="Q23">
        <f t="shared" ref="Q23:Q28" si="17">SQRT(1.2/O23)*SQRT(N23/0.101325)*SQRT(293.15/M23)</f>
        <v>0.99770747454028219</v>
      </c>
      <c r="R23">
        <f t="shared" ref="R23:R28" si="18">I23*Q23</f>
        <v>8.4805135335923989</v>
      </c>
      <c r="S23" s="7">
        <f t="shared" ref="S23" si="19">R23/60/1000</f>
        <v>1.4134189222653998E-4</v>
      </c>
      <c r="U23">
        <v>48</v>
      </c>
      <c r="V23">
        <v>64</v>
      </c>
      <c r="W23" s="8">
        <v>2.1801999999999998E-2</v>
      </c>
      <c r="X23" s="10">
        <v>280</v>
      </c>
    </row>
    <row r="24" spans="1:25" x14ac:dyDescent="0.25">
      <c r="A24" s="3">
        <f>AVERAGE(G23:G28)</f>
        <v>48.965822310674071</v>
      </c>
      <c r="B24" s="2">
        <v>1837</v>
      </c>
      <c r="C24">
        <f t="shared" si="4"/>
        <v>192.37019015481502</v>
      </c>
      <c r="D24" s="5">
        <v>1.0076637581773951</v>
      </c>
      <c r="E24" s="8">
        <v>30.854876597503971</v>
      </c>
      <c r="F24" s="5">
        <v>4.5816778072219542</v>
      </c>
      <c r="G24" s="8">
        <v>49.648556094417991</v>
      </c>
      <c r="H24">
        <f t="shared" si="0"/>
        <v>322.79855609441796</v>
      </c>
      <c r="I24">
        <v>10</v>
      </c>
      <c r="J24" s="1">
        <f t="shared" si="1"/>
        <v>1.6666666666666666E-4</v>
      </c>
      <c r="K24">
        <v>33.965123681967277</v>
      </c>
      <c r="L24">
        <v>4.5450850240495768</v>
      </c>
      <c r="M24">
        <f t="shared" si="2"/>
        <v>307.11512368196725</v>
      </c>
      <c r="N24">
        <f t="shared" si="3"/>
        <v>0.45450850240495766</v>
      </c>
      <c r="O24">
        <v>5.1612999999999998</v>
      </c>
      <c r="Q24">
        <f t="shared" si="17"/>
        <v>0.99774168860402668</v>
      </c>
      <c r="R24">
        <f t="shared" si="18"/>
        <v>9.9774168860402668</v>
      </c>
      <c r="S24" s="7">
        <f t="shared" si="5"/>
        <v>1.6629028143400445E-4</v>
      </c>
      <c r="U24">
        <v>48</v>
      </c>
      <c r="V24">
        <v>64</v>
      </c>
      <c r="W24" s="8">
        <v>2.1801999999999998E-2</v>
      </c>
      <c r="X24" s="10">
        <v>270</v>
      </c>
    </row>
    <row r="25" spans="1:25" x14ac:dyDescent="0.25">
      <c r="B25" s="2">
        <v>1839</v>
      </c>
      <c r="C25">
        <f>B25*2*PI()/60</f>
        <v>192.57962966505431</v>
      </c>
      <c r="D25" s="5">
        <v>1.007937890712175</v>
      </c>
      <c r="E25" s="8">
        <v>30.707389246709546</v>
      </c>
      <c r="F25" s="5">
        <v>4.0282260804900449</v>
      </c>
      <c r="G25" s="8">
        <v>47.598924246369272</v>
      </c>
      <c r="H25">
        <f t="shared" si="0"/>
        <v>320.74892424636926</v>
      </c>
      <c r="I25">
        <v>12</v>
      </c>
      <c r="J25" s="1">
        <f t="shared" si="1"/>
        <v>2.0000000000000001E-4</v>
      </c>
      <c r="K25">
        <v>32.938857350692899</v>
      </c>
      <c r="L25">
        <v>3.9826238950298061</v>
      </c>
      <c r="M25">
        <f t="shared" si="2"/>
        <v>306.08885735069288</v>
      </c>
      <c r="N25">
        <f t="shared" si="3"/>
        <v>0.3982623895029806</v>
      </c>
      <c r="O25">
        <v>4.5373000000000001</v>
      </c>
      <c r="Q25">
        <f t="shared" si="17"/>
        <v>0.99779059487469979</v>
      </c>
      <c r="R25">
        <f t="shared" si="18"/>
        <v>11.973487138496397</v>
      </c>
      <c r="S25" s="7">
        <f t="shared" si="5"/>
        <v>1.9955811897493994E-4</v>
      </c>
      <c r="U25">
        <v>48</v>
      </c>
      <c r="V25">
        <v>64</v>
      </c>
      <c r="W25" s="8">
        <v>2.1801999999999998E-2</v>
      </c>
      <c r="X25" s="10">
        <v>260</v>
      </c>
    </row>
    <row r="26" spans="1:25" x14ac:dyDescent="0.25">
      <c r="B26" s="2">
        <v>1839</v>
      </c>
      <c r="C26">
        <f t="shared" si="4"/>
        <v>192.57962966505431</v>
      </c>
      <c r="D26" s="5">
        <v>1.0075465725805357</v>
      </c>
      <c r="E26" s="8">
        <v>30.654826109108207</v>
      </c>
      <c r="F26" s="5">
        <v>3.6533986868675403</v>
      </c>
      <c r="G26" s="8">
        <v>46.402179551899437</v>
      </c>
      <c r="H26">
        <f t="shared" si="0"/>
        <v>319.55217955189943</v>
      </c>
      <c r="I26">
        <v>16</v>
      </c>
      <c r="J26" s="1">
        <f t="shared" si="1"/>
        <v>2.6666666666666668E-4</v>
      </c>
      <c r="K26">
        <v>32.704388837077452</v>
      </c>
      <c r="L26">
        <v>3.5880844465849808</v>
      </c>
      <c r="M26">
        <f t="shared" si="2"/>
        <v>305.85438883707741</v>
      </c>
      <c r="N26">
        <f t="shared" si="3"/>
        <v>0.35880844465849809</v>
      </c>
      <c r="O26">
        <v>4.0906000000000002</v>
      </c>
      <c r="Q26">
        <f t="shared" si="17"/>
        <v>0.9978326918355499</v>
      </c>
      <c r="R26">
        <f t="shared" si="18"/>
        <v>15.965323069368798</v>
      </c>
      <c r="S26" s="7">
        <f t="shared" si="5"/>
        <v>2.6608871782281328E-4</v>
      </c>
      <c r="U26">
        <v>48</v>
      </c>
      <c r="V26">
        <v>64</v>
      </c>
      <c r="W26" s="8">
        <v>2.1801999999999998E-2</v>
      </c>
      <c r="X26" s="10">
        <v>235</v>
      </c>
    </row>
    <row r="27" spans="1:25" x14ac:dyDescent="0.25">
      <c r="B27" s="2">
        <v>1839</v>
      </c>
      <c r="C27">
        <f t="shared" si="4"/>
        <v>192.57962966505431</v>
      </c>
      <c r="D27" s="5">
        <v>1.007730407897355</v>
      </c>
      <c r="E27" s="8">
        <v>30.822986667073145</v>
      </c>
      <c r="F27" s="5">
        <v>3.0732756854133072</v>
      </c>
      <c r="G27" s="8">
        <v>50.602444253388761</v>
      </c>
      <c r="H27">
        <f t="shared" si="0"/>
        <v>323.75244425338872</v>
      </c>
      <c r="I27">
        <v>18</v>
      </c>
      <c r="J27" s="1">
        <f t="shared" si="1"/>
        <v>2.9999999999999997E-4</v>
      </c>
      <c r="K27">
        <v>34.160465950496068</v>
      </c>
      <c r="L27">
        <v>3.0036641094433802</v>
      </c>
      <c r="M27">
        <f t="shared" si="2"/>
        <v>307.31046595049605</v>
      </c>
      <c r="N27">
        <f t="shared" si="3"/>
        <v>0.30036641094433802</v>
      </c>
      <c r="O27">
        <v>3.4075000000000002</v>
      </c>
      <c r="Q27">
        <f t="shared" si="17"/>
        <v>0.99792141125745404</v>
      </c>
      <c r="R27">
        <f t="shared" si="18"/>
        <v>17.962585402634172</v>
      </c>
      <c r="S27" s="7">
        <f t="shared" si="5"/>
        <v>2.9937642337723617E-4</v>
      </c>
      <c r="U27">
        <v>48</v>
      </c>
      <c r="V27">
        <v>64</v>
      </c>
      <c r="W27" s="8">
        <v>2.1801999999999998E-2</v>
      </c>
      <c r="X27" s="10">
        <v>215</v>
      </c>
    </row>
    <row r="28" spans="1:25" x14ac:dyDescent="0.25">
      <c r="B28" s="2">
        <v>1840</v>
      </c>
      <c r="C28">
        <f t="shared" si="4"/>
        <v>192.68434942017399</v>
      </c>
      <c r="D28" s="5">
        <v>1.0069040471898754</v>
      </c>
      <c r="E28" s="8">
        <v>30.824160851514335</v>
      </c>
      <c r="F28" s="5">
        <v>2.6401044471753301</v>
      </c>
      <c r="G28" s="8">
        <v>49.990339464576451</v>
      </c>
      <c r="H28">
        <f t="shared" si="0"/>
        <v>323.14033946457641</v>
      </c>
      <c r="I28">
        <v>21</v>
      </c>
      <c r="J28" s="1">
        <f t="shared" si="1"/>
        <v>3.5E-4</v>
      </c>
      <c r="K28">
        <v>35.299841353881696</v>
      </c>
      <c r="L28">
        <v>2.5573256010264003</v>
      </c>
      <c r="M28">
        <f t="shared" si="2"/>
        <v>308.44984135388165</v>
      </c>
      <c r="N28">
        <f t="shared" si="3"/>
        <v>0.25573256010264001</v>
      </c>
      <c r="O28">
        <v>2.8900999999999999</v>
      </c>
      <c r="Q28">
        <f t="shared" si="17"/>
        <v>0.99797938124444174</v>
      </c>
      <c r="R28">
        <f t="shared" si="18"/>
        <v>20.957567006133278</v>
      </c>
      <c r="S28" s="7">
        <f t="shared" si="5"/>
        <v>3.4929278343555462E-4</v>
      </c>
      <c r="U28">
        <v>48</v>
      </c>
      <c r="V28">
        <v>64</v>
      </c>
      <c r="W28" s="8">
        <v>2.1801999999999998E-2</v>
      </c>
      <c r="X28" s="10">
        <v>205</v>
      </c>
    </row>
    <row r="29" spans="1:25" x14ac:dyDescent="0.25">
      <c r="D29" s="5"/>
      <c r="E29" s="8"/>
      <c r="F29" s="5"/>
      <c r="G29" s="8"/>
    </row>
    <row r="30" spans="1:25" x14ac:dyDescent="0.25">
      <c r="A30" s="3">
        <f>AVERAGE(B30:B37)</f>
        <v>2111.875</v>
      </c>
      <c r="B30" s="2">
        <v>2107</v>
      </c>
      <c r="C30">
        <f t="shared" ref="C30" si="20">B30*2*PI()/60</f>
        <v>220.64452403712315</v>
      </c>
      <c r="D30" s="5">
        <v>1.00664348651146</v>
      </c>
      <c r="E30" s="8">
        <v>31.8755210636795</v>
      </c>
      <c r="F30" s="5">
        <v>5.1395527310525901</v>
      </c>
      <c r="G30" s="8">
        <v>53.790427815977402</v>
      </c>
      <c r="H30">
        <f t="shared" ref="H30:H37" si="21">G30+273.15</f>
        <v>326.94042781597739</v>
      </c>
      <c r="I30">
        <v>9</v>
      </c>
      <c r="J30" s="1">
        <f t="shared" ref="J30:J37" si="22">I30/60/1000</f>
        <v>1.4999999999999999E-4</v>
      </c>
      <c r="K30">
        <v>34.091203107820157</v>
      </c>
      <c r="L30">
        <v>5.1153551515503608</v>
      </c>
      <c r="M30">
        <f t="shared" ref="M30:M37" si="23">K30+273.15</f>
        <v>307.24120310782013</v>
      </c>
      <c r="N30">
        <f t="shared" ref="N30:N37" si="24">L30/10</f>
        <v>0.51153551515503604</v>
      </c>
      <c r="O30">
        <v>5.8071999999999999</v>
      </c>
      <c r="Q30">
        <f t="shared" ref="Q30:Q37" si="25">SQRT(1.2/O30)*SQRT(N30/0.101325)*SQRT(293.15/M30)</f>
        <v>0.9976817812522496</v>
      </c>
      <c r="R30">
        <f>I30*Q30</f>
        <v>8.9791360312702473</v>
      </c>
      <c r="S30" s="7">
        <f>R30/60/1000</f>
        <v>1.4965226718783746E-4</v>
      </c>
      <c r="U30">
        <v>50</v>
      </c>
      <c r="V30">
        <v>70</v>
      </c>
      <c r="W30" s="8">
        <v>1.8828999999999999E-2</v>
      </c>
      <c r="X30" s="10">
        <v>280</v>
      </c>
      <c r="Y30">
        <v>1.7838E-2</v>
      </c>
    </row>
    <row r="31" spans="1:25" x14ac:dyDescent="0.25">
      <c r="A31" s="3">
        <f>AVERAGE(G30:G37)</f>
        <v>52.033718335834841</v>
      </c>
      <c r="B31" s="2">
        <v>2112</v>
      </c>
      <c r="C31">
        <f>B31*2*PI()/60</f>
        <v>221.16812281272144</v>
      </c>
      <c r="D31" s="5">
        <v>1.00610594912139</v>
      </c>
      <c r="E31" s="8">
        <v>32.0262582611306</v>
      </c>
      <c r="F31" s="5">
        <v>4.4350470643170903</v>
      </c>
      <c r="G31" s="8">
        <v>49.9908134224425</v>
      </c>
      <c r="H31">
        <f t="shared" si="21"/>
        <v>323.14081342244248</v>
      </c>
      <c r="I31">
        <v>11.5</v>
      </c>
      <c r="J31" s="1">
        <f t="shared" si="22"/>
        <v>1.9166666666666667E-4</v>
      </c>
      <c r="K31">
        <v>36.091330242567508</v>
      </c>
      <c r="L31">
        <v>4.398073191126322</v>
      </c>
      <c r="M31">
        <f t="shared" si="23"/>
        <v>309.24133024256747</v>
      </c>
      <c r="N31">
        <f t="shared" si="24"/>
        <v>0.43980731911263221</v>
      </c>
      <c r="O31">
        <v>4.9595000000000002</v>
      </c>
      <c r="Q31">
        <f t="shared" si="25"/>
        <v>0.99779374850115632</v>
      </c>
      <c r="R31">
        <f t="shared" ref="R31:R37" si="26">I31*Q31</f>
        <v>11.474628107763298</v>
      </c>
      <c r="S31" s="7">
        <f t="shared" ref="S31:S37" si="27">R31/60/1000</f>
        <v>1.9124380179605496E-4</v>
      </c>
      <c r="U31">
        <v>50</v>
      </c>
      <c r="V31">
        <v>70</v>
      </c>
      <c r="W31" s="8">
        <v>1.8828999999999999E-2</v>
      </c>
      <c r="X31" s="10">
        <v>270</v>
      </c>
      <c r="Y31">
        <v>1.7838E-2</v>
      </c>
    </row>
    <row r="32" spans="1:25" x14ac:dyDescent="0.25">
      <c r="B32" s="2">
        <v>2114</v>
      </c>
      <c r="C32">
        <f t="shared" ref="C32:C36" si="28">B32*2*PI()/60</f>
        <v>221.37756232296076</v>
      </c>
      <c r="D32" s="5">
        <v>1.00665837403376</v>
      </c>
      <c r="E32" s="8">
        <v>32.048058065891802</v>
      </c>
      <c r="F32" s="5">
        <v>4.2201346805617597</v>
      </c>
      <c r="G32" s="8">
        <v>48.984398003218203</v>
      </c>
      <c r="H32">
        <f t="shared" si="21"/>
        <v>322.13439800321817</v>
      </c>
      <c r="I32">
        <v>12</v>
      </c>
      <c r="J32" s="1">
        <f t="shared" si="22"/>
        <v>2.0000000000000001E-4</v>
      </c>
      <c r="K32">
        <v>34.992384663945479</v>
      </c>
      <c r="L32">
        <v>4.1866511988703801</v>
      </c>
      <c r="M32">
        <f t="shared" si="23"/>
        <v>308.14238466394545</v>
      </c>
      <c r="N32">
        <f t="shared" si="24"/>
        <v>0.41866511988703803</v>
      </c>
      <c r="O32">
        <v>4.7378999999999998</v>
      </c>
      <c r="Q32">
        <f t="shared" si="25"/>
        <v>0.99779653516182709</v>
      </c>
      <c r="R32">
        <f t="shared" si="26"/>
        <v>11.973558421941926</v>
      </c>
      <c r="S32" s="7">
        <f t="shared" si="27"/>
        <v>1.9955930703236544E-4</v>
      </c>
      <c r="U32">
        <v>50</v>
      </c>
      <c r="V32">
        <v>70</v>
      </c>
      <c r="W32" s="8">
        <v>1.8828999999999999E-2</v>
      </c>
      <c r="X32" s="10">
        <v>265</v>
      </c>
      <c r="Y32">
        <v>1.7838E-2</v>
      </c>
    </row>
    <row r="33" spans="1:34" x14ac:dyDescent="0.25">
      <c r="A33" s="6"/>
      <c r="B33" s="2">
        <v>2114</v>
      </c>
      <c r="C33">
        <f t="shared" si="28"/>
        <v>221.37756232296076</v>
      </c>
      <c r="D33" s="5">
        <v>1.0066982516283101</v>
      </c>
      <c r="E33" s="8">
        <v>32.005684453369298</v>
      </c>
      <c r="F33" s="5">
        <v>4.0038566309211898</v>
      </c>
      <c r="G33" s="8">
        <v>49.199552467406399</v>
      </c>
      <c r="H33">
        <f t="shared" si="21"/>
        <v>322.3495524674064</v>
      </c>
      <c r="I33">
        <v>14</v>
      </c>
      <c r="J33" s="1">
        <f t="shared" si="22"/>
        <v>2.3333333333333333E-4</v>
      </c>
      <c r="K33">
        <v>35.22898377743342</v>
      </c>
      <c r="L33">
        <v>3.9611569214138527</v>
      </c>
      <c r="M33">
        <f t="shared" si="23"/>
        <v>308.3789837774334</v>
      </c>
      <c r="N33">
        <f t="shared" si="24"/>
        <v>0.39611569214138526</v>
      </c>
      <c r="O33">
        <v>4.4790000000000001</v>
      </c>
      <c r="Q33">
        <f t="shared" si="25"/>
        <v>0.99782727755777623</v>
      </c>
      <c r="R33">
        <f t="shared" si="26"/>
        <v>13.969581885808868</v>
      </c>
      <c r="S33" s="7">
        <f t="shared" si="27"/>
        <v>2.3282636476348111E-4</v>
      </c>
      <c r="U33">
        <v>50</v>
      </c>
      <c r="V33">
        <v>70</v>
      </c>
      <c r="W33" s="8">
        <v>1.8828999999999999E-2</v>
      </c>
      <c r="X33" s="10">
        <v>260</v>
      </c>
      <c r="Y33">
        <v>1.7838E-2</v>
      </c>
    </row>
    <row r="34" spans="1:34" x14ac:dyDescent="0.25">
      <c r="B34" s="2">
        <v>2112</v>
      </c>
      <c r="C34">
        <f t="shared" si="28"/>
        <v>221.16812281272144</v>
      </c>
      <c r="D34" s="5">
        <v>1.00621659144009</v>
      </c>
      <c r="E34" s="8">
        <v>31.9703144529695</v>
      </c>
      <c r="F34" s="5">
        <v>3.8882416114697702</v>
      </c>
      <c r="G34" s="8">
        <v>51.115333189585499</v>
      </c>
      <c r="H34">
        <f t="shared" si="21"/>
        <v>324.26533318958548</v>
      </c>
      <c r="I34">
        <v>16</v>
      </c>
      <c r="J34" s="1">
        <f t="shared" si="22"/>
        <v>2.6666666666666668E-4</v>
      </c>
      <c r="K34">
        <v>36.995893647839196</v>
      </c>
      <c r="L34">
        <v>3.838953350045629</v>
      </c>
      <c r="M34">
        <f t="shared" si="23"/>
        <v>310.14589364783916</v>
      </c>
      <c r="N34">
        <f t="shared" si="24"/>
        <v>0.38389533500456291</v>
      </c>
      <c r="O34">
        <v>4.3156999999999996</v>
      </c>
      <c r="Q34">
        <f t="shared" si="25"/>
        <v>0.99787247161187964</v>
      </c>
      <c r="R34">
        <f t="shared" si="26"/>
        <v>15.965959545790074</v>
      </c>
      <c r="S34" s="7">
        <f t="shared" si="27"/>
        <v>2.6609932576316791E-4</v>
      </c>
      <c r="U34">
        <v>50</v>
      </c>
      <c r="V34">
        <v>70</v>
      </c>
      <c r="W34" s="8">
        <v>1.8828999999999999E-2</v>
      </c>
      <c r="X34" s="10">
        <v>250</v>
      </c>
      <c r="Y34">
        <v>1.7838E-2</v>
      </c>
    </row>
    <row r="35" spans="1:34" x14ac:dyDescent="0.25">
      <c r="B35" s="2">
        <v>2111</v>
      </c>
      <c r="C35">
        <f t="shared" si="28"/>
        <v>221.06340305760176</v>
      </c>
      <c r="D35" s="5">
        <v>1.00622035047064</v>
      </c>
      <c r="E35" s="8">
        <v>32.022331469804698</v>
      </c>
      <c r="F35" s="5">
        <v>3.69061358519046</v>
      </c>
      <c r="G35" s="8">
        <v>55.823943947719599</v>
      </c>
      <c r="H35">
        <f t="shared" si="21"/>
        <v>328.97394394771959</v>
      </c>
      <c r="I35">
        <v>17</v>
      </c>
      <c r="J35" s="1">
        <f t="shared" si="22"/>
        <v>2.833333333333333E-4</v>
      </c>
      <c r="K35">
        <v>35.183946946549369</v>
      </c>
      <c r="L35">
        <v>3.6382551740685782</v>
      </c>
      <c r="M35">
        <f t="shared" si="23"/>
        <v>308.33394694654936</v>
      </c>
      <c r="N35">
        <f t="shared" si="24"/>
        <v>0.36382551740685781</v>
      </c>
      <c r="O35">
        <v>4.1142000000000003</v>
      </c>
      <c r="Q35">
        <f t="shared" si="25"/>
        <v>0.99786197341373895</v>
      </c>
      <c r="R35">
        <f t="shared" si="26"/>
        <v>16.963653548033562</v>
      </c>
      <c r="S35" s="7">
        <f t="shared" si="27"/>
        <v>2.827275591338927E-4</v>
      </c>
      <c r="U35">
        <v>50</v>
      </c>
      <c r="V35">
        <v>70</v>
      </c>
      <c r="W35" s="8">
        <v>1.8828999999999999E-2</v>
      </c>
      <c r="X35" s="10">
        <v>240</v>
      </c>
      <c r="Y35">
        <v>1.7838E-2</v>
      </c>
    </row>
    <row r="36" spans="1:34" x14ac:dyDescent="0.25">
      <c r="B36" s="2">
        <v>2112</v>
      </c>
      <c r="C36">
        <f t="shared" si="28"/>
        <v>221.16812281272144</v>
      </c>
      <c r="D36" s="5">
        <v>1.0075471234151601</v>
      </c>
      <c r="E36" s="8">
        <v>31.981519437650199</v>
      </c>
      <c r="F36" s="5">
        <v>3.3424664174525498</v>
      </c>
      <c r="G36" s="8">
        <v>54.463514185662603</v>
      </c>
      <c r="H36">
        <f t="shared" si="21"/>
        <v>327.61351418566255</v>
      </c>
      <c r="I36">
        <v>19</v>
      </c>
      <c r="J36" s="1">
        <f t="shared" si="22"/>
        <v>3.1666666666666665E-4</v>
      </c>
      <c r="K36">
        <v>36.165910744740373</v>
      </c>
      <c r="L36">
        <v>3.2729093370781328</v>
      </c>
      <c r="M36">
        <f t="shared" si="23"/>
        <v>309.31591074474034</v>
      </c>
      <c r="N36">
        <f t="shared" si="24"/>
        <v>0.32729093370781326</v>
      </c>
      <c r="O36">
        <v>3.6888999999999998</v>
      </c>
      <c r="Q36">
        <f t="shared" si="25"/>
        <v>0.99791760042068167</v>
      </c>
      <c r="R36">
        <f t="shared" si="26"/>
        <v>18.960434407992953</v>
      </c>
      <c r="S36" s="7">
        <f t="shared" si="27"/>
        <v>3.1600724013321587E-4</v>
      </c>
      <c r="U36">
        <v>50</v>
      </c>
      <c r="V36">
        <v>70</v>
      </c>
      <c r="W36" s="8">
        <v>1.8828999999999999E-2</v>
      </c>
      <c r="X36" s="10">
        <v>225</v>
      </c>
      <c r="Y36">
        <v>1.7838E-2</v>
      </c>
    </row>
    <row r="37" spans="1:34" x14ac:dyDescent="0.25">
      <c r="B37" s="2">
        <v>2113</v>
      </c>
      <c r="C37">
        <f>B37*2*PI()/60</f>
        <v>221.27284256784108</v>
      </c>
      <c r="D37" s="5">
        <v>1.00657455969937</v>
      </c>
      <c r="E37" s="8">
        <v>32.002248517148502</v>
      </c>
      <c r="F37" s="5">
        <v>2.5472304393617602</v>
      </c>
      <c r="G37" s="8">
        <v>52.901763654666603</v>
      </c>
      <c r="H37">
        <f t="shared" si="21"/>
        <v>326.05176365466656</v>
      </c>
      <c r="I37">
        <v>26</v>
      </c>
      <c r="J37" s="1">
        <f t="shared" si="22"/>
        <v>4.3333333333333337E-4</v>
      </c>
      <c r="K37">
        <v>37.109925562862749</v>
      </c>
      <c r="L37">
        <v>2.4564213377189379</v>
      </c>
      <c r="M37">
        <f t="shared" si="23"/>
        <v>310.25992556286275</v>
      </c>
      <c r="N37">
        <f t="shared" si="24"/>
        <v>0.24564213377189378</v>
      </c>
      <c r="O37">
        <v>2.7597</v>
      </c>
      <c r="Q37">
        <f t="shared" si="25"/>
        <v>0.99801005747028537</v>
      </c>
      <c r="R37">
        <f t="shared" si="26"/>
        <v>25.94826149422742</v>
      </c>
      <c r="S37" s="7">
        <f t="shared" si="27"/>
        <v>4.3247102490379037E-4</v>
      </c>
      <c r="U37">
        <v>50</v>
      </c>
      <c r="V37">
        <v>70</v>
      </c>
      <c r="W37" s="8">
        <v>1.8828999999999999E-2</v>
      </c>
      <c r="X37" s="10">
        <v>200</v>
      </c>
      <c r="Y37">
        <v>1.7838E-2</v>
      </c>
    </row>
    <row r="42" spans="1:34" ht="21" x14ac:dyDescent="0.35">
      <c r="D42" s="28"/>
      <c r="E42" s="60" t="s">
        <v>6</v>
      </c>
      <c r="F42" s="60"/>
      <c r="G42" s="60"/>
      <c r="H42" s="34"/>
      <c r="I42" s="34"/>
      <c r="J42" s="28"/>
      <c r="K42" s="61" t="s">
        <v>5</v>
      </c>
      <c r="L42" s="61"/>
      <c r="M42" s="61"/>
      <c r="N42" s="29"/>
      <c r="O42" s="60" t="s">
        <v>4</v>
      </c>
      <c r="P42" s="60"/>
      <c r="Q42" s="60"/>
      <c r="S42" s="13"/>
      <c r="T42" s="62" t="s">
        <v>19</v>
      </c>
      <c r="U42" s="62"/>
      <c r="V42" s="62"/>
      <c r="W42" s="62"/>
      <c r="X42" s="62"/>
      <c r="Y42" s="62"/>
    </row>
    <row r="43" spans="1:34" ht="18.75" x14ac:dyDescent="0.3">
      <c r="D43" s="30" t="s">
        <v>35</v>
      </c>
      <c r="E43" s="31" t="s">
        <v>23</v>
      </c>
      <c r="F43" s="31" t="s">
        <v>1</v>
      </c>
      <c r="G43" s="31" t="s">
        <v>0</v>
      </c>
      <c r="H43" s="35"/>
      <c r="I43" s="35"/>
      <c r="J43" s="30" t="s">
        <v>3</v>
      </c>
      <c r="K43" s="31" t="s">
        <v>23</v>
      </c>
      <c r="L43" s="31" t="s">
        <v>1</v>
      </c>
      <c r="M43" s="31" t="s">
        <v>2</v>
      </c>
      <c r="N43" s="31"/>
      <c r="O43" s="31" t="s">
        <v>23</v>
      </c>
      <c r="P43" s="31" t="s">
        <v>1</v>
      </c>
      <c r="Q43" s="31" t="s">
        <v>0</v>
      </c>
      <c r="T43" s="32" t="s">
        <v>21</v>
      </c>
      <c r="U43" s="33" t="s">
        <v>20</v>
      </c>
      <c r="V43" s="32" t="s">
        <v>24</v>
      </c>
      <c r="W43" s="33" t="s">
        <v>18</v>
      </c>
      <c r="X43" s="32" t="s">
        <v>25</v>
      </c>
      <c r="Y43" s="33" t="s">
        <v>22</v>
      </c>
      <c r="AA43" t="s">
        <v>50</v>
      </c>
      <c r="AC43" t="s">
        <v>56</v>
      </c>
      <c r="AH43" t="s">
        <v>55</v>
      </c>
    </row>
    <row r="44" spans="1:34" x14ac:dyDescent="0.25">
      <c r="B44" s="2">
        <f>B3</f>
        <v>1217</v>
      </c>
      <c r="C44" s="10">
        <f>B44*2*PI()/60</f>
        <v>127.44394198062595</v>
      </c>
      <c r="D44" s="25">
        <f>F3</f>
        <v>4.2632226981025712</v>
      </c>
      <c r="E44">
        <v>0.49030000000000001</v>
      </c>
      <c r="F44">
        <v>0.74839999999999995</v>
      </c>
      <c r="G44" s="5">
        <f>S3*O3*1000</f>
        <v>0.3247321478042306</v>
      </c>
      <c r="H44" s="36"/>
      <c r="I44" s="36"/>
      <c r="J44" s="25">
        <v>4.2444180924655104</v>
      </c>
      <c r="K44">
        <v>237.3811</v>
      </c>
      <c r="L44">
        <v>251.22190000000001</v>
      </c>
      <c r="M44" s="5">
        <f>C44*Q44</f>
        <v>219.923995478764</v>
      </c>
      <c r="O44">
        <v>1.8626</v>
      </c>
      <c r="P44">
        <v>1.9712000000000001</v>
      </c>
      <c r="Q44" s="5">
        <v>1.7256528012308101</v>
      </c>
      <c r="T44" s="9">
        <f>(E44-G44)/G44</f>
        <v>0.50985975153770224</v>
      </c>
      <c r="U44" s="4">
        <f>(F44-G44)/G44</f>
        <v>1.3046686478703167</v>
      </c>
      <c r="V44" s="38">
        <f>(K44-M44)/M44</f>
        <v>7.9377898183564388E-2</v>
      </c>
      <c r="W44" s="38">
        <f>(L44-M44)/M44</f>
        <v>0.14231236774823941</v>
      </c>
      <c r="X44" s="4">
        <f>(O44-Q44)/Q44</f>
        <v>7.9359647938167674E-2</v>
      </c>
      <c r="Y44" s="4">
        <f>(P44-Q44)/Q44</f>
        <v>0.14229235370756799</v>
      </c>
      <c r="AA44">
        <v>8.8492944187253499</v>
      </c>
      <c r="AC44">
        <v>0.50214350843484812</v>
      </c>
      <c r="AD44" s="4">
        <f>V44-AA44/100</f>
        <v>-9.1150460036891062E-3</v>
      </c>
      <c r="AF44" s="4">
        <f>ABS(T44)-AC44</f>
        <v>7.7162431028541256E-3</v>
      </c>
      <c r="AH44" s="4">
        <f>G44/F44</f>
        <v>0.43390185436161227</v>
      </c>
    </row>
    <row r="45" spans="1:34" x14ac:dyDescent="0.25">
      <c r="A45" s="22">
        <f>AVERAGE(B44:B48)</f>
        <v>1216</v>
      </c>
      <c r="B45" s="2">
        <f>B4</f>
        <v>1214</v>
      </c>
      <c r="C45" s="10">
        <f t="shared" ref="C45:C48" si="29">B45*2*PI()/60</f>
        <v>127.12978271526696</v>
      </c>
      <c r="D45" s="25">
        <f>F4</f>
        <v>3.7487816777695127</v>
      </c>
      <c r="E45">
        <v>0.49919999999999998</v>
      </c>
      <c r="F45">
        <v>0.74750000000000005</v>
      </c>
      <c r="G45" s="5">
        <f>S4*O4*1000</f>
        <v>0.35673312429200765</v>
      </c>
      <c r="H45" s="36"/>
      <c r="I45" s="36"/>
      <c r="J45" s="25">
        <v>3.7878232240313827</v>
      </c>
      <c r="K45">
        <v>217.6027</v>
      </c>
      <c r="L45">
        <v>227.9221</v>
      </c>
      <c r="M45" s="5">
        <f>C45*Q45</f>
        <v>201.06346911209982</v>
      </c>
      <c r="O45">
        <v>1.7117</v>
      </c>
      <c r="P45">
        <v>1.7927999999999999</v>
      </c>
      <c r="Q45" s="5">
        <v>1.5815607076307401</v>
      </c>
      <c r="T45" s="9">
        <f t="shared" ref="T45:T48" si="30">(E45-G45)/G45</f>
        <v>0.39936542475762515</v>
      </c>
      <c r="U45" s="4">
        <f t="shared" ref="U45:U48" si="31">(F45-G45)/G45</f>
        <v>1.0954039563427984</v>
      </c>
      <c r="V45" s="38">
        <f t="shared" ref="V45:V64" si="32">(K45-M45)/M45</f>
        <v>8.2258756207369443E-2</v>
      </c>
      <c r="W45" s="38">
        <f t="shared" ref="W45:W64" si="33">(L45-M45)/M45</f>
        <v>0.13358284827427086</v>
      </c>
      <c r="X45" s="4">
        <f t="shared" ref="X45:X64" si="34">(O45-Q45)/Q45</f>
        <v>8.2285360113817776E-2</v>
      </c>
      <c r="Y45" s="4">
        <f t="shared" ref="Y45:Y64" si="35">(P45-Q45)/Q45</f>
        <v>0.13356382170476863</v>
      </c>
      <c r="AA45">
        <v>9.6416219387958275</v>
      </c>
      <c r="AC45">
        <v>0.40189013925896322</v>
      </c>
      <c r="AD45" s="4">
        <f t="shared" ref="AD45:AD82" si="36">V45-AA45/100</f>
        <v>-1.4157463180588831E-2</v>
      </c>
      <c r="AF45" s="4">
        <f t="shared" ref="AF45:AF82" si="37">ABS(T45)-AC45</f>
        <v>-2.5247145013380656E-3</v>
      </c>
      <c r="AH45" s="4">
        <f t="shared" ref="AH45:AH82" si="38">G45/F45</f>
        <v>0.47723494888562895</v>
      </c>
    </row>
    <row r="46" spans="1:34" x14ac:dyDescent="0.25">
      <c r="A46" s="23"/>
      <c r="B46" s="2">
        <f>B5</f>
        <v>1217</v>
      </c>
      <c r="C46" s="10">
        <f t="shared" si="29"/>
        <v>127.44394198062595</v>
      </c>
      <c r="D46" s="25">
        <f>F5</f>
        <v>3.41149288331663</v>
      </c>
      <c r="E46">
        <v>0.50919999999999999</v>
      </c>
      <c r="F46">
        <v>0.75039999999999996</v>
      </c>
      <c r="G46" s="5">
        <f>S5*O5*1000</f>
        <v>0.45316198723503576</v>
      </c>
      <c r="H46" s="36"/>
      <c r="I46" s="36"/>
      <c r="J46" s="25">
        <v>3.4480098649583537</v>
      </c>
      <c r="K46">
        <v>205.1644</v>
      </c>
      <c r="L46">
        <v>213.35659999999999</v>
      </c>
      <c r="M46" s="5">
        <f>C46*Q46</f>
        <v>193.63025834579085</v>
      </c>
      <c r="O46">
        <v>1.6097999999999999</v>
      </c>
      <c r="P46">
        <v>1.6740999999999999</v>
      </c>
      <c r="Q46" s="5">
        <v>1.5193367008000001</v>
      </c>
      <c r="T46" s="9">
        <f t="shared" si="30"/>
        <v>0.12366000314121604</v>
      </c>
      <c r="U46" s="4">
        <f t="shared" si="31"/>
        <v>0.65592000462916045</v>
      </c>
      <c r="V46" s="38">
        <f t="shared" si="32"/>
        <v>5.9567867918717161E-2</v>
      </c>
      <c r="W46" s="38">
        <f t="shared" si="33"/>
        <v>0.10187633804103711</v>
      </c>
      <c r="X46" s="4">
        <f t="shared" si="34"/>
        <v>5.9541311121074608E-2</v>
      </c>
      <c r="Y46" s="4">
        <f t="shared" si="35"/>
        <v>0.10186241082605978</v>
      </c>
      <c r="AA46">
        <v>10.029661068040429</v>
      </c>
      <c r="AC46">
        <v>0.28733834405326064</v>
      </c>
      <c r="AD46" s="4">
        <f t="shared" si="36"/>
        <v>-4.0728742761687135E-2</v>
      </c>
      <c r="AF46" s="4">
        <f t="shared" si="37"/>
        <v>-0.16367834091204458</v>
      </c>
      <c r="AH46" s="4">
        <f t="shared" si="38"/>
        <v>0.60389390623005834</v>
      </c>
    </row>
    <row r="47" spans="1:34" x14ac:dyDescent="0.25">
      <c r="A47" s="23"/>
      <c r="B47" s="2">
        <f>B6</f>
        <v>1215</v>
      </c>
      <c r="C47" s="10">
        <f t="shared" si="29"/>
        <v>127.23450247038662</v>
      </c>
      <c r="D47" s="25">
        <f>F6</f>
        <v>3.0036465230416098</v>
      </c>
      <c r="E47">
        <v>0.52070000000000005</v>
      </c>
      <c r="F47">
        <v>0.74929999999999997</v>
      </c>
      <c r="G47" s="5">
        <f>S6*O6*1000</f>
        <v>0.45543527309811571</v>
      </c>
      <c r="H47" s="36"/>
      <c r="I47" s="36"/>
      <c r="J47" s="25">
        <v>3.0515120209205819</v>
      </c>
      <c r="K47">
        <v>186.5256</v>
      </c>
      <c r="L47">
        <v>193.81049999999999</v>
      </c>
      <c r="M47" s="5">
        <f>C47*Q47</f>
        <v>176.89683334223687</v>
      </c>
      <c r="O47">
        <v>1.466</v>
      </c>
      <c r="P47">
        <v>1.5233000000000001</v>
      </c>
      <c r="Q47" s="5">
        <v>1.39032125648001</v>
      </c>
      <c r="T47" s="9">
        <f t="shared" si="30"/>
        <v>0.14330187132392835</v>
      </c>
      <c r="U47" s="4">
        <f t="shared" si="31"/>
        <v>0.6452392782466283</v>
      </c>
      <c r="V47" s="38">
        <f t="shared" si="32"/>
        <v>5.4431537726481759E-2</v>
      </c>
      <c r="W47" s="38">
        <f t="shared" si="33"/>
        <v>9.5613168072040969E-2</v>
      </c>
      <c r="X47" s="4">
        <f t="shared" si="34"/>
        <v>5.4432558782559357E-2</v>
      </c>
      <c r="Y47" s="4">
        <f t="shared" si="35"/>
        <v>9.564605511150942E-2</v>
      </c>
      <c r="AA47">
        <v>10.94606345179313</v>
      </c>
      <c r="AC47">
        <v>0.25153168137532639</v>
      </c>
      <c r="AD47" s="4">
        <f t="shared" si="36"/>
        <v>-5.5029096791449537E-2</v>
      </c>
      <c r="AF47" s="4">
        <f t="shared" si="37"/>
        <v>-0.10822981005139803</v>
      </c>
      <c r="AH47" s="4">
        <f t="shared" si="38"/>
        <v>0.60781432416670989</v>
      </c>
    </row>
    <row r="48" spans="1:34" x14ac:dyDescent="0.25">
      <c r="A48" s="23"/>
      <c r="B48" s="2">
        <f>B7</f>
        <v>1217</v>
      </c>
      <c r="C48" s="10">
        <f t="shared" si="29"/>
        <v>127.44394198062595</v>
      </c>
      <c r="D48" s="25">
        <f>F7</f>
        <v>2.3975521098447876</v>
      </c>
      <c r="E48">
        <v>0.54530000000000001</v>
      </c>
      <c r="F48">
        <v>0.75209999999999999</v>
      </c>
      <c r="G48" s="5">
        <f>S7*O7*1000</f>
        <v>0.45359213147780497</v>
      </c>
      <c r="H48" s="36"/>
      <c r="I48" s="36"/>
      <c r="J48" s="25">
        <v>2.2725055761034807</v>
      </c>
      <c r="K48">
        <v>159.3312</v>
      </c>
      <c r="L48">
        <v>163.9101</v>
      </c>
      <c r="M48" s="5">
        <f>C48*Q48</f>
        <v>150.01311193399283</v>
      </c>
      <c r="O48">
        <v>1.2502</v>
      </c>
      <c r="P48">
        <v>1.2861</v>
      </c>
      <c r="Q48" s="5">
        <v>1.1770909593866601</v>
      </c>
      <c r="T48" s="9">
        <f t="shared" si="30"/>
        <v>0.20218134786291472</v>
      </c>
      <c r="U48" s="4">
        <f t="shared" si="31"/>
        <v>0.65809754580542479</v>
      </c>
      <c r="V48" s="38">
        <f t="shared" si="32"/>
        <v>6.211515744108561E-2</v>
      </c>
      <c r="W48" s="38">
        <f t="shared" si="33"/>
        <v>9.2638489308334404E-2</v>
      </c>
      <c r="X48" s="4">
        <f t="shared" si="34"/>
        <v>6.2109932992293469E-2</v>
      </c>
      <c r="Y48" s="4">
        <f t="shared" si="35"/>
        <v>9.2608850441040377E-2</v>
      </c>
      <c r="AA48">
        <v>12.900212014457967</v>
      </c>
      <c r="AC48">
        <v>0.20140968870503939</v>
      </c>
      <c r="AD48" s="4">
        <f t="shared" si="36"/>
        <v>-6.6886962703494063E-2</v>
      </c>
      <c r="AF48" s="4">
        <f t="shared" si="37"/>
        <v>7.7165915787533179E-4</v>
      </c>
      <c r="AH48" s="4">
        <f t="shared" si="38"/>
        <v>0.60310082632336792</v>
      </c>
    </row>
    <row r="49" spans="1:34" x14ac:dyDescent="0.25">
      <c r="A49" s="24"/>
      <c r="B49" s="19"/>
      <c r="C49" s="16"/>
      <c r="D49" s="20"/>
      <c r="E49" s="16"/>
      <c r="F49" s="16"/>
      <c r="G49" s="16"/>
      <c r="H49" s="36"/>
      <c r="I49" s="36"/>
      <c r="J49" s="20"/>
      <c r="K49" s="16"/>
      <c r="L49" s="16"/>
      <c r="M49" s="16"/>
      <c r="N49" s="16"/>
      <c r="O49" s="16"/>
      <c r="P49" s="16"/>
      <c r="Q49" s="16"/>
      <c r="R49" s="16"/>
      <c r="S49" s="16"/>
      <c r="T49" s="17"/>
      <c r="U49" s="18"/>
      <c r="V49" s="18"/>
      <c r="W49" s="18"/>
      <c r="X49" s="18"/>
      <c r="Y49" s="18"/>
      <c r="AD49" s="4"/>
      <c r="AF49" s="4"/>
      <c r="AH49" s="4"/>
    </row>
    <row r="50" spans="1:34" x14ac:dyDescent="0.25">
      <c r="A50" s="24"/>
      <c r="B50" s="16"/>
      <c r="C50" s="16"/>
      <c r="D50" s="20"/>
      <c r="E50" s="16"/>
      <c r="F50" s="16"/>
      <c r="G50" s="16"/>
      <c r="H50" s="36"/>
      <c r="I50" s="36"/>
      <c r="J50" s="20"/>
      <c r="K50" s="16"/>
      <c r="L50" s="16"/>
      <c r="M50" s="16"/>
      <c r="N50" s="16"/>
      <c r="O50" s="16"/>
      <c r="P50" s="16"/>
      <c r="Q50" s="16"/>
      <c r="R50" s="16"/>
      <c r="S50" s="16"/>
      <c r="T50" s="17"/>
      <c r="U50" s="18"/>
      <c r="V50" s="18"/>
      <c r="W50" s="18"/>
      <c r="X50" s="18"/>
      <c r="Y50" s="18"/>
      <c r="AD50" s="4"/>
      <c r="AF50" s="4"/>
      <c r="AH50" s="4"/>
    </row>
    <row r="51" spans="1:34" x14ac:dyDescent="0.25">
      <c r="B51" s="2">
        <v>1427</v>
      </c>
      <c r="C51" s="10">
        <f>B51*2*PI()/60</f>
        <v>149.4350905557545</v>
      </c>
      <c r="D51" s="25">
        <f t="shared" ref="D51:D56" si="39">F9</f>
        <v>5.253362586763715</v>
      </c>
      <c r="E51">
        <v>0.59950000000000003</v>
      </c>
      <c r="F51">
        <v>0.87549999999999994</v>
      </c>
      <c r="G51" s="5">
        <f t="shared" ref="G51:G56" si="40">S9*O9*1000</f>
        <v>0.49942621079699617</v>
      </c>
      <c r="H51" s="36"/>
      <c r="I51" s="36"/>
      <c r="J51" s="25">
        <v>5.2406701587576698</v>
      </c>
      <c r="K51">
        <v>315.46120000000002</v>
      </c>
      <c r="L51">
        <v>333.73149999999998</v>
      </c>
      <c r="M51" s="5">
        <f>C51*Q51</f>
        <v>312.41254145595809</v>
      </c>
      <c r="O51">
        <v>2.1110000000000002</v>
      </c>
      <c r="P51">
        <v>2.2332999999999998</v>
      </c>
      <c r="Q51" s="5">
        <v>2.0906236968444598</v>
      </c>
      <c r="T51" s="9">
        <f>(E51-G51)/G51</f>
        <v>0.20037752732942016</v>
      </c>
      <c r="U51" s="4">
        <f>(F51-G51)/G51</f>
        <v>0.75301171839350667</v>
      </c>
      <c r="V51" s="38">
        <f t="shared" ref="V51:V55" si="41">(K51-M51)/M51</f>
        <v>9.7584384091434044E-3</v>
      </c>
      <c r="W51" s="38">
        <f t="shared" ref="W51:W55" si="42">(L51-M51)/M51</f>
        <v>6.8239765422628842E-2</v>
      </c>
      <c r="X51" s="4">
        <f t="shared" ref="X51:X55" si="43">(O51-Q51)/Q51</f>
        <v>9.7465187954656456E-3</v>
      </c>
      <c r="Y51" s="4">
        <f>(P51-Q51)/Q51</f>
        <v>6.8245807875847012E-2</v>
      </c>
      <c r="AA51">
        <v>7.3087297380316496</v>
      </c>
      <c r="AC51">
        <v>0.4019625335234957</v>
      </c>
      <c r="AD51" s="4">
        <f t="shared" si="36"/>
        <v>-6.3328858971173088E-2</v>
      </c>
      <c r="AF51" s="4">
        <f t="shared" si="37"/>
        <v>-0.20158500619407554</v>
      </c>
      <c r="AH51" s="4">
        <f t="shared" si="38"/>
        <v>0.57044684271501567</v>
      </c>
    </row>
    <row r="52" spans="1:34" x14ac:dyDescent="0.25">
      <c r="A52" s="22">
        <f>AVERAGE(B51:B56)</f>
        <v>1416.6666666666667</v>
      </c>
      <c r="B52" s="2">
        <f>B10</f>
        <v>1411</v>
      </c>
      <c r="C52" s="10">
        <f>B52*2*PI()/60</f>
        <v>147.75957447383993</v>
      </c>
      <c r="D52" s="25">
        <f t="shared" si="39"/>
        <v>4.8223075689095696</v>
      </c>
      <c r="E52">
        <v>0.59489999999999998</v>
      </c>
      <c r="F52">
        <v>0.86650000000000005</v>
      </c>
      <c r="G52" s="5">
        <f t="shared" si="40"/>
        <v>0.51458234662294589</v>
      </c>
      <c r="H52" s="36"/>
      <c r="I52" s="36"/>
      <c r="J52" s="25">
        <v>4.8223075689095696</v>
      </c>
      <c r="K52">
        <v>295.88740000000001</v>
      </c>
      <c r="L52">
        <v>311.86959999999999</v>
      </c>
      <c r="M52" s="5">
        <f>Q52*C52</f>
        <v>277.23925387205941</v>
      </c>
      <c r="O52">
        <v>2.0024999999999999</v>
      </c>
      <c r="P52">
        <v>2.1107</v>
      </c>
      <c r="Q52" s="5">
        <v>1.8762862228000201</v>
      </c>
      <c r="T52" s="9">
        <f t="shared" ref="T52:T56" si="44">(E52-G52)/G52</f>
        <v>0.15608318844234645</v>
      </c>
      <c r="U52" s="4">
        <f t="shared" ref="U52:U56" si="45">(F52-G52)/G52</f>
        <v>0.68388986852461464</v>
      </c>
      <c r="V52" s="38">
        <f t="shared" si="41"/>
        <v>6.7263729314992193E-2</v>
      </c>
      <c r="W52" s="38">
        <f t="shared" si="42"/>
        <v>0.12491141007009715</v>
      </c>
      <c r="X52" s="4">
        <f t="shared" si="43"/>
        <v>6.726786972385719E-2</v>
      </c>
      <c r="Y52" s="4">
        <f t="shared" ref="Y52:Y55" si="46">(P52-Q52)/Q52</f>
        <v>0.12493497759108387</v>
      </c>
      <c r="AA52">
        <v>8.129870897011358</v>
      </c>
      <c r="AC52">
        <v>0.36549861015308549</v>
      </c>
      <c r="AD52" s="4">
        <f t="shared" si="36"/>
        <v>-1.4034979655121391E-2</v>
      </c>
      <c r="AF52" s="4">
        <f t="shared" si="37"/>
        <v>-0.20941542171073904</v>
      </c>
      <c r="AH52" s="4">
        <f t="shared" si="38"/>
        <v>0.59386306592376903</v>
      </c>
    </row>
    <row r="53" spans="1:34" x14ac:dyDescent="0.25">
      <c r="A53" s="23"/>
      <c r="B53" s="2">
        <f>B11</f>
        <v>1412</v>
      </c>
      <c r="C53" s="10">
        <f t="shared" ref="C53:C56" si="47">B53*2*PI()/60</f>
        <v>147.86429422895961</v>
      </c>
      <c r="D53" s="25">
        <f t="shared" si="39"/>
        <v>4.236297847863618</v>
      </c>
      <c r="E53">
        <v>0.60740000000000005</v>
      </c>
      <c r="F53">
        <v>0.86750000000000005</v>
      </c>
      <c r="G53" s="5">
        <f t="shared" si="40"/>
        <v>0.48213212885652895</v>
      </c>
      <c r="H53" s="36"/>
      <c r="I53" s="36"/>
      <c r="J53" s="25">
        <v>4.2133657686475736</v>
      </c>
      <c r="K53">
        <v>274.14609999999999</v>
      </c>
      <c r="L53">
        <v>287.29450000000003</v>
      </c>
      <c r="M53" s="5">
        <f>C53*Q53</f>
        <v>252.5835649599077</v>
      </c>
      <c r="O53">
        <v>1.8540000000000001</v>
      </c>
      <c r="P53">
        <v>1.9430000000000001</v>
      </c>
      <c r="Q53" s="5">
        <v>1.7082120215499501</v>
      </c>
      <c r="T53" s="9">
        <f t="shared" si="44"/>
        <v>0.25982062518954807</v>
      </c>
      <c r="U53" s="4">
        <f t="shared" si="45"/>
        <v>0.79929929593666926</v>
      </c>
      <c r="V53" s="38">
        <f>(K53-M53)/M53</f>
        <v>8.5367925832842223E-2</v>
      </c>
      <c r="W53" s="38">
        <f t="shared" si="42"/>
        <v>0.13742356928726518</v>
      </c>
      <c r="X53" s="4">
        <f t="shared" si="43"/>
        <v>8.5345364984475952E-2</v>
      </c>
      <c r="Y53" s="4">
        <f t="shared" si="46"/>
        <v>0.13744662576312661</v>
      </c>
      <c r="AA53">
        <v>8.9163705256233552</v>
      </c>
      <c r="AC53">
        <v>0.33509464936476585</v>
      </c>
      <c r="AD53" s="4">
        <f t="shared" si="36"/>
        <v>-3.795779423391335E-3</v>
      </c>
      <c r="AF53" s="4">
        <f t="shared" si="37"/>
        <v>-7.527402417521778E-2</v>
      </c>
      <c r="AH53" s="4">
        <f t="shared" si="38"/>
        <v>0.55577190646285757</v>
      </c>
    </row>
    <row r="54" spans="1:34" x14ac:dyDescent="0.25">
      <c r="A54" s="23"/>
      <c r="B54" s="2">
        <f>B12</f>
        <v>1415</v>
      </c>
      <c r="C54" s="10">
        <f t="shared" si="47"/>
        <v>148.17845349431857</v>
      </c>
      <c r="D54" s="25">
        <f t="shared" si="39"/>
        <v>3.661602244140135</v>
      </c>
      <c r="E54">
        <v>0.62160000000000004</v>
      </c>
      <c r="F54">
        <v>0.86899999999999999</v>
      </c>
      <c r="G54" s="5">
        <f t="shared" si="40"/>
        <v>0.55282985811386409</v>
      </c>
      <c r="H54" s="36"/>
      <c r="I54" s="36"/>
      <c r="J54" s="25">
        <v>3.6648343363992262</v>
      </c>
      <c r="K54">
        <v>248.19139999999999</v>
      </c>
      <c r="L54">
        <v>259.06330000000003</v>
      </c>
      <c r="M54" s="5">
        <f>C54*Q54</f>
        <v>233.85095355199863</v>
      </c>
      <c r="O54">
        <v>1.6749000000000001</v>
      </c>
      <c r="P54">
        <v>1.7483</v>
      </c>
      <c r="Q54" s="5">
        <v>1.5781711040800199</v>
      </c>
      <c r="T54" s="9">
        <f>(E54-G54)/G54</f>
        <v>0.12439657677095228</v>
      </c>
      <c r="U54" s="4">
        <f t="shared" si="45"/>
        <v>0.57191220272515675</v>
      </c>
      <c r="V54" s="38">
        <f t="shared" si="41"/>
        <v>6.1323018915176865E-2</v>
      </c>
      <c r="W54" s="38">
        <f t="shared" si="42"/>
        <v>0.10781374232196676</v>
      </c>
      <c r="X54" s="4">
        <f t="shared" si="43"/>
        <v>6.1291767204397864E-2</v>
      </c>
      <c r="Y54" s="4">
        <f t="shared" si="46"/>
        <v>0.1078012995423301</v>
      </c>
      <c r="AA54">
        <v>9.6396452110045843</v>
      </c>
      <c r="AC54">
        <v>0.25154943778625932</v>
      </c>
      <c r="AD54" s="4">
        <f t="shared" si="36"/>
        <v>-3.5073433194868976E-2</v>
      </c>
      <c r="AF54" s="4">
        <f t="shared" si="37"/>
        <v>-0.12715286101530704</v>
      </c>
      <c r="AH54" s="4">
        <f t="shared" si="38"/>
        <v>0.63616784593079878</v>
      </c>
    </row>
    <row r="55" spans="1:34" x14ac:dyDescent="0.25">
      <c r="A55" s="23"/>
      <c r="B55" s="2">
        <f>B13</f>
        <v>1412</v>
      </c>
      <c r="C55" s="10">
        <f t="shared" si="47"/>
        <v>147.86429422895961</v>
      </c>
      <c r="D55" s="25">
        <f t="shared" si="39"/>
        <v>2.9220510847489072</v>
      </c>
      <c r="E55">
        <v>0.64170000000000005</v>
      </c>
      <c r="F55">
        <v>0.86970000000000003</v>
      </c>
      <c r="G55" s="5">
        <f t="shared" si="40"/>
        <v>0.55064360312853888</v>
      </c>
      <c r="H55" s="36"/>
      <c r="I55" s="36"/>
      <c r="J55" s="25">
        <v>2.9593285147529595</v>
      </c>
      <c r="K55">
        <v>211.5847</v>
      </c>
      <c r="L55">
        <v>220.36109999999999</v>
      </c>
      <c r="M55" s="5">
        <f>C55*Q55</f>
        <v>203.92491114934344</v>
      </c>
      <c r="O55">
        <v>1.4309000000000001</v>
      </c>
      <c r="P55">
        <v>1.4903</v>
      </c>
      <c r="Q55" s="5">
        <v>1.37913559330001</v>
      </c>
      <c r="T55" s="9">
        <f t="shared" si="44"/>
        <v>0.165363578826876</v>
      </c>
      <c r="U55" s="4">
        <f t="shared" si="45"/>
        <v>0.57942450445026339</v>
      </c>
      <c r="V55" s="38">
        <f t="shared" si="41"/>
        <v>3.7561810410925933E-2</v>
      </c>
      <c r="W55" s="38">
        <f t="shared" si="42"/>
        <v>8.0599220360182397E-2</v>
      </c>
      <c r="X55" s="4">
        <f t="shared" si="43"/>
        <v>3.753395021596654E-2</v>
      </c>
      <c r="Y55" s="4">
        <f t="shared" si="46"/>
        <v>8.0604407021353575E-2</v>
      </c>
      <c r="AA55">
        <v>11.011637139593399</v>
      </c>
      <c r="AC55">
        <v>0.20142211653752642</v>
      </c>
      <c r="AD55" s="4">
        <f t="shared" si="36"/>
        <v>-7.2554560985008051E-2</v>
      </c>
      <c r="AF55" s="4">
        <f t="shared" si="37"/>
        <v>-3.6058537710650429E-2</v>
      </c>
      <c r="AH55" s="4">
        <f t="shared" si="38"/>
        <v>0.63314200658679876</v>
      </c>
    </row>
    <row r="56" spans="1:34" x14ac:dyDescent="0.25">
      <c r="A56" s="23"/>
      <c r="B56" s="2">
        <f>B14</f>
        <v>1423</v>
      </c>
      <c r="C56" s="10">
        <f t="shared" si="47"/>
        <v>149.01621153527586</v>
      </c>
      <c r="D56" s="25">
        <f t="shared" si="39"/>
        <v>2.6698755104625538</v>
      </c>
      <c r="E56">
        <v>0.65810000000000002</v>
      </c>
      <c r="F56">
        <v>0.87819999999999998</v>
      </c>
      <c r="G56" s="5">
        <f t="shared" si="40"/>
        <v>0.60090268980389583</v>
      </c>
      <c r="H56" s="36"/>
      <c r="I56" s="36"/>
      <c r="J56" s="25">
        <v>2.6546208338669319</v>
      </c>
      <c r="K56">
        <v>200.6003</v>
      </c>
      <c r="L56">
        <v>208.6319</v>
      </c>
      <c r="M56" s="5">
        <f>C56*Q56</f>
        <v>199.07794559162474</v>
      </c>
      <c r="O56">
        <v>1.3462000000000001</v>
      </c>
      <c r="P56">
        <v>1.4000999999999999</v>
      </c>
      <c r="Q56" s="5">
        <v>1.3359482403999918</v>
      </c>
      <c r="T56" s="9">
        <f t="shared" si="44"/>
        <v>9.5185645141263209E-2</v>
      </c>
      <c r="U56" s="4">
        <f t="shared" si="45"/>
        <v>0.4614679130269827</v>
      </c>
      <c r="V56" s="38">
        <f t="shared" si="32"/>
        <v>7.6470269162718851E-3</v>
      </c>
      <c r="W56" s="38">
        <f t="shared" si="33"/>
        <v>4.7991023716778797E-2</v>
      </c>
      <c r="X56" s="4">
        <f>(O56-Q56)/Q56</f>
        <v>7.6737700533508627E-3</v>
      </c>
      <c r="Y56" s="4">
        <f t="shared" si="35"/>
        <v>4.8019644519162366E-2</v>
      </c>
      <c r="AA56">
        <v>11.362193492177061</v>
      </c>
      <c r="AC56">
        <v>0.16801190671923019</v>
      </c>
      <c r="AD56" s="4">
        <f t="shared" si="36"/>
        <v>-0.10597490800549873</v>
      </c>
      <c r="AF56" s="4">
        <f t="shared" si="37"/>
        <v>-7.2826261577966983E-2</v>
      </c>
      <c r="AH56" s="4">
        <f t="shared" si="38"/>
        <v>0.68424355477555887</v>
      </c>
    </row>
    <row r="57" spans="1:34" x14ac:dyDescent="0.25">
      <c r="A57" s="24"/>
      <c r="B57" s="16"/>
      <c r="C57" s="16"/>
      <c r="D57" s="20"/>
      <c r="E57" s="16"/>
      <c r="F57" s="16"/>
      <c r="G57" s="16"/>
      <c r="H57" s="36"/>
      <c r="I57" s="36"/>
      <c r="J57" s="20"/>
      <c r="K57" s="16"/>
      <c r="L57" s="16"/>
      <c r="M57" s="16"/>
      <c r="N57" s="16"/>
      <c r="O57" s="16"/>
      <c r="P57" s="16"/>
      <c r="Q57" s="16"/>
      <c r="R57" s="16"/>
      <c r="S57" s="16"/>
      <c r="T57" s="17"/>
      <c r="U57" s="18"/>
      <c r="V57" s="18"/>
      <c r="W57" s="18"/>
      <c r="X57" s="18"/>
      <c r="Y57" s="18"/>
      <c r="AD57" s="4"/>
      <c r="AF57" s="4"/>
      <c r="AH57" s="4"/>
    </row>
    <row r="58" spans="1:34" x14ac:dyDescent="0.25">
      <c r="A58" s="24"/>
      <c r="B58" s="16"/>
      <c r="C58" s="16"/>
      <c r="D58" s="20"/>
      <c r="E58" s="16"/>
      <c r="F58" s="16"/>
      <c r="G58" s="16"/>
      <c r="H58" s="36"/>
      <c r="I58" s="36"/>
      <c r="J58" s="20"/>
      <c r="K58" s="16"/>
      <c r="L58" s="16"/>
      <c r="M58" s="16"/>
      <c r="N58" s="16"/>
      <c r="O58" s="16"/>
      <c r="P58" s="16"/>
      <c r="Q58" s="16"/>
      <c r="R58" s="16"/>
      <c r="S58" s="16"/>
      <c r="T58" s="17"/>
      <c r="U58" s="18"/>
      <c r="V58" s="18"/>
      <c r="W58" s="18"/>
      <c r="X58" s="18"/>
      <c r="Y58" s="18"/>
      <c r="AD58" s="4"/>
      <c r="AF58" s="4"/>
      <c r="AH58" s="4"/>
    </row>
    <row r="59" spans="1:34" x14ac:dyDescent="0.25">
      <c r="B59" s="2">
        <f t="shared" ref="B59:B64" si="48">B16</f>
        <v>1638</v>
      </c>
      <c r="C59" s="10">
        <f t="shared" ref="C59:C64" si="49">B59*2*PI()/60</f>
        <v>171.53095888600271</v>
      </c>
      <c r="D59" s="25">
        <f t="shared" ref="D59:D64" si="50">F16</f>
        <v>5.2676677023988514</v>
      </c>
      <c r="E59">
        <v>0.72150000000000003</v>
      </c>
      <c r="F59">
        <v>1.004</v>
      </c>
      <c r="G59" s="5">
        <f t="shared" ref="G59:G64" si="51">S16*O16*1000</f>
        <v>0.50071646745959986</v>
      </c>
      <c r="H59" s="36"/>
      <c r="I59" s="36"/>
      <c r="J59" s="25">
        <v>5.2676677023988514</v>
      </c>
      <c r="K59">
        <v>369.75490000000002</v>
      </c>
      <c r="L59">
        <v>387.78339999999997</v>
      </c>
      <c r="M59" s="5">
        <f t="shared" ref="M59:M64" si="52">C59*Q59</f>
        <v>350.36119156039933</v>
      </c>
      <c r="O59">
        <v>2.1556000000000002</v>
      </c>
      <c r="P59">
        <v>2.2606999999999999</v>
      </c>
      <c r="Q59" s="5">
        <v>2.0425536814799998</v>
      </c>
      <c r="T59" s="9">
        <f>(E59-G59)/G59</f>
        <v>0.44093523358748737</v>
      </c>
      <c r="U59" s="4">
        <f>(F59-G59)/G59</f>
        <v>1.0051267838140503</v>
      </c>
      <c r="V59" s="38">
        <f t="shared" si="32"/>
        <v>5.5353472093262288E-2</v>
      </c>
      <c r="W59" s="38">
        <f t="shared" si="33"/>
        <v>0.10681036981560031</v>
      </c>
      <c r="X59" s="4">
        <f t="shared" si="34"/>
        <v>5.5345580165163104E-2</v>
      </c>
      <c r="Y59" s="4">
        <f t="shared" si="35"/>
        <v>0.10680077615484504</v>
      </c>
      <c r="AA59">
        <v>7.4603452662052065</v>
      </c>
      <c r="AC59">
        <v>0.40196118245216816</v>
      </c>
      <c r="AD59" s="4">
        <f t="shared" si="36"/>
        <v>-1.9249980568789779E-2</v>
      </c>
      <c r="AF59" s="4">
        <f t="shared" si="37"/>
        <v>3.897405113531921E-2</v>
      </c>
      <c r="AH59" s="4">
        <f t="shared" si="38"/>
        <v>0.4987215811350596</v>
      </c>
    </row>
    <row r="60" spans="1:34" x14ac:dyDescent="0.25">
      <c r="A60" s="22">
        <f>AVERAGE(B59:B64)</f>
        <v>1638.8333333333333</v>
      </c>
      <c r="B60" s="2">
        <f t="shared" si="48"/>
        <v>1638</v>
      </c>
      <c r="C60" s="10">
        <f t="shared" si="49"/>
        <v>171.53095888600271</v>
      </c>
      <c r="D60" s="25">
        <f t="shared" si="50"/>
        <v>4.5488778229227904</v>
      </c>
      <c r="E60">
        <v>0.73440000000000005</v>
      </c>
      <c r="F60">
        <v>1.0038</v>
      </c>
      <c r="G60" s="5">
        <f t="shared" si="51"/>
        <v>0.60263466997840687</v>
      </c>
      <c r="H60" s="36"/>
      <c r="I60" s="36"/>
      <c r="J60" s="25">
        <v>4.5360871409008512</v>
      </c>
      <c r="K60">
        <v>339.37029999999999</v>
      </c>
      <c r="L60">
        <v>354.00470000000001</v>
      </c>
      <c r="M60" s="5">
        <f t="shared" si="52"/>
        <v>318.37107478027991</v>
      </c>
      <c r="O60">
        <v>1.9784999999999999</v>
      </c>
      <c r="P60">
        <v>2.0638000000000001</v>
      </c>
      <c r="Q60" s="5">
        <v>1.85605605453337</v>
      </c>
      <c r="T60" s="9">
        <f t="shared" ref="T60:T64" si="53">(E60-G60)/G60</f>
        <v>0.21864877111420505</v>
      </c>
      <c r="U60" s="4">
        <f t="shared" ref="U60:U64" si="54">(F60-G60)/G60</f>
        <v>0.66568577947227525</v>
      </c>
      <c r="V60" s="38">
        <f t="shared" si="32"/>
        <v>6.5958332534488087E-2</v>
      </c>
      <c r="W60" s="38">
        <f t="shared" si="33"/>
        <v>0.11192481994261644</v>
      </c>
      <c r="X60" s="4">
        <f t="shared" si="34"/>
        <v>6.5969960965114025E-2</v>
      </c>
      <c r="Y60" s="4">
        <f t="shared" si="35"/>
        <v>0.11192762468526787</v>
      </c>
      <c r="AA60">
        <v>8.1982494992110322</v>
      </c>
      <c r="AC60">
        <v>0.28737258844766644</v>
      </c>
      <c r="AD60" s="4">
        <f t="shared" si="36"/>
        <v>-1.602416245762224E-2</v>
      </c>
      <c r="AF60" s="4">
        <f t="shared" si="37"/>
        <v>-6.872381733346139E-2</v>
      </c>
      <c r="AH60" s="4">
        <f t="shared" si="38"/>
        <v>0.60035332733453561</v>
      </c>
    </row>
    <row r="61" spans="1:34" x14ac:dyDescent="0.25">
      <c r="A61" s="22"/>
      <c r="B61" s="2">
        <f t="shared" si="48"/>
        <v>1639</v>
      </c>
      <c r="C61" s="10">
        <f t="shared" si="49"/>
        <v>171.63567864112238</v>
      </c>
      <c r="D61" s="25">
        <f t="shared" si="50"/>
        <v>3.6851917499746301</v>
      </c>
      <c r="E61">
        <v>0.75649999999999995</v>
      </c>
      <c r="F61">
        <v>1.0079</v>
      </c>
      <c r="G61" s="5">
        <f t="shared" si="51"/>
        <v>0.69666610752823155</v>
      </c>
      <c r="H61" s="36"/>
      <c r="I61" s="36"/>
      <c r="J61" s="25">
        <v>3.6590501925338441</v>
      </c>
      <c r="K61">
        <v>295.21390000000002</v>
      </c>
      <c r="L61">
        <v>305.76870000000002</v>
      </c>
      <c r="M61" s="5">
        <f t="shared" si="52"/>
        <v>289.30173145285579</v>
      </c>
      <c r="O61">
        <v>1.72</v>
      </c>
      <c r="P61">
        <v>1.7815000000000001</v>
      </c>
      <c r="Q61" s="5">
        <v>1.6855570691555599</v>
      </c>
      <c r="T61" s="9">
        <f>(E61-G61)/G61</f>
        <v>8.5886038986536614E-2</v>
      </c>
      <c r="U61" s="4">
        <f t="shared" si="54"/>
        <v>0.44674757262991455</v>
      </c>
      <c r="V61" s="38">
        <f t="shared" si="32"/>
        <v>2.043599434214818E-2</v>
      </c>
      <c r="W61" s="38">
        <f t="shared" si="33"/>
        <v>5.6919702707785791E-2</v>
      </c>
      <c r="X61" s="4">
        <f t="shared" si="34"/>
        <v>2.0434152883174388E-2</v>
      </c>
      <c r="Y61" s="4">
        <f t="shared" si="35"/>
        <v>5.6920606605450751E-2</v>
      </c>
      <c r="AA61">
        <v>9.015660942993641</v>
      </c>
      <c r="AC61">
        <v>0.20144255402048961</v>
      </c>
      <c r="AD61" s="4">
        <f t="shared" si="36"/>
        <v>-6.9720615087788221E-2</v>
      </c>
      <c r="AF61" s="4">
        <f t="shared" si="37"/>
        <v>-0.11555651503395299</v>
      </c>
      <c r="AH61" s="4">
        <f t="shared" si="38"/>
        <v>0.69120558341921967</v>
      </c>
    </row>
    <row r="62" spans="1:34" x14ac:dyDescent="0.25">
      <c r="A62" s="23"/>
      <c r="B62" s="2">
        <f t="shared" si="48"/>
        <v>1639</v>
      </c>
      <c r="C62" s="10">
        <f t="shared" si="49"/>
        <v>171.63567864112238</v>
      </c>
      <c r="D62" s="25">
        <f t="shared" si="50"/>
        <v>3.2641584944265172</v>
      </c>
      <c r="E62">
        <v>0.76780000000000004</v>
      </c>
      <c r="F62">
        <v>1.0081</v>
      </c>
      <c r="G62" s="5">
        <f t="shared" si="51"/>
        <v>0.73556884310464887</v>
      </c>
      <c r="H62" s="36"/>
      <c r="I62" s="36"/>
      <c r="J62" s="25">
        <v>3.2748617732348366</v>
      </c>
      <c r="K62">
        <v>271.54809999999998</v>
      </c>
      <c r="L62">
        <v>280.15960000000001</v>
      </c>
      <c r="M62" s="5">
        <f t="shared" si="52"/>
        <v>271.84554968579704</v>
      </c>
      <c r="O62">
        <v>1.5821000000000001</v>
      </c>
      <c r="P62">
        <v>1.6323000000000001</v>
      </c>
      <c r="Q62" s="5">
        <v>1.58385221440005</v>
      </c>
      <c r="T62" s="9">
        <f t="shared" si="53"/>
        <v>4.3818001805666015E-2</v>
      </c>
      <c r="U62" s="4">
        <f t="shared" si="54"/>
        <v>0.37050394324080732</v>
      </c>
      <c r="V62" s="38">
        <f t="shared" si="32"/>
        <v>-1.0941863353689575E-3</v>
      </c>
      <c r="W62" s="38">
        <f>(L62-M62)/M62</f>
        <v>3.0583727869786616E-2</v>
      </c>
      <c r="X62" s="4">
        <f t="shared" si="34"/>
        <v>-1.1062991762231023E-3</v>
      </c>
      <c r="Y62" s="4">
        <f t="shared" si="35"/>
        <v>3.0588577115638109E-2</v>
      </c>
      <c r="AA62">
        <v>9.5871064540770803</v>
      </c>
      <c r="AC62">
        <v>0.16802479852872595</v>
      </c>
      <c r="AD62" s="4">
        <f t="shared" si="36"/>
        <v>-9.6965250876139761E-2</v>
      </c>
      <c r="AF62" s="4">
        <f t="shared" si="37"/>
        <v>-0.12420679672305994</v>
      </c>
      <c r="AH62" s="4">
        <f t="shared" si="38"/>
        <v>0.72965860837679686</v>
      </c>
    </row>
    <row r="63" spans="1:34" x14ac:dyDescent="0.25">
      <c r="A63" s="23"/>
      <c r="B63" s="2">
        <f t="shared" si="48"/>
        <v>1639</v>
      </c>
      <c r="C63" s="10">
        <f t="shared" si="49"/>
        <v>171.63567864112238</v>
      </c>
      <c r="D63" s="25">
        <f t="shared" si="50"/>
        <v>3.0682354873155302</v>
      </c>
      <c r="E63">
        <v>0.77439999999999998</v>
      </c>
      <c r="F63">
        <v>1.0089999999999999</v>
      </c>
      <c r="G63" s="5">
        <f t="shared" si="51"/>
        <v>0.80311495788323939</v>
      </c>
      <c r="H63" s="36"/>
      <c r="I63" s="36"/>
      <c r="J63" s="25">
        <v>3.0456727654803633</v>
      </c>
      <c r="K63">
        <v>260.2448</v>
      </c>
      <c r="L63">
        <v>267.96559999999999</v>
      </c>
      <c r="M63" s="5">
        <f t="shared" si="52"/>
        <v>257.37260775625094</v>
      </c>
      <c r="O63">
        <v>1.5163</v>
      </c>
      <c r="P63">
        <v>1.5611999999999999</v>
      </c>
      <c r="Q63" s="5">
        <v>1.49952859332003</v>
      </c>
      <c r="T63" s="9">
        <f t="shared" si="53"/>
        <v>-3.5754480228986252E-2</v>
      </c>
      <c r="U63" s="4">
        <f t="shared" si="54"/>
        <v>0.25635812170577582</v>
      </c>
      <c r="V63" s="38">
        <f t="shared" si="32"/>
        <v>1.115966562560229E-2</v>
      </c>
      <c r="W63" s="38">
        <f>(L63-M63)/M63</f>
        <v>4.1158196033749338E-2</v>
      </c>
      <c r="X63" s="4">
        <f t="shared" si="34"/>
        <v>1.1184452737134738E-2</v>
      </c>
      <c r="Y63" s="4">
        <f t="shared" si="35"/>
        <v>4.112719620999452E-2</v>
      </c>
      <c r="AA63">
        <v>10.119669587953572</v>
      </c>
      <c r="AC63">
        <v>0.14416136261715479</v>
      </c>
      <c r="AD63" s="4">
        <f t="shared" si="36"/>
        <v>-9.0037030253933434E-2</v>
      </c>
      <c r="AF63" s="4">
        <f t="shared" si="37"/>
        <v>-0.10840688238816854</v>
      </c>
      <c r="AH63" s="4">
        <f t="shared" si="38"/>
        <v>0.79595139532531167</v>
      </c>
    </row>
    <row r="64" spans="1:34" x14ac:dyDescent="0.25">
      <c r="A64" s="23"/>
      <c r="B64" s="2">
        <f t="shared" si="48"/>
        <v>1640</v>
      </c>
      <c r="C64" s="10">
        <f t="shared" si="49"/>
        <v>171.74039839624203</v>
      </c>
      <c r="D64" s="25">
        <f t="shared" si="50"/>
        <v>2.8293806275398499</v>
      </c>
      <c r="E64">
        <v>0.78300000000000003</v>
      </c>
      <c r="F64">
        <v>1.01</v>
      </c>
      <c r="G64" s="5">
        <f t="shared" si="51"/>
        <v>0.84332212411016105</v>
      </c>
      <c r="H64" s="36"/>
      <c r="I64" s="36"/>
      <c r="J64" s="25">
        <v>2.8706691758127212</v>
      </c>
      <c r="K64">
        <v>245.3673</v>
      </c>
      <c r="L64">
        <v>252.03149999999999</v>
      </c>
      <c r="M64" s="5">
        <f t="shared" si="52"/>
        <v>242.54161373792925</v>
      </c>
      <c r="O64">
        <v>1.4287000000000001</v>
      </c>
      <c r="P64">
        <v>1.4675</v>
      </c>
      <c r="Q64" s="5">
        <v>1.4122571975076801</v>
      </c>
      <c r="T64" s="9">
        <f t="shared" si="53"/>
        <v>-7.1529161142084893E-2</v>
      </c>
      <c r="U64" s="4">
        <f t="shared" si="54"/>
        <v>0.19764437707087387</v>
      </c>
      <c r="V64" s="38">
        <f t="shared" si="32"/>
        <v>1.165031525321652E-2</v>
      </c>
      <c r="W64" s="38">
        <f t="shared" si="33"/>
        <v>3.9126837311822045E-2</v>
      </c>
      <c r="X64" s="4">
        <f t="shared" si="34"/>
        <v>1.1642923485423113E-2</v>
      </c>
      <c r="Y64" s="4">
        <f t="shared" si="35"/>
        <v>3.9116672649862363E-2</v>
      </c>
      <c r="AA64">
        <v>10.737749616475439</v>
      </c>
      <c r="AC64">
        <v>0.12626065053416172</v>
      </c>
      <c r="AD64" s="4">
        <f t="shared" si="36"/>
        <v>-9.5727180911537868E-2</v>
      </c>
      <c r="AF64" s="4">
        <f t="shared" si="37"/>
        <v>-5.4731489392076824E-2</v>
      </c>
      <c r="AH64" s="4">
        <f t="shared" si="38"/>
        <v>0.83497240010907037</v>
      </c>
    </row>
    <row r="65" spans="1:34" x14ac:dyDescent="0.25">
      <c r="A65" s="24"/>
      <c r="B65" s="16"/>
      <c r="C65" s="16"/>
      <c r="D65" s="20"/>
      <c r="E65" s="16"/>
      <c r="F65" s="16"/>
      <c r="G65" s="16"/>
      <c r="H65" s="36"/>
      <c r="I65" s="36"/>
      <c r="J65" s="20"/>
      <c r="K65" s="16"/>
      <c r="L65" s="16"/>
      <c r="M65" s="16"/>
      <c r="N65" s="16"/>
      <c r="O65" s="16"/>
      <c r="P65" s="16"/>
      <c r="Q65" s="16"/>
      <c r="R65" s="16"/>
      <c r="S65" s="16"/>
      <c r="T65" s="17"/>
      <c r="U65" s="18"/>
      <c r="V65" s="18"/>
      <c r="W65" s="18"/>
      <c r="X65" s="18"/>
      <c r="Y65" s="18"/>
      <c r="AD65" s="4"/>
      <c r="AF65" s="4"/>
      <c r="AH65" s="4"/>
    </row>
    <row r="66" spans="1:34" x14ac:dyDescent="0.25">
      <c r="A66" s="24"/>
      <c r="B66" s="16"/>
      <c r="C66" s="16"/>
      <c r="D66" s="20"/>
      <c r="E66" s="16"/>
      <c r="F66" s="16"/>
      <c r="G66" s="16"/>
      <c r="H66" s="36"/>
      <c r="I66" s="36"/>
      <c r="J66" s="20"/>
      <c r="K66" s="16"/>
      <c r="L66" s="16"/>
      <c r="M66" s="16"/>
      <c r="N66" s="16"/>
      <c r="O66" s="16"/>
      <c r="P66" s="16"/>
      <c r="Q66" s="16"/>
      <c r="R66" s="26" t="s">
        <v>40</v>
      </c>
      <c r="S66" s="16"/>
      <c r="T66" s="16"/>
      <c r="U66" s="16"/>
      <c r="V66" s="16"/>
      <c r="W66" s="16"/>
      <c r="X66" s="16"/>
      <c r="Y66" s="16"/>
      <c r="AD66" s="4"/>
      <c r="AF66" s="4"/>
      <c r="AH66" s="4"/>
    </row>
    <row r="67" spans="1:34" x14ac:dyDescent="0.25">
      <c r="A67" s="22">
        <f>AVERAGE(B67:B72)</f>
        <v>1838.5</v>
      </c>
      <c r="B67" s="2">
        <f t="shared" ref="B67:B72" si="55">B23</f>
        <v>1837</v>
      </c>
      <c r="C67" s="10">
        <f t="shared" ref="C67:C72" si="56">B67*2*PI()/60</f>
        <v>192.37019015481502</v>
      </c>
      <c r="D67" s="25">
        <f t="shared" ref="D67:D72" si="57">F23</f>
        <v>5.0653949430406557</v>
      </c>
      <c r="E67">
        <v>0.84360000000000002</v>
      </c>
      <c r="F67">
        <v>1.1208</v>
      </c>
      <c r="G67" s="5">
        <f t="shared" ref="G67:G72" si="58">S23*O23*1000</f>
        <v>0.80530956514993424</v>
      </c>
      <c r="H67" s="36"/>
      <c r="I67" s="36"/>
      <c r="J67" s="25">
        <v>5.0955470072880154</v>
      </c>
      <c r="K67">
        <v>408.30419999999998</v>
      </c>
      <c r="L67">
        <v>434.6696</v>
      </c>
      <c r="M67" s="5">
        <f t="shared" ref="M67:M72" si="59">C67*Q67</f>
        <v>414.98108314334672</v>
      </c>
      <c r="O67">
        <v>2.1225000000000001</v>
      </c>
      <c r="P67">
        <v>2.2595000000000001</v>
      </c>
      <c r="Q67" s="5">
        <f>R67*-1</f>
        <v>2.15720056631113</v>
      </c>
      <c r="R67">
        <v>-2.15720056631113</v>
      </c>
      <c r="T67" s="9">
        <f>(E67-G67)/G67</f>
        <v>4.7547473055205527E-2</v>
      </c>
      <c r="U67" s="4">
        <f t="shared" ref="U67:U72" si="60">(F67-G67)/F67</f>
        <v>0.28148682624024429</v>
      </c>
      <c r="V67" s="38">
        <f t="shared" ref="V67:V72" si="61">(K67-M67)/M67</f>
        <v>-1.6089608453405936E-2</v>
      </c>
      <c r="W67" s="38">
        <f t="shared" ref="W67:W72" si="62">(L67-M67)/M67</f>
        <v>4.7444371939846436E-2</v>
      </c>
      <c r="X67" s="4">
        <f t="shared" ref="X67" si="63">(O67-Q67)/Q67</f>
        <v>-1.6085924903343055E-2</v>
      </c>
      <c r="Y67" s="4">
        <f>(P67-Q67)/Q67</f>
        <v>4.742230986143528E-2</v>
      </c>
      <c r="AA67">
        <v>7.0574225732520661</v>
      </c>
      <c r="AC67">
        <v>0.23683707266595058</v>
      </c>
      <c r="AD67" s="4">
        <f t="shared" si="36"/>
        <v>-8.6663834185926603E-2</v>
      </c>
      <c r="AF67" s="4">
        <f t="shared" si="37"/>
        <v>-0.18928959961074504</v>
      </c>
      <c r="AH67" s="4">
        <f t="shared" si="38"/>
        <v>0.71851317375975576</v>
      </c>
    </row>
    <row r="68" spans="1:34" x14ac:dyDescent="0.25">
      <c r="A68" s="21">
        <v>1.1637999999999999</v>
      </c>
      <c r="B68" s="2">
        <f t="shared" si="55"/>
        <v>1837</v>
      </c>
      <c r="C68" s="10">
        <f t="shared" si="56"/>
        <v>192.37019015481502</v>
      </c>
      <c r="D68" s="25">
        <f t="shared" si="57"/>
        <v>4.5816778072219542</v>
      </c>
      <c r="E68">
        <v>0.85299999999999998</v>
      </c>
      <c r="F68">
        <v>1.1220000000000001</v>
      </c>
      <c r="G68" s="5">
        <f t="shared" si="58"/>
        <v>0.85827402956532706</v>
      </c>
      <c r="H68" s="36"/>
      <c r="I68" s="36"/>
      <c r="J68" s="25">
        <v>4.5563243588018114</v>
      </c>
      <c r="K68">
        <v>384.7869</v>
      </c>
      <c r="L68">
        <v>408.47840000000002</v>
      </c>
      <c r="M68" s="5">
        <f t="shared" si="59"/>
        <v>377.6009892173239</v>
      </c>
      <c r="O68">
        <v>2.0002</v>
      </c>
      <c r="P68">
        <v>2.1234000000000002</v>
      </c>
      <c r="Q68" s="5">
        <f t="shared" ref="Q68:Q72" si="64">R68*-1</f>
        <v>1.9628872275555764</v>
      </c>
      <c r="R68">
        <v>-1.9628872275555764</v>
      </c>
      <c r="T68" s="9">
        <f t="shared" ref="T68:T72" si="65">(E68-G68)/G68</f>
        <v>-6.1449250281965413E-3</v>
      </c>
      <c r="U68" s="4">
        <f t="shared" si="60"/>
        <v>0.23504988452288147</v>
      </c>
      <c r="V68" s="38">
        <f t="shared" si="61"/>
        <v>1.9030434209324421E-2</v>
      </c>
      <c r="W68" s="38">
        <f t="shared" si="62"/>
        <v>8.1772589755862601E-2</v>
      </c>
      <c r="X68" s="4">
        <f>(O68-Q68)/Q68</f>
        <v>1.900912692314469E-2</v>
      </c>
      <c r="Y68" s="4">
        <f t="shared" ref="Y68:Y72" si="66">(P68-Q68)/Q68</f>
        <v>8.1773812673035517E-2</v>
      </c>
      <c r="AA68">
        <v>7.7457704836413859</v>
      </c>
      <c r="AC68">
        <v>0.20145494800485458</v>
      </c>
      <c r="AD68" s="4">
        <f t="shared" si="36"/>
        <v>-5.8427270627089439E-2</v>
      </c>
      <c r="AF68" s="4">
        <f t="shared" si="37"/>
        <v>-0.19531002297665803</v>
      </c>
      <c r="AH68" s="4">
        <f t="shared" si="38"/>
        <v>0.76495011547711855</v>
      </c>
    </row>
    <row r="69" spans="1:34" x14ac:dyDescent="0.25">
      <c r="A69" s="23"/>
      <c r="B69" s="2">
        <f t="shared" si="55"/>
        <v>1839</v>
      </c>
      <c r="C69" s="10">
        <f t="shared" si="56"/>
        <v>192.57962966505431</v>
      </c>
      <c r="D69" s="25">
        <f t="shared" si="57"/>
        <v>4.0282260804900449</v>
      </c>
      <c r="E69">
        <v>0.86799999999999999</v>
      </c>
      <c r="F69">
        <v>1.1254</v>
      </c>
      <c r="G69" s="5">
        <f t="shared" si="58"/>
        <v>0.90545505322499509</v>
      </c>
      <c r="H69" s="36"/>
      <c r="I69" s="36"/>
      <c r="J69" s="25">
        <v>3.9555644863642447</v>
      </c>
      <c r="K69">
        <v>356.0102</v>
      </c>
      <c r="L69">
        <v>379.15190000000001</v>
      </c>
      <c r="M69" s="5">
        <f t="shared" si="59"/>
        <v>348.33822229195874</v>
      </c>
      <c r="O69">
        <v>1.8486</v>
      </c>
      <c r="P69">
        <v>1.9688000000000001</v>
      </c>
      <c r="Q69" s="5">
        <f t="shared" si="64"/>
        <v>1.8088009770182278</v>
      </c>
      <c r="R69">
        <v>-1.8088009770182278</v>
      </c>
      <c r="T69" s="9">
        <f t="shared" si="65"/>
        <v>-4.1365999440380781E-2</v>
      </c>
      <c r="U69" s="4">
        <f t="shared" si="60"/>
        <v>0.19543713059801393</v>
      </c>
      <c r="V69" s="38">
        <f t="shared" si="61"/>
        <v>2.2024507266420527E-2</v>
      </c>
      <c r="W69" s="38">
        <f t="shared" si="62"/>
        <v>8.8459077230447797E-2</v>
      </c>
      <c r="X69" s="4">
        <f t="shared" ref="X69:X72" si="67">(O69-Q69)/Q69</f>
        <v>2.2002986225372386E-2</v>
      </c>
      <c r="Y69" s="4">
        <f t="shared" si="66"/>
        <v>8.8455847279299601E-2</v>
      </c>
      <c r="AA69">
        <v>8.3966394651480627</v>
      </c>
      <c r="AC69">
        <v>0.16803793053162808</v>
      </c>
      <c r="AD69" s="4">
        <f t="shared" si="36"/>
        <v>-6.194188738506011E-2</v>
      </c>
      <c r="AF69" s="4">
        <f t="shared" si="37"/>
        <v>-0.1266719310912473</v>
      </c>
      <c r="AH69" s="4">
        <f t="shared" si="38"/>
        <v>0.80456286940198607</v>
      </c>
    </row>
    <row r="70" spans="1:34" x14ac:dyDescent="0.25">
      <c r="A70" s="23"/>
      <c r="B70" s="2">
        <f t="shared" si="55"/>
        <v>1839</v>
      </c>
      <c r="C70" s="10">
        <f t="shared" si="56"/>
        <v>192.57962966505431</v>
      </c>
      <c r="D70" s="25">
        <f t="shared" si="57"/>
        <v>3.6533986868675403</v>
      </c>
      <c r="E70">
        <v>0.87719999999999998</v>
      </c>
      <c r="F70">
        <v>1.1255999999999999</v>
      </c>
      <c r="G70" s="5">
        <f t="shared" si="58"/>
        <v>1.0884625091260001</v>
      </c>
      <c r="H70" s="36"/>
      <c r="I70" s="36"/>
      <c r="J70" s="25">
        <v>3.5979343489934528</v>
      </c>
      <c r="K70">
        <v>331.26920000000001</v>
      </c>
      <c r="L70">
        <v>350.7996</v>
      </c>
      <c r="M70" s="5">
        <f t="shared" si="59"/>
        <v>344.11790533548407</v>
      </c>
      <c r="O70">
        <v>1.7202</v>
      </c>
      <c r="P70">
        <v>1.8216000000000001</v>
      </c>
      <c r="Q70" s="5">
        <f t="shared" si="64"/>
        <v>1.7868863178000391</v>
      </c>
      <c r="R70">
        <v>-1.7868863178000391</v>
      </c>
      <c r="T70" s="9">
        <f t="shared" si="65"/>
        <v>-0.19409259148083749</v>
      </c>
      <c r="U70" s="4">
        <f t="shared" si="60"/>
        <v>3.2993506462331089E-2</v>
      </c>
      <c r="V70" s="38">
        <f t="shared" si="61"/>
        <v>-3.7338090044915624E-2</v>
      </c>
      <c r="W70" s="38">
        <f t="shared" si="62"/>
        <v>1.9416875904791638E-2</v>
      </c>
      <c r="X70" s="4">
        <f t="shared" si="67"/>
        <v>-3.7319843537747491E-2</v>
      </c>
      <c r="Y70" s="4">
        <f t="shared" si="66"/>
        <v>1.9426911412416769E-2</v>
      </c>
      <c r="AA70">
        <v>8.4983435211857312</v>
      </c>
      <c r="AC70">
        <v>0.12627367396453848</v>
      </c>
      <c r="AD70" s="4">
        <f t="shared" si="36"/>
        <v>-0.12232152525677292</v>
      </c>
      <c r="AF70" s="4">
        <f t="shared" si="37"/>
        <v>6.781891751629901E-2</v>
      </c>
      <c r="AH70" s="4">
        <f t="shared" si="38"/>
        <v>0.96700649353766888</v>
      </c>
    </row>
    <row r="71" spans="1:34" x14ac:dyDescent="0.25">
      <c r="A71" s="23"/>
      <c r="B71" s="2">
        <f t="shared" si="55"/>
        <v>1839</v>
      </c>
      <c r="C71" s="10">
        <f t="shared" si="56"/>
        <v>192.57962966505431</v>
      </c>
      <c r="D71" s="25">
        <f t="shared" si="57"/>
        <v>3.0732756854133072</v>
      </c>
      <c r="E71">
        <v>0.89439999999999997</v>
      </c>
      <c r="F71">
        <v>1.127</v>
      </c>
      <c r="G71" s="5">
        <f t="shared" si="58"/>
        <v>1.0201251626579322</v>
      </c>
      <c r="H71" s="36"/>
      <c r="I71" s="36"/>
      <c r="J71" s="25">
        <v>3.1121112229606274</v>
      </c>
      <c r="K71">
        <v>293.71539999999999</v>
      </c>
      <c r="L71">
        <v>310.60730000000001</v>
      </c>
      <c r="M71" s="5">
        <f t="shared" si="59"/>
        <v>310.51013897327994</v>
      </c>
      <c r="O71">
        <v>1.5251999999999999</v>
      </c>
      <c r="P71">
        <v>1.6129</v>
      </c>
      <c r="Q71" s="5">
        <f t="shared" si="64"/>
        <v>1.612372707920029</v>
      </c>
      <c r="R71">
        <v>-1.612372707920029</v>
      </c>
      <c r="T71" s="9">
        <f t="shared" si="65"/>
        <v>-0.12324484020211381</v>
      </c>
      <c r="U71" s="4">
        <f t="shared" si="60"/>
        <v>9.4831266496954586E-2</v>
      </c>
      <c r="V71" s="38">
        <f t="shared" si="61"/>
        <v>-5.4087570308695043E-2</v>
      </c>
      <c r="W71" s="38">
        <f t="shared" si="62"/>
        <v>3.1290774285613269E-4</v>
      </c>
      <c r="X71" s="4">
        <f t="shared" si="67"/>
        <v>-5.4064861983729812E-2</v>
      </c>
      <c r="Y71" s="4">
        <f t="shared" si="66"/>
        <v>3.270286562039694E-4</v>
      </c>
      <c r="AA71">
        <v>9.4069131165651516</v>
      </c>
      <c r="AC71">
        <v>0.11234462939305302</v>
      </c>
      <c r="AD71" s="4">
        <f t="shared" si="36"/>
        <v>-0.14815670147434656</v>
      </c>
      <c r="AF71" s="4">
        <f t="shared" si="37"/>
        <v>1.0900210809060784E-2</v>
      </c>
      <c r="AH71" s="4">
        <f t="shared" si="38"/>
        <v>0.90516873350304539</v>
      </c>
    </row>
    <row r="72" spans="1:34" x14ac:dyDescent="0.25">
      <c r="A72" s="23"/>
      <c r="B72" s="2">
        <f t="shared" si="55"/>
        <v>1840</v>
      </c>
      <c r="C72" s="10">
        <f t="shared" si="56"/>
        <v>192.68434942017399</v>
      </c>
      <c r="D72" s="25">
        <f t="shared" si="57"/>
        <v>2.6401044471753301</v>
      </c>
      <c r="E72">
        <v>0.91010000000000002</v>
      </c>
      <c r="F72">
        <v>1.1279999999999999</v>
      </c>
      <c r="G72" s="5">
        <f t="shared" si="58"/>
        <v>1.0094910734070963</v>
      </c>
      <c r="H72" s="36"/>
      <c r="I72" s="36"/>
      <c r="J72" s="25">
        <v>2.6186306105362576</v>
      </c>
      <c r="K72">
        <v>264.03829999999999</v>
      </c>
      <c r="L72">
        <v>279.0224</v>
      </c>
      <c r="M72" s="5">
        <f t="shared" si="59"/>
        <v>272.32024194294416</v>
      </c>
      <c r="O72">
        <v>1.3703000000000001</v>
      </c>
      <c r="P72">
        <v>1.4480999999999999</v>
      </c>
      <c r="Q72" s="5">
        <f t="shared" si="64"/>
        <v>1.4132971503000145</v>
      </c>
      <c r="R72">
        <v>-1.4132971503000145</v>
      </c>
      <c r="T72" s="9">
        <f t="shared" si="65"/>
        <v>-9.8456614451918958E-2</v>
      </c>
      <c r="U72" s="4">
        <f t="shared" si="60"/>
        <v>0.10506110513555282</v>
      </c>
      <c r="V72" s="38">
        <f t="shared" si="61"/>
        <v>-3.0412509491965653E-2</v>
      </c>
      <c r="W72" s="38">
        <f t="shared" si="62"/>
        <v>2.4611310599746233E-2</v>
      </c>
      <c r="X72" s="4">
        <f t="shared" si="67"/>
        <v>-3.0423290877567368E-2</v>
      </c>
      <c r="Y72" s="4">
        <f t="shared" si="66"/>
        <v>2.4625288243592326E-2</v>
      </c>
      <c r="AA72">
        <v>10.717275967021553</v>
      </c>
      <c r="AC72">
        <v>9.6432949464436882E-2</v>
      </c>
      <c r="AD72" s="4">
        <f t="shared" si="36"/>
        <v>-0.13758526916218117</v>
      </c>
      <c r="AF72" s="4">
        <f t="shared" si="37"/>
        <v>2.0236649874820767E-3</v>
      </c>
      <c r="AH72" s="4">
        <f t="shared" si="38"/>
        <v>0.89493889486444722</v>
      </c>
    </row>
    <row r="73" spans="1:34" x14ac:dyDescent="0.25">
      <c r="A73" s="24"/>
      <c r="B73" s="16"/>
      <c r="C73" s="16"/>
      <c r="D73" s="20"/>
      <c r="E73" s="16"/>
      <c r="F73" s="16"/>
      <c r="G73" s="16"/>
      <c r="H73" s="36"/>
      <c r="I73" s="36"/>
      <c r="J73" s="20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AD73" s="4"/>
      <c r="AF73" s="4"/>
      <c r="AH73" s="4"/>
    </row>
    <row r="74" spans="1:34" x14ac:dyDescent="0.25">
      <c r="A74" s="24"/>
      <c r="B74" s="16"/>
      <c r="C74" s="16"/>
      <c r="D74" s="20"/>
      <c r="E74" s="16"/>
      <c r="F74" s="16"/>
      <c r="G74" s="16"/>
      <c r="H74" s="36"/>
      <c r="I74" s="36"/>
      <c r="J74" s="20"/>
      <c r="K74" s="16"/>
      <c r="L74" s="16"/>
      <c r="M74" s="16"/>
      <c r="N74" s="16"/>
      <c r="O74" s="16"/>
      <c r="P74" s="16"/>
      <c r="Q74" s="16"/>
      <c r="R74" s="26" t="s">
        <v>40</v>
      </c>
      <c r="S74" s="16"/>
      <c r="T74" s="16"/>
      <c r="U74" s="16"/>
      <c r="V74" s="16"/>
      <c r="W74" s="16"/>
      <c r="X74" s="16"/>
      <c r="Y74" s="16"/>
      <c r="AD74" s="4"/>
      <c r="AF74" s="4"/>
      <c r="AH74" s="4"/>
    </row>
    <row r="75" spans="1:34" x14ac:dyDescent="0.25">
      <c r="A75" s="22">
        <f>AVERAGE(B75:B82)</f>
        <v>2111.875</v>
      </c>
      <c r="B75" s="2">
        <v>2107</v>
      </c>
      <c r="C75" s="10">
        <f t="shared" ref="C75:C82" si="68">B75*2*PI()/60</f>
        <v>220.64452403712315</v>
      </c>
      <c r="D75" s="25">
        <f t="shared" ref="D75:D82" si="69">F30</f>
        <v>5.1395527310525901</v>
      </c>
      <c r="E75">
        <v>0.99939999999999996</v>
      </c>
      <c r="F75">
        <v>1.2824</v>
      </c>
      <c r="G75" s="5">
        <f t="shared" ref="G75:G82" si="70">S30*O30*1000</f>
        <v>0.86906064601320965</v>
      </c>
      <c r="H75" s="37">
        <v>2052</v>
      </c>
      <c r="I75" s="37">
        <f>H75/60*2*PI()</f>
        <v>214.88493750554187</v>
      </c>
      <c r="J75" s="25">
        <v>5.1081324714812002</v>
      </c>
      <c r="K75">
        <v>484.3202</v>
      </c>
      <c r="L75">
        <v>500.786</v>
      </c>
      <c r="M75" s="5">
        <f>C75*Q75</f>
        <v>496.993999338386</v>
      </c>
      <c r="O75">
        <v>2.1949999999999998</v>
      </c>
      <c r="P75">
        <v>2.2696999999999998</v>
      </c>
      <c r="Q75" s="5">
        <f t="shared" ref="Q75:Q77" si="71">R75*-1</f>
        <v>2.2524646895599703</v>
      </c>
      <c r="R75">
        <v>-2.2524646895599703</v>
      </c>
      <c r="T75" s="9">
        <f>(E75-G75)/G75</f>
        <v>0.14997728246551986</v>
      </c>
      <c r="U75" s="4">
        <f t="shared" ref="U75:U82" si="72">(F75-G75)/F75</f>
        <v>0.32231702587865746</v>
      </c>
      <c r="V75" s="38">
        <f>(K75-M75)/M75</f>
        <v>-2.5500910182532914E-2</v>
      </c>
      <c r="W75" s="38">
        <f>(L75-M75)/M75</f>
        <v>7.62987212453677E-3</v>
      </c>
      <c r="X75" s="4">
        <f>(O75-Q75)/Q75</f>
        <v>-2.5511915825502426E-2</v>
      </c>
      <c r="Y75" s="4">
        <f>(P75-Q75)/Q75</f>
        <v>7.6517561051740934E-3</v>
      </c>
      <c r="AA75">
        <v>6.7500154102744725</v>
      </c>
      <c r="AC75">
        <v>0.22374090257721529</v>
      </c>
      <c r="AD75" s="4">
        <f t="shared" si="36"/>
        <v>-9.3001064285277629E-2</v>
      </c>
      <c r="AF75" s="4">
        <f t="shared" si="37"/>
        <v>-7.3763620111695433E-2</v>
      </c>
      <c r="AH75" s="4">
        <f t="shared" si="38"/>
        <v>0.67768297412134249</v>
      </c>
    </row>
    <row r="76" spans="1:34" x14ac:dyDescent="0.25">
      <c r="A76" s="21">
        <v>1.33</v>
      </c>
      <c r="B76" s="2">
        <f t="shared" ref="B76:B82" si="73">B31</f>
        <v>2112</v>
      </c>
      <c r="C76" s="10">
        <f t="shared" si="68"/>
        <v>221.16812281272144</v>
      </c>
      <c r="D76" s="25">
        <f t="shared" si="69"/>
        <v>4.4350470643170903</v>
      </c>
      <c r="E76">
        <v>1.0165999999999999</v>
      </c>
      <c r="F76">
        <v>1.2858000000000001</v>
      </c>
      <c r="G76" s="5">
        <f t="shared" si="70"/>
        <v>0.94847363500753468</v>
      </c>
      <c r="H76" s="36"/>
      <c r="I76" s="36"/>
      <c r="J76" s="25">
        <v>4.430646488532715</v>
      </c>
      <c r="K76">
        <v>444.26560000000001</v>
      </c>
      <c r="L76">
        <v>459.31459999999998</v>
      </c>
      <c r="M76" s="5">
        <f t="shared" ref="M76:M82" si="74">C76*Q76</f>
        <v>455.1477762194761</v>
      </c>
      <c r="O76">
        <v>2.0087000000000002</v>
      </c>
      <c r="P76">
        <v>2.0768</v>
      </c>
      <c r="Q76" s="5">
        <f t="shared" si="71"/>
        <v>2.0579266597333361</v>
      </c>
      <c r="R76">
        <v>-2.0579266597333361</v>
      </c>
      <c r="T76" s="9">
        <f t="shared" ref="T76:T81" si="75">(E76-G76)/G76</f>
        <v>7.182736818185155E-2</v>
      </c>
      <c r="U76" s="4">
        <f t="shared" si="72"/>
        <v>0.26234746071898069</v>
      </c>
      <c r="V76" s="38">
        <f>(K76-M76)/M76</f>
        <v>-2.3909105543401834E-2</v>
      </c>
      <c r="W76" s="38">
        <f>(L76-M76)/M76</f>
        <v>9.1548811138530244E-3</v>
      </c>
      <c r="X76" s="4">
        <f t="shared" ref="X76:X80" si="76">(O76-Q76)/Q76</f>
        <v>-2.3920512181767786E-2</v>
      </c>
      <c r="Y76" s="4">
        <f>(P76-Q76)/Q76</f>
        <v>9.1710460999176041E-3</v>
      </c>
      <c r="AA76">
        <v>7.3793184342966098</v>
      </c>
      <c r="AC76">
        <v>0.17529979892238035</v>
      </c>
      <c r="AD76" s="4">
        <f t="shared" si="36"/>
        <v>-9.7702289886367935E-2</v>
      </c>
      <c r="AF76" s="4">
        <f t="shared" si="37"/>
        <v>-0.1034724307405288</v>
      </c>
      <c r="AH76" s="4">
        <f t="shared" si="38"/>
        <v>0.73765253928101937</v>
      </c>
    </row>
    <row r="77" spans="1:34" x14ac:dyDescent="0.25">
      <c r="A77" s="23"/>
      <c r="B77" s="2">
        <f t="shared" si="73"/>
        <v>2114</v>
      </c>
      <c r="C77" s="10">
        <f t="shared" si="68"/>
        <v>221.37756232296076</v>
      </c>
      <c r="D77" s="25">
        <f t="shared" si="69"/>
        <v>4.2201346805617597</v>
      </c>
      <c r="E77">
        <v>1.0238</v>
      </c>
      <c r="F77">
        <v>1.2882</v>
      </c>
      <c r="G77" s="5">
        <f t="shared" si="70"/>
        <v>0.94549204078864424</v>
      </c>
      <c r="H77" s="36"/>
      <c r="I77" s="36"/>
      <c r="J77" s="25">
        <v>4.2042450945562058</v>
      </c>
      <c r="K77">
        <v>431.4778</v>
      </c>
      <c r="L77">
        <v>445.38720000000001</v>
      </c>
      <c r="M77" s="5">
        <f t="shared" si="74"/>
        <v>433.13431702395167</v>
      </c>
      <c r="O77">
        <v>1.9491000000000001</v>
      </c>
      <c r="P77">
        <v>2.0118999999999998</v>
      </c>
      <c r="Q77" s="5">
        <f t="shared" si="71"/>
        <v>1.9565411800499712</v>
      </c>
      <c r="R77">
        <v>-1.9565411800499712</v>
      </c>
      <c r="T77" s="9">
        <f t="shared" si="75"/>
        <v>8.2822441472948163E-2</v>
      </c>
      <c r="U77" s="4">
        <f t="shared" si="72"/>
        <v>0.26603629809917384</v>
      </c>
      <c r="V77" s="38">
        <f t="shared" ref="V77:V82" si="77">(K77-M77)/M77</f>
        <v>-3.8244880602708322E-3</v>
      </c>
      <c r="W77" s="38">
        <f t="shared" ref="W77:W82" si="78">(L77-M77)/M77</f>
        <v>2.8288875977866178E-2</v>
      </c>
      <c r="X77" s="4">
        <f t="shared" si="76"/>
        <v>-3.8032320126178652E-3</v>
      </c>
      <c r="Y77" s="4">
        <f t="shared" ref="Y77:Y82" si="79">(P77-Q77)/Q77</f>
        <v>2.8294226829723389E-2</v>
      </c>
      <c r="AA77">
        <v>7.7569338803039694</v>
      </c>
      <c r="AC77">
        <v>0.16803693013373083</v>
      </c>
      <c r="AD77" s="4">
        <f t="shared" si="36"/>
        <v>-8.1393826863310523E-2</v>
      </c>
      <c r="AF77" s="4">
        <f t="shared" si="37"/>
        <v>-8.521448866078267E-2</v>
      </c>
      <c r="AH77" s="4">
        <f t="shared" si="38"/>
        <v>0.73396370190082616</v>
      </c>
    </row>
    <row r="78" spans="1:34" x14ac:dyDescent="0.25">
      <c r="A78" s="23"/>
      <c r="B78" s="2">
        <f t="shared" si="73"/>
        <v>2114</v>
      </c>
      <c r="C78" s="10">
        <f t="shared" si="68"/>
        <v>221.37756232296076</v>
      </c>
      <c r="D78" s="25">
        <f t="shared" si="69"/>
        <v>4.0038566309211898</v>
      </c>
      <c r="E78">
        <v>1.0290999999999999</v>
      </c>
      <c r="F78">
        <v>1.2889999999999999</v>
      </c>
      <c r="G78" s="5">
        <f t="shared" si="70"/>
        <v>1.042829287775632</v>
      </c>
      <c r="H78" s="36"/>
      <c r="I78" s="36"/>
      <c r="J78" s="25">
        <v>4.017045492351957</v>
      </c>
      <c r="K78">
        <v>417.70359999999999</v>
      </c>
      <c r="L78">
        <v>430.43549999999999</v>
      </c>
      <c r="M78" s="5">
        <f t="shared" si="74"/>
        <v>404.21583325687345</v>
      </c>
      <c r="O78">
        <v>1.8868</v>
      </c>
      <c r="P78">
        <v>1.9443999999999999</v>
      </c>
      <c r="Q78" s="5">
        <f t="shared" ref="Q78:Q82" si="80">R78*-1</f>
        <v>1.8259114836000212</v>
      </c>
      <c r="R78">
        <v>-1.8259114836000212</v>
      </c>
      <c r="T78" s="9">
        <f t="shared" si="75"/>
        <v>-1.316542212284509E-2</v>
      </c>
      <c r="U78" s="4">
        <f t="shared" si="72"/>
        <v>0.19097805447972688</v>
      </c>
      <c r="V78" s="38">
        <f t="shared" ref="V78" si="81">(K78-M78)/M78</f>
        <v>3.3367734842180856E-2</v>
      </c>
      <c r="W78" s="38">
        <f t="shared" ref="W78" si="82">(L78-M78)/M78</f>
        <v>6.4865511407279072E-2</v>
      </c>
      <c r="X78" s="4">
        <f t="shared" si="76"/>
        <v>3.3346915744200935E-2</v>
      </c>
      <c r="Y78" s="4">
        <f t="shared" ref="Y78" si="83">(P78-Q78)/Q78</f>
        <v>6.4892804204485982E-2</v>
      </c>
      <c r="AA78">
        <v>8.3054185123494904</v>
      </c>
      <c r="AC78">
        <v>0.1441703850883283</v>
      </c>
      <c r="AD78" s="4">
        <f t="shared" si="36"/>
        <v>-4.9686450281314042E-2</v>
      </c>
      <c r="AF78" s="4">
        <f t="shared" si="37"/>
        <v>-0.13100496296548322</v>
      </c>
      <c r="AH78" s="4">
        <f t="shared" si="38"/>
        <v>0.80902194552027318</v>
      </c>
    </row>
    <row r="79" spans="1:34" x14ac:dyDescent="0.25">
      <c r="A79" s="23"/>
      <c r="B79" s="2">
        <f t="shared" si="73"/>
        <v>2112</v>
      </c>
      <c r="C79" s="10">
        <f t="shared" si="68"/>
        <v>221.16812281272144</v>
      </c>
      <c r="D79" s="25">
        <f t="shared" si="69"/>
        <v>3.8882416114697702</v>
      </c>
      <c r="E79">
        <v>1.0304</v>
      </c>
      <c r="F79">
        <v>1.2876000000000001</v>
      </c>
      <c r="G79" s="5">
        <f t="shared" si="70"/>
        <v>1.1484048601961037</v>
      </c>
      <c r="H79" s="36"/>
      <c r="I79" s="36"/>
      <c r="J79" s="25">
        <v>3.898510452844163</v>
      </c>
      <c r="K79">
        <v>408.07740000000001</v>
      </c>
      <c r="L79">
        <v>420.15129999999999</v>
      </c>
      <c r="M79" s="5">
        <f t="shared" si="74"/>
        <v>411.38884927145062</v>
      </c>
      <c r="O79">
        <v>1.8451</v>
      </c>
      <c r="P79">
        <v>1.8996999999999999</v>
      </c>
      <c r="Q79" s="5">
        <f t="shared" si="80"/>
        <v>1.8600729799556259</v>
      </c>
      <c r="R79">
        <v>-1.8600729799556259</v>
      </c>
      <c r="T79" s="9">
        <f t="shared" si="75"/>
        <v>-0.10275545174543493</v>
      </c>
      <c r="U79" s="4">
        <f t="shared" si="72"/>
        <v>0.10810433349168717</v>
      </c>
      <c r="V79" s="38">
        <f t="shared" si="77"/>
        <v>-8.0494385720833866E-3</v>
      </c>
      <c r="W79" s="38">
        <f t="shared" si="78"/>
        <v>2.1299679716811081E-2</v>
      </c>
      <c r="X79" s="4">
        <f t="shared" si="76"/>
        <v>-8.0496733821611467E-3</v>
      </c>
      <c r="Y79" s="4">
        <f t="shared" si="79"/>
        <v>2.1304013590541682E-2</v>
      </c>
      <c r="AA79">
        <v>8.1546286627140816</v>
      </c>
      <c r="AC79">
        <v>0.12626864011637695</v>
      </c>
      <c r="AD79" s="4">
        <f t="shared" si="36"/>
        <v>-8.9595725199224208E-2</v>
      </c>
      <c r="AF79" s="4">
        <f t="shared" si="37"/>
        <v>-2.3513188370942018E-2</v>
      </c>
      <c r="AH79" s="4">
        <f t="shared" si="38"/>
        <v>0.89189566650831287</v>
      </c>
    </row>
    <row r="80" spans="1:34" x14ac:dyDescent="0.25">
      <c r="A80" s="23"/>
      <c r="B80" s="2">
        <f t="shared" si="73"/>
        <v>2111</v>
      </c>
      <c r="C80" s="10">
        <f t="shared" si="68"/>
        <v>221.06340305760176</v>
      </c>
      <c r="D80" s="25">
        <f t="shared" si="69"/>
        <v>3.69061358519046</v>
      </c>
      <c r="E80">
        <v>1.0348999999999999</v>
      </c>
      <c r="F80">
        <v>1.2874000000000001</v>
      </c>
      <c r="G80" s="5">
        <f t="shared" si="70"/>
        <v>1.1631977237886615</v>
      </c>
      <c r="H80" s="36"/>
      <c r="I80" s="36"/>
      <c r="J80" s="25">
        <v>3.6982373185992503</v>
      </c>
      <c r="K80">
        <v>393.55110000000002</v>
      </c>
      <c r="L80">
        <v>404.46960000000001</v>
      </c>
      <c r="M80" s="5">
        <f t="shared" si="74"/>
        <v>362.03189924269998</v>
      </c>
      <c r="O80">
        <v>1.7803</v>
      </c>
      <c r="P80">
        <v>1.8297000000000001</v>
      </c>
      <c r="Q80" s="5">
        <f t="shared" si="80"/>
        <v>1.6376835524800391</v>
      </c>
      <c r="R80">
        <v>-1.6376835524800391</v>
      </c>
      <c r="T80" s="9">
        <f t="shared" si="75"/>
        <v>-0.11029743367342734</v>
      </c>
      <c r="U80" s="4">
        <f t="shared" si="72"/>
        <v>9.6475280574288183E-2</v>
      </c>
      <c r="V80" s="38">
        <f t="shared" si="77"/>
        <v>8.7061943500647471E-2</v>
      </c>
      <c r="W80" s="38">
        <f t="shared" si="78"/>
        <v>0.11722088812082973</v>
      </c>
      <c r="X80" s="4">
        <f t="shared" si="76"/>
        <v>8.7084252207325769E-2</v>
      </c>
      <c r="Y80" s="4">
        <f t="shared" si="79"/>
        <v>0.1172488098993114</v>
      </c>
      <c r="AA80">
        <v>9.2497504333691669</v>
      </c>
      <c r="AC80">
        <v>0.11890127290614302</v>
      </c>
      <c r="AD80" s="4">
        <f t="shared" si="36"/>
        <v>-5.4355608330441951E-3</v>
      </c>
      <c r="AF80" s="4">
        <f t="shared" si="37"/>
        <v>-8.6038392327156821E-3</v>
      </c>
      <c r="AH80" s="4">
        <f t="shared" si="38"/>
        <v>0.90352471942571178</v>
      </c>
    </row>
    <row r="81" spans="1:34" x14ac:dyDescent="0.25">
      <c r="A81" s="23"/>
      <c r="B81" s="2">
        <f t="shared" si="73"/>
        <v>2112</v>
      </c>
      <c r="C81" s="10">
        <f t="shared" si="68"/>
        <v>221.16812281272144</v>
      </c>
      <c r="D81" s="25">
        <f t="shared" si="69"/>
        <v>3.3424664174525498</v>
      </c>
      <c r="E81">
        <v>1.0467</v>
      </c>
      <c r="F81">
        <v>1.2907</v>
      </c>
      <c r="G81" s="5">
        <f t="shared" si="70"/>
        <v>1.1657191081274199</v>
      </c>
      <c r="H81" s="36"/>
      <c r="I81" s="36"/>
      <c r="J81" s="25">
        <v>3.3621021478520641</v>
      </c>
      <c r="K81">
        <v>368.24669999999998</v>
      </c>
      <c r="L81">
        <v>377.05149999999998</v>
      </c>
      <c r="M81" s="5">
        <f t="shared" si="74"/>
        <v>343.19032930307435</v>
      </c>
      <c r="O81">
        <v>1.665</v>
      </c>
      <c r="P81">
        <v>1.7048000000000001</v>
      </c>
      <c r="Q81" s="5">
        <f t="shared" si="80"/>
        <v>1.5517169695999893</v>
      </c>
      <c r="R81">
        <v>-1.5517169695999893</v>
      </c>
      <c r="T81" s="9">
        <f t="shared" si="75"/>
        <v>-0.10209930273735413</v>
      </c>
      <c r="U81" s="4">
        <f t="shared" si="72"/>
        <v>9.6831867879894715E-2</v>
      </c>
      <c r="V81" s="38">
        <f>(K81-M81)/M81</f>
        <v>7.3010130407253196E-2</v>
      </c>
      <c r="W81" s="38">
        <f>(L81-M81)/M81</f>
        <v>9.8665864990101548E-2</v>
      </c>
      <c r="X81" s="4">
        <f>(O81-Q81)/Q81</f>
        <v>7.3004956844168245E-2</v>
      </c>
      <c r="Y81" s="4">
        <f>(P81-Q81)/Q81</f>
        <v>9.8653964220983839E-2</v>
      </c>
      <c r="AA81">
        <v>9.7571402678590111</v>
      </c>
      <c r="AC81">
        <v>0.106484902009886</v>
      </c>
      <c r="AD81" s="4">
        <f t="shared" si="36"/>
        <v>-2.456127227133692E-2</v>
      </c>
      <c r="AF81" s="4">
        <f t="shared" si="37"/>
        <v>-4.385599272531876E-3</v>
      </c>
      <c r="AH81" s="4">
        <f t="shared" si="38"/>
        <v>0.90316813212010527</v>
      </c>
    </row>
    <row r="82" spans="1:34" x14ac:dyDescent="0.25">
      <c r="A82" s="23"/>
      <c r="B82" s="2">
        <f t="shared" si="73"/>
        <v>2113</v>
      </c>
      <c r="C82" s="10">
        <f t="shared" si="68"/>
        <v>221.27284256784108</v>
      </c>
      <c r="D82" s="25">
        <f t="shared" si="69"/>
        <v>2.5472304393617602</v>
      </c>
      <c r="E82">
        <v>1.0748</v>
      </c>
      <c r="F82">
        <v>1.2927</v>
      </c>
      <c r="G82" s="5">
        <f t="shared" si="70"/>
        <v>1.1934902874269904</v>
      </c>
      <c r="H82" s="36"/>
      <c r="I82" s="36"/>
      <c r="J82" s="25">
        <v>2.5797622364794712</v>
      </c>
      <c r="K82">
        <v>304.6019</v>
      </c>
      <c r="L82">
        <v>310.22949999999997</v>
      </c>
      <c r="M82" s="5">
        <f t="shared" si="74"/>
        <v>291.55202608163211</v>
      </c>
      <c r="O82">
        <v>1.3766</v>
      </c>
      <c r="P82">
        <v>1.4019999999999999</v>
      </c>
      <c r="Q82" s="5">
        <f t="shared" si="80"/>
        <v>1.317613235760027</v>
      </c>
      <c r="R82">
        <v>-1.317613235760027</v>
      </c>
      <c r="T82" s="9">
        <f>(E82-G82)/G82</f>
        <v>-9.9448054732704363E-2</v>
      </c>
      <c r="U82" s="4">
        <f t="shared" si="72"/>
        <v>7.6746122513351583E-2</v>
      </c>
      <c r="V82" s="38">
        <f t="shared" si="77"/>
        <v>4.4760017941751634E-2</v>
      </c>
      <c r="W82" s="38">
        <f t="shared" si="78"/>
        <v>6.406223331522426E-2</v>
      </c>
      <c r="X82" s="4">
        <f>(O82-Q82)/Q82</f>
        <v>4.4767889877751765E-2</v>
      </c>
      <c r="Y82" s="4">
        <f t="shared" si="79"/>
        <v>6.404517042612802E-2</v>
      </c>
      <c r="AA82">
        <v>11.474606944752018</v>
      </c>
      <c r="AC82">
        <v>7.8078448548497686E-2</v>
      </c>
      <c r="AD82" s="4">
        <f t="shared" si="36"/>
        <v>-6.9986051505768546E-2</v>
      </c>
      <c r="AF82" s="4">
        <f t="shared" si="37"/>
        <v>2.1369606184206677E-2</v>
      </c>
      <c r="AH82" s="4">
        <f t="shared" si="38"/>
        <v>0.92325387748664844</v>
      </c>
    </row>
    <row r="84" spans="1:34" x14ac:dyDescent="0.25">
      <c r="G84" s="5"/>
      <c r="M84" s="5"/>
      <c r="T84" s="9"/>
      <c r="U84" s="9"/>
      <c r="V84" s="9"/>
      <c r="W84" s="9"/>
      <c r="X84" s="9"/>
      <c r="Y84" s="9"/>
    </row>
    <row r="85" spans="1:34" x14ac:dyDescent="0.25">
      <c r="V85" s="4">
        <f>MAX(V44:V82)</f>
        <v>8.7061943500647471E-2</v>
      </c>
    </row>
    <row r="126" spans="1:6" x14ac:dyDescent="0.25">
      <c r="A126">
        <v>0.3</v>
      </c>
      <c r="B126">
        <v>0.3</v>
      </c>
      <c r="C126">
        <v>0.3</v>
      </c>
      <c r="D126">
        <v>0.34499999999999997</v>
      </c>
      <c r="E126">
        <v>0.3</v>
      </c>
      <c r="F126">
        <v>0.255</v>
      </c>
    </row>
    <row r="127" spans="1:6" x14ac:dyDescent="0.25">
      <c r="A127">
        <v>1.4</v>
      </c>
      <c r="B127">
        <v>1.4</v>
      </c>
      <c r="C127">
        <v>1.4</v>
      </c>
      <c r="D127">
        <f>B127*1.15</f>
        <v>1.6099999999999999</v>
      </c>
      <c r="E127">
        <v>1.4</v>
      </c>
      <c r="F127">
        <v>1.19</v>
      </c>
    </row>
    <row r="130" spans="1:6" x14ac:dyDescent="0.25">
      <c r="A130">
        <v>100</v>
      </c>
      <c r="B130">
        <v>100</v>
      </c>
      <c r="C130">
        <v>100</v>
      </c>
      <c r="D130">
        <v>109</v>
      </c>
      <c r="E130">
        <v>100</v>
      </c>
      <c r="F130">
        <v>91</v>
      </c>
    </row>
    <row r="131" spans="1:6" x14ac:dyDescent="0.25">
      <c r="A131">
        <v>600</v>
      </c>
      <c r="B131">
        <v>600</v>
      </c>
      <c r="C131">
        <v>600</v>
      </c>
      <c r="D131">
        <v>654</v>
      </c>
      <c r="E131">
        <v>600</v>
      </c>
      <c r="F131">
        <v>546</v>
      </c>
    </row>
  </sheetData>
  <mergeCells count="5">
    <mergeCell ref="Q2:S2"/>
    <mergeCell ref="E42:G42"/>
    <mergeCell ref="K42:M42"/>
    <mergeCell ref="O42:Q42"/>
    <mergeCell ref="T42:Y4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885D-EBF2-4CE6-8774-179E8160140A}">
  <dimension ref="A1:Y88"/>
  <sheetViews>
    <sheetView topLeftCell="A41" zoomScale="71" zoomScaleNormal="71" workbookViewId="0">
      <selection activeCell="N40" sqref="N40"/>
    </sheetView>
  </sheetViews>
  <sheetFormatPr defaultRowHeight="15" x14ac:dyDescent="0.25"/>
  <cols>
    <col min="1" max="1" width="14.85546875" bestFit="1" customWidth="1"/>
    <col min="3" max="3" width="17.140625" customWidth="1"/>
    <col min="4" max="4" width="14.140625" bestFit="1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9" max="19" width="13" bestFit="1" customWidth="1"/>
    <col min="21" max="21" width="13.85546875" bestFit="1" customWidth="1"/>
    <col min="22" max="22" width="11.42578125" bestFit="1" customWidth="1"/>
    <col min="23" max="23" width="12.28515625" bestFit="1" customWidth="1"/>
    <col min="24" max="25" width="10.4257812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AVERAGE(B3:B10)</f>
        <v>1274</v>
      </c>
      <c r="B3" s="2">
        <v>1217</v>
      </c>
      <c r="C3">
        <f>B3*2*PI()/60</f>
        <v>127.44394198062595</v>
      </c>
      <c r="D3" s="5">
        <v>1.0093232680562929</v>
      </c>
      <c r="E3" s="8">
        <v>30.513166981308061</v>
      </c>
      <c r="F3" s="5">
        <v>4.2632226981025712</v>
      </c>
      <c r="G3" s="8">
        <v>38.469673882555718</v>
      </c>
      <c r="H3">
        <f t="shared" ref="H3:H28" si="0">G3+273.15</f>
        <v>311.61967388255567</v>
      </c>
      <c r="I3">
        <v>4</v>
      </c>
      <c r="J3" s="1">
        <f t="shared" ref="J3:J28" si="1">I3/60/1000</f>
        <v>6.666666666666667E-5</v>
      </c>
      <c r="K3">
        <v>30.592198151939574</v>
      </c>
      <c r="L3">
        <v>4.251841012112453</v>
      </c>
      <c r="M3">
        <f t="shared" ref="M3:M28" si="2">K3+273.15</f>
        <v>303.74219815193953</v>
      </c>
      <c r="N3">
        <f t="shared" ref="N3:N28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4.3603999999999997E-2</v>
      </c>
      <c r="X3" s="10">
        <v>265</v>
      </c>
    </row>
    <row r="4" spans="1:24" x14ac:dyDescent="0.25">
      <c r="B4" s="2">
        <v>1214</v>
      </c>
      <c r="C4">
        <f t="shared" ref="C4:C28" si="4">B4*2*PI()/60</f>
        <v>127.12978271526696</v>
      </c>
      <c r="D4" s="5">
        <v>1.0093740377162599</v>
      </c>
      <c r="E4" s="8">
        <v>30.53840403258803</v>
      </c>
      <c r="F4" s="5">
        <v>3.7487816777695127</v>
      </c>
      <c r="G4" s="8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28" si="5">R4/60/1000</f>
        <v>8.3148759828451999E-5</v>
      </c>
      <c r="U4">
        <v>38</v>
      </c>
      <c r="V4">
        <v>48</v>
      </c>
      <c r="W4" s="8">
        <v>4.3603999999999997E-2</v>
      </c>
      <c r="X4" s="10">
        <v>240</v>
      </c>
    </row>
    <row r="5" spans="1:24" x14ac:dyDescent="0.25">
      <c r="A5" s="3">
        <f>AVERAGE(G3:G7)</f>
        <v>39.638566942886236</v>
      </c>
      <c r="B5" s="2">
        <v>1217</v>
      </c>
      <c r="C5">
        <f t="shared" si="4"/>
        <v>127.44394198062595</v>
      </c>
      <c r="D5" s="5">
        <v>1.0100027712944899</v>
      </c>
      <c r="E5" s="8">
        <v>30.5232550594659</v>
      </c>
      <c r="F5" s="5">
        <v>3.41149288331663</v>
      </c>
      <c r="G5" s="8">
        <v>39.278800793004301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4.3603999999999997E-2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5">
        <v>1.00926410736023</v>
      </c>
      <c r="E6" s="8">
        <v>30.568783382737202</v>
      </c>
      <c r="F6" s="5">
        <v>3.0036465230416098</v>
      </c>
      <c r="G6" s="8">
        <v>40.450708190043798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4.3603999999999997E-2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5">
        <v>1.0094537558613426</v>
      </c>
      <c r="E7" s="8">
        <v>30.528195668985514</v>
      </c>
      <c r="F7" s="5">
        <v>2.3975521098447876</v>
      </c>
      <c r="G7" s="8">
        <v>40.146233053990038</v>
      </c>
      <c r="H7">
        <f t="shared" si="0"/>
        <v>313.29623305399002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 t="shared" si="5"/>
        <v>1.6632764895962928E-4</v>
      </c>
      <c r="U7">
        <v>38</v>
      </c>
      <c r="V7">
        <v>48</v>
      </c>
      <c r="W7" s="8">
        <v>4.3603999999999997E-2</v>
      </c>
      <c r="X7" s="10">
        <v>195</v>
      </c>
    </row>
    <row r="8" spans="1:24" x14ac:dyDescent="0.25">
      <c r="B8" s="12"/>
      <c r="D8" s="5"/>
      <c r="E8" s="8"/>
      <c r="F8" s="5"/>
      <c r="G8" s="8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 s="5">
        <v>1.0094287437153799</v>
      </c>
      <c r="E9" s="8">
        <v>30.612974840972779</v>
      </c>
      <c r="F9" s="5">
        <v>5.253362586763715</v>
      </c>
      <c r="G9" s="8">
        <v>42.253028073273747</v>
      </c>
      <c r="H9">
        <f t="shared" si="0"/>
        <v>315.40302807327373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43</v>
      </c>
      <c r="V9">
        <v>55</v>
      </c>
      <c r="W9" s="3">
        <v>3.1711999999999997E-2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5">
        <v>1.0092810759105539</v>
      </c>
      <c r="E10" s="8">
        <v>30.581004375999676</v>
      </c>
      <c r="F10" s="5">
        <v>4.8223075689095696</v>
      </c>
      <c r="G10" s="8">
        <v>42.953073171144517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43</v>
      </c>
      <c r="V10">
        <v>55</v>
      </c>
      <c r="W10" s="3">
        <v>3.1711999999999997E-2</v>
      </c>
      <c r="X10" s="10">
        <v>275</v>
      </c>
    </row>
    <row r="11" spans="1:24" x14ac:dyDescent="0.25">
      <c r="A11" s="3">
        <f>AVERAGE(G10:G14)</f>
        <v>44.384191269147763</v>
      </c>
      <c r="B11" s="2">
        <v>1412</v>
      </c>
      <c r="C11">
        <f t="shared" si="4"/>
        <v>147.86429422895961</v>
      </c>
      <c r="D11" s="5">
        <v>1.0086912644002075</v>
      </c>
      <c r="E11" s="8">
        <v>30.622728786584258</v>
      </c>
      <c r="F11" s="5">
        <v>4.236297847863618</v>
      </c>
      <c r="G11" s="8">
        <v>43.47355288963702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43</v>
      </c>
      <c r="V11">
        <v>55</v>
      </c>
      <c r="W11" s="3">
        <v>3.1711999999999997E-2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5">
        <v>1.0077573177644057</v>
      </c>
      <c r="E12" s="8">
        <v>30.816080276902358</v>
      </c>
      <c r="F12" s="5">
        <v>3.661602244140135</v>
      </c>
      <c r="G12" s="8">
        <v>46.069186852835934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43</v>
      </c>
      <c r="V12">
        <v>55</v>
      </c>
      <c r="W12" s="3">
        <v>3.1711999999999997E-2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5">
        <v>1.0085733794744123</v>
      </c>
      <c r="E13" s="8">
        <v>30.635044840682401</v>
      </c>
      <c r="F13" s="5">
        <v>2.9220510847489072</v>
      </c>
      <c r="G13" s="8">
        <v>45.018485236153708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43</v>
      </c>
      <c r="V13">
        <v>55</v>
      </c>
      <c r="W13" s="3">
        <v>3.1711999999999997E-2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5">
        <v>1.0101998654115738</v>
      </c>
      <c r="E14" s="8">
        <v>30.714603931016253</v>
      </c>
      <c r="F14" s="5">
        <v>2.6698755104625538</v>
      </c>
      <c r="G14" s="8">
        <v>44.406658195967637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43</v>
      </c>
      <c r="V14">
        <v>55</v>
      </c>
      <c r="W14" s="3">
        <v>3.1711999999999997E-2</v>
      </c>
      <c r="X14" s="10">
        <v>205</v>
      </c>
    </row>
    <row r="15" spans="1:24" x14ac:dyDescent="0.25">
      <c r="B15" s="14"/>
      <c r="D15" s="5"/>
      <c r="E15" s="8"/>
      <c r="F15" s="5"/>
      <c r="G15" s="8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5">
        <v>1.0083333009861652</v>
      </c>
      <c r="E16" s="8">
        <v>30.610294022691615</v>
      </c>
      <c r="F16" s="5">
        <v>5.2676677023988514</v>
      </c>
      <c r="G16" s="8">
        <v>43.470274717189263</v>
      </c>
      <c r="H16">
        <f t="shared" si="0"/>
        <v>316.62027471718926</v>
      </c>
      <c r="I16">
        <v>5</v>
      </c>
      <c r="J16" s="1">
        <f t="shared" si="1"/>
        <v>8.3333333333333331E-5</v>
      </c>
      <c r="K16">
        <v>31.301886563534723</v>
      </c>
      <c r="L16">
        <v>5.2565102493546449</v>
      </c>
      <c r="M16">
        <f t="shared" si="2"/>
        <v>304.45188656353469</v>
      </c>
      <c r="N16">
        <f t="shared" si="3"/>
        <v>0.52565102493546445</v>
      </c>
      <c r="O16">
        <v>6.0229999999999997</v>
      </c>
      <c r="Q16">
        <f t="shared" ref="Q16:Q21" si="11">SQRT(1.2/O16)*SQRT(N16/0.101325)*SQRT(293.15/M16)</f>
        <v>0.99760876797529452</v>
      </c>
      <c r="R16">
        <f t="shared" ref="R16:R21" si="12">I16*Q16</f>
        <v>4.9880438398764726</v>
      </c>
      <c r="S16" s="7">
        <f>R16/60/1000</f>
        <v>8.3134063997941204E-5</v>
      </c>
      <c r="U16">
        <v>45</v>
      </c>
      <c r="V16">
        <v>60</v>
      </c>
      <c r="W16" s="8">
        <v>2.7747999999999998E-2</v>
      </c>
      <c r="X16" s="10">
        <v>285</v>
      </c>
    </row>
    <row r="17" spans="1:25" x14ac:dyDescent="0.25">
      <c r="B17" s="2">
        <v>1638</v>
      </c>
      <c r="C17">
        <f t="shared" si="4"/>
        <v>171.53095888600271</v>
      </c>
      <c r="D17" s="5">
        <v>1.00767939569434</v>
      </c>
      <c r="E17" s="8">
        <v>30.5476633337823</v>
      </c>
      <c r="F17" s="5">
        <v>4.5488778229227904</v>
      </c>
      <c r="G17" s="8">
        <v>43.944694642553202</v>
      </c>
      <c r="H17">
        <f t="shared" si="0"/>
        <v>317.09469464255318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60</v>
      </c>
      <c r="W17" s="8">
        <v>2.7747999999999998E-2</v>
      </c>
      <c r="X17" s="10">
        <v>270</v>
      </c>
    </row>
    <row r="18" spans="1:25" x14ac:dyDescent="0.25">
      <c r="A18" s="3">
        <f>AVERAGE(G16:G21)</f>
        <v>45.82342524972011</v>
      </c>
      <c r="B18" s="2">
        <v>1639</v>
      </c>
      <c r="C18">
        <f t="shared" si="4"/>
        <v>171.63567864112238</v>
      </c>
      <c r="D18" s="5">
        <v>1.0095081019886201</v>
      </c>
      <c r="E18" s="8">
        <v>30.628921865606099</v>
      </c>
      <c r="F18" s="5">
        <v>3.6851917499746301</v>
      </c>
      <c r="G18" s="8">
        <v>45.134798680102598</v>
      </c>
      <c r="H18">
        <f t="shared" si="0"/>
        <v>318.2847986801026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60</v>
      </c>
      <c r="W18" s="8">
        <v>2.7747999999999998E-2</v>
      </c>
      <c r="X18" s="10">
        <v>235</v>
      </c>
    </row>
    <row r="19" spans="1:25" x14ac:dyDescent="0.25">
      <c r="B19" s="2">
        <v>1639</v>
      </c>
      <c r="C19">
        <f t="shared" si="4"/>
        <v>171.63567864112238</v>
      </c>
      <c r="D19" s="5">
        <v>1.0086524685865665</v>
      </c>
      <c r="E19" s="8">
        <v>30.622924679670273</v>
      </c>
      <c r="F19" s="5">
        <v>3.2641584944265172</v>
      </c>
      <c r="G19" s="8">
        <v>46.943107203221921</v>
      </c>
      <c r="H19">
        <f t="shared" si="0"/>
        <v>320.0931072032219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60</v>
      </c>
      <c r="W19" s="8">
        <v>2.7747999999999998E-2</v>
      </c>
      <c r="X19" s="10">
        <v>220</v>
      </c>
    </row>
    <row r="20" spans="1:25" x14ac:dyDescent="0.25">
      <c r="B20" s="2">
        <v>1639</v>
      </c>
      <c r="C20">
        <f t="shared" si="4"/>
        <v>171.63567864112238</v>
      </c>
      <c r="D20" s="5">
        <v>1.00910839779551</v>
      </c>
      <c r="E20" s="8">
        <v>30.616946893747699</v>
      </c>
      <c r="F20" s="5">
        <v>3.0682354873155302</v>
      </c>
      <c r="G20" s="8">
        <v>48.030195935012003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60</v>
      </c>
      <c r="W20" s="8">
        <v>2.7747999999999998E-2</v>
      </c>
      <c r="X20" s="10">
        <v>215</v>
      </c>
    </row>
    <row r="21" spans="1:25" x14ac:dyDescent="0.25">
      <c r="B21" s="2">
        <v>1640</v>
      </c>
      <c r="C21">
        <f t="shared" si="4"/>
        <v>171.74039839624203</v>
      </c>
      <c r="D21" s="5">
        <v>1.0089421600028099</v>
      </c>
      <c r="E21" s="8">
        <v>30.660577754608099</v>
      </c>
      <c r="F21" s="5">
        <v>2.8293806275398499</v>
      </c>
      <c r="G21" s="8">
        <v>47.417480320241701</v>
      </c>
      <c r="H21">
        <f t="shared" si="0"/>
        <v>320.56748032024166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60</v>
      </c>
      <c r="W21" s="8">
        <v>2.7747999999999998E-2</v>
      </c>
      <c r="X21" s="10">
        <v>205</v>
      </c>
    </row>
    <row r="22" spans="1:25" x14ac:dyDescent="0.25">
      <c r="B22" s="14"/>
      <c r="D22" s="5"/>
      <c r="E22" s="8"/>
      <c r="F22" s="5"/>
      <c r="G22" s="8"/>
      <c r="J22" s="1"/>
      <c r="S22" s="15"/>
    </row>
    <row r="23" spans="1:25" x14ac:dyDescent="0.25">
      <c r="A23" s="3">
        <f>AVERAGE(B23:B28)</f>
        <v>1838.5</v>
      </c>
      <c r="B23" s="2">
        <v>1837</v>
      </c>
      <c r="C23">
        <f t="shared" si="4"/>
        <v>192.37019015481502</v>
      </c>
      <c r="D23" s="5">
        <v>1.0074809569159044</v>
      </c>
      <c r="E23" s="8">
        <v>30.849170721143583</v>
      </c>
      <c r="F23" s="5">
        <v>5.0653949430406557</v>
      </c>
      <c r="G23" s="8">
        <v>49.552490253392484</v>
      </c>
      <c r="H23">
        <f t="shared" si="0"/>
        <v>322.70249025339245</v>
      </c>
      <c r="I23">
        <v>8.5</v>
      </c>
      <c r="J23" s="1">
        <f t="shared" ref="J23" si="14">I23/60/1000</f>
        <v>1.4166666666666665E-4</v>
      </c>
      <c r="K23">
        <v>34.911742272595383</v>
      </c>
      <c r="L23">
        <v>5.0324751973883091</v>
      </c>
      <c r="M23">
        <f t="shared" ref="M23" si="15">K23+273.15</f>
        <v>308.06174227259538</v>
      </c>
      <c r="N23">
        <f t="shared" ref="N23" si="16">L23/10</f>
        <v>0.50324751973883086</v>
      </c>
      <c r="O23">
        <v>5.6976000000000004</v>
      </c>
      <c r="Q23">
        <f t="shared" ref="Q23:Q28" si="17">SQRT(1.2/O23)*SQRT(N23/0.101325)*SQRT(293.15/M23)</f>
        <v>0.99770747454028219</v>
      </c>
      <c r="R23">
        <f t="shared" ref="R23:R28" si="18">I23*Q23</f>
        <v>8.4805135335923989</v>
      </c>
      <c r="S23" s="7">
        <f t="shared" ref="S23" si="19">R23/60/1000</f>
        <v>1.4134189222653998E-4</v>
      </c>
      <c r="U23">
        <v>48</v>
      </c>
      <c r="V23">
        <v>64</v>
      </c>
      <c r="W23" s="8">
        <v>2.1801999999999998E-2</v>
      </c>
      <c r="X23" s="10">
        <v>280</v>
      </c>
    </row>
    <row r="24" spans="1:25" x14ac:dyDescent="0.25">
      <c r="A24" s="3">
        <f>AVERAGE(G23:G28)</f>
        <v>48.965822310674071</v>
      </c>
      <c r="B24" s="2">
        <v>1837</v>
      </c>
      <c r="C24">
        <f t="shared" si="4"/>
        <v>192.37019015481502</v>
      </c>
      <c r="D24" s="5">
        <v>1.0076637581773951</v>
      </c>
      <c r="E24" s="8">
        <v>30.854876597503971</v>
      </c>
      <c r="F24" s="5">
        <v>4.5816778072219542</v>
      </c>
      <c r="G24" s="8">
        <v>49.648556094417991</v>
      </c>
      <c r="H24">
        <f t="shared" si="0"/>
        <v>322.79855609441796</v>
      </c>
      <c r="I24">
        <v>10</v>
      </c>
      <c r="J24" s="1">
        <f t="shared" si="1"/>
        <v>1.6666666666666666E-4</v>
      </c>
      <c r="K24">
        <v>33.965123681967277</v>
      </c>
      <c r="L24">
        <v>4.5450850240495768</v>
      </c>
      <c r="M24">
        <f t="shared" si="2"/>
        <v>307.11512368196725</v>
      </c>
      <c r="N24">
        <f t="shared" si="3"/>
        <v>0.45450850240495766</v>
      </c>
      <c r="O24">
        <v>5.1612999999999998</v>
      </c>
      <c r="Q24">
        <f t="shared" si="17"/>
        <v>0.99774168860402668</v>
      </c>
      <c r="R24">
        <f t="shared" si="18"/>
        <v>9.9774168860402668</v>
      </c>
      <c r="S24" s="7">
        <f t="shared" si="5"/>
        <v>1.6629028143400445E-4</v>
      </c>
      <c r="U24">
        <v>48</v>
      </c>
      <c r="V24">
        <v>64</v>
      </c>
      <c r="W24" s="8">
        <v>2.1801999999999998E-2</v>
      </c>
      <c r="X24" s="10">
        <v>270</v>
      </c>
    </row>
    <row r="25" spans="1:25" x14ac:dyDescent="0.25">
      <c r="B25" s="2">
        <v>1839</v>
      </c>
      <c r="C25">
        <f>B25*2*PI()/60</f>
        <v>192.57962966505431</v>
      </c>
      <c r="D25" s="5">
        <v>1.007937890712175</v>
      </c>
      <c r="E25" s="8">
        <v>30.707389246709546</v>
      </c>
      <c r="F25" s="5">
        <v>4.0282260804900449</v>
      </c>
      <c r="G25" s="8">
        <v>47.598924246369272</v>
      </c>
      <c r="H25">
        <f t="shared" si="0"/>
        <v>320.74892424636926</v>
      </c>
      <c r="I25">
        <v>12</v>
      </c>
      <c r="J25" s="1">
        <f t="shared" si="1"/>
        <v>2.0000000000000001E-4</v>
      </c>
      <c r="K25">
        <v>32.938857350692899</v>
      </c>
      <c r="L25">
        <v>3.9826238950298061</v>
      </c>
      <c r="M25">
        <f t="shared" si="2"/>
        <v>306.08885735069288</v>
      </c>
      <c r="N25">
        <f t="shared" si="3"/>
        <v>0.3982623895029806</v>
      </c>
      <c r="O25">
        <v>4.5373000000000001</v>
      </c>
      <c r="Q25">
        <f t="shared" si="17"/>
        <v>0.99779059487469979</v>
      </c>
      <c r="R25">
        <f t="shared" si="18"/>
        <v>11.973487138496397</v>
      </c>
      <c r="S25" s="7">
        <f t="shared" si="5"/>
        <v>1.9955811897493994E-4</v>
      </c>
      <c r="U25">
        <v>48</v>
      </c>
      <c r="V25">
        <v>64</v>
      </c>
      <c r="W25" s="8">
        <v>2.1801999999999998E-2</v>
      </c>
      <c r="X25" s="10">
        <v>260</v>
      </c>
    </row>
    <row r="26" spans="1:25" x14ac:dyDescent="0.25">
      <c r="B26" s="2">
        <v>1839</v>
      </c>
      <c r="C26">
        <f t="shared" si="4"/>
        <v>192.57962966505431</v>
      </c>
      <c r="D26" s="5">
        <v>1.0075465725805357</v>
      </c>
      <c r="E26" s="8">
        <v>30.654826109108207</v>
      </c>
      <c r="F26" s="5">
        <v>3.6533986868675403</v>
      </c>
      <c r="G26" s="8">
        <v>46.402179551899437</v>
      </c>
      <c r="H26">
        <f t="shared" si="0"/>
        <v>319.55217955189943</v>
      </c>
      <c r="I26">
        <v>16</v>
      </c>
      <c r="J26" s="1">
        <f t="shared" si="1"/>
        <v>2.6666666666666668E-4</v>
      </c>
      <c r="K26">
        <v>32.704388837077452</v>
      </c>
      <c r="L26">
        <v>3.5880844465849808</v>
      </c>
      <c r="M26">
        <f t="shared" si="2"/>
        <v>305.85438883707741</v>
      </c>
      <c r="N26">
        <f t="shared" si="3"/>
        <v>0.35880844465849809</v>
      </c>
      <c r="O26">
        <v>4.0906000000000002</v>
      </c>
      <c r="Q26">
        <f t="shared" si="17"/>
        <v>0.9978326918355499</v>
      </c>
      <c r="R26">
        <f t="shared" si="18"/>
        <v>15.965323069368798</v>
      </c>
      <c r="S26" s="7">
        <f t="shared" si="5"/>
        <v>2.6608871782281328E-4</v>
      </c>
      <c r="U26">
        <v>48</v>
      </c>
      <c r="V26">
        <v>64</v>
      </c>
      <c r="W26" s="8">
        <v>2.1801999999999998E-2</v>
      </c>
      <c r="X26" s="10">
        <v>235</v>
      </c>
    </row>
    <row r="27" spans="1:25" x14ac:dyDescent="0.25">
      <c r="B27" s="2">
        <v>1839</v>
      </c>
      <c r="C27">
        <f t="shared" si="4"/>
        <v>192.57962966505431</v>
      </c>
      <c r="D27" s="5">
        <v>1.007730407897355</v>
      </c>
      <c r="E27" s="8">
        <v>30.822986667073145</v>
      </c>
      <c r="F27" s="5">
        <v>3.0732756854133072</v>
      </c>
      <c r="G27" s="8">
        <v>50.602444253388761</v>
      </c>
      <c r="H27">
        <f t="shared" si="0"/>
        <v>323.75244425338872</v>
      </c>
      <c r="I27">
        <v>18</v>
      </c>
      <c r="J27" s="1">
        <f t="shared" si="1"/>
        <v>2.9999999999999997E-4</v>
      </c>
      <c r="K27">
        <v>34.160465950496068</v>
      </c>
      <c r="L27">
        <v>3.0036641094433802</v>
      </c>
      <c r="M27">
        <f t="shared" si="2"/>
        <v>307.31046595049605</v>
      </c>
      <c r="N27">
        <f t="shared" si="3"/>
        <v>0.30036641094433802</v>
      </c>
      <c r="O27">
        <v>3.4075000000000002</v>
      </c>
      <c r="Q27">
        <f t="shared" si="17"/>
        <v>0.99792141125745404</v>
      </c>
      <c r="R27">
        <f t="shared" si="18"/>
        <v>17.962585402634172</v>
      </c>
      <c r="S27" s="7">
        <f t="shared" si="5"/>
        <v>2.9937642337723617E-4</v>
      </c>
      <c r="U27">
        <v>48</v>
      </c>
      <c r="V27">
        <v>64</v>
      </c>
      <c r="W27" s="8">
        <v>2.1801999999999998E-2</v>
      </c>
      <c r="X27" s="10">
        <v>215</v>
      </c>
    </row>
    <row r="28" spans="1:25" x14ac:dyDescent="0.25">
      <c r="B28" s="2">
        <v>1840</v>
      </c>
      <c r="C28">
        <f t="shared" si="4"/>
        <v>192.68434942017399</v>
      </c>
      <c r="D28" s="5">
        <v>1.0069040471898754</v>
      </c>
      <c r="E28" s="8">
        <v>30.824160851514335</v>
      </c>
      <c r="F28" s="5">
        <v>2.6401044471753301</v>
      </c>
      <c r="G28" s="8">
        <v>49.990339464576451</v>
      </c>
      <c r="H28">
        <f t="shared" si="0"/>
        <v>323.14033946457641</v>
      </c>
      <c r="I28">
        <v>21</v>
      </c>
      <c r="J28" s="1">
        <f t="shared" si="1"/>
        <v>3.5E-4</v>
      </c>
      <c r="K28">
        <v>35.299841353881696</v>
      </c>
      <c r="L28">
        <v>2.5573256010264003</v>
      </c>
      <c r="M28">
        <f t="shared" si="2"/>
        <v>308.44984135388165</v>
      </c>
      <c r="N28">
        <f t="shared" si="3"/>
        <v>0.25573256010264001</v>
      </c>
      <c r="O28">
        <v>2.8900999999999999</v>
      </c>
      <c r="Q28">
        <f t="shared" si="17"/>
        <v>0.99797938124444174</v>
      </c>
      <c r="R28">
        <f t="shared" si="18"/>
        <v>20.957567006133278</v>
      </c>
      <c r="S28" s="7">
        <f t="shared" si="5"/>
        <v>3.4929278343555462E-4</v>
      </c>
      <c r="U28">
        <v>48</v>
      </c>
      <c r="V28">
        <v>64</v>
      </c>
      <c r="W28" s="8">
        <v>2.1801999999999998E-2</v>
      </c>
      <c r="X28" s="10">
        <v>205</v>
      </c>
    </row>
    <row r="29" spans="1:25" x14ac:dyDescent="0.25">
      <c r="D29" s="5"/>
      <c r="E29" s="8"/>
      <c r="F29" s="5"/>
      <c r="G29" s="8"/>
    </row>
    <row r="30" spans="1:25" x14ac:dyDescent="0.25">
      <c r="A30" s="3">
        <f>AVERAGE(B30:B37)</f>
        <v>2111.875</v>
      </c>
      <c r="B30" s="2">
        <v>2107</v>
      </c>
      <c r="C30">
        <f t="shared" ref="C30" si="20">B30*2*PI()/60</f>
        <v>220.64452403712315</v>
      </c>
      <c r="D30" s="5">
        <v>1.00664348651146</v>
      </c>
      <c r="E30" s="8">
        <v>31.8755210636795</v>
      </c>
      <c r="F30" s="5">
        <v>5.1395527310525901</v>
      </c>
      <c r="G30" s="8">
        <v>53.790427815977402</v>
      </c>
      <c r="H30">
        <f t="shared" ref="H30:H37" si="21">G30+273.15</f>
        <v>326.94042781597739</v>
      </c>
      <c r="I30">
        <v>9</v>
      </c>
      <c r="J30" s="1">
        <f t="shared" ref="J30:J37" si="22">I30/60/1000</f>
        <v>1.4999999999999999E-4</v>
      </c>
      <c r="K30">
        <v>34.091203107820157</v>
      </c>
      <c r="L30">
        <v>5.1153551515503608</v>
      </c>
      <c r="M30">
        <f t="shared" ref="M30:M37" si="23">K30+273.15</f>
        <v>307.24120310782013</v>
      </c>
      <c r="N30">
        <f t="shared" ref="N30:N37" si="24">L30/10</f>
        <v>0.51153551515503604</v>
      </c>
      <c r="O30">
        <v>5.8071999999999999</v>
      </c>
      <c r="Q30">
        <f t="shared" ref="Q30:Q37" si="25">SQRT(1.2/O30)*SQRT(N30/0.101325)*SQRT(293.15/M30)</f>
        <v>0.9976817812522496</v>
      </c>
      <c r="R30">
        <f>I30*Q30</f>
        <v>8.9791360312702473</v>
      </c>
      <c r="S30" s="7">
        <f>R30/60/1000</f>
        <v>1.4965226718783746E-4</v>
      </c>
      <c r="U30">
        <v>50</v>
      </c>
      <c r="V30">
        <v>70</v>
      </c>
      <c r="W30" s="8">
        <v>1.8828999999999999E-2</v>
      </c>
      <c r="X30" s="10">
        <v>280</v>
      </c>
      <c r="Y30">
        <v>1.7838E-2</v>
      </c>
    </row>
    <row r="31" spans="1:25" x14ac:dyDescent="0.25">
      <c r="A31" s="3">
        <f>AVERAGE(G30:G37)</f>
        <v>52.033718335834841</v>
      </c>
      <c r="B31" s="2">
        <v>2112</v>
      </c>
      <c r="C31">
        <f>B31*2*PI()/60</f>
        <v>221.16812281272144</v>
      </c>
      <c r="D31" s="5">
        <v>1.00610594912139</v>
      </c>
      <c r="E31" s="8">
        <v>32.0262582611306</v>
      </c>
      <c r="F31" s="5">
        <v>4.4350470643170903</v>
      </c>
      <c r="G31" s="8">
        <v>49.9908134224425</v>
      </c>
      <c r="H31">
        <f t="shared" si="21"/>
        <v>323.14081342244248</v>
      </c>
      <c r="I31">
        <v>11.5</v>
      </c>
      <c r="J31" s="1">
        <f t="shared" si="22"/>
        <v>1.9166666666666667E-4</v>
      </c>
      <c r="K31">
        <v>36.091330242567508</v>
      </c>
      <c r="L31">
        <v>4.398073191126322</v>
      </c>
      <c r="M31">
        <f t="shared" si="23"/>
        <v>309.24133024256747</v>
      </c>
      <c r="N31">
        <f t="shared" si="24"/>
        <v>0.43980731911263221</v>
      </c>
      <c r="O31">
        <v>4.9595000000000002</v>
      </c>
      <c r="Q31">
        <f t="shared" si="25"/>
        <v>0.99779374850115632</v>
      </c>
      <c r="R31">
        <f t="shared" ref="R31:R37" si="26">I31*Q31</f>
        <v>11.474628107763298</v>
      </c>
      <c r="S31" s="7">
        <f t="shared" ref="S31:S37" si="27">R31/60/1000</f>
        <v>1.9124380179605496E-4</v>
      </c>
      <c r="U31">
        <v>50</v>
      </c>
      <c r="V31">
        <v>70</v>
      </c>
      <c r="W31" s="8">
        <v>1.8828999999999999E-2</v>
      </c>
      <c r="X31" s="10">
        <v>270</v>
      </c>
      <c r="Y31">
        <v>1.7838E-2</v>
      </c>
    </row>
    <row r="32" spans="1:25" x14ac:dyDescent="0.25">
      <c r="B32" s="2">
        <v>2114</v>
      </c>
      <c r="C32">
        <f t="shared" ref="C32:C36" si="28">B32*2*PI()/60</f>
        <v>221.37756232296076</v>
      </c>
      <c r="D32" s="5">
        <v>1.00665837403376</v>
      </c>
      <c r="E32" s="8">
        <v>32.048058065891802</v>
      </c>
      <c r="F32" s="5">
        <v>4.2201346805617597</v>
      </c>
      <c r="G32" s="8">
        <v>48.984398003218203</v>
      </c>
      <c r="H32">
        <f t="shared" si="21"/>
        <v>322.13439800321817</v>
      </c>
      <c r="I32">
        <v>12</v>
      </c>
      <c r="J32" s="1">
        <f t="shared" si="22"/>
        <v>2.0000000000000001E-4</v>
      </c>
      <c r="K32">
        <v>34.992384663945479</v>
      </c>
      <c r="L32">
        <v>4.1866511988703801</v>
      </c>
      <c r="M32">
        <f t="shared" si="23"/>
        <v>308.14238466394545</v>
      </c>
      <c r="N32">
        <f t="shared" si="24"/>
        <v>0.41866511988703803</v>
      </c>
      <c r="O32">
        <v>4.7378999999999998</v>
      </c>
      <c r="Q32">
        <f t="shared" si="25"/>
        <v>0.99779653516182709</v>
      </c>
      <c r="R32">
        <f t="shared" si="26"/>
        <v>11.973558421941926</v>
      </c>
      <c r="S32" s="7">
        <f t="shared" si="27"/>
        <v>1.9955930703236544E-4</v>
      </c>
      <c r="U32">
        <v>50</v>
      </c>
      <c r="V32">
        <v>70</v>
      </c>
      <c r="W32" s="8">
        <v>1.8828999999999999E-2</v>
      </c>
      <c r="X32" s="10">
        <v>265</v>
      </c>
      <c r="Y32">
        <v>1.7838E-2</v>
      </c>
    </row>
    <row r="33" spans="1:25" x14ac:dyDescent="0.25">
      <c r="A33" s="6"/>
      <c r="B33" s="2">
        <v>2114</v>
      </c>
      <c r="C33">
        <f t="shared" si="28"/>
        <v>221.37756232296076</v>
      </c>
      <c r="D33" s="5">
        <v>1.0066982516283101</v>
      </c>
      <c r="E33" s="8">
        <v>32.005684453369298</v>
      </c>
      <c r="F33" s="5">
        <v>4.0038566309211898</v>
      </c>
      <c r="G33" s="8">
        <v>49.199552467406399</v>
      </c>
      <c r="H33">
        <f t="shared" si="21"/>
        <v>322.3495524674064</v>
      </c>
      <c r="I33">
        <v>14</v>
      </c>
      <c r="J33" s="1">
        <f t="shared" si="22"/>
        <v>2.3333333333333333E-4</v>
      </c>
      <c r="K33">
        <v>35.22898377743342</v>
      </c>
      <c r="L33">
        <v>3.9611569214138527</v>
      </c>
      <c r="M33">
        <f t="shared" si="23"/>
        <v>308.3789837774334</v>
      </c>
      <c r="N33">
        <f t="shared" si="24"/>
        <v>0.39611569214138526</v>
      </c>
      <c r="O33">
        <v>4.4790000000000001</v>
      </c>
      <c r="Q33">
        <f t="shared" si="25"/>
        <v>0.99782727755777623</v>
      </c>
      <c r="R33">
        <f t="shared" si="26"/>
        <v>13.969581885808868</v>
      </c>
      <c r="S33" s="7">
        <f t="shared" si="27"/>
        <v>2.3282636476348111E-4</v>
      </c>
      <c r="U33">
        <v>50</v>
      </c>
      <c r="V33">
        <v>70</v>
      </c>
      <c r="W33" s="8">
        <v>1.8828999999999999E-2</v>
      </c>
      <c r="X33" s="10">
        <v>260</v>
      </c>
      <c r="Y33">
        <v>1.7838E-2</v>
      </c>
    </row>
    <row r="34" spans="1:25" x14ac:dyDescent="0.25">
      <c r="B34" s="2">
        <v>2112</v>
      </c>
      <c r="C34">
        <f t="shared" si="28"/>
        <v>221.16812281272144</v>
      </c>
      <c r="D34" s="5">
        <v>1.00621659144009</v>
      </c>
      <c r="E34" s="8">
        <v>31.9703144529695</v>
      </c>
      <c r="F34" s="5">
        <v>3.8882416114697702</v>
      </c>
      <c r="G34" s="8">
        <v>51.115333189585499</v>
      </c>
      <c r="H34">
        <f t="shared" si="21"/>
        <v>324.26533318958548</v>
      </c>
      <c r="I34">
        <v>16</v>
      </c>
      <c r="J34" s="1">
        <f t="shared" si="22"/>
        <v>2.6666666666666668E-4</v>
      </c>
      <c r="K34">
        <v>36.995893647839196</v>
      </c>
      <c r="L34">
        <v>3.838953350045629</v>
      </c>
      <c r="M34">
        <f t="shared" si="23"/>
        <v>310.14589364783916</v>
      </c>
      <c r="N34">
        <f t="shared" si="24"/>
        <v>0.38389533500456291</v>
      </c>
      <c r="O34">
        <v>4.3156999999999996</v>
      </c>
      <c r="Q34">
        <f t="shared" si="25"/>
        <v>0.99787247161187964</v>
      </c>
      <c r="R34">
        <f t="shared" si="26"/>
        <v>15.965959545790074</v>
      </c>
      <c r="S34" s="7">
        <f t="shared" si="27"/>
        <v>2.6609932576316791E-4</v>
      </c>
      <c r="U34">
        <v>50</v>
      </c>
      <c r="V34">
        <v>70</v>
      </c>
      <c r="W34" s="8">
        <v>1.8828999999999999E-2</v>
      </c>
      <c r="X34" s="10">
        <v>250</v>
      </c>
      <c r="Y34">
        <v>1.7838E-2</v>
      </c>
    </row>
    <row r="35" spans="1:25" x14ac:dyDescent="0.25">
      <c r="B35" s="2">
        <v>2111</v>
      </c>
      <c r="C35">
        <f t="shared" si="28"/>
        <v>221.06340305760176</v>
      </c>
      <c r="D35" s="5">
        <v>1.00622035047064</v>
      </c>
      <c r="E35" s="8">
        <v>32.022331469804698</v>
      </c>
      <c r="F35" s="5">
        <v>3.69061358519046</v>
      </c>
      <c r="G35" s="8">
        <v>55.823943947719599</v>
      </c>
      <c r="H35">
        <f t="shared" si="21"/>
        <v>328.97394394771959</v>
      </c>
      <c r="I35">
        <v>17</v>
      </c>
      <c r="J35" s="1">
        <f t="shared" si="22"/>
        <v>2.833333333333333E-4</v>
      </c>
      <c r="K35">
        <v>35.183946946549369</v>
      </c>
      <c r="L35">
        <v>3.6382551740685782</v>
      </c>
      <c r="M35">
        <f t="shared" si="23"/>
        <v>308.33394694654936</v>
      </c>
      <c r="N35">
        <f t="shared" si="24"/>
        <v>0.36382551740685781</v>
      </c>
      <c r="O35">
        <v>4.1142000000000003</v>
      </c>
      <c r="Q35">
        <f t="shared" si="25"/>
        <v>0.99786197341373895</v>
      </c>
      <c r="R35">
        <f t="shared" si="26"/>
        <v>16.963653548033562</v>
      </c>
      <c r="S35" s="7">
        <f t="shared" si="27"/>
        <v>2.827275591338927E-4</v>
      </c>
      <c r="U35">
        <v>50</v>
      </c>
      <c r="V35">
        <v>70</v>
      </c>
      <c r="W35" s="8">
        <v>1.8828999999999999E-2</v>
      </c>
      <c r="X35" s="10">
        <v>240</v>
      </c>
      <c r="Y35">
        <v>1.7838E-2</v>
      </c>
    </row>
    <row r="36" spans="1:25" x14ac:dyDescent="0.25">
      <c r="B36" s="2">
        <v>2112</v>
      </c>
      <c r="C36">
        <f t="shared" si="28"/>
        <v>221.16812281272144</v>
      </c>
      <c r="D36" s="5">
        <v>1.0075471234151601</v>
      </c>
      <c r="E36" s="8">
        <v>31.981519437650199</v>
      </c>
      <c r="F36" s="5">
        <v>3.3424664174525498</v>
      </c>
      <c r="G36" s="8">
        <v>54.463514185662603</v>
      </c>
      <c r="H36">
        <f t="shared" si="21"/>
        <v>327.61351418566255</v>
      </c>
      <c r="I36">
        <v>19</v>
      </c>
      <c r="J36" s="1">
        <f t="shared" si="22"/>
        <v>3.1666666666666665E-4</v>
      </c>
      <c r="K36">
        <v>36.165910744740373</v>
      </c>
      <c r="L36">
        <v>3.2729093370781328</v>
      </c>
      <c r="M36">
        <f t="shared" si="23"/>
        <v>309.31591074474034</v>
      </c>
      <c r="N36">
        <f t="shared" si="24"/>
        <v>0.32729093370781326</v>
      </c>
      <c r="O36">
        <v>3.6888999999999998</v>
      </c>
      <c r="Q36">
        <f t="shared" si="25"/>
        <v>0.99791760042068167</v>
      </c>
      <c r="R36">
        <f t="shared" si="26"/>
        <v>18.960434407992953</v>
      </c>
      <c r="S36" s="7">
        <f t="shared" si="27"/>
        <v>3.1600724013321587E-4</v>
      </c>
      <c r="U36">
        <v>50</v>
      </c>
      <c r="V36">
        <v>70</v>
      </c>
      <c r="W36" s="8">
        <v>1.8828999999999999E-2</v>
      </c>
      <c r="X36" s="10">
        <v>225</v>
      </c>
      <c r="Y36">
        <v>1.7838E-2</v>
      </c>
    </row>
    <row r="37" spans="1:25" x14ac:dyDescent="0.25">
      <c r="B37" s="2">
        <v>2113</v>
      </c>
      <c r="C37">
        <f>B37*2*PI()/60</f>
        <v>221.27284256784108</v>
      </c>
      <c r="D37" s="5">
        <v>1.00657455969937</v>
      </c>
      <c r="E37" s="8">
        <v>32.002248517148502</v>
      </c>
      <c r="F37" s="5">
        <v>2.5472304393617602</v>
      </c>
      <c r="G37" s="8">
        <v>52.901763654666603</v>
      </c>
      <c r="H37">
        <f t="shared" si="21"/>
        <v>326.05176365466656</v>
      </c>
      <c r="I37">
        <v>26</v>
      </c>
      <c r="J37" s="1">
        <f t="shared" si="22"/>
        <v>4.3333333333333337E-4</v>
      </c>
      <c r="K37">
        <v>37.109925562862749</v>
      </c>
      <c r="L37">
        <v>2.4564213377189379</v>
      </c>
      <c r="M37">
        <f t="shared" si="23"/>
        <v>310.25992556286275</v>
      </c>
      <c r="N37">
        <f t="shared" si="24"/>
        <v>0.24564213377189378</v>
      </c>
      <c r="O37">
        <v>2.7597</v>
      </c>
      <c r="Q37">
        <f t="shared" si="25"/>
        <v>0.99801005747028537</v>
      </c>
      <c r="R37">
        <f t="shared" si="26"/>
        <v>25.94826149422742</v>
      </c>
      <c r="S37" s="7">
        <f t="shared" si="27"/>
        <v>4.3247102490379037E-4</v>
      </c>
      <c r="U37">
        <v>50</v>
      </c>
      <c r="V37">
        <v>70</v>
      </c>
      <c r="W37" s="8">
        <v>1.8828999999999999E-2</v>
      </c>
      <c r="X37" s="10">
        <v>200</v>
      </c>
      <c r="Y37">
        <v>1.7838E-2</v>
      </c>
    </row>
    <row r="42" spans="1:25" ht="21" x14ac:dyDescent="0.35">
      <c r="D42" s="28"/>
      <c r="E42" s="60" t="s">
        <v>6</v>
      </c>
      <c r="F42" s="60"/>
      <c r="G42" s="60"/>
      <c r="H42" s="34"/>
      <c r="I42" s="34"/>
      <c r="J42" s="28"/>
      <c r="K42" s="61" t="s">
        <v>5</v>
      </c>
      <c r="L42" s="61"/>
      <c r="M42" s="61"/>
      <c r="N42" s="29"/>
      <c r="O42" s="60" t="s">
        <v>4</v>
      </c>
      <c r="P42" s="60"/>
      <c r="Q42" s="60"/>
      <c r="S42" s="13"/>
      <c r="T42" s="62" t="s">
        <v>19</v>
      </c>
      <c r="U42" s="62"/>
      <c r="V42" s="62"/>
      <c r="W42" s="62"/>
      <c r="X42" s="62"/>
      <c r="Y42" s="62"/>
    </row>
    <row r="43" spans="1:25" ht="18.75" x14ac:dyDescent="0.3">
      <c r="D43" s="30" t="s">
        <v>35</v>
      </c>
      <c r="E43" s="31" t="s">
        <v>23</v>
      </c>
      <c r="F43" s="31" t="s">
        <v>42</v>
      </c>
      <c r="G43" s="31" t="s">
        <v>0</v>
      </c>
      <c r="H43" s="35"/>
      <c r="I43" s="35"/>
      <c r="J43" s="30" t="s">
        <v>3</v>
      </c>
      <c r="K43" s="31" t="s">
        <v>23</v>
      </c>
      <c r="L43" s="31" t="s">
        <v>1</v>
      </c>
      <c r="M43" s="31" t="s">
        <v>2</v>
      </c>
      <c r="N43" s="31"/>
      <c r="O43" s="31" t="s">
        <v>23</v>
      </c>
      <c r="P43" s="31" t="s">
        <v>1</v>
      </c>
      <c r="Q43" s="31" t="s">
        <v>0</v>
      </c>
      <c r="T43" s="32" t="s">
        <v>21</v>
      </c>
      <c r="U43" s="33" t="s">
        <v>20</v>
      </c>
      <c r="V43" s="32" t="s">
        <v>24</v>
      </c>
      <c r="W43" s="33" t="s">
        <v>18</v>
      </c>
      <c r="X43" s="32" t="s">
        <v>25</v>
      </c>
      <c r="Y43" s="33" t="s">
        <v>22</v>
      </c>
    </row>
    <row r="44" spans="1:25" x14ac:dyDescent="0.25">
      <c r="B44" s="2">
        <f>B3</f>
        <v>1217</v>
      </c>
      <c r="C44" s="10">
        <f>B44*2*PI()/60</f>
        <v>127.44394198062595</v>
      </c>
      <c r="D44" s="25">
        <f>F3</f>
        <v>4.2632226981025712</v>
      </c>
      <c r="E44">
        <v>0.49030000000000001</v>
      </c>
      <c r="G44" s="5">
        <f>S3*O3*1000</f>
        <v>0.3247321478042306</v>
      </c>
      <c r="H44" s="36"/>
      <c r="I44" s="36"/>
      <c r="J44" s="25">
        <v>4.2444180924655104</v>
      </c>
      <c r="K44">
        <v>237.3811</v>
      </c>
      <c r="M44" s="5">
        <f>C44*Q44</f>
        <v>219.923995478764</v>
      </c>
      <c r="O44">
        <v>1.8626</v>
      </c>
      <c r="Q44" s="5">
        <v>1.7256528012308101</v>
      </c>
      <c r="T44" s="9">
        <f>(E44-G44)/G44</f>
        <v>0.50985975153770224</v>
      </c>
      <c r="U44" s="4">
        <f t="shared" ref="U44:U56" si="29">(F44-G44)/G44</f>
        <v>-1</v>
      </c>
      <c r="V44" s="38">
        <f>(K44-M44)/M44</f>
        <v>7.9377898183564388E-2</v>
      </c>
      <c r="W44" s="38">
        <f>(L44-M44)/M44</f>
        <v>-1</v>
      </c>
      <c r="X44" s="4">
        <f>(O44-Q44)/Q44</f>
        <v>7.9359647938167674E-2</v>
      </c>
      <c r="Y44" s="4">
        <f>(P44-Q44)/Q44</f>
        <v>-1</v>
      </c>
    </row>
    <row r="45" spans="1:25" x14ac:dyDescent="0.25">
      <c r="A45" s="22">
        <f>AVERAGE(B44:B48)</f>
        <v>1216</v>
      </c>
      <c r="B45" s="2">
        <f>B4</f>
        <v>1214</v>
      </c>
      <c r="C45" s="10">
        <f t="shared" ref="C45:C48" si="30">B45*2*PI()/60</f>
        <v>127.12978271526696</v>
      </c>
      <c r="D45" s="25">
        <f>F4</f>
        <v>3.7487816777695127</v>
      </c>
      <c r="E45">
        <v>0.49919999999999998</v>
      </c>
      <c r="G45" s="5">
        <f>S4*O4*1000</f>
        <v>0.35673312429200765</v>
      </c>
      <c r="H45" s="36"/>
      <c r="I45" s="36"/>
      <c r="J45" s="25">
        <v>3.7878232240313827</v>
      </c>
      <c r="K45">
        <v>217.6027</v>
      </c>
      <c r="M45" s="5">
        <f>C45*Q45</f>
        <v>201.06346911209982</v>
      </c>
      <c r="O45">
        <v>1.7117</v>
      </c>
      <c r="Q45" s="5">
        <v>1.5815607076307401</v>
      </c>
      <c r="T45" s="9">
        <f t="shared" ref="T45:T48" si="31">(E45-G45)/G45</f>
        <v>0.39936542475762515</v>
      </c>
      <c r="U45" s="4">
        <f t="shared" si="29"/>
        <v>-1</v>
      </c>
      <c r="V45" s="38">
        <f t="shared" ref="V45:V64" si="32">(K45-M45)/M45</f>
        <v>8.2258756207369443E-2</v>
      </c>
      <c r="W45" s="38">
        <f t="shared" ref="W45:W64" si="33">(L45-M45)/M45</f>
        <v>-1</v>
      </c>
      <c r="X45" s="4">
        <f t="shared" ref="X45:X64" si="34">(O45-Q45)/Q45</f>
        <v>8.2285360113817776E-2</v>
      </c>
      <c r="Y45" s="4">
        <f t="shared" ref="Y45:Y64" si="35">(P45-Q45)/Q45</f>
        <v>-1</v>
      </c>
    </row>
    <row r="46" spans="1:25" x14ac:dyDescent="0.25">
      <c r="A46" s="23"/>
      <c r="B46" s="2">
        <f>B5</f>
        <v>1217</v>
      </c>
      <c r="C46" s="10">
        <f t="shared" si="30"/>
        <v>127.44394198062595</v>
      </c>
      <c r="D46" s="25">
        <f>F5</f>
        <v>3.41149288331663</v>
      </c>
      <c r="E46">
        <v>0.50919999999999999</v>
      </c>
      <c r="F46">
        <v>0.52190000000000003</v>
      </c>
      <c r="G46" s="5">
        <f>S5*O5*1000</f>
        <v>0.45316198723503576</v>
      </c>
      <c r="H46" s="36"/>
      <c r="I46" s="36"/>
      <c r="J46" s="25">
        <v>3.4480098649583537</v>
      </c>
      <c r="K46">
        <v>205.1644</v>
      </c>
      <c r="L46">
        <v>205.17250000000001</v>
      </c>
      <c r="M46" s="5">
        <f>C46*Q46</f>
        <v>193.63025834579085</v>
      </c>
      <c r="O46">
        <v>1.6097999999999999</v>
      </c>
      <c r="P46">
        <v>1.6099000000000001</v>
      </c>
      <c r="Q46" s="5">
        <v>1.5193367008000001</v>
      </c>
      <c r="T46" s="9">
        <f t="shared" si="31"/>
        <v>0.12366000314121604</v>
      </c>
      <c r="U46" s="4">
        <f t="shared" si="29"/>
        <v>0.15168530172702416</v>
      </c>
      <c r="V46" s="38">
        <f t="shared" si="32"/>
        <v>5.9567867918717161E-2</v>
      </c>
      <c r="W46" s="38">
        <f t="shared" si="33"/>
        <v>5.9609700223591473E-2</v>
      </c>
      <c r="X46" s="4">
        <f t="shared" si="34"/>
        <v>5.9541311121074608E-2</v>
      </c>
      <c r="Y46" s="4">
        <f t="shared" si="35"/>
        <v>5.9607129316572388E-2</v>
      </c>
    </row>
    <row r="47" spans="1:25" x14ac:dyDescent="0.25">
      <c r="A47" s="23"/>
      <c r="B47" s="2">
        <f>B6</f>
        <v>1215</v>
      </c>
      <c r="C47" s="10">
        <f t="shared" si="30"/>
        <v>127.23450247038662</v>
      </c>
      <c r="D47" s="25">
        <f>F6</f>
        <v>3.0036465230416098</v>
      </c>
      <c r="E47">
        <v>0.52070000000000005</v>
      </c>
      <c r="G47" s="5">
        <f>S6*O6*1000</f>
        <v>0.45543527309811571</v>
      </c>
      <c r="H47" s="36"/>
      <c r="I47" s="36"/>
      <c r="J47" s="25">
        <v>3.0515120209205819</v>
      </c>
      <c r="K47">
        <v>186.5256</v>
      </c>
      <c r="M47" s="5">
        <f>C47*Q47</f>
        <v>176.89683334223687</v>
      </c>
      <c r="O47">
        <v>1.466</v>
      </c>
      <c r="Q47" s="5">
        <v>1.39032125648001</v>
      </c>
      <c r="T47" s="9">
        <f t="shared" si="31"/>
        <v>0.14330187132392835</v>
      </c>
      <c r="U47" s="4">
        <f t="shared" si="29"/>
        <v>-1</v>
      </c>
      <c r="V47" s="38">
        <f t="shared" si="32"/>
        <v>5.4431537726481759E-2</v>
      </c>
      <c r="W47" s="38">
        <f t="shared" si="33"/>
        <v>-1</v>
      </c>
      <c r="X47" s="4">
        <f t="shared" si="34"/>
        <v>5.4432558782559357E-2</v>
      </c>
      <c r="Y47" s="4">
        <f t="shared" si="35"/>
        <v>-1</v>
      </c>
    </row>
    <row r="48" spans="1:25" x14ac:dyDescent="0.25">
      <c r="A48" s="23"/>
      <c r="B48" s="2">
        <f>B7</f>
        <v>1217</v>
      </c>
      <c r="C48" s="10">
        <f t="shared" si="30"/>
        <v>127.44394198062595</v>
      </c>
      <c r="D48" s="25">
        <f>F7</f>
        <v>2.3975521098447876</v>
      </c>
      <c r="E48">
        <v>0.54530000000000001</v>
      </c>
      <c r="G48" s="5">
        <f>S7*O7*1000</f>
        <v>0.45359213147780497</v>
      </c>
      <c r="H48" s="36"/>
      <c r="I48" s="36"/>
      <c r="J48" s="25">
        <v>2.2725055761034807</v>
      </c>
      <c r="K48">
        <v>159.3312</v>
      </c>
      <c r="M48" s="5">
        <f>C48*Q48</f>
        <v>150.01311193399283</v>
      </c>
      <c r="O48">
        <v>1.2502</v>
      </c>
      <c r="Q48" s="5">
        <v>1.1770909593866601</v>
      </c>
      <c r="T48" s="9">
        <f t="shared" si="31"/>
        <v>0.20218134786291472</v>
      </c>
      <c r="U48" s="4">
        <f t="shared" si="29"/>
        <v>-1</v>
      </c>
      <c r="V48" s="38">
        <f t="shared" si="32"/>
        <v>6.211515744108561E-2</v>
      </c>
      <c r="W48" s="38">
        <f t="shared" si="33"/>
        <v>-1</v>
      </c>
      <c r="X48" s="4">
        <f t="shared" si="34"/>
        <v>6.2109932992293469E-2</v>
      </c>
      <c r="Y48" s="4">
        <f t="shared" si="35"/>
        <v>-1</v>
      </c>
    </row>
    <row r="49" spans="1:25" x14ac:dyDescent="0.25">
      <c r="A49" s="24"/>
      <c r="B49" s="19"/>
      <c r="C49" s="16"/>
      <c r="D49" s="20"/>
      <c r="E49" s="16"/>
      <c r="F49" s="16"/>
      <c r="G49" s="16"/>
      <c r="H49" s="36"/>
      <c r="I49" s="36"/>
      <c r="J49" s="20"/>
      <c r="K49" s="16"/>
      <c r="L49" s="16"/>
      <c r="M49" s="16"/>
      <c r="N49" s="16"/>
      <c r="O49" s="16"/>
      <c r="P49" s="16"/>
      <c r="Q49" s="16"/>
      <c r="R49" s="16"/>
      <c r="S49" s="16"/>
      <c r="T49" s="17"/>
      <c r="U49" s="17"/>
      <c r="V49" s="18"/>
      <c r="W49" s="18"/>
      <c r="X49" s="18"/>
      <c r="Y49" s="18"/>
    </row>
    <row r="50" spans="1:25" x14ac:dyDescent="0.25">
      <c r="A50" s="24"/>
      <c r="B50" s="16"/>
      <c r="C50" s="16"/>
      <c r="D50" s="20"/>
      <c r="E50" s="16"/>
      <c r="F50" s="16"/>
      <c r="G50" s="16"/>
      <c r="H50" s="36"/>
      <c r="I50" s="36"/>
      <c r="J50" s="20"/>
      <c r="K50" s="16"/>
      <c r="L50" s="16"/>
      <c r="M50" s="16"/>
      <c r="N50" s="16"/>
      <c r="O50" s="16"/>
      <c r="P50" s="16"/>
      <c r="Q50" s="16"/>
      <c r="R50" s="16"/>
      <c r="S50" s="16"/>
      <c r="T50" s="17"/>
      <c r="U50" s="17"/>
      <c r="V50" s="18"/>
      <c r="W50" s="18"/>
      <c r="X50" s="18"/>
      <c r="Y50" s="18"/>
    </row>
    <row r="51" spans="1:25" x14ac:dyDescent="0.25">
      <c r="B51" s="2">
        <v>1427</v>
      </c>
      <c r="C51" s="10">
        <f>B51*2*PI()/60</f>
        <v>149.4350905557545</v>
      </c>
      <c r="D51" s="25">
        <f t="shared" ref="D51:D56" si="36">F9</f>
        <v>5.253362586763715</v>
      </c>
      <c r="E51">
        <v>0.59950000000000003</v>
      </c>
      <c r="G51" s="5">
        <f t="shared" ref="G51:G56" si="37">S9*O9*1000</f>
        <v>0.49942621079699617</v>
      </c>
      <c r="H51" s="36"/>
      <c r="I51" s="36"/>
      <c r="J51" s="25">
        <v>5.2406701587576698</v>
      </c>
      <c r="K51">
        <v>315.46120000000002</v>
      </c>
      <c r="M51" s="5">
        <f>C51*Q51</f>
        <v>312.41254145595809</v>
      </c>
      <c r="O51">
        <v>2.1110000000000002</v>
      </c>
      <c r="Q51" s="5">
        <v>2.0906236968444598</v>
      </c>
      <c r="T51" s="9">
        <f>(E51-G51)/G51</f>
        <v>0.20037752732942016</v>
      </c>
      <c r="U51" s="4">
        <f t="shared" si="29"/>
        <v>-1</v>
      </c>
      <c r="V51" s="38">
        <f t="shared" ref="V51:V55" si="38">(K51-M51)/M51</f>
        <v>9.7584384091434044E-3</v>
      </c>
      <c r="W51" s="38">
        <f t="shared" ref="W51:W55" si="39">(L51-M51)/M51</f>
        <v>-1</v>
      </c>
      <c r="X51" s="4">
        <f t="shared" ref="X51:X55" si="40">(O51-Q51)/Q51</f>
        <v>9.7465187954656456E-3</v>
      </c>
      <c r="Y51" s="4">
        <f>(P51-Q51)/Q51</f>
        <v>-1</v>
      </c>
    </row>
    <row r="52" spans="1:25" x14ac:dyDescent="0.25">
      <c r="A52" s="22">
        <f>AVERAGE(B51:B56)</f>
        <v>1416.6666666666667</v>
      </c>
      <c r="B52" s="2">
        <f>B10</f>
        <v>1411</v>
      </c>
      <c r="C52" s="10">
        <f>B52*2*PI()/60</f>
        <v>147.75957447383993</v>
      </c>
      <c r="D52" s="25">
        <f t="shared" si="36"/>
        <v>4.8223075689095696</v>
      </c>
      <c r="E52">
        <v>0.59489999999999998</v>
      </c>
      <c r="G52" s="5">
        <f t="shared" si="37"/>
        <v>0.51458234662294589</v>
      </c>
      <c r="H52" s="36"/>
      <c r="I52" s="36"/>
      <c r="J52" s="25">
        <v>4.8223075689095696</v>
      </c>
      <c r="K52">
        <v>295.88740000000001</v>
      </c>
      <c r="M52" s="5">
        <f>Q52*C52</f>
        <v>277.23925387205941</v>
      </c>
      <c r="O52">
        <v>2.0024999999999999</v>
      </c>
      <c r="Q52" s="5">
        <v>1.8762862228000201</v>
      </c>
      <c r="T52" s="9">
        <f t="shared" ref="T52:T56" si="41">(E52-G52)/G52</f>
        <v>0.15608318844234645</v>
      </c>
      <c r="U52" s="4">
        <f t="shared" si="29"/>
        <v>-1</v>
      </c>
      <c r="V52" s="38">
        <f t="shared" si="38"/>
        <v>6.7263729314992193E-2</v>
      </c>
      <c r="W52" s="38">
        <f t="shared" si="39"/>
        <v>-1</v>
      </c>
      <c r="X52" s="4">
        <f t="shared" si="40"/>
        <v>6.726786972385719E-2</v>
      </c>
      <c r="Y52" s="4">
        <f t="shared" ref="Y52:Y55" si="42">(P52-Q52)/Q52</f>
        <v>-1</v>
      </c>
    </row>
    <row r="53" spans="1:25" x14ac:dyDescent="0.25">
      <c r="A53" s="23"/>
      <c r="B53" s="2">
        <f>B11</f>
        <v>1412</v>
      </c>
      <c r="C53" s="10">
        <f t="shared" ref="C53:C56" si="43">B53*2*PI()/60</f>
        <v>147.86429422895961</v>
      </c>
      <c r="D53" s="25">
        <f t="shared" si="36"/>
        <v>4.236297847863618</v>
      </c>
      <c r="E53">
        <v>0.60740000000000005</v>
      </c>
      <c r="G53" s="5">
        <f t="shared" si="37"/>
        <v>0.48213212885652895</v>
      </c>
      <c r="H53" s="36"/>
      <c r="I53" s="36"/>
      <c r="J53" s="25">
        <v>4.2133657686475736</v>
      </c>
      <c r="K53">
        <v>274.14609999999999</v>
      </c>
      <c r="M53" s="5">
        <f>C53*Q53</f>
        <v>252.5835649599077</v>
      </c>
      <c r="O53">
        <v>1.8540000000000001</v>
      </c>
      <c r="Q53" s="5">
        <v>1.7082120215499501</v>
      </c>
      <c r="T53" s="9">
        <f t="shared" si="41"/>
        <v>0.25982062518954807</v>
      </c>
      <c r="U53" s="4">
        <f t="shared" si="29"/>
        <v>-1</v>
      </c>
      <c r="V53" s="38">
        <f>(K53-M53)/M53</f>
        <v>8.5367925832842223E-2</v>
      </c>
      <c r="W53" s="38">
        <f t="shared" si="39"/>
        <v>-1</v>
      </c>
      <c r="X53" s="4">
        <f t="shared" si="40"/>
        <v>8.5345364984475952E-2</v>
      </c>
      <c r="Y53" s="4">
        <f t="shared" si="42"/>
        <v>-1</v>
      </c>
    </row>
    <row r="54" spans="1:25" x14ac:dyDescent="0.25">
      <c r="A54" s="23"/>
      <c r="B54" s="2">
        <f>B12</f>
        <v>1415</v>
      </c>
      <c r="C54" s="10">
        <f t="shared" si="43"/>
        <v>148.17845349431857</v>
      </c>
      <c r="D54" s="25">
        <f t="shared" si="36"/>
        <v>3.661602244140135</v>
      </c>
      <c r="E54">
        <v>0.62160000000000004</v>
      </c>
      <c r="G54" s="5">
        <f t="shared" si="37"/>
        <v>0.55282985811386409</v>
      </c>
      <c r="H54" s="36"/>
      <c r="I54" s="36"/>
      <c r="J54" s="25">
        <v>3.6648343363992262</v>
      </c>
      <c r="K54">
        <v>248.19139999999999</v>
      </c>
      <c r="M54" s="5">
        <f>C54*Q54</f>
        <v>233.85095355199863</v>
      </c>
      <c r="O54">
        <v>1.6749000000000001</v>
      </c>
      <c r="Q54" s="5">
        <v>1.5781711040800199</v>
      </c>
      <c r="T54" s="9">
        <f>(E54-G54)/G54</f>
        <v>0.12439657677095228</v>
      </c>
      <c r="U54" s="4">
        <f t="shared" si="29"/>
        <v>-1</v>
      </c>
      <c r="V54" s="38">
        <f t="shared" si="38"/>
        <v>6.1323018915176865E-2</v>
      </c>
      <c r="W54" s="38">
        <f t="shared" si="39"/>
        <v>-1</v>
      </c>
      <c r="X54" s="4">
        <f t="shared" si="40"/>
        <v>6.1291767204397864E-2</v>
      </c>
      <c r="Y54" s="4">
        <f t="shared" si="42"/>
        <v>-1</v>
      </c>
    </row>
    <row r="55" spans="1:25" x14ac:dyDescent="0.25">
      <c r="A55" s="23"/>
      <c r="B55" s="2">
        <f>B13</f>
        <v>1412</v>
      </c>
      <c r="C55" s="10">
        <f t="shared" si="43"/>
        <v>147.86429422895961</v>
      </c>
      <c r="D55" s="25">
        <f t="shared" si="36"/>
        <v>2.9220510847489072</v>
      </c>
      <c r="E55">
        <v>0.64170000000000005</v>
      </c>
      <c r="G55" s="5">
        <f t="shared" si="37"/>
        <v>0.55064360312853888</v>
      </c>
      <c r="H55" s="36"/>
      <c r="I55" s="36"/>
      <c r="J55" s="25">
        <v>2.9593285147529595</v>
      </c>
      <c r="K55">
        <v>211.5847</v>
      </c>
      <c r="M55" s="5">
        <f>C55*Q55</f>
        <v>203.92491114934344</v>
      </c>
      <c r="O55">
        <v>1.4309000000000001</v>
      </c>
      <c r="Q55" s="5">
        <v>1.37913559330001</v>
      </c>
      <c r="T55" s="9">
        <f t="shared" si="41"/>
        <v>0.165363578826876</v>
      </c>
      <c r="U55" s="4">
        <f t="shared" si="29"/>
        <v>-1</v>
      </c>
      <c r="V55" s="38">
        <f t="shared" si="38"/>
        <v>3.7561810410925933E-2</v>
      </c>
      <c r="W55" s="38">
        <f t="shared" si="39"/>
        <v>-1</v>
      </c>
      <c r="X55" s="4">
        <f t="shared" si="40"/>
        <v>3.753395021596654E-2</v>
      </c>
      <c r="Y55" s="4">
        <f t="shared" si="42"/>
        <v>-1</v>
      </c>
    </row>
    <row r="56" spans="1:25" x14ac:dyDescent="0.25">
      <c r="A56" s="23"/>
      <c r="B56" s="2">
        <f>B14</f>
        <v>1423</v>
      </c>
      <c r="C56" s="10">
        <f t="shared" si="43"/>
        <v>149.01621153527586</v>
      </c>
      <c r="D56" s="25">
        <f t="shared" si="36"/>
        <v>2.6698755104625538</v>
      </c>
      <c r="E56">
        <v>0.65810000000000002</v>
      </c>
      <c r="G56" s="5">
        <f t="shared" si="37"/>
        <v>0.60090268980389583</v>
      </c>
      <c r="H56" s="36"/>
      <c r="I56" s="36"/>
      <c r="J56" s="25">
        <v>2.6546208338669319</v>
      </c>
      <c r="K56">
        <v>200.6003</v>
      </c>
      <c r="M56" s="5">
        <f>C56*Q56</f>
        <v>199.07794559162474</v>
      </c>
      <c r="O56">
        <v>1.3462000000000001</v>
      </c>
      <c r="Q56" s="5">
        <v>1.3359482403999918</v>
      </c>
      <c r="T56" s="9">
        <f t="shared" si="41"/>
        <v>9.5185645141263209E-2</v>
      </c>
      <c r="U56" s="4">
        <f t="shared" si="29"/>
        <v>-1</v>
      </c>
      <c r="V56" s="38">
        <f t="shared" si="32"/>
        <v>7.6470269162718851E-3</v>
      </c>
      <c r="W56" s="38">
        <f t="shared" si="33"/>
        <v>-1</v>
      </c>
      <c r="X56" s="4">
        <f>(O56-Q56)/Q56</f>
        <v>7.6737700533508627E-3</v>
      </c>
      <c r="Y56" s="4">
        <f t="shared" si="35"/>
        <v>-1</v>
      </c>
    </row>
    <row r="57" spans="1:25" x14ac:dyDescent="0.25">
      <c r="A57" s="24"/>
      <c r="B57" s="16"/>
      <c r="C57" s="16"/>
      <c r="D57" s="20"/>
      <c r="E57" s="16"/>
      <c r="F57" s="16"/>
      <c r="G57" s="16"/>
      <c r="H57" s="36"/>
      <c r="I57" s="36"/>
      <c r="J57" s="20"/>
      <c r="K57" s="16"/>
      <c r="L57" s="16"/>
      <c r="M57" s="16"/>
      <c r="N57" s="16"/>
      <c r="O57" s="16"/>
      <c r="P57" s="16"/>
      <c r="Q57" s="16"/>
      <c r="R57" s="16"/>
      <c r="S57" s="16"/>
      <c r="T57" s="17"/>
      <c r="U57" s="17"/>
      <c r="V57" s="18"/>
      <c r="W57" s="18"/>
      <c r="X57" s="18"/>
      <c r="Y57" s="18"/>
    </row>
    <row r="58" spans="1:25" x14ac:dyDescent="0.25">
      <c r="A58" s="24"/>
      <c r="B58" s="16"/>
      <c r="C58" s="16"/>
      <c r="D58" s="20"/>
      <c r="E58" s="16"/>
      <c r="F58" s="16"/>
      <c r="G58" s="16"/>
      <c r="H58" s="36"/>
      <c r="I58" s="36"/>
      <c r="J58" s="20"/>
      <c r="K58" s="16"/>
      <c r="L58" s="16"/>
      <c r="M58" s="16"/>
      <c r="N58" s="16"/>
      <c r="O58" s="16"/>
      <c r="P58" s="16"/>
      <c r="Q58" s="16"/>
      <c r="R58" s="16"/>
      <c r="S58" s="16"/>
      <c r="T58" s="17"/>
      <c r="U58" s="17"/>
      <c r="V58" s="18"/>
      <c r="W58" s="18"/>
      <c r="X58" s="18"/>
      <c r="Y58" s="18"/>
    </row>
    <row r="59" spans="1:25" x14ac:dyDescent="0.25">
      <c r="B59" s="2">
        <f t="shared" ref="B59:B64" si="44">B16</f>
        <v>1638</v>
      </c>
      <c r="C59" s="10">
        <f t="shared" ref="C59:C64" si="45">B59*2*PI()/60</f>
        <v>171.53095888600271</v>
      </c>
      <c r="D59" s="25">
        <f t="shared" ref="D59:D64" si="46">F16</f>
        <v>5.2676677023988514</v>
      </c>
      <c r="E59">
        <v>0.72150000000000003</v>
      </c>
      <c r="G59" s="5">
        <f t="shared" ref="G59:G64" si="47">S16*O16*1000</f>
        <v>0.50071646745959986</v>
      </c>
      <c r="H59" s="36"/>
      <c r="I59" s="36"/>
      <c r="J59" s="25">
        <v>5.2676677023988514</v>
      </c>
      <c r="K59">
        <v>369.75490000000002</v>
      </c>
      <c r="M59" s="5">
        <f t="shared" ref="M59:M64" si="48">C59*Q59</f>
        <v>350.36119156039933</v>
      </c>
      <c r="O59">
        <v>2.1556000000000002</v>
      </c>
      <c r="Q59" s="5">
        <v>2.0425536814799998</v>
      </c>
      <c r="T59" s="9">
        <f>(E59-G59)/G59</f>
        <v>0.44093523358748737</v>
      </c>
      <c r="U59" s="4">
        <f t="shared" ref="U59:U62" si="49">(F59-G59)/G59</f>
        <v>-1</v>
      </c>
      <c r="V59" s="38">
        <f t="shared" si="32"/>
        <v>5.5353472093262288E-2</v>
      </c>
      <c r="W59" s="38">
        <f t="shared" si="33"/>
        <v>-1</v>
      </c>
      <c r="X59" s="4">
        <f t="shared" si="34"/>
        <v>5.5345580165163104E-2</v>
      </c>
      <c r="Y59" s="4">
        <f t="shared" si="35"/>
        <v>-1</v>
      </c>
    </row>
    <row r="60" spans="1:25" x14ac:dyDescent="0.25">
      <c r="A60" s="22">
        <f>AVERAGE(B59:B64)</f>
        <v>1638.8333333333333</v>
      </c>
      <c r="B60" s="2">
        <f t="shared" si="44"/>
        <v>1638</v>
      </c>
      <c r="C60" s="10">
        <f t="shared" si="45"/>
        <v>171.53095888600271</v>
      </c>
      <c r="D60" s="25">
        <f t="shared" si="46"/>
        <v>4.5488778229227904</v>
      </c>
      <c r="E60">
        <v>0.73440000000000005</v>
      </c>
      <c r="G60" s="5">
        <f t="shared" si="47"/>
        <v>0.60263466997840687</v>
      </c>
      <c r="H60" s="36"/>
      <c r="I60" s="36"/>
      <c r="J60" s="25">
        <v>4.5360871409008512</v>
      </c>
      <c r="K60">
        <v>339.37029999999999</v>
      </c>
      <c r="M60" s="5">
        <f t="shared" si="48"/>
        <v>318.37107478027991</v>
      </c>
      <c r="O60">
        <v>1.9784999999999999</v>
      </c>
      <c r="Q60" s="5">
        <v>1.85605605453337</v>
      </c>
      <c r="T60" s="9">
        <f t="shared" ref="T60:T64" si="50">(E60-G60)/G60</f>
        <v>0.21864877111420505</v>
      </c>
      <c r="U60" s="4">
        <f t="shared" si="49"/>
        <v>-1</v>
      </c>
      <c r="V60" s="38">
        <f t="shared" si="32"/>
        <v>6.5958332534488087E-2</v>
      </c>
      <c r="W60" s="38">
        <f t="shared" si="33"/>
        <v>-1</v>
      </c>
      <c r="X60" s="4">
        <f t="shared" si="34"/>
        <v>6.5969960965114025E-2</v>
      </c>
      <c r="Y60" s="4">
        <f t="shared" si="35"/>
        <v>-1</v>
      </c>
    </row>
    <row r="61" spans="1:25" x14ac:dyDescent="0.25">
      <c r="A61" s="22"/>
      <c r="B61" s="2">
        <f t="shared" si="44"/>
        <v>1639</v>
      </c>
      <c r="C61" s="10">
        <f t="shared" si="45"/>
        <v>171.63567864112238</v>
      </c>
      <c r="D61" s="25">
        <f t="shared" si="46"/>
        <v>3.6851917499746301</v>
      </c>
      <c r="E61">
        <v>0.75649999999999995</v>
      </c>
      <c r="G61" s="5">
        <f t="shared" si="47"/>
        <v>0.69666610752823155</v>
      </c>
      <c r="H61" s="36"/>
      <c r="I61" s="36"/>
      <c r="J61" s="25">
        <v>3.6590501925338441</v>
      </c>
      <c r="K61">
        <v>295.21390000000002</v>
      </c>
      <c r="M61" s="5">
        <f t="shared" si="48"/>
        <v>289.30173145285579</v>
      </c>
      <c r="O61">
        <v>1.72</v>
      </c>
      <c r="Q61" s="5">
        <v>1.6855570691555599</v>
      </c>
      <c r="T61" s="9">
        <f>(E61-G61)/G61</f>
        <v>8.5886038986536614E-2</v>
      </c>
      <c r="U61" s="4">
        <f t="shared" si="49"/>
        <v>-1</v>
      </c>
      <c r="V61" s="38">
        <f t="shared" si="32"/>
        <v>2.043599434214818E-2</v>
      </c>
      <c r="W61" s="38">
        <f t="shared" si="33"/>
        <v>-1</v>
      </c>
      <c r="X61" s="4">
        <f t="shared" si="34"/>
        <v>2.0434152883174388E-2</v>
      </c>
      <c r="Y61" s="4">
        <f t="shared" si="35"/>
        <v>-1</v>
      </c>
    </row>
    <row r="62" spans="1:25" x14ac:dyDescent="0.25">
      <c r="A62" s="23"/>
      <c r="B62" s="2">
        <f t="shared" si="44"/>
        <v>1639</v>
      </c>
      <c r="C62" s="10">
        <f t="shared" si="45"/>
        <v>171.63567864112238</v>
      </c>
      <c r="D62" s="25">
        <f t="shared" si="46"/>
        <v>3.2641584944265172</v>
      </c>
      <c r="E62">
        <v>0.76780000000000004</v>
      </c>
      <c r="G62" s="5">
        <f t="shared" si="47"/>
        <v>0.73556884310464887</v>
      </c>
      <c r="H62" s="36"/>
      <c r="I62" s="36"/>
      <c r="J62" s="25">
        <v>3.2748617732348366</v>
      </c>
      <c r="K62">
        <v>271.54809999999998</v>
      </c>
      <c r="M62" s="5">
        <f t="shared" si="48"/>
        <v>271.84554968579704</v>
      </c>
      <c r="O62">
        <v>1.5821000000000001</v>
      </c>
      <c r="Q62" s="5">
        <v>1.58385221440005</v>
      </c>
      <c r="T62" s="9">
        <f t="shared" si="50"/>
        <v>4.3818001805666015E-2</v>
      </c>
      <c r="U62" s="4">
        <f t="shared" si="49"/>
        <v>-1</v>
      </c>
      <c r="V62" s="38">
        <f t="shared" si="32"/>
        <v>-1.0941863353689575E-3</v>
      </c>
      <c r="W62" s="38">
        <f>(L62-M62)/M62</f>
        <v>-1</v>
      </c>
      <c r="X62" s="4">
        <f t="shared" si="34"/>
        <v>-1.1062991762231023E-3</v>
      </c>
      <c r="Y62" s="4">
        <f t="shared" si="35"/>
        <v>-1</v>
      </c>
    </row>
    <row r="63" spans="1:25" x14ac:dyDescent="0.25">
      <c r="A63" s="23"/>
      <c r="B63" s="2">
        <f t="shared" si="44"/>
        <v>1639</v>
      </c>
      <c r="C63" s="10">
        <f t="shared" si="45"/>
        <v>171.63567864112238</v>
      </c>
      <c r="D63" s="25">
        <f t="shared" si="46"/>
        <v>3.0682354873155302</v>
      </c>
      <c r="E63">
        <v>0.77439999999999998</v>
      </c>
      <c r="G63" s="5">
        <f t="shared" si="47"/>
        <v>0.80311495788323939</v>
      </c>
      <c r="H63" s="36"/>
      <c r="I63" s="36"/>
      <c r="J63" s="25">
        <v>3.0456727654803633</v>
      </c>
      <c r="K63">
        <v>260.2448</v>
      </c>
      <c r="M63" s="5">
        <f t="shared" si="48"/>
        <v>257.37260775625094</v>
      </c>
      <c r="O63">
        <v>1.5163</v>
      </c>
      <c r="Q63" s="5">
        <v>1.49952859332003</v>
      </c>
      <c r="T63" s="9">
        <f t="shared" si="50"/>
        <v>-3.5754480228986252E-2</v>
      </c>
      <c r="U63" s="4">
        <f>(F63-G63)/G63</f>
        <v>-1</v>
      </c>
      <c r="V63" s="38">
        <f t="shared" si="32"/>
        <v>1.115966562560229E-2</v>
      </c>
      <c r="W63" s="38">
        <f>(L63-M63)/M63</f>
        <v>-1</v>
      </c>
      <c r="X63" s="4">
        <f t="shared" si="34"/>
        <v>1.1184452737134738E-2</v>
      </c>
      <c r="Y63" s="4">
        <f t="shared" si="35"/>
        <v>-1</v>
      </c>
    </row>
    <row r="64" spans="1:25" x14ac:dyDescent="0.25">
      <c r="A64" s="23"/>
      <c r="B64" s="2">
        <f t="shared" si="44"/>
        <v>1640</v>
      </c>
      <c r="C64" s="10">
        <f t="shared" si="45"/>
        <v>171.74039839624203</v>
      </c>
      <c r="D64" s="25">
        <f t="shared" si="46"/>
        <v>2.8293806275398499</v>
      </c>
      <c r="E64">
        <v>0.78300000000000003</v>
      </c>
      <c r="G64" s="5">
        <f t="shared" si="47"/>
        <v>0.84332212411016105</v>
      </c>
      <c r="H64" s="36"/>
      <c r="I64" s="36"/>
      <c r="J64" s="25">
        <v>2.8706691758127212</v>
      </c>
      <c r="K64">
        <v>245.3673</v>
      </c>
      <c r="M64" s="5">
        <f t="shared" si="48"/>
        <v>242.54161373792925</v>
      </c>
      <c r="O64">
        <v>1.4287000000000001</v>
      </c>
      <c r="Q64" s="5">
        <v>1.4122571975076801</v>
      </c>
      <c r="T64" s="9">
        <f t="shared" si="50"/>
        <v>-7.1529161142084893E-2</v>
      </c>
      <c r="U64" s="4">
        <f t="shared" ref="U64:U82" si="51">(F64-G64)/G64</f>
        <v>-1</v>
      </c>
      <c r="V64" s="38">
        <f t="shared" si="32"/>
        <v>1.165031525321652E-2</v>
      </c>
      <c r="W64" s="38">
        <f t="shared" si="33"/>
        <v>-1</v>
      </c>
      <c r="X64" s="4">
        <f t="shared" si="34"/>
        <v>1.1642923485423113E-2</v>
      </c>
      <c r="Y64" s="4">
        <f t="shared" si="35"/>
        <v>-1</v>
      </c>
    </row>
    <row r="65" spans="1:25" x14ac:dyDescent="0.25">
      <c r="A65" s="24"/>
      <c r="B65" s="16"/>
      <c r="C65" s="16"/>
      <c r="D65" s="20"/>
      <c r="E65" s="16"/>
      <c r="F65" s="16"/>
      <c r="G65" s="16"/>
      <c r="H65" s="36"/>
      <c r="I65" s="36"/>
      <c r="J65" s="20"/>
      <c r="K65" s="16"/>
      <c r="L65" s="16"/>
      <c r="M65" s="16"/>
      <c r="N65" s="16"/>
      <c r="O65" s="16"/>
      <c r="P65" s="16"/>
      <c r="Q65" s="16"/>
      <c r="R65" s="16"/>
      <c r="S65" s="16"/>
      <c r="T65" s="17"/>
      <c r="U65" s="17"/>
      <c r="V65" s="18"/>
      <c r="W65" s="18"/>
      <c r="X65" s="18"/>
      <c r="Y65" s="18"/>
    </row>
    <row r="66" spans="1:25" x14ac:dyDescent="0.25">
      <c r="A66" s="24"/>
      <c r="B66" s="16"/>
      <c r="C66" s="16"/>
      <c r="D66" s="20"/>
      <c r="E66" s="16"/>
      <c r="F66" s="16"/>
      <c r="G66" s="16"/>
      <c r="H66" s="36"/>
      <c r="I66" s="36"/>
      <c r="J66" s="20"/>
      <c r="K66" s="16"/>
      <c r="L66" s="16"/>
      <c r="M66" s="16"/>
      <c r="N66" s="16"/>
      <c r="O66" s="16"/>
      <c r="P66" s="16"/>
      <c r="Q66" s="16"/>
      <c r="R66" s="26" t="s">
        <v>40</v>
      </c>
      <c r="S66" s="16"/>
      <c r="T66" s="16"/>
      <c r="U66" s="16"/>
      <c r="V66" s="16"/>
      <c r="W66" s="16"/>
      <c r="X66" s="16"/>
      <c r="Y66" s="16"/>
    </row>
    <row r="67" spans="1:25" x14ac:dyDescent="0.25">
      <c r="A67" s="22">
        <f>AVERAGE(B67:B72)</f>
        <v>1838.5</v>
      </c>
      <c r="B67" s="2">
        <f t="shared" ref="B67:B72" si="52">B23</f>
        <v>1837</v>
      </c>
      <c r="C67" s="10">
        <f t="shared" ref="C67:C72" si="53">B67*2*PI()/60</f>
        <v>192.37019015481502</v>
      </c>
      <c r="D67" s="25">
        <f t="shared" ref="D67:D72" si="54">F23</f>
        <v>5.0653949430406557</v>
      </c>
      <c r="E67">
        <v>0.84360000000000002</v>
      </c>
      <c r="G67" s="5">
        <f t="shared" ref="G67:G72" si="55">S23*O23*1000</f>
        <v>0.80530956514993424</v>
      </c>
      <c r="H67" s="36"/>
      <c r="I67" s="36"/>
      <c r="J67" s="25">
        <v>5.0955470072880154</v>
      </c>
      <c r="K67">
        <v>408.30419999999998</v>
      </c>
      <c r="M67" s="5">
        <f t="shared" ref="M67:M72" si="56">C67*Q67</f>
        <v>414.98108314334672</v>
      </c>
      <c r="O67">
        <v>2.1225000000000001</v>
      </c>
      <c r="Q67" s="5">
        <f>R67*-1</f>
        <v>2.15720056631113</v>
      </c>
      <c r="R67">
        <v>-2.15720056631113</v>
      </c>
      <c r="T67" s="9">
        <f>(E67-G67)/G67</f>
        <v>4.7547473055205527E-2</v>
      </c>
      <c r="U67" s="4">
        <f t="shared" si="51"/>
        <v>-1</v>
      </c>
      <c r="V67" s="38">
        <f t="shared" ref="V67:V72" si="57">(K67-M67)/M67</f>
        <v>-1.6089608453405936E-2</v>
      </c>
      <c r="W67" s="38">
        <f t="shared" ref="W67:W72" si="58">(L67-M67)/M67</f>
        <v>-1</v>
      </c>
      <c r="X67" s="4">
        <f t="shared" ref="X67" si="59">(O67-Q67)/Q67</f>
        <v>-1.6085924903343055E-2</v>
      </c>
      <c r="Y67" s="4">
        <f>(P67-Q67)/Q67</f>
        <v>-1</v>
      </c>
    </row>
    <row r="68" spans="1:25" x14ac:dyDescent="0.25">
      <c r="A68" s="21">
        <v>1.1637999999999999</v>
      </c>
      <c r="B68" s="2">
        <f t="shared" si="52"/>
        <v>1837</v>
      </c>
      <c r="C68" s="10">
        <f t="shared" si="53"/>
        <v>192.37019015481502</v>
      </c>
      <c r="D68" s="25">
        <f t="shared" si="54"/>
        <v>4.5816778072219542</v>
      </c>
      <c r="E68">
        <v>0.85299999999999998</v>
      </c>
      <c r="G68" s="5">
        <f t="shared" si="55"/>
        <v>0.85827402956532706</v>
      </c>
      <c r="H68" s="36"/>
      <c r="I68" s="36"/>
      <c r="J68" s="25">
        <v>4.5563243588018114</v>
      </c>
      <c r="K68">
        <v>384.7869</v>
      </c>
      <c r="M68" s="5">
        <f t="shared" si="56"/>
        <v>377.6009892173239</v>
      </c>
      <c r="O68">
        <v>2.0002</v>
      </c>
      <c r="Q68" s="5">
        <f t="shared" ref="Q68:Q72" si="60">R68*-1</f>
        <v>1.9628872275555764</v>
      </c>
      <c r="R68">
        <v>-1.9628872275555764</v>
      </c>
      <c r="T68" s="9">
        <f t="shared" ref="T68:T72" si="61">(E68-G68)/G68</f>
        <v>-6.1449250281965413E-3</v>
      </c>
      <c r="U68" s="4">
        <f t="shared" si="51"/>
        <v>-1</v>
      </c>
      <c r="V68" s="38">
        <f t="shared" si="57"/>
        <v>1.9030434209324421E-2</v>
      </c>
      <c r="W68" s="38">
        <f t="shared" si="58"/>
        <v>-1</v>
      </c>
      <c r="X68" s="4">
        <f>(O68-Q68)/Q68</f>
        <v>1.900912692314469E-2</v>
      </c>
      <c r="Y68" s="4">
        <f t="shared" ref="Y68:Y72" si="62">(P68-Q68)/Q68</f>
        <v>-1</v>
      </c>
    </row>
    <row r="69" spans="1:25" x14ac:dyDescent="0.25">
      <c r="A69" s="23"/>
      <c r="B69" s="2">
        <f t="shared" si="52"/>
        <v>1839</v>
      </c>
      <c r="C69" s="10">
        <f t="shared" si="53"/>
        <v>192.57962966505431</v>
      </c>
      <c r="D69" s="25">
        <f t="shared" si="54"/>
        <v>4.0282260804900449</v>
      </c>
      <c r="E69">
        <v>0.86799999999999999</v>
      </c>
      <c r="G69" s="5">
        <f t="shared" si="55"/>
        <v>0.90545505322499509</v>
      </c>
      <c r="H69" s="36"/>
      <c r="I69" s="36"/>
      <c r="J69" s="25">
        <v>3.9555644863642447</v>
      </c>
      <c r="K69">
        <v>356.0102</v>
      </c>
      <c r="M69" s="5">
        <f t="shared" si="56"/>
        <v>348.33822229195874</v>
      </c>
      <c r="O69">
        <v>1.8486</v>
      </c>
      <c r="Q69" s="5">
        <f t="shared" si="60"/>
        <v>1.8088009770182278</v>
      </c>
      <c r="R69">
        <v>-1.8088009770182278</v>
      </c>
      <c r="T69" s="9">
        <f t="shared" si="61"/>
        <v>-4.1365999440380781E-2</v>
      </c>
      <c r="U69" s="4">
        <f t="shared" si="51"/>
        <v>-1</v>
      </c>
      <c r="V69" s="38">
        <f t="shared" si="57"/>
        <v>2.2024507266420527E-2</v>
      </c>
      <c r="W69" s="38">
        <f t="shared" si="58"/>
        <v>-1</v>
      </c>
      <c r="X69" s="4">
        <f t="shared" ref="X69:X72" si="63">(O69-Q69)/Q69</f>
        <v>2.2002986225372386E-2</v>
      </c>
      <c r="Y69" s="4">
        <f t="shared" si="62"/>
        <v>-1</v>
      </c>
    </row>
    <row r="70" spans="1:25" x14ac:dyDescent="0.25">
      <c r="A70" s="23"/>
      <c r="B70" s="2">
        <f t="shared" si="52"/>
        <v>1839</v>
      </c>
      <c r="C70" s="10">
        <f t="shared" si="53"/>
        <v>192.57962966505431</v>
      </c>
      <c r="D70" s="25">
        <f t="shared" si="54"/>
        <v>3.6533986868675403</v>
      </c>
      <c r="E70">
        <v>0.87719999999999998</v>
      </c>
      <c r="G70" s="5">
        <f t="shared" si="55"/>
        <v>1.0884625091260001</v>
      </c>
      <c r="H70" s="36"/>
      <c r="I70" s="36"/>
      <c r="J70" s="25">
        <v>3.5979343489934528</v>
      </c>
      <c r="K70">
        <v>331.26920000000001</v>
      </c>
      <c r="M70" s="5">
        <f t="shared" si="56"/>
        <v>344.11790533548407</v>
      </c>
      <c r="O70">
        <v>1.7202</v>
      </c>
      <c r="Q70" s="5">
        <f t="shared" si="60"/>
        <v>1.7868863178000391</v>
      </c>
      <c r="R70">
        <v>-1.7868863178000391</v>
      </c>
      <c r="T70" s="9">
        <f t="shared" si="61"/>
        <v>-0.19409259148083749</v>
      </c>
      <c r="U70" s="4">
        <f t="shared" si="51"/>
        <v>-1</v>
      </c>
      <c r="V70" s="38">
        <f t="shared" si="57"/>
        <v>-3.7338090044915624E-2</v>
      </c>
      <c r="W70" s="38">
        <f t="shared" si="58"/>
        <v>-1</v>
      </c>
      <c r="X70" s="4">
        <f t="shared" si="63"/>
        <v>-3.7319843537747491E-2</v>
      </c>
      <c r="Y70" s="4">
        <f t="shared" si="62"/>
        <v>-1</v>
      </c>
    </row>
    <row r="71" spans="1:25" x14ac:dyDescent="0.25">
      <c r="A71" s="23"/>
      <c r="B71" s="2">
        <f t="shared" si="52"/>
        <v>1839</v>
      </c>
      <c r="C71" s="10">
        <f t="shared" si="53"/>
        <v>192.57962966505431</v>
      </c>
      <c r="D71" s="25">
        <f t="shared" si="54"/>
        <v>3.0732756854133072</v>
      </c>
      <c r="E71">
        <v>0.89439999999999997</v>
      </c>
      <c r="F71">
        <v>0.91859999999999997</v>
      </c>
      <c r="G71" s="5">
        <f t="shared" si="55"/>
        <v>1.0201251626579322</v>
      </c>
      <c r="H71" s="36"/>
      <c r="I71" s="36"/>
      <c r="J71" s="25">
        <v>3.1121112229606274</v>
      </c>
      <c r="K71">
        <v>293.71539999999999</v>
      </c>
      <c r="L71">
        <v>293.83199999999999</v>
      </c>
      <c r="M71" s="5">
        <f t="shared" si="56"/>
        <v>310.51013897327994</v>
      </c>
      <c r="O71">
        <v>1.5251999999999999</v>
      </c>
      <c r="P71">
        <v>1.5258</v>
      </c>
      <c r="Q71" s="5">
        <f t="shared" si="60"/>
        <v>1.612372707920029</v>
      </c>
      <c r="R71">
        <v>-1.612372707920029</v>
      </c>
      <c r="T71" s="9">
        <f t="shared" si="61"/>
        <v>-0.12324484020211381</v>
      </c>
      <c r="U71" s="4">
        <f t="shared" si="51"/>
        <v>-9.9522260967868675E-2</v>
      </c>
      <c r="V71" s="38">
        <f t="shared" si="57"/>
        <v>-5.4087570308695043E-2</v>
      </c>
      <c r="W71" s="38">
        <f t="shared" si="58"/>
        <v>-5.3712059221084345E-2</v>
      </c>
      <c r="X71" s="4">
        <f t="shared" si="63"/>
        <v>-5.4064861983729812E-2</v>
      </c>
      <c r="Y71" s="4">
        <f t="shared" si="62"/>
        <v>-5.369273958482481E-2</v>
      </c>
    </row>
    <row r="72" spans="1:25" x14ac:dyDescent="0.25">
      <c r="A72" s="23"/>
      <c r="B72" s="2">
        <f t="shared" si="52"/>
        <v>1840</v>
      </c>
      <c r="C72" s="10">
        <f t="shared" si="53"/>
        <v>192.68434942017399</v>
      </c>
      <c r="D72" s="25">
        <f t="shared" si="54"/>
        <v>2.6401044471753301</v>
      </c>
      <c r="E72">
        <v>0.91010000000000002</v>
      </c>
      <c r="F72">
        <v>0.9335</v>
      </c>
      <c r="G72" s="5">
        <f t="shared" si="55"/>
        <v>1.0094910734070963</v>
      </c>
      <c r="H72" s="36"/>
      <c r="I72" s="36"/>
      <c r="J72" s="25">
        <v>2.6186306105362576</v>
      </c>
      <c r="K72">
        <v>264.03829999999999</v>
      </c>
      <c r="L72">
        <v>264.08760000000001</v>
      </c>
      <c r="M72" s="5">
        <f t="shared" si="56"/>
        <v>272.32024194294416</v>
      </c>
      <c r="O72">
        <v>1.3703000000000001</v>
      </c>
      <c r="P72">
        <v>1.3706</v>
      </c>
      <c r="Q72" s="5">
        <f t="shared" si="60"/>
        <v>1.4132971503000145</v>
      </c>
      <c r="R72">
        <v>-1.4132971503000145</v>
      </c>
      <c r="T72" s="9">
        <f t="shared" si="61"/>
        <v>-9.8456614451918958E-2</v>
      </c>
      <c r="U72" s="4">
        <f t="shared" si="51"/>
        <v>-7.5276617504522983E-2</v>
      </c>
      <c r="V72" s="38">
        <f t="shared" si="57"/>
        <v>-3.0412509491965653E-2</v>
      </c>
      <c r="W72" s="38">
        <f t="shared" si="58"/>
        <v>-3.0231472637531797E-2</v>
      </c>
      <c r="X72" s="4">
        <f t="shared" si="63"/>
        <v>-3.0423290877567368E-2</v>
      </c>
      <c r="Y72" s="4">
        <f t="shared" si="62"/>
        <v>-3.0211021292267288E-2</v>
      </c>
    </row>
    <row r="73" spans="1:25" x14ac:dyDescent="0.25">
      <c r="A73" s="24"/>
      <c r="B73" s="16"/>
      <c r="C73" s="16"/>
      <c r="D73" s="20"/>
      <c r="E73" s="16"/>
      <c r="F73" s="16"/>
      <c r="G73" s="16"/>
      <c r="H73" s="36"/>
      <c r="I73" s="36"/>
      <c r="J73" s="20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x14ac:dyDescent="0.25">
      <c r="A74" s="24"/>
      <c r="B74" s="16"/>
      <c r="C74" s="16"/>
      <c r="D74" s="20"/>
      <c r="E74" s="16"/>
      <c r="F74" s="16"/>
      <c r="G74" s="16"/>
      <c r="H74" s="36"/>
      <c r="I74" s="36"/>
      <c r="J74" s="20"/>
      <c r="K74" s="16"/>
      <c r="L74" s="16"/>
      <c r="M74" s="16"/>
      <c r="N74" s="16"/>
      <c r="O74" s="16"/>
      <c r="P74" s="16"/>
      <c r="Q74" s="16"/>
      <c r="R74" s="26" t="s">
        <v>40</v>
      </c>
      <c r="S74" s="16"/>
      <c r="T74" s="16"/>
      <c r="U74" s="16"/>
      <c r="V74" s="16"/>
      <c r="W74" s="16"/>
      <c r="X74" s="16"/>
      <c r="Y74" s="16"/>
    </row>
    <row r="75" spans="1:25" x14ac:dyDescent="0.25">
      <c r="A75" s="22">
        <f>AVERAGE(B75:B82)</f>
        <v>2111.875</v>
      </c>
      <c r="B75" s="2">
        <v>2107</v>
      </c>
      <c r="C75" s="10">
        <f t="shared" ref="C75:C82" si="64">B75*2*PI()/60</f>
        <v>220.64452403712315</v>
      </c>
      <c r="D75" s="25">
        <f t="shared" ref="D75:D82" si="65">F30</f>
        <v>5.1395527310525901</v>
      </c>
      <c r="E75">
        <v>0.99939999999999996</v>
      </c>
      <c r="G75" s="5">
        <f t="shared" ref="G75:G82" si="66">S30*O30*1000</f>
        <v>0.86906064601320965</v>
      </c>
      <c r="H75" s="37">
        <v>2052</v>
      </c>
      <c r="I75" s="37">
        <f>H75/60*2*PI()</f>
        <v>214.88493750554187</v>
      </c>
      <c r="J75" s="25">
        <v>5.1081324714812002</v>
      </c>
      <c r="K75">
        <v>484.3202</v>
      </c>
      <c r="M75" s="5">
        <f>C75*Q75</f>
        <v>496.993999338386</v>
      </c>
      <c r="O75">
        <v>2.1949999999999998</v>
      </c>
      <c r="Q75" s="5">
        <f t="shared" ref="Q75:Q82" si="67">R75*-1</f>
        <v>2.2524646895599703</v>
      </c>
      <c r="R75">
        <v>-2.2524646895599703</v>
      </c>
      <c r="T75" s="9">
        <f>(E75-G75)/G75</f>
        <v>0.14997728246551986</v>
      </c>
      <c r="U75" s="4">
        <f t="shared" si="51"/>
        <v>-1</v>
      </c>
      <c r="V75" s="38">
        <f>(K75-M75)/M75</f>
        <v>-2.5500910182532914E-2</v>
      </c>
      <c r="W75" s="38">
        <f>(L75-M75)/M75</f>
        <v>-1</v>
      </c>
      <c r="X75" s="4">
        <f>(O75-Q75)/Q75</f>
        <v>-2.5511915825502426E-2</v>
      </c>
      <c r="Y75" s="4">
        <f>(P75-Q75)/Q75</f>
        <v>-1</v>
      </c>
    </row>
    <row r="76" spans="1:25" x14ac:dyDescent="0.25">
      <c r="A76" s="21">
        <v>1.33</v>
      </c>
      <c r="B76" s="2">
        <f t="shared" ref="B76:B82" si="68">B31</f>
        <v>2112</v>
      </c>
      <c r="C76" s="10">
        <f t="shared" si="64"/>
        <v>221.16812281272144</v>
      </c>
      <c r="D76" s="25">
        <f t="shared" si="65"/>
        <v>4.4350470643170903</v>
      </c>
      <c r="E76">
        <v>1.0165999999999999</v>
      </c>
      <c r="G76" s="5">
        <f t="shared" si="66"/>
        <v>0.94847363500753468</v>
      </c>
      <c r="H76" s="36"/>
      <c r="I76" s="36"/>
      <c r="J76" s="25">
        <v>4.430646488532715</v>
      </c>
      <c r="K76">
        <v>444.26560000000001</v>
      </c>
      <c r="M76" s="5">
        <f t="shared" ref="M76:M82" si="69">C76*Q76</f>
        <v>455.1477762194761</v>
      </c>
      <c r="O76">
        <v>2.0087000000000002</v>
      </c>
      <c r="Q76" s="5">
        <f t="shared" si="67"/>
        <v>2.0579266597333361</v>
      </c>
      <c r="R76">
        <v>-2.0579266597333361</v>
      </c>
      <c r="T76" s="9">
        <f t="shared" ref="T76:T81" si="70">(E76-G76)/G76</f>
        <v>7.182736818185155E-2</v>
      </c>
      <c r="U76" s="4">
        <f t="shared" si="51"/>
        <v>-1</v>
      </c>
      <c r="V76" s="38">
        <f>(K76-M76)/M76</f>
        <v>-2.3909105543401834E-2</v>
      </c>
      <c r="W76" s="38">
        <f>(L76-M76)/M76</f>
        <v>-1</v>
      </c>
      <c r="X76" s="4">
        <f t="shared" ref="X76:X80" si="71">(O76-Q76)/Q76</f>
        <v>-2.3920512181767786E-2</v>
      </c>
      <c r="Y76" s="4">
        <f>(P76-Q76)/Q76</f>
        <v>-1</v>
      </c>
    </row>
    <row r="77" spans="1:25" x14ac:dyDescent="0.25">
      <c r="A77" s="23"/>
      <c r="B77" s="2">
        <f t="shared" si="68"/>
        <v>2114</v>
      </c>
      <c r="C77" s="10">
        <f t="shared" si="64"/>
        <v>221.37756232296076</v>
      </c>
      <c r="D77" s="25">
        <f t="shared" si="65"/>
        <v>4.2201346805617597</v>
      </c>
      <c r="E77">
        <v>1.0238</v>
      </c>
      <c r="G77" s="5">
        <f t="shared" si="66"/>
        <v>0.94549204078864424</v>
      </c>
      <c r="H77" s="36"/>
      <c r="I77" s="36"/>
      <c r="J77" s="25">
        <v>4.2042450945562058</v>
      </c>
      <c r="K77">
        <v>431.4778</v>
      </c>
      <c r="M77" s="5">
        <f t="shared" si="69"/>
        <v>433.13431702395167</v>
      </c>
      <c r="O77">
        <v>1.9491000000000001</v>
      </c>
      <c r="Q77" s="5">
        <f t="shared" si="67"/>
        <v>1.9565411800499712</v>
      </c>
      <c r="R77">
        <v>-1.9565411800499712</v>
      </c>
      <c r="T77" s="9">
        <f t="shared" si="70"/>
        <v>8.2822441472948163E-2</v>
      </c>
      <c r="U77" s="4">
        <f t="shared" si="51"/>
        <v>-1</v>
      </c>
      <c r="V77" s="38">
        <f t="shared" ref="V77:V82" si="72">(K77-M77)/M77</f>
        <v>-3.8244880602708322E-3</v>
      </c>
      <c r="W77" s="38">
        <f t="shared" ref="W77:W82" si="73">(L77-M77)/M77</f>
        <v>-1</v>
      </c>
      <c r="X77" s="4">
        <f t="shared" si="71"/>
        <v>-3.8032320126178652E-3</v>
      </c>
      <c r="Y77" s="4">
        <f t="shared" ref="Y77:Y82" si="74">(P77-Q77)/Q77</f>
        <v>-1</v>
      </c>
    </row>
    <row r="78" spans="1:25" x14ac:dyDescent="0.25">
      <c r="A78" s="23"/>
      <c r="B78" s="2">
        <f t="shared" si="68"/>
        <v>2114</v>
      </c>
      <c r="C78" s="10">
        <f t="shared" si="64"/>
        <v>221.37756232296076</v>
      </c>
      <c r="D78" s="25">
        <f t="shared" si="65"/>
        <v>4.0038566309211898</v>
      </c>
      <c r="E78">
        <v>1.0290999999999999</v>
      </c>
      <c r="G78" s="5">
        <f t="shared" si="66"/>
        <v>1.042829287775632</v>
      </c>
      <c r="H78" s="36"/>
      <c r="I78" s="36"/>
      <c r="J78" s="25">
        <v>4.017045492351957</v>
      </c>
      <c r="K78">
        <v>417.70359999999999</v>
      </c>
      <c r="M78" s="5">
        <f t="shared" si="69"/>
        <v>404.21583325687345</v>
      </c>
      <c r="O78">
        <v>1.8868</v>
      </c>
      <c r="Q78" s="5">
        <f t="shared" si="67"/>
        <v>1.8259114836000212</v>
      </c>
      <c r="R78">
        <v>-1.8259114836000212</v>
      </c>
      <c r="T78" s="9">
        <f t="shared" si="70"/>
        <v>-1.316542212284509E-2</v>
      </c>
      <c r="U78" s="4">
        <f t="shared" si="51"/>
        <v>-1</v>
      </c>
      <c r="V78" s="38">
        <f t="shared" si="72"/>
        <v>3.3367734842180856E-2</v>
      </c>
      <c r="W78" s="38">
        <f t="shared" si="73"/>
        <v>-1</v>
      </c>
      <c r="X78" s="4">
        <f t="shared" si="71"/>
        <v>3.3346915744200935E-2</v>
      </c>
      <c r="Y78" s="4">
        <f t="shared" si="74"/>
        <v>-1</v>
      </c>
    </row>
    <row r="79" spans="1:25" x14ac:dyDescent="0.25">
      <c r="A79" s="23"/>
      <c r="B79" s="2">
        <f t="shared" si="68"/>
        <v>2112</v>
      </c>
      <c r="C79" s="10">
        <f t="shared" si="64"/>
        <v>221.16812281272144</v>
      </c>
      <c r="D79" s="25">
        <f t="shared" si="65"/>
        <v>3.8882416114697702</v>
      </c>
      <c r="E79">
        <v>1.0304</v>
      </c>
      <c r="G79" s="5">
        <f t="shared" si="66"/>
        <v>1.1484048601961037</v>
      </c>
      <c r="H79" s="36"/>
      <c r="I79" s="36"/>
      <c r="J79" s="25">
        <v>3.898510452844163</v>
      </c>
      <c r="K79">
        <v>408.07740000000001</v>
      </c>
      <c r="M79" s="5">
        <f t="shared" si="69"/>
        <v>411.38884927145062</v>
      </c>
      <c r="O79">
        <v>1.8451</v>
      </c>
      <c r="Q79" s="5">
        <f t="shared" si="67"/>
        <v>1.8600729799556259</v>
      </c>
      <c r="R79">
        <v>-1.8600729799556259</v>
      </c>
      <c r="T79" s="9">
        <f t="shared" si="70"/>
        <v>-0.10275545174543493</v>
      </c>
      <c r="U79" s="4">
        <f t="shared" si="51"/>
        <v>-1</v>
      </c>
      <c r="V79" s="38">
        <f t="shared" si="72"/>
        <v>-8.0494385720833866E-3</v>
      </c>
      <c r="W79" s="38">
        <f t="shared" si="73"/>
        <v>-1</v>
      </c>
      <c r="X79" s="4">
        <f t="shared" si="71"/>
        <v>-8.0496733821611467E-3</v>
      </c>
      <c r="Y79" s="4">
        <f t="shared" si="74"/>
        <v>-1</v>
      </c>
    </row>
    <row r="80" spans="1:25" x14ac:dyDescent="0.25">
      <c r="A80" s="23"/>
      <c r="B80" s="2">
        <f t="shared" si="68"/>
        <v>2111</v>
      </c>
      <c r="C80" s="10">
        <f t="shared" si="64"/>
        <v>221.06340305760176</v>
      </c>
      <c r="D80" s="25">
        <f t="shared" si="65"/>
        <v>3.69061358519046</v>
      </c>
      <c r="E80">
        <v>1.0348999999999999</v>
      </c>
      <c r="G80" s="5">
        <f t="shared" si="66"/>
        <v>1.1631977237886615</v>
      </c>
      <c r="H80" s="36"/>
      <c r="I80" s="36"/>
      <c r="J80" s="25">
        <v>3.6982373185992503</v>
      </c>
      <c r="K80">
        <v>393.55110000000002</v>
      </c>
      <c r="M80" s="5">
        <f t="shared" si="69"/>
        <v>362.03189924269998</v>
      </c>
      <c r="O80">
        <v>1.7803</v>
      </c>
      <c r="Q80" s="5">
        <f t="shared" si="67"/>
        <v>1.6376835524800391</v>
      </c>
      <c r="R80">
        <v>-1.6376835524800391</v>
      </c>
      <c r="T80" s="9">
        <f t="shared" si="70"/>
        <v>-0.11029743367342734</v>
      </c>
      <c r="U80" s="4">
        <f t="shared" si="51"/>
        <v>-1</v>
      </c>
      <c r="V80" s="38">
        <f t="shared" si="72"/>
        <v>8.7061943500647471E-2</v>
      </c>
      <c r="W80" s="38">
        <f t="shared" si="73"/>
        <v>-1</v>
      </c>
      <c r="X80" s="4">
        <f t="shared" si="71"/>
        <v>8.7084252207325769E-2</v>
      </c>
      <c r="Y80" s="4">
        <f t="shared" si="74"/>
        <v>-1</v>
      </c>
    </row>
    <row r="81" spans="1:25" x14ac:dyDescent="0.25">
      <c r="A81" s="23"/>
      <c r="B81" s="2">
        <f t="shared" si="68"/>
        <v>2112</v>
      </c>
      <c r="C81" s="10">
        <f t="shared" si="64"/>
        <v>221.16812281272144</v>
      </c>
      <c r="D81" s="25">
        <f t="shared" si="65"/>
        <v>3.3424664174525498</v>
      </c>
      <c r="E81">
        <v>1.0467</v>
      </c>
      <c r="G81" s="5">
        <f t="shared" si="66"/>
        <v>1.1657191081274199</v>
      </c>
      <c r="H81" s="36"/>
      <c r="I81" s="36"/>
      <c r="J81" s="25">
        <v>3.3621021478520641</v>
      </c>
      <c r="K81">
        <v>368.24669999999998</v>
      </c>
      <c r="M81" s="5">
        <f t="shared" si="69"/>
        <v>343.19032930307435</v>
      </c>
      <c r="O81">
        <v>1.665</v>
      </c>
      <c r="Q81" s="5">
        <f t="shared" si="67"/>
        <v>1.5517169695999893</v>
      </c>
      <c r="R81">
        <v>-1.5517169695999893</v>
      </c>
      <c r="T81" s="9">
        <f t="shared" si="70"/>
        <v>-0.10209930273735413</v>
      </c>
      <c r="U81" s="4">
        <f t="shared" si="51"/>
        <v>-1</v>
      </c>
      <c r="V81" s="38">
        <f>(K81-M81)/M81</f>
        <v>7.3010130407253196E-2</v>
      </c>
      <c r="W81" s="38">
        <f>(L81-M81)/M81</f>
        <v>-1</v>
      </c>
      <c r="X81" s="4">
        <f>(O81-Q81)/Q81</f>
        <v>7.3004956844168245E-2</v>
      </c>
      <c r="Y81" s="4">
        <f>(P81-Q81)/Q81</f>
        <v>-1</v>
      </c>
    </row>
    <row r="82" spans="1:25" x14ac:dyDescent="0.25">
      <c r="A82" s="23"/>
      <c r="B82" s="2">
        <f t="shared" si="68"/>
        <v>2113</v>
      </c>
      <c r="C82" s="10">
        <f t="shared" si="64"/>
        <v>221.27284256784108</v>
      </c>
      <c r="D82" s="25">
        <f t="shared" si="65"/>
        <v>2.5472304393617602</v>
      </c>
      <c r="E82">
        <v>1.0748</v>
      </c>
      <c r="G82" s="5">
        <f t="shared" si="66"/>
        <v>1.1934902874269904</v>
      </c>
      <c r="H82" s="36"/>
      <c r="I82" s="36"/>
      <c r="J82" s="25">
        <v>2.5797622364794712</v>
      </c>
      <c r="K82">
        <v>304.6019</v>
      </c>
      <c r="M82" s="5">
        <f t="shared" si="69"/>
        <v>291.55202608163211</v>
      </c>
      <c r="O82">
        <v>1.3766</v>
      </c>
      <c r="Q82" s="5">
        <f t="shared" si="67"/>
        <v>1.317613235760027</v>
      </c>
      <c r="R82">
        <v>-1.317613235760027</v>
      </c>
      <c r="T82" s="9">
        <f>(E82-G82)/G82</f>
        <v>-9.9448054732704363E-2</v>
      </c>
      <c r="U82" s="4">
        <f t="shared" si="51"/>
        <v>-1</v>
      </c>
      <c r="V82" s="38">
        <f t="shared" si="72"/>
        <v>4.4760017941751634E-2</v>
      </c>
      <c r="W82" s="38">
        <f t="shared" si="73"/>
        <v>-1</v>
      </c>
      <c r="X82" s="4">
        <f>(O82-Q82)/Q82</f>
        <v>4.4767889877751765E-2</v>
      </c>
      <c r="Y82" s="4">
        <f t="shared" si="74"/>
        <v>-1</v>
      </c>
    </row>
    <row r="84" spans="1:25" x14ac:dyDescent="0.25">
      <c r="T84" s="9">
        <f>_xlfn.STDEV.P(T44:T82)</f>
        <v>0.16819470386037466</v>
      </c>
      <c r="U84" s="9">
        <f t="shared" ref="U84:Y84" si="75">_xlfn.STDEV.P(U44:U82)</f>
        <v>0.29547590416625363</v>
      </c>
      <c r="V84" s="9">
        <f t="shared" si="75"/>
        <v>3.9769650201932329E-2</v>
      </c>
      <c r="W84" s="9">
        <f t="shared" si="75"/>
        <v>0.29364520353943868</v>
      </c>
      <c r="X84" s="9">
        <f t="shared" si="75"/>
        <v>3.9766689606047172E-2</v>
      </c>
      <c r="Y84" s="9">
        <f t="shared" si="75"/>
        <v>0.29364869911540137</v>
      </c>
    </row>
    <row r="87" spans="1:25" x14ac:dyDescent="0.25">
      <c r="A87">
        <v>0</v>
      </c>
      <c r="B87">
        <v>0</v>
      </c>
    </row>
    <row r="88" spans="1:25" x14ac:dyDescent="0.25">
      <c r="A88">
        <v>1.4</v>
      </c>
      <c r="B88">
        <v>1.4</v>
      </c>
    </row>
  </sheetData>
  <mergeCells count="5">
    <mergeCell ref="Q2:S2"/>
    <mergeCell ref="E42:G42"/>
    <mergeCell ref="K42:M42"/>
    <mergeCell ref="O42:Q42"/>
    <mergeCell ref="T42:Y4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ACBF-0633-4A35-B2BC-28B38B92F7B9}">
  <dimension ref="A1:AH103"/>
  <sheetViews>
    <sheetView zoomScale="85" zoomScaleNormal="85" workbookViewId="0">
      <selection activeCell="L25" sqref="L25"/>
    </sheetView>
  </sheetViews>
  <sheetFormatPr defaultRowHeight="15" x14ac:dyDescent="0.25"/>
  <cols>
    <col min="11" max="11" width="15.140625" bestFit="1" customWidth="1"/>
    <col min="12" max="12" width="15.5703125" bestFit="1" customWidth="1"/>
    <col min="14" max="15" width="12" bestFit="1" customWidth="1"/>
    <col min="22" max="22" width="12.28515625" bestFit="1" customWidth="1"/>
    <col min="28" max="28" width="12.28515625" bestFit="1" customWidth="1"/>
    <col min="33" max="33" width="12.28515625" bestFit="1" customWidth="1"/>
  </cols>
  <sheetData>
    <row r="1" spans="1:34" x14ac:dyDescent="0.25">
      <c r="V1" t="s">
        <v>65</v>
      </c>
    </row>
    <row r="2" spans="1:34" x14ac:dyDescent="0.25">
      <c r="B2" t="s">
        <v>43</v>
      </c>
      <c r="C2" s="39" t="s">
        <v>45</v>
      </c>
      <c r="D2" t="s">
        <v>66</v>
      </c>
      <c r="E2" s="39" t="s">
        <v>44</v>
      </c>
      <c r="G2" s="39" t="s">
        <v>51</v>
      </c>
      <c r="H2" s="39" t="s">
        <v>52</v>
      </c>
      <c r="I2" s="39" t="s">
        <v>46</v>
      </c>
      <c r="J2" s="39" t="s">
        <v>47</v>
      </c>
      <c r="K2" s="39" t="s">
        <v>48</v>
      </c>
      <c r="L2" s="39" t="s">
        <v>49</v>
      </c>
      <c r="N2" s="39" t="s">
        <v>53</v>
      </c>
      <c r="O2" s="39" t="s">
        <v>54</v>
      </c>
      <c r="S2" s="41"/>
      <c r="T2" t="s">
        <v>44</v>
      </c>
      <c r="U2" t="s">
        <v>45</v>
      </c>
      <c r="V2" s="43" t="s">
        <v>64</v>
      </c>
      <c r="W2" s="40" t="s">
        <v>57</v>
      </c>
      <c r="X2" s="40" t="s">
        <v>59</v>
      </c>
      <c r="Y2" s="40" t="s">
        <v>58</v>
      </c>
      <c r="Z2" s="43" t="s">
        <v>59</v>
      </c>
      <c r="AA2" s="40" t="s">
        <v>60</v>
      </c>
      <c r="AB2" s="40" t="s">
        <v>51</v>
      </c>
      <c r="AD2" s="42" t="s">
        <v>61</v>
      </c>
    </row>
    <row r="3" spans="1:34" x14ac:dyDescent="0.25">
      <c r="A3">
        <v>1217</v>
      </c>
      <c r="B3">
        <v>127.44394198062595</v>
      </c>
      <c r="C3">
        <v>0.3247321478042306</v>
      </c>
      <c r="D3" s="45">
        <v>232.79490000000001</v>
      </c>
      <c r="E3" s="45">
        <v>219.923995478764</v>
      </c>
      <c r="F3" s="4">
        <v>5.8524330158774493E-2</v>
      </c>
      <c r="G3">
        <v>4</v>
      </c>
      <c r="H3">
        <v>4.8821000000000003</v>
      </c>
      <c r="I3">
        <v>1.7256528012308101</v>
      </c>
      <c r="J3">
        <f>0.25/SQRT(3)</f>
        <v>0.14433756729740646</v>
      </c>
      <c r="K3">
        <f t="shared" ref="K3:K31" si="0">SQRT((B3*J3)^2+(I3*Z3/60)^2)</f>
        <v>18.39513591893304</v>
      </c>
      <c r="L3" s="8">
        <f t="shared" ref="L3:L31" si="1">K3/E3*100</f>
        <v>8.3643150802565724</v>
      </c>
      <c r="N3">
        <f>(G3*0.001*H3+H3*2)/60/1000*1000</f>
        <v>0.16306214000000002</v>
      </c>
      <c r="O3">
        <f t="shared" ref="O3:O31" si="2">N3/C3*100</f>
        <v>50.214350843484809</v>
      </c>
      <c r="Q3">
        <f t="shared" ref="Q3:Q31" si="3">SQRT((B3*J3)^2+(I3*5/60)^2)</f>
        <v>18.395510646523146</v>
      </c>
      <c r="R3">
        <f t="shared" ref="R3:R31" si="4">Q3/E3</f>
        <v>8.3644854698447069E-2</v>
      </c>
      <c r="S3" s="41"/>
      <c r="T3" s="4">
        <v>0.65513094601817212</v>
      </c>
      <c r="U3" s="4">
        <f>'Overall w heat (final) 0709 (2)'!G42/'Overall w heat (final) 0709 (2)'!F42</f>
        <v>0.43390185436161227</v>
      </c>
      <c r="V3">
        <f>W3/1000/60</f>
        <v>1.9245008972987527E-5</v>
      </c>
      <c r="W3">
        <f>2/SQRT(3)</f>
        <v>1.1547005383792517</v>
      </c>
      <c r="X3">
        <v>5</v>
      </c>
      <c r="Y3">
        <f>0.001*H3</f>
        <v>4.8821000000000003E-3</v>
      </c>
      <c r="Z3">
        <f>X3/SQRT(3)</f>
        <v>2.8867513459481291</v>
      </c>
      <c r="AA3">
        <v>1.1583000000000001</v>
      </c>
      <c r="AB3">
        <f>3.26775*10^-5</f>
        <v>3.26775E-5</v>
      </c>
      <c r="AD3" s="8">
        <f t="shared" ref="AD3:AD31" si="5">SQRT((H3*W3/1000/60/AA3/AB3/A3*60)^2+(G3/60/1000*Y3/AA3/AB3/A3*60)^2+(H3*G3/60/1000/AA3/AB3/(A3/60)^2*X3/60)^2)</f>
        <v>0.12239457424872555</v>
      </c>
      <c r="AF3">
        <f t="shared" ref="AF3:AF31" si="6">(H3/AA3/AB3/A3*60*V3)^2</f>
        <v>1.497721838848203E-2</v>
      </c>
      <c r="AG3">
        <f t="shared" ref="AG3:AG31" si="7">(H3*G3/1000/60/AA3/AB3/A3^2*3600*X3/60)^2</f>
        <v>3.0336904241032167E-6</v>
      </c>
      <c r="AH3">
        <f>SQRT(AF3+AG3)</f>
        <v>0.12239384003660532</v>
      </c>
    </row>
    <row r="4" spans="1:34" x14ac:dyDescent="0.25">
      <c r="A4">
        <v>1214</v>
      </c>
      <c r="B4">
        <v>127.12978271526696</v>
      </c>
      <c r="C4">
        <v>0.35673312429200765</v>
      </c>
      <c r="D4" s="45">
        <v>202.07579999999999</v>
      </c>
      <c r="E4" s="45">
        <v>201.06346911209982</v>
      </c>
      <c r="F4" s="4">
        <v>5.0348822308231098E-3</v>
      </c>
      <c r="G4">
        <v>5</v>
      </c>
      <c r="H4">
        <v>4.2903000000000002</v>
      </c>
      <c r="I4">
        <v>1.5815607076307401</v>
      </c>
      <c r="J4">
        <f t="shared" ref="J4:J31" si="8">0.25/SQRT(3)</f>
        <v>0.14433756729740646</v>
      </c>
      <c r="K4">
        <f t="shared" si="0"/>
        <v>18.349761339990462</v>
      </c>
      <c r="L4" s="8">
        <f t="shared" si="1"/>
        <v>9.1263526989877199</v>
      </c>
      <c r="N4">
        <f t="shared" ref="N4:N7" si="9">(G4*0.001*H4+H4*2)/60/1000*1000</f>
        <v>0.143367525</v>
      </c>
      <c r="O4">
        <f t="shared" si="2"/>
        <v>40.189013925896319</v>
      </c>
      <c r="Q4">
        <f t="shared" si="3"/>
        <v>18.350076879562859</v>
      </c>
      <c r="R4">
        <f t="shared" si="4"/>
        <v>9.1265096342946606E-2</v>
      </c>
      <c r="S4" s="41"/>
      <c r="T4" s="4">
        <v>0.66782608695652168</v>
      </c>
      <c r="U4" s="4">
        <f>'Overall w heat (final) 0709 (2)'!G43/'Overall w heat (final) 0709 (2)'!F43</f>
        <v>0.47723494888562895</v>
      </c>
      <c r="V4">
        <f t="shared" ref="V4:V31" si="10">W4/1000/60</f>
        <v>1.9245008972987527E-5</v>
      </c>
      <c r="W4">
        <f t="shared" ref="W4:W31" si="11">2/SQRT(3)</f>
        <v>1.1547005383792517</v>
      </c>
      <c r="X4">
        <v>5</v>
      </c>
      <c r="Y4">
        <f t="shared" ref="Y4:Y31" si="12">0.001*H4</f>
        <v>4.2903000000000004E-3</v>
      </c>
      <c r="Z4">
        <f t="shared" ref="Z4:Z31" si="13">X4/SQRT(3)</f>
        <v>2.8867513459481291</v>
      </c>
      <c r="AA4">
        <v>1.1581999999999999</v>
      </c>
      <c r="AB4">
        <f t="shared" ref="AB4:AB31" si="14">3.26775*10^-5</f>
        <v>3.26775E-5</v>
      </c>
      <c r="AD4" s="8">
        <f t="shared" si="5"/>
        <v>0.10783980235603015</v>
      </c>
      <c r="AF4">
        <f t="shared" si="6"/>
        <v>1.1625507428855139E-2</v>
      </c>
      <c r="AG4">
        <f t="shared" si="7"/>
        <v>3.6975650682155782E-6</v>
      </c>
      <c r="AH4">
        <f t="shared" ref="AH4:AH31" si="15">SQRT(AF4+AG4)</f>
        <v>0.10783879169354298</v>
      </c>
    </row>
    <row r="5" spans="1:34" x14ac:dyDescent="0.25">
      <c r="A5">
        <v>1217</v>
      </c>
      <c r="B5">
        <v>127.44394198062595</v>
      </c>
      <c r="C5">
        <v>0.45316198723503576</v>
      </c>
      <c r="D5" s="45">
        <v>200.8391</v>
      </c>
      <c r="E5" s="45">
        <v>193.63025834579085</v>
      </c>
      <c r="F5" s="4">
        <v>3.7229933564078513E-2</v>
      </c>
      <c r="G5">
        <v>7</v>
      </c>
      <c r="H5">
        <v>3.8927</v>
      </c>
      <c r="I5">
        <v>1.5193367008000001</v>
      </c>
      <c r="J5">
        <f t="shared" si="8"/>
        <v>0.14433756729740646</v>
      </c>
      <c r="K5">
        <f t="shared" si="0"/>
        <v>18.395093794878107</v>
      </c>
      <c r="L5" s="8">
        <f t="shared" si="1"/>
        <v>9.5001132323170197</v>
      </c>
      <c r="N5">
        <f t="shared" si="9"/>
        <v>0.13021081500000001</v>
      </c>
      <c r="O5">
        <f t="shared" si="2"/>
        <v>28.733834405326064</v>
      </c>
      <c r="Q5">
        <f t="shared" si="3"/>
        <v>18.395384276643263</v>
      </c>
      <c r="R5">
        <f t="shared" si="4"/>
        <v>9.5002632511041851E-2</v>
      </c>
      <c r="S5" s="41"/>
      <c r="T5" s="4">
        <v>0.6785714285714286</v>
      </c>
      <c r="U5" s="4">
        <f>'Overall w heat (final) 0709 (2)'!G44/'Overall w heat (final) 0709 (2)'!F44</f>
        <v>0.60389390623005834</v>
      </c>
      <c r="V5">
        <f t="shared" si="10"/>
        <v>1.9245008972987527E-5</v>
      </c>
      <c r="W5">
        <f t="shared" si="11"/>
        <v>1.1547005383792517</v>
      </c>
      <c r="X5">
        <v>5</v>
      </c>
      <c r="Y5">
        <f t="shared" si="12"/>
        <v>3.8927000000000002E-3</v>
      </c>
      <c r="Z5">
        <f t="shared" si="13"/>
        <v>2.8867513459481291</v>
      </c>
      <c r="AA5">
        <v>1.159</v>
      </c>
      <c r="AB5">
        <f t="shared" si="14"/>
        <v>3.26775E-5</v>
      </c>
      <c r="AD5" s="8">
        <f t="shared" si="5"/>
        <v>9.7552881061911109E-2</v>
      </c>
      <c r="AF5">
        <f t="shared" si="6"/>
        <v>9.5103156547759228E-3</v>
      </c>
      <c r="AG5">
        <f t="shared" si="7"/>
        <v>5.8994446031436169E-6</v>
      </c>
      <c r="AH5">
        <f t="shared" si="15"/>
        <v>9.7551089688322129E-2</v>
      </c>
    </row>
    <row r="6" spans="1:34" x14ac:dyDescent="0.25">
      <c r="A6">
        <v>1215</v>
      </c>
      <c r="B6">
        <v>127.23450247038662</v>
      </c>
      <c r="C6">
        <v>0.45543527309811571</v>
      </c>
      <c r="D6" s="45">
        <v>184.05609999999999</v>
      </c>
      <c r="E6" s="45">
        <v>176.89683334223687</v>
      </c>
      <c r="F6" s="4">
        <v>4.0471423498646235E-2</v>
      </c>
      <c r="G6">
        <v>8</v>
      </c>
      <c r="H6">
        <v>3.423</v>
      </c>
      <c r="I6">
        <v>1.39032125648001</v>
      </c>
      <c r="J6">
        <f t="shared" si="8"/>
        <v>0.14433756729740646</v>
      </c>
      <c r="K6">
        <f t="shared" si="0"/>
        <v>18.364840386313269</v>
      </c>
      <c r="L6" s="8">
        <f t="shared" si="1"/>
        <v>10.381667121639977</v>
      </c>
      <c r="N6">
        <f t="shared" si="9"/>
        <v>0.11455639999999999</v>
      </c>
      <c r="O6">
        <f t="shared" si="2"/>
        <v>25.153168137532639</v>
      </c>
      <c r="Q6">
        <f t="shared" si="3"/>
        <v>18.365084030772582</v>
      </c>
      <c r="R6">
        <f t="shared" si="4"/>
        <v>0.10381804854155992</v>
      </c>
      <c r="S6" s="41"/>
      <c r="T6" s="4">
        <v>0.69491525423728828</v>
      </c>
      <c r="U6" s="4">
        <f>'Overall w heat (final) 0709 (2)'!G45/'Overall w heat (final) 0709 (2)'!F45</f>
        <v>0.60781432416670989</v>
      </c>
      <c r="V6">
        <f t="shared" si="10"/>
        <v>1.9245008972987527E-5</v>
      </c>
      <c r="W6">
        <f t="shared" si="11"/>
        <v>1.1547005383792517</v>
      </c>
      <c r="X6">
        <v>5</v>
      </c>
      <c r="Y6">
        <f t="shared" si="12"/>
        <v>3.4230000000000003E-3</v>
      </c>
      <c r="Z6">
        <f t="shared" si="13"/>
        <v>2.8867513459481291</v>
      </c>
      <c r="AA6">
        <v>1.1579999999999999</v>
      </c>
      <c r="AB6">
        <f t="shared" si="14"/>
        <v>3.26775E-5</v>
      </c>
      <c r="AD6" s="8">
        <f t="shared" si="5"/>
        <v>8.6006141635375385E-2</v>
      </c>
      <c r="AF6">
        <f t="shared" si="6"/>
        <v>7.3906938673174247E-3</v>
      </c>
      <c r="AG6">
        <f t="shared" si="7"/>
        <v>6.0077783811958922E-6</v>
      </c>
      <c r="AH6">
        <f t="shared" si="15"/>
        <v>8.6004079238711811E-2</v>
      </c>
    </row>
    <row r="7" spans="1:34" x14ac:dyDescent="0.25">
      <c r="A7">
        <v>1217</v>
      </c>
      <c r="B7">
        <v>127.44394198062595</v>
      </c>
      <c r="C7">
        <v>0.45359213147780497</v>
      </c>
      <c r="D7" s="45">
        <v>158.24770000000001</v>
      </c>
      <c r="E7" s="45">
        <v>150.01311193399283</v>
      </c>
      <c r="F7" s="4">
        <v>5.4892455465029431E-2</v>
      </c>
      <c r="G7">
        <v>10</v>
      </c>
      <c r="H7">
        <v>2.7271000000000001</v>
      </c>
      <c r="I7">
        <v>1.1770909593866601</v>
      </c>
      <c r="J7">
        <f t="shared" si="8"/>
        <v>0.14433756729740646</v>
      </c>
      <c r="K7">
        <f t="shared" si="0"/>
        <v>18.395035730234763</v>
      </c>
      <c r="L7" s="8">
        <f t="shared" si="1"/>
        <v>12.262285271655953</v>
      </c>
      <c r="N7">
        <f t="shared" si="9"/>
        <v>9.1357850000000004E-2</v>
      </c>
      <c r="O7">
        <f t="shared" si="2"/>
        <v>20.14096887050394</v>
      </c>
      <c r="Q7">
        <f t="shared" si="3"/>
        <v>18.395210084914115</v>
      </c>
      <c r="R7">
        <f t="shared" si="4"/>
        <v>0.12262401497949178</v>
      </c>
      <c r="S7" s="41"/>
      <c r="T7" s="4">
        <v>0.72503656428666408</v>
      </c>
      <c r="U7" s="4">
        <f>'Overall w heat (final) 0709 (2)'!G46/'Overall w heat (final) 0709 (2)'!F46</f>
        <v>0.60310082632336792</v>
      </c>
      <c r="V7">
        <f t="shared" si="10"/>
        <v>1.9245008972987527E-5</v>
      </c>
      <c r="W7">
        <f t="shared" si="11"/>
        <v>1.1547005383792517</v>
      </c>
      <c r="X7">
        <v>5</v>
      </c>
      <c r="Y7">
        <f t="shared" si="12"/>
        <v>2.7271000000000001E-3</v>
      </c>
      <c r="Z7">
        <f t="shared" si="13"/>
        <v>2.8867513459481291</v>
      </c>
      <c r="AA7">
        <v>1.1583000000000001</v>
      </c>
      <c r="AB7">
        <f t="shared" si="14"/>
        <v>3.26775E-5</v>
      </c>
      <c r="AD7" s="8">
        <f t="shared" si="5"/>
        <v>6.8407066120205556E-2</v>
      </c>
      <c r="AF7">
        <f t="shared" si="6"/>
        <v>4.6732600385956937E-3</v>
      </c>
      <c r="AG7">
        <f t="shared" si="7"/>
        <v>5.9161620755855462E-6</v>
      </c>
      <c r="AH7">
        <f t="shared" si="15"/>
        <v>6.8404504242566361E-2</v>
      </c>
    </row>
    <row r="8" spans="1:34" x14ac:dyDescent="0.25">
      <c r="A8">
        <v>1427</v>
      </c>
      <c r="B8">
        <v>149.4350905557545</v>
      </c>
      <c r="C8">
        <v>0.49942621079699617</v>
      </c>
      <c r="D8" s="45">
        <v>309.57740000000001</v>
      </c>
      <c r="E8" s="45">
        <v>312.41254145595809</v>
      </c>
      <c r="F8" s="4">
        <v>-9.0749924530726962E-3</v>
      </c>
      <c r="G8">
        <v>5</v>
      </c>
      <c r="H8">
        <v>6.0075000000000003</v>
      </c>
      <c r="I8">
        <v>2.0906236968444598</v>
      </c>
      <c r="J8">
        <f t="shared" si="8"/>
        <v>0.14433756729740646</v>
      </c>
      <c r="K8">
        <f t="shared" si="0"/>
        <v>21.569331972524648</v>
      </c>
      <c r="L8" s="8">
        <f t="shared" si="1"/>
        <v>6.904118468485156</v>
      </c>
      <c r="N8">
        <f>(G9*0.001*H8+H8*2)/60/1000*1000</f>
        <v>0.20080068750000002</v>
      </c>
      <c r="O8">
        <f t="shared" si="2"/>
        <v>40.20627735567934</v>
      </c>
      <c r="Q8">
        <f t="shared" si="3"/>
        <v>21.569801030553087</v>
      </c>
      <c r="R8">
        <f t="shared" si="4"/>
        <v>6.9042686090737035E-2</v>
      </c>
      <c r="S8" s="41"/>
      <c r="T8" s="4">
        <v>0.68475157053112512</v>
      </c>
      <c r="U8" s="4">
        <f>'Overall w heat (final) 0709 (2)'!G49/'Overall w heat (final) 0709 (2)'!F49</f>
        <v>0.57044684271501567</v>
      </c>
      <c r="V8">
        <f t="shared" si="10"/>
        <v>1.9245008972987527E-5</v>
      </c>
      <c r="W8">
        <f t="shared" si="11"/>
        <v>1.1547005383792517</v>
      </c>
      <c r="X8">
        <v>5</v>
      </c>
      <c r="Y8">
        <f t="shared" si="12"/>
        <v>6.0075000000000007E-3</v>
      </c>
      <c r="Z8">
        <f t="shared" si="13"/>
        <v>2.8867513459481291</v>
      </c>
      <c r="AA8">
        <v>1.1579999999999999</v>
      </c>
      <c r="AB8">
        <f t="shared" si="14"/>
        <v>3.26775E-5</v>
      </c>
      <c r="AD8" s="8">
        <f t="shared" si="5"/>
        <v>0.12848009310281794</v>
      </c>
      <c r="AF8">
        <f t="shared" si="6"/>
        <v>1.650302600022165E-2</v>
      </c>
      <c r="AG8">
        <f t="shared" si="7"/>
        <v>3.7988917496160468E-6</v>
      </c>
      <c r="AH8">
        <f t="shared" si="15"/>
        <v>0.12847888889607997</v>
      </c>
    </row>
    <row r="9" spans="1:34" x14ac:dyDescent="0.25">
      <c r="A9">
        <v>1411</v>
      </c>
      <c r="B9">
        <v>147.75957447383993</v>
      </c>
      <c r="C9">
        <v>0.51458234662294589</v>
      </c>
      <c r="D9" s="45">
        <v>290.935</v>
      </c>
      <c r="E9" s="45">
        <v>277.23925387205941</v>
      </c>
      <c r="F9" s="4">
        <v>4.9400458039974809E-2</v>
      </c>
      <c r="G9">
        <v>5.5</v>
      </c>
      <c r="H9">
        <v>5.6269</v>
      </c>
      <c r="I9">
        <v>1.8762862228000201</v>
      </c>
      <c r="J9">
        <f t="shared" si="8"/>
        <v>0.14433756729740646</v>
      </c>
      <c r="K9">
        <f t="shared" si="0"/>
        <v>21.327448574646045</v>
      </c>
      <c r="L9" s="8">
        <f t="shared" si="1"/>
        <v>7.6927954020855411</v>
      </c>
      <c r="N9">
        <f t="shared" ref="N9:N12" si="16">(G10*0.001*H9+H9*2)/60/1000*1000</f>
        <v>0.18812602333333334</v>
      </c>
      <c r="O9">
        <f t="shared" si="2"/>
        <v>36.558973421445501</v>
      </c>
      <c r="Q9">
        <f t="shared" si="3"/>
        <v>21.327830669895953</v>
      </c>
      <c r="R9">
        <f t="shared" si="4"/>
        <v>7.692933223568095E-2</v>
      </c>
      <c r="S9" s="41"/>
      <c r="T9" s="4">
        <v>0.68655510675129827</v>
      </c>
      <c r="U9" s="4">
        <f>'Overall w heat (final) 0709 (2)'!G50/'Overall w heat (final) 0709 (2)'!F50</f>
        <v>0.59386306592376903</v>
      </c>
      <c r="V9">
        <f t="shared" si="10"/>
        <v>1.9245008972987527E-5</v>
      </c>
      <c r="W9">
        <f t="shared" si="11"/>
        <v>1.1547005383792517</v>
      </c>
      <c r="X9">
        <v>5</v>
      </c>
      <c r="Y9">
        <f t="shared" si="12"/>
        <v>5.6268999999999998E-3</v>
      </c>
      <c r="Z9">
        <f t="shared" si="13"/>
        <v>2.8867513459481291</v>
      </c>
      <c r="AA9">
        <v>1.1578999999999999</v>
      </c>
      <c r="AB9">
        <f t="shared" si="14"/>
        <v>3.26775E-5</v>
      </c>
      <c r="AD9" s="8">
        <f t="shared" si="5"/>
        <v>0.12171902167099627</v>
      </c>
      <c r="AF9">
        <f t="shared" si="6"/>
        <v>1.4810964761544695E-2</v>
      </c>
      <c r="AG9">
        <f t="shared" si="7"/>
        <v>4.2194512367334659E-6</v>
      </c>
      <c r="AH9">
        <f t="shared" si="15"/>
        <v>0.1217176413375704</v>
      </c>
    </row>
    <row r="10" spans="1:34" x14ac:dyDescent="0.25">
      <c r="A10">
        <v>1412</v>
      </c>
      <c r="B10">
        <v>147.86429422895961</v>
      </c>
      <c r="C10">
        <v>0.48213212885652895</v>
      </c>
      <c r="D10" s="45">
        <v>270.149</v>
      </c>
      <c r="E10" s="45">
        <v>252.5835649599077</v>
      </c>
      <c r="F10" s="4">
        <v>6.9543064066264315E-2</v>
      </c>
      <c r="G10">
        <v>6</v>
      </c>
      <c r="H10">
        <v>4.8323</v>
      </c>
      <c r="I10">
        <v>1.7082120215499501</v>
      </c>
      <c r="J10">
        <f t="shared" si="8"/>
        <v>0.14433756729740646</v>
      </c>
      <c r="K10">
        <f t="shared" si="0"/>
        <v>21.342530762517235</v>
      </c>
      <c r="L10" s="8">
        <f t="shared" si="1"/>
        <v>8.4496910026212149</v>
      </c>
      <c r="N10">
        <f t="shared" si="16"/>
        <v>0.16172097333333332</v>
      </c>
      <c r="O10">
        <f t="shared" si="2"/>
        <v>33.542874173701378</v>
      </c>
      <c r="Q10">
        <f t="shared" si="3"/>
        <v>21.342847245719959</v>
      </c>
      <c r="R10">
        <f t="shared" si="4"/>
        <v>8.4498163010359298E-2</v>
      </c>
      <c r="S10" s="41"/>
      <c r="T10" s="4">
        <v>0.70017291066282428</v>
      </c>
      <c r="U10" s="4">
        <f>'Overall w heat (final) 0709 (2)'!G51/'Overall w heat (final) 0709 (2)'!F51</f>
        <v>0.55577190646285757</v>
      </c>
      <c r="V10">
        <f t="shared" si="10"/>
        <v>1.9245008972987527E-5</v>
      </c>
      <c r="W10">
        <f t="shared" si="11"/>
        <v>1.1547005383792517</v>
      </c>
      <c r="X10">
        <v>5</v>
      </c>
      <c r="Y10">
        <f t="shared" si="12"/>
        <v>4.8323000000000003E-3</v>
      </c>
      <c r="Z10">
        <f t="shared" si="13"/>
        <v>2.8867513459481291</v>
      </c>
      <c r="AA10">
        <v>1.1571</v>
      </c>
      <c r="AB10">
        <f t="shared" si="14"/>
        <v>3.26775E-5</v>
      </c>
      <c r="AD10" s="8">
        <f t="shared" si="5"/>
        <v>0.10453174701598968</v>
      </c>
      <c r="AF10">
        <f t="shared" si="6"/>
        <v>1.0922893172172207E-2</v>
      </c>
      <c r="AG10">
        <f t="shared" si="7"/>
        <v>3.6980439270118112E-6</v>
      </c>
      <c r="AH10">
        <f t="shared" si="15"/>
        <v>0.10453033634356687</v>
      </c>
    </row>
    <row r="11" spans="1:34" x14ac:dyDescent="0.25">
      <c r="A11">
        <v>1415</v>
      </c>
      <c r="B11">
        <v>148.17845349431857</v>
      </c>
      <c r="C11">
        <v>0.55282985811386409</v>
      </c>
      <c r="D11" s="45">
        <v>245.24430000000001</v>
      </c>
      <c r="E11" s="45">
        <v>233.85095355199863</v>
      </c>
      <c r="F11" s="4">
        <v>4.8720547318478136E-2</v>
      </c>
      <c r="G11">
        <v>8</v>
      </c>
      <c r="H11">
        <v>4.1553000000000004</v>
      </c>
      <c r="I11">
        <v>1.5781711040800199</v>
      </c>
      <c r="J11">
        <f t="shared" si="8"/>
        <v>0.14433756729740646</v>
      </c>
      <c r="K11">
        <f t="shared" si="0"/>
        <v>21.387852284246392</v>
      </c>
      <c r="L11" s="8">
        <f t="shared" si="1"/>
        <v>9.1459333217944874</v>
      </c>
      <c r="N11">
        <f t="shared" si="16"/>
        <v>0.13920255000000001</v>
      </c>
      <c r="O11">
        <f t="shared" si="2"/>
        <v>25.17999850350504</v>
      </c>
      <c r="Q11">
        <f t="shared" si="3"/>
        <v>21.388121843667491</v>
      </c>
      <c r="R11">
        <f t="shared" si="4"/>
        <v>9.1460485915494341E-2</v>
      </c>
      <c r="S11" s="41"/>
      <c r="T11" s="4">
        <v>0.71530494821634072</v>
      </c>
      <c r="U11" s="4">
        <f>'Overall w heat (final) 0709 (2)'!G52/'Overall w heat (final) 0709 (2)'!F52</f>
        <v>0.63616784593079878</v>
      </c>
      <c r="V11">
        <f t="shared" si="10"/>
        <v>1.9245008972987527E-5</v>
      </c>
      <c r="W11">
        <f t="shared" si="11"/>
        <v>1.1547005383792517</v>
      </c>
      <c r="X11">
        <v>5</v>
      </c>
      <c r="Y11">
        <f t="shared" si="12"/>
        <v>4.1553000000000007E-3</v>
      </c>
      <c r="Z11">
        <f t="shared" si="13"/>
        <v>2.8867513459481291</v>
      </c>
      <c r="AA11">
        <v>1.1553</v>
      </c>
      <c r="AB11">
        <f t="shared" si="14"/>
        <v>3.26775E-5</v>
      </c>
      <c r="AD11" s="8">
        <f t="shared" si="5"/>
        <v>8.9848790849233556E-2</v>
      </c>
      <c r="AF11">
        <f t="shared" si="6"/>
        <v>8.06758280254051E-3</v>
      </c>
      <c r="AG11">
        <f t="shared" si="7"/>
        <v>4.8351705542826672E-6</v>
      </c>
      <c r="AH11">
        <f t="shared" si="15"/>
        <v>8.984663584739716E-2</v>
      </c>
    </row>
    <row r="12" spans="1:34" x14ac:dyDescent="0.25">
      <c r="A12">
        <v>1412</v>
      </c>
      <c r="B12">
        <v>147.86429422895961</v>
      </c>
      <c r="C12">
        <v>0.55064360312853888</v>
      </c>
      <c r="D12" s="45">
        <v>209.3767</v>
      </c>
      <c r="E12" s="45">
        <v>203.92491114934344</v>
      </c>
      <c r="F12" s="4">
        <v>2.6734295579336865E-2</v>
      </c>
      <c r="G12">
        <v>10</v>
      </c>
      <c r="H12">
        <v>3.3108</v>
      </c>
      <c r="I12">
        <v>1.37913559330001</v>
      </c>
      <c r="J12">
        <f t="shared" si="8"/>
        <v>0.14433756729740646</v>
      </c>
      <c r="K12">
        <f t="shared" si="0"/>
        <v>21.342475666119157</v>
      </c>
      <c r="L12" s="8">
        <f t="shared" si="1"/>
        <v>10.465850172904622</v>
      </c>
      <c r="N12">
        <f t="shared" si="16"/>
        <v>0.11102216000000001</v>
      </c>
      <c r="O12">
        <f t="shared" si="2"/>
        <v>20.162253655398167</v>
      </c>
      <c r="Q12">
        <f t="shared" si="3"/>
        <v>21.342681958550045</v>
      </c>
      <c r="R12">
        <f t="shared" si="4"/>
        <v>0.10465951333880849</v>
      </c>
      <c r="S12" s="41"/>
      <c r="T12" s="4">
        <v>0.73784063470162131</v>
      </c>
      <c r="U12" s="4">
        <f>'Overall w heat (final) 0709 (2)'!G53/'Overall w heat (final) 0709 (2)'!F53</f>
        <v>0.63314200658679876</v>
      </c>
      <c r="V12">
        <f t="shared" si="10"/>
        <v>1.9245008972987527E-5</v>
      </c>
      <c r="W12">
        <f t="shared" si="11"/>
        <v>1.1547005383792517</v>
      </c>
      <c r="X12">
        <v>5</v>
      </c>
      <c r="Y12">
        <f t="shared" si="12"/>
        <v>3.3108E-3</v>
      </c>
      <c r="Z12">
        <f t="shared" si="13"/>
        <v>2.8867513459481291</v>
      </c>
      <c r="AA12">
        <v>1.1569</v>
      </c>
      <c r="AB12">
        <f t="shared" si="14"/>
        <v>3.26775E-5</v>
      </c>
      <c r="AD12" s="8">
        <f t="shared" si="5"/>
        <v>7.1654482235058103E-2</v>
      </c>
      <c r="AF12">
        <f t="shared" si="6"/>
        <v>5.129156465005438E-3</v>
      </c>
      <c r="AG12">
        <f t="shared" si="7"/>
        <v>4.8236726339415663E-6</v>
      </c>
      <c r="AH12">
        <f t="shared" si="15"/>
        <v>7.1651797867460246E-2</v>
      </c>
    </row>
    <row r="13" spans="1:34" x14ac:dyDescent="0.25">
      <c r="A13">
        <v>1423</v>
      </c>
      <c r="B13">
        <v>149.01621153527586</v>
      </c>
      <c r="C13">
        <v>0.60090268980389583</v>
      </c>
      <c r="D13" s="45">
        <v>198.50360000000001</v>
      </c>
      <c r="E13" s="45">
        <v>199.07794559162474</v>
      </c>
      <c r="F13" s="4">
        <v>-2.8850287253963758E-3</v>
      </c>
      <c r="G13">
        <v>12</v>
      </c>
      <c r="H13">
        <v>3.0106999999999999</v>
      </c>
      <c r="I13">
        <v>1.3359482403999918</v>
      </c>
      <c r="J13">
        <f t="shared" si="8"/>
        <v>0.14433756729740646</v>
      </c>
      <c r="K13">
        <f t="shared" si="0"/>
        <v>21.508733500767246</v>
      </c>
      <c r="L13" s="8">
        <f t="shared" si="1"/>
        <v>10.804176945289978</v>
      </c>
      <c r="N13" t="e">
        <f>(#REF!*0.001*H13+H13*2)/60/1000*1000</f>
        <v>#REF!</v>
      </c>
      <c r="O13" t="e">
        <f t="shared" si="2"/>
        <v>#REF!</v>
      </c>
      <c r="Q13">
        <f t="shared" si="3"/>
        <v>21.508925579260385</v>
      </c>
      <c r="R13">
        <f t="shared" si="4"/>
        <v>0.10804273429354332</v>
      </c>
      <c r="S13" s="41"/>
      <c r="T13" s="4">
        <v>0.74937371897062177</v>
      </c>
      <c r="U13" s="4">
        <f>'Overall w heat (final) 0709 (2)'!G54/'Overall w heat (final) 0709 (2)'!F54</f>
        <v>0.68424355477555887</v>
      </c>
      <c r="V13">
        <f t="shared" si="10"/>
        <v>1.9245008972987527E-5</v>
      </c>
      <c r="W13">
        <f t="shared" si="11"/>
        <v>1.1547005383792517</v>
      </c>
      <c r="X13">
        <v>5</v>
      </c>
      <c r="Y13">
        <f t="shared" si="12"/>
        <v>3.0106999999999998E-3</v>
      </c>
      <c r="Z13">
        <f t="shared" si="13"/>
        <v>2.8867513459481291</v>
      </c>
      <c r="AA13">
        <v>1.1585000000000001</v>
      </c>
      <c r="AB13">
        <f t="shared" si="14"/>
        <v>3.26775E-5</v>
      </c>
      <c r="AD13" s="8">
        <f t="shared" si="5"/>
        <v>6.4580269894047734E-2</v>
      </c>
      <c r="AF13">
        <f t="shared" si="6"/>
        <v>4.1646084758735014E-3</v>
      </c>
      <c r="AG13">
        <f t="shared" si="7"/>
        <v>5.5530059991527839E-6</v>
      </c>
      <c r="AH13">
        <f t="shared" si="15"/>
        <v>6.457678748492103E-2</v>
      </c>
    </row>
    <row r="14" spans="1:34" x14ac:dyDescent="0.25">
      <c r="A14">
        <v>1638</v>
      </c>
      <c r="B14">
        <v>171.53095888600271</v>
      </c>
      <c r="C14">
        <v>0.50071646745959986</v>
      </c>
      <c r="D14" s="45">
        <v>363.91309999999999</v>
      </c>
      <c r="E14" s="45">
        <v>350.36119156039933</v>
      </c>
      <c r="F14" s="4">
        <v>3.8679821755499472E-2</v>
      </c>
      <c r="G14">
        <v>5.5</v>
      </c>
      <c r="H14">
        <v>6.0229999999999997</v>
      </c>
      <c r="I14">
        <v>2.0425536814799998</v>
      </c>
      <c r="J14">
        <f t="shared" si="8"/>
        <v>0.14433756729740646</v>
      </c>
      <c r="K14">
        <f t="shared" si="0"/>
        <v>24.758556355474145</v>
      </c>
      <c r="L14" s="8">
        <f t="shared" si="1"/>
        <v>7.0665807035326225</v>
      </c>
      <c r="N14">
        <f>(G16*0.001*H14+H14*2)/60/1000*1000</f>
        <v>0.20177049999999999</v>
      </c>
      <c r="O14">
        <f t="shared" si="2"/>
        <v>40.296357941588923</v>
      </c>
      <c r="Q14">
        <f t="shared" si="3"/>
        <v>24.758946418219267</v>
      </c>
      <c r="R14">
        <f t="shared" si="4"/>
        <v>7.0666920351396947E-2</v>
      </c>
      <c r="S14" s="41"/>
      <c r="T14" s="4">
        <v>0.71862549800796816</v>
      </c>
      <c r="U14" s="4">
        <f>'Overall w heat (final) 0709 (2)'!G57/'Overall w heat (final) 0709 (2)'!F57</f>
        <v>0.54859373924856569</v>
      </c>
      <c r="V14">
        <f t="shared" si="10"/>
        <v>1.9245008972987527E-5</v>
      </c>
      <c r="W14">
        <f t="shared" si="11"/>
        <v>1.1547005383792517</v>
      </c>
      <c r="X14">
        <v>5</v>
      </c>
      <c r="Y14">
        <f t="shared" si="12"/>
        <v>6.0229999999999997E-3</v>
      </c>
      <c r="Z14">
        <f t="shared" si="13"/>
        <v>2.8867513459481291</v>
      </c>
      <c r="AA14">
        <v>1.1567000000000001</v>
      </c>
      <c r="AB14">
        <f t="shared" si="14"/>
        <v>3.26775E-5</v>
      </c>
      <c r="AD14" s="8">
        <f t="shared" si="5"/>
        <v>0.11234392683466493</v>
      </c>
      <c r="AF14">
        <f t="shared" si="6"/>
        <v>1.2618204170394874E-2</v>
      </c>
      <c r="AG14">
        <f t="shared" si="7"/>
        <v>2.6674507305492734E-6</v>
      </c>
      <c r="AH14">
        <f t="shared" si="15"/>
        <v>0.11234265272426774</v>
      </c>
    </row>
    <row r="15" spans="1:34" x14ac:dyDescent="0.25">
      <c r="A15">
        <v>1638</v>
      </c>
      <c r="B15">
        <v>171.53095888600271</v>
      </c>
      <c r="C15">
        <v>0.60263466997840687</v>
      </c>
      <c r="D15" s="45">
        <v>334.74979999999999</v>
      </c>
      <c r="E15" s="45">
        <v>318.37107478027991</v>
      </c>
      <c r="F15" s="4">
        <v>5.1445393495698905E-2</v>
      </c>
      <c r="G15">
        <v>7</v>
      </c>
      <c r="H15">
        <v>5.1772999999999998</v>
      </c>
      <c r="I15">
        <v>1.85605605453337</v>
      </c>
      <c r="J15">
        <f t="shared" si="8"/>
        <v>0.14433756729740646</v>
      </c>
      <c r="K15">
        <f t="shared" si="0"/>
        <v>24.758522366010546</v>
      </c>
      <c r="L15" s="8">
        <f t="shared" si="1"/>
        <v>7.7766243001495514</v>
      </c>
      <c r="N15">
        <f t="shared" ref="N15:N17" si="17">(G17*0.001*H15+H15*2)/60/1000*1000</f>
        <v>0.17361212666666667</v>
      </c>
      <c r="O15">
        <f t="shared" si="2"/>
        <v>28.808851417872688</v>
      </c>
      <c r="Q15">
        <f t="shared" si="3"/>
        <v>24.758844451294941</v>
      </c>
      <c r="R15">
        <f t="shared" si="4"/>
        <v>7.7767254667786542E-2</v>
      </c>
      <c r="S15" s="41"/>
      <c r="T15" s="4">
        <v>0.73161984459055596</v>
      </c>
      <c r="U15" s="4">
        <f>'Overall w heat (final) 0709 (2)'!G58/'Overall w heat (final) 0709 (2)'!F58</f>
        <v>0.60035332733453561</v>
      </c>
      <c r="V15">
        <f t="shared" si="10"/>
        <v>1.9245008972987527E-5</v>
      </c>
      <c r="W15">
        <f t="shared" si="11"/>
        <v>1.1547005383792517</v>
      </c>
      <c r="X15">
        <v>5</v>
      </c>
      <c r="Y15">
        <f t="shared" si="12"/>
        <v>5.1773000000000001E-3</v>
      </c>
      <c r="Z15">
        <f t="shared" si="13"/>
        <v>2.8867513459481291</v>
      </c>
      <c r="AA15">
        <v>1.1561999999999999</v>
      </c>
      <c r="AB15">
        <f t="shared" si="14"/>
        <v>3.26775E-5</v>
      </c>
      <c r="AD15" s="8">
        <f t="shared" si="5"/>
        <v>9.6618287459045174E-2</v>
      </c>
      <c r="AF15">
        <f t="shared" si="6"/>
        <v>9.3315551489817402E-3</v>
      </c>
      <c r="AG15">
        <f t="shared" si="7"/>
        <v>3.1953878852255017E-6</v>
      </c>
      <c r="AH15">
        <f t="shared" si="15"/>
        <v>9.661651275463716E-2</v>
      </c>
    </row>
    <row r="16" spans="1:34" x14ac:dyDescent="0.25">
      <c r="A16">
        <v>1639</v>
      </c>
      <c r="B16">
        <v>171.63567864112238</v>
      </c>
      <c r="C16">
        <v>0.69666610752823155</v>
      </c>
      <c r="D16" s="45">
        <v>292.31700000000001</v>
      </c>
      <c r="E16" s="45">
        <v>289.30173145285579</v>
      </c>
      <c r="F16" s="4">
        <v>1.0422573456445355E-2</v>
      </c>
      <c r="G16">
        <v>10</v>
      </c>
      <c r="H16">
        <v>4.1891999999999996</v>
      </c>
      <c r="I16">
        <v>1.6855570691555599</v>
      </c>
      <c r="J16">
        <f t="shared" si="8"/>
        <v>0.14433756729740646</v>
      </c>
      <c r="K16">
        <f t="shared" si="0"/>
        <v>24.773609051379747</v>
      </c>
      <c r="L16" s="8">
        <f t="shared" si="1"/>
        <v>8.5632425796306784</v>
      </c>
      <c r="N16">
        <f t="shared" si="17"/>
        <v>0.14061747999999999</v>
      </c>
      <c r="O16">
        <f t="shared" si="2"/>
        <v>20.184343472500796</v>
      </c>
      <c r="Q16">
        <f t="shared" si="3"/>
        <v>24.773874519007659</v>
      </c>
      <c r="R16">
        <f t="shared" si="4"/>
        <v>8.563334341137456E-2</v>
      </c>
      <c r="S16" s="41"/>
      <c r="T16" s="4">
        <v>0.75057049310447455</v>
      </c>
      <c r="U16" s="4">
        <f>'Overall w heat (final) 0709 (2)'!G59/'Overall w heat (final) 0709 (2)'!F59</f>
        <v>0.69120558341921967</v>
      </c>
      <c r="V16">
        <f t="shared" si="10"/>
        <v>1.9245008972987527E-5</v>
      </c>
      <c r="W16">
        <f t="shared" si="11"/>
        <v>1.1547005383792517</v>
      </c>
      <c r="X16">
        <v>5</v>
      </c>
      <c r="Y16">
        <f t="shared" si="12"/>
        <v>4.1891999999999997E-3</v>
      </c>
      <c r="Z16">
        <f t="shared" si="13"/>
        <v>2.8867513459481291</v>
      </c>
      <c r="AA16">
        <v>1.1579999999999999</v>
      </c>
      <c r="AB16">
        <f t="shared" si="14"/>
        <v>3.26775E-5</v>
      </c>
      <c r="AD16" s="8">
        <f t="shared" si="5"/>
        <v>7.8024664991852247E-2</v>
      </c>
      <c r="AF16">
        <f t="shared" si="6"/>
        <v>6.0831461929684149E-3</v>
      </c>
      <c r="AG16">
        <f t="shared" si="7"/>
        <v>4.2459181578879717E-6</v>
      </c>
      <c r="AH16">
        <f t="shared" si="15"/>
        <v>7.8021741272073022E-2</v>
      </c>
    </row>
    <row r="17" spans="1:34" x14ac:dyDescent="0.25">
      <c r="A17">
        <v>1639</v>
      </c>
      <c r="B17">
        <v>171.63567864112238</v>
      </c>
      <c r="C17">
        <v>0.73556884310464887</v>
      </c>
      <c r="D17" s="45">
        <v>269.29259999999999</v>
      </c>
      <c r="E17" s="45">
        <v>271.84554968579704</v>
      </c>
      <c r="F17" s="4">
        <v>-9.3911770442730493E-3</v>
      </c>
      <c r="G17">
        <v>12</v>
      </c>
      <c r="H17">
        <v>3.6857000000000002</v>
      </c>
      <c r="I17">
        <v>1.58385221440005</v>
      </c>
      <c r="J17">
        <f t="shared" si="8"/>
        <v>0.14433756729740646</v>
      </c>
      <c r="K17">
        <f t="shared" si="0"/>
        <v>24.773593516493079</v>
      </c>
      <c r="L17" s="8">
        <f t="shared" si="1"/>
        <v>9.1131135106411527</v>
      </c>
      <c r="N17">
        <f t="shared" si="17"/>
        <v>0.12383951999999999</v>
      </c>
      <c r="O17">
        <f t="shared" si="2"/>
        <v>16.835884385383277</v>
      </c>
      <c r="Q17">
        <f t="shared" si="3"/>
        <v>24.773827914817826</v>
      </c>
      <c r="R17">
        <f t="shared" si="4"/>
        <v>9.1131997354570518E-2</v>
      </c>
      <c r="S17" s="41"/>
      <c r="T17" s="4">
        <v>0.761630790596171</v>
      </c>
      <c r="U17" s="4">
        <f>'Overall w heat (final) 0709 (2)'!G60/'Overall w heat (final) 0709 (2)'!F60</f>
        <v>0.72965860837679686</v>
      </c>
      <c r="V17">
        <f t="shared" si="10"/>
        <v>1.9245008972987527E-5</v>
      </c>
      <c r="W17">
        <f t="shared" si="11"/>
        <v>1.1547005383792517</v>
      </c>
      <c r="X17">
        <v>5</v>
      </c>
      <c r="Y17">
        <f t="shared" si="12"/>
        <v>3.6857000000000001E-3</v>
      </c>
      <c r="Z17">
        <f t="shared" si="13"/>
        <v>2.8867513459481291</v>
      </c>
      <c r="AA17">
        <v>1.1571</v>
      </c>
      <c r="AB17">
        <f t="shared" si="14"/>
        <v>3.26775E-5</v>
      </c>
      <c r="AD17" s="8">
        <f t="shared" si="5"/>
        <v>6.8711946393239146E-2</v>
      </c>
      <c r="AF17">
        <f t="shared" si="6"/>
        <v>4.7160821433972246E-3</v>
      </c>
      <c r="AG17">
        <f t="shared" si="7"/>
        <v>4.7400968786576521E-6</v>
      </c>
      <c r="AH17">
        <f t="shared" si="15"/>
        <v>6.8708239973644225E-2</v>
      </c>
    </row>
    <row r="18" spans="1:34" x14ac:dyDescent="0.25">
      <c r="A18">
        <v>1639</v>
      </c>
      <c r="B18">
        <v>171.63567864112238</v>
      </c>
      <c r="C18">
        <v>0.80311495788323939</v>
      </c>
      <c r="D18" s="45">
        <v>258.2851</v>
      </c>
      <c r="E18" s="45">
        <v>257.37260775625094</v>
      </c>
      <c r="F18" s="4">
        <v>3.5454132112351594E-3</v>
      </c>
      <c r="G18">
        <v>14</v>
      </c>
      <c r="H18">
        <v>3.4491999999999998</v>
      </c>
      <c r="I18">
        <v>1.49952859332003</v>
      </c>
      <c r="J18">
        <f t="shared" si="8"/>
        <v>0.14433756729740646</v>
      </c>
      <c r="K18">
        <f t="shared" si="0"/>
        <v>24.77358136936056</v>
      </c>
      <c r="L18" s="8">
        <f t="shared" si="1"/>
        <v>9.6255703298553019</v>
      </c>
      <c r="N18" t="e">
        <f>(#REF!*0.001*H18+H18*2)/60/1000*1000</f>
        <v>#REF!</v>
      </c>
      <c r="O18" t="e">
        <f t="shared" si="2"/>
        <v>#REF!</v>
      </c>
      <c r="Q18">
        <f t="shared" si="3"/>
        <v>24.773791473747195</v>
      </c>
      <c r="R18">
        <f t="shared" si="4"/>
        <v>9.6256519641785776E-2</v>
      </c>
      <c r="S18" s="41"/>
      <c r="T18" s="4">
        <v>0.76749256689791878</v>
      </c>
      <c r="U18" s="4">
        <f>'Overall w heat (final) 0709 (2)'!G61/'Overall w heat (final) 0709 (2)'!F61</f>
        <v>0.79595139532531167</v>
      </c>
      <c r="V18">
        <f t="shared" si="10"/>
        <v>1.9245008972987527E-5</v>
      </c>
      <c r="W18">
        <f t="shared" si="11"/>
        <v>1.1547005383792517</v>
      </c>
      <c r="X18">
        <v>5</v>
      </c>
      <c r="Y18">
        <f t="shared" si="12"/>
        <v>3.4491999999999999E-3</v>
      </c>
      <c r="Z18">
        <f t="shared" si="13"/>
        <v>2.8867513459481291</v>
      </c>
      <c r="AA18">
        <v>1.1576</v>
      </c>
      <c r="AB18">
        <f t="shared" si="14"/>
        <v>3.26775E-5</v>
      </c>
      <c r="AD18" s="8">
        <f t="shared" si="5"/>
        <v>6.4288040543024685E-2</v>
      </c>
      <c r="AF18">
        <f t="shared" si="6"/>
        <v>4.1267000329188513E-3</v>
      </c>
      <c r="AG18">
        <f t="shared" si="7"/>
        <v>5.6454990378948634E-6</v>
      </c>
      <c r="AH18">
        <f t="shared" si="15"/>
        <v>6.428332234691006E-2</v>
      </c>
    </row>
    <row r="19" spans="1:34" x14ac:dyDescent="0.25">
      <c r="A19">
        <v>1640</v>
      </c>
      <c r="B19">
        <v>171.74039839624203</v>
      </c>
      <c r="C19">
        <v>0.84332212411016105</v>
      </c>
      <c r="D19" s="45">
        <v>243.74799999999999</v>
      </c>
      <c r="E19" s="45">
        <v>242.54161373792925</v>
      </c>
      <c r="F19" s="4">
        <v>4.9739351671596434E-3</v>
      </c>
      <c r="G19">
        <v>16</v>
      </c>
      <c r="H19">
        <v>3.169</v>
      </c>
      <c r="I19">
        <v>1.4122571975076801</v>
      </c>
      <c r="J19">
        <f t="shared" si="8"/>
        <v>0.14433756729740646</v>
      </c>
      <c r="K19">
        <f t="shared" si="0"/>
        <v>24.788684435107882</v>
      </c>
      <c r="L19" s="8">
        <f t="shared" si="1"/>
        <v>10.220384062378887</v>
      </c>
      <c r="N19" t="e">
        <f>(#REF!*0.001*H19+H19*2)/60/1000*1000</f>
        <v>#REF!</v>
      </c>
      <c r="O19" t="e">
        <f t="shared" si="2"/>
        <v>#REF!</v>
      </c>
      <c r="Q19">
        <f t="shared" si="3"/>
        <v>24.788870681872169</v>
      </c>
      <c r="R19">
        <f t="shared" si="4"/>
        <v>0.10220460851990952</v>
      </c>
      <c r="S19" s="41"/>
      <c r="T19" s="4">
        <v>0.77524752475247527</v>
      </c>
      <c r="U19" s="4">
        <f>'Overall w heat (final) 0709 (2)'!G62/'Overall w heat (final) 0709 (2)'!F62</f>
        <v>0.83497240010907037</v>
      </c>
      <c r="V19">
        <f t="shared" si="10"/>
        <v>1.9245008972987527E-5</v>
      </c>
      <c r="W19">
        <f t="shared" si="11"/>
        <v>1.1547005383792517</v>
      </c>
      <c r="X19">
        <v>5</v>
      </c>
      <c r="Y19">
        <f t="shared" si="12"/>
        <v>3.1689999999999999E-3</v>
      </c>
      <c r="Z19">
        <f t="shared" si="13"/>
        <v>2.8867513459481291</v>
      </c>
      <c r="AA19">
        <v>1.1573</v>
      </c>
      <c r="AB19">
        <f t="shared" si="14"/>
        <v>3.26775E-5</v>
      </c>
      <c r="AD19" s="8">
        <f t="shared" si="5"/>
        <v>5.9058414538388428E-2</v>
      </c>
      <c r="AF19">
        <f t="shared" si="6"/>
        <v>3.4810155714216969E-3</v>
      </c>
      <c r="AG19">
        <f t="shared" si="7"/>
        <v>6.2124013767192698E-6</v>
      </c>
      <c r="AH19">
        <f t="shared" si="15"/>
        <v>5.9052755844231489E-2</v>
      </c>
    </row>
    <row r="20" spans="1:34" x14ac:dyDescent="0.25">
      <c r="A20">
        <v>1837</v>
      </c>
      <c r="B20">
        <v>192.37019015481502</v>
      </c>
      <c r="C20">
        <v>0.80530956514993424</v>
      </c>
      <c r="D20" s="45">
        <v>402.21280000000002</v>
      </c>
      <c r="E20" s="45">
        <v>414.98108314334672</v>
      </c>
      <c r="F20" s="4">
        <v>-3.0768349840506259E-2</v>
      </c>
      <c r="G20">
        <v>8.5</v>
      </c>
      <c r="H20">
        <v>5.6976000000000004</v>
      </c>
      <c r="I20">
        <v>2.15720056631113</v>
      </c>
      <c r="J20">
        <f t="shared" si="8"/>
        <v>0.14433756729740646</v>
      </c>
      <c r="K20">
        <f t="shared" si="0"/>
        <v>27.766439243769888</v>
      </c>
      <c r="L20" s="8">
        <f t="shared" si="1"/>
        <v>6.6910132465432257</v>
      </c>
      <c r="N20">
        <f>(G23*0.001*H20+H20*2)/60/1000*1000</f>
        <v>0.19134440000000003</v>
      </c>
      <c r="O20">
        <f t="shared" si="2"/>
        <v>23.760353568428698</v>
      </c>
      <c r="Q20">
        <f t="shared" si="3"/>
        <v>27.766827192273375</v>
      </c>
      <c r="R20">
        <f t="shared" si="4"/>
        <v>6.6911067323716766E-2</v>
      </c>
      <c r="S20" s="41"/>
      <c r="T20" s="4">
        <v>0.75267665952890794</v>
      </c>
      <c r="U20" s="4">
        <f>'Overall w heat (final) 0709 (2)'!G65/'Overall w heat (final) 0709 (2)'!F65</f>
        <v>0.71851317375975576</v>
      </c>
      <c r="V20">
        <f t="shared" si="10"/>
        <v>1.9245008972987527E-5</v>
      </c>
      <c r="W20">
        <f t="shared" si="11"/>
        <v>1.1547005383792517</v>
      </c>
      <c r="X20">
        <v>5</v>
      </c>
      <c r="Y20">
        <f t="shared" si="12"/>
        <v>5.6976000000000006E-3</v>
      </c>
      <c r="Z20">
        <f t="shared" si="13"/>
        <v>2.8867513459481291</v>
      </c>
      <c r="AA20">
        <v>1.1549</v>
      </c>
      <c r="AB20">
        <f t="shared" si="14"/>
        <v>3.26775E-5</v>
      </c>
      <c r="AD20" s="8">
        <f t="shared" si="5"/>
        <v>9.4920032754632747E-2</v>
      </c>
      <c r="AF20">
        <f t="shared" si="6"/>
        <v>9.0057093679060968E-3</v>
      </c>
      <c r="AG20">
        <f t="shared" si="7"/>
        <v>3.6152533580837393E-6</v>
      </c>
      <c r="AH20">
        <f t="shared" si="15"/>
        <v>9.4917462151409102E-2</v>
      </c>
    </row>
    <row r="21" spans="1:34" x14ac:dyDescent="0.25">
      <c r="A21">
        <v>1837</v>
      </c>
      <c r="B21">
        <v>192.37019015481502</v>
      </c>
      <c r="C21">
        <v>0.85827402956532706</v>
      </c>
      <c r="D21" s="45">
        <v>379.46269999999998</v>
      </c>
      <c r="E21" s="45">
        <v>377.6009892173239</v>
      </c>
      <c r="F21" s="4">
        <v>4.9303652157664185E-3</v>
      </c>
      <c r="G21">
        <v>10</v>
      </c>
      <c r="H21">
        <v>5.1612999999999998</v>
      </c>
      <c r="I21">
        <v>1.9628872275555764</v>
      </c>
      <c r="J21">
        <f t="shared" si="8"/>
        <v>0.14433756729740646</v>
      </c>
      <c r="K21">
        <f t="shared" si="0"/>
        <v>27.766405872294062</v>
      </c>
      <c r="L21" s="8">
        <f t="shared" si="1"/>
        <v>7.3533721216798575</v>
      </c>
      <c r="N21">
        <f t="shared" ref="N21:N22" si="18">(G24*0.001*H21+H21*2)/60/1000*1000</f>
        <v>0.17359172333333334</v>
      </c>
      <c r="O21">
        <f t="shared" si="2"/>
        <v>20.225675874318238</v>
      </c>
      <c r="Q21">
        <f t="shared" si="3"/>
        <v>27.766727079124358</v>
      </c>
      <c r="R21">
        <f t="shared" si="4"/>
        <v>7.3534571868252019E-2</v>
      </c>
      <c r="S21" s="41"/>
      <c r="T21" s="4">
        <v>0.76024955436720132</v>
      </c>
      <c r="U21" s="4">
        <f>'Overall w heat (final) 0709 (2)'!G66/'Overall w heat (final) 0709 (2)'!F66</f>
        <v>0.76495011547711855</v>
      </c>
      <c r="V21">
        <f t="shared" si="10"/>
        <v>1.9245008972987527E-5</v>
      </c>
      <c r="W21">
        <f t="shared" si="11"/>
        <v>1.1547005383792517</v>
      </c>
      <c r="X21">
        <v>5</v>
      </c>
      <c r="Y21">
        <f t="shared" si="12"/>
        <v>5.1612999999999997E-3</v>
      </c>
      <c r="Z21">
        <f t="shared" si="13"/>
        <v>2.8867513459481291</v>
      </c>
      <c r="AA21">
        <v>1.155</v>
      </c>
      <c r="AB21">
        <f t="shared" si="14"/>
        <v>3.26775E-5</v>
      </c>
      <c r="AD21" s="8">
        <f t="shared" si="5"/>
        <v>8.598553607595856E-2</v>
      </c>
      <c r="AF21">
        <f t="shared" si="6"/>
        <v>7.3888528078026117E-3</v>
      </c>
      <c r="AG21">
        <f t="shared" si="7"/>
        <v>4.1054425067704658E-6</v>
      </c>
      <c r="AH21">
        <f t="shared" si="15"/>
        <v>8.5982313590117959E-2</v>
      </c>
    </row>
    <row r="22" spans="1:34" x14ac:dyDescent="0.25">
      <c r="A22">
        <v>1839</v>
      </c>
      <c r="B22">
        <v>192.57962966505431</v>
      </c>
      <c r="C22">
        <v>0.90545505322499509</v>
      </c>
      <c r="D22" s="45">
        <v>352.13600000000002</v>
      </c>
      <c r="E22" s="45">
        <v>348.33822229195874</v>
      </c>
      <c r="F22" s="4">
        <v>1.0902558103021447E-2</v>
      </c>
      <c r="G22">
        <v>12</v>
      </c>
      <c r="H22">
        <v>4.5373000000000001</v>
      </c>
      <c r="I22">
        <v>1.8088009770182278</v>
      </c>
      <c r="J22">
        <f t="shared" si="8"/>
        <v>0.14433756729740646</v>
      </c>
      <c r="K22">
        <f t="shared" si="0"/>
        <v>27.796611488230688</v>
      </c>
      <c r="L22" s="8">
        <f t="shared" si="1"/>
        <v>7.9797764670605202</v>
      </c>
      <c r="N22">
        <f t="shared" si="18"/>
        <v>0.15283138833333335</v>
      </c>
      <c r="O22">
        <f t="shared" si="2"/>
        <v>16.87895912546821</v>
      </c>
      <c r="Q22">
        <f t="shared" si="3"/>
        <v>27.796883948910295</v>
      </c>
      <c r="R22">
        <f t="shared" si="4"/>
        <v>7.9798546843396392E-2</v>
      </c>
      <c r="S22" s="41"/>
      <c r="T22" s="4">
        <v>0.77128132219655232</v>
      </c>
      <c r="U22" s="4">
        <f>'Overall w heat (final) 0709 (2)'!G67/'Overall w heat (final) 0709 (2)'!F67</f>
        <v>0.80456286940198607</v>
      </c>
      <c r="V22">
        <f t="shared" si="10"/>
        <v>1.9245008972987527E-5</v>
      </c>
      <c r="W22">
        <f t="shared" si="11"/>
        <v>1.1547005383792517</v>
      </c>
      <c r="X22">
        <v>5</v>
      </c>
      <c r="Y22">
        <f t="shared" si="12"/>
        <v>4.5373000000000002E-3</v>
      </c>
      <c r="Z22">
        <f t="shared" si="13"/>
        <v>2.8867513459481291</v>
      </c>
      <c r="AA22">
        <v>1.1558999999999999</v>
      </c>
      <c r="AB22">
        <f t="shared" si="14"/>
        <v>3.26775E-5</v>
      </c>
      <c r="AD22" s="8">
        <f t="shared" si="5"/>
        <v>7.5459300013738115E-2</v>
      </c>
      <c r="AF22">
        <f t="shared" si="6"/>
        <v>5.6889497060423509E-3</v>
      </c>
      <c r="AG22">
        <f t="shared" si="7"/>
        <v>4.5418459527334739E-6</v>
      </c>
      <c r="AH22">
        <f t="shared" si="15"/>
        <v>7.5455228791615786E-2</v>
      </c>
    </row>
    <row r="23" spans="1:34" x14ac:dyDescent="0.25">
      <c r="A23">
        <v>1839</v>
      </c>
      <c r="B23">
        <v>192.57962966505431</v>
      </c>
      <c r="C23">
        <v>1.0884625091260001</v>
      </c>
      <c r="D23" s="45">
        <v>328.50850000000003</v>
      </c>
      <c r="E23" s="45">
        <v>344.11790533548407</v>
      </c>
      <c r="F23" s="4">
        <v>-4.5360631032164027E-2</v>
      </c>
      <c r="G23">
        <v>15</v>
      </c>
      <c r="H23">
        <v>4.0906000000000002</v>
      </c>
      <c r="I23">
        <v>1.7868863178000391</v>
      </c>
      <c r="J23">
        <f t="shared" si="8"/>
        <v>0.14433756729740646</v>
      </c>
      <c r="K23">
        <f t="shared" si="0"/>
        <v>27.796608207194179</v>
      </c>
      <c r="L23" s="8">
        <f t="shared" si="1"/>
        <v>8.0776407667874714</v>
      </c>
      <c r="N23" t="e">
        <f>(#REF!*0.001*H23+H23*2)/60/1000*1000</f>
        <v>#REF!</v>
      </c>
      <c r="O23" t="e">
        <f t="shared" si="2"/>
        <v>#REF!</v>
      </c>
      <c r="Q23">
        <f t="shared" si="3"/>
        <v>27.796874105896077</v>
      </c>
      <c r="R23">
        <f t="shared" si="4"/>
        <v>8.0777180364377199E-2</v>
      </c>
      <c r="S23" s="41"/>
      <c r="T23" s="4">
        <v>0.77931769722814503</v>
      </c>
      <c r="U23" s="4">
        <f>'Overall w heat (final) 0709 (2)'!G68/'Overall w heat (final) 0709 (2)'!F68</f>
        <v>0.90656858769156456</v>
      </c>
      <c r="V23">
        <f t="shared" si="10"/>
        <v>1.9245008972987527E-5</v>
      </c>
      <c r="W23">
        <f t="shared" si="11"/>
        <v>1.1547005383792517</v>
      </c>
      <c r="X23">
        <v>5</v>
      </c>
      <c r="Y23">
        <f t="shared" si="12"/>
        <v>4.0906000000000007E-3</v>
      </c>
      <c r="Z23">
        <f t="shared" si="13"/>
        <v>2.8867513459481291</v>
      </c>
      <c r="AA23">
        <v>1.1556999999999999</v>
      </c>
      <c r="AB23">
        <f t="shared" si="14"/>
        <v>3.26775E-5</v>
      </c>
      <c r="AD23" s="8">
        <f t="shared" si="5"/>
        <v>6.8059385109767209E-2</v>
      </c>
      <c r="AF23">
        <f t="shared" si="6"/>
        <v>4.6255292643845721E-3</v>
      </c>
      <c r="AG23">
        <f t="shared" si="7"/>
        <v>5.7700790716644194E-6</v>
      </c>
      <c r="AH23">
        <f t="shared" si="15"/>
        <v>6.8053650478546973E-2</v>
      </c>
    </row>
    <row r="24" spans="1:34" x14ac:dyDescent="0.25">
      <c r="A24">
        <v>1839</v>
      </c>
      <c r="B24">
        <v>192.57962966505431</v>
      </c>
      <c r="C24">
        <v>1.0201251626579322</v>
      </c>
      <c r="D24" s="45">
        <v>291.82490000000001</v>
      </c>
      <c r="E24" s="45">
        <v>310.51013897327994</v>
      </c>
      <c r="F24" s="4">
        <v>-6.017593832866059E-2</v>
      </c>
      <c r="G24">
        <v>18</v>
      </c>
      <c r="H24">
        <v>3.4075000000000002</v>
      </c>
      <c r="I24">
        <v>1.612372707920029</v>
      </c>
      <c r="J24">
        <f t="shared" si="8"/>
        <v>0.14433756729740646</v>
      </c>
      <c r="K24">
        <f t="shared" si="0"/>
        <v>27.796583506554168</v>
      </c>
      <c r="L24" s="8">
        <f t="shared" si="1"/>
        <v>8.9519084943458562</v>
      </c>
      <c r="N24" t="e">
        <f>(#REF!*0.001*H24+H24*2)/60/1000*1000</f>
        <v>#REF!</v>
      </c>
      <c r="O24" t="e">
        <f t="shared" si="2"/>
        <v>#REF!</v>
      </c>
      <c r="Q24">
        <f t="shared" si="3"/>
        <v>27.796800004619044</v>
      </c>
      <c r="R24">
        <f t="shared" si="4"/>
        <v>8.9519782176938886E-2</v>
      </c>
      <c r="S24" s="41"/>
      <c r="T24" s="4">
        <v>0.7936113575865128</v>
      </c>
      <c r="U24" s="4">
        <f>'Overall w heat (final) 0709 (2)'!G69/'Overall w heat (final) 0709 (2)'!F69</f>
        <v>0.90516873350304539</v>
      </c>
      <c r="V24">
        <f t="shared" si="10"/>
        <v>1.9245008972987527E-5</v>
      </c>
      <c r="W24">
        <f t="shared" si="11"/>
        <v>1.1547005383792517</v>
      </c>
      <c r="X24">
        <v>5</v>
      </c>
      <c r="Y24">
        <f t="shared" si="12"/>
        <v>3.4075000000000004E-3</v>
      </c>
      <c r="Z24">
        <f t="shared" si="13"/>
        <v>2.8867513459481291</v>
      </c>
      <c r="AA24">
        <v>1.1552</v>
      </c>
      <c r="AB24">
        <f t="shared" si="14"/>
        <v>3.26775E-5</v>
      </c>
      <c r="AD24" s="8">
        <f t="shared" si="5"/>
        <v>5.6736152468794238E-2</v>
      </c>
      <c r="AF24">
        <f t="shared" si="6"/>
        <v>3.2124398159096654E-3</v>
      </c>
      <c r="AG24">
        <f t="shared" si="7"/>
        <v>5.7705581773350732E-6</v>
      </c>
      <c r="AH24">
        <f t="shared" si="15"/>
        <v>5.6729272638444787E-2</v>
      </c>
    </row>
    <row r="25" spans="1:34" x14ac:dyDescent="0.25">
      <c r="A25">
        <v>1840</v>
      </c>
      <c r="B25">
        <v>192.68434942017399</v>
      </c>
      <c r="C25">
        <v>1.0094910734070963</v>
      </c>
      <c r="D25" s="45">
        <v>262.67219999999998</v>
      </c>
      <c r="E25" s="45">
        <v>272.32024194294416</v>
      </c>
      <c r="F25" s="4">
        <v>-3.5429029711884663E-2</v>
      </c>
      <c r="G25">
        <v>21</v>
      </c>
      <c r="H25">
        <v>2.8900999999999999</v>
      </c>
      <c r="I25">
        <v>1.4132971503000145</v>
      </c>
      <c r="J25">
        <f t="shared" si="8"/>
        <v>0.14433756729740646</v>
      </c>
      <c r="K25">
        <f t="shared" si="0"/>
        <v>27.811673375652411</v>
      </c>
      <c r="L25" s="8">
        <f t="shared" si="1"/>
        <v>10.212855708860394</v>
      </c>
      <c r="N25">
        <f>(G26*0.001*H25+H25*2)/60/1000*1000</f>
        <v>9.6770181666666663E-2</v>
      </c>
      <c r="O25">
        <f t="shared" si="2"/>
        <v>9.5860363915909801</v>
      </c>
      <c r="Q25">
        <f t="shared" si="3"/>
        <v>27.811839623029226</v>
      </c>
      <c r="R25">
        <f t="shared" si="4"/>
        <v>0.1021291675734347</v>
      </c>
      <c r="S25" s="41"/>
      <c r="T25" s="4">
        <v>0.80682624113475188</v>
      </c>
      <c r="U25" s="4">
        <f>'Overall w heat (final) 0709 (2)'!G70/'Overall w heat (final) 0709 (2)'!F70</f>
        <v>0.89493889486444722</v>
      </c>
      <c r="V25">
        <f t="shared" si="10"/>
        <v>1.9245008972987527E-5</v>
      </c>
      <c r="W25">
        <f t="shared" si="11"/>
        <v>1.1547005383792517</v>
      </c>
      <c r="X25">
        <v>5</v>
      </c>
      <c r="Y25">
        <f t="shared" si="12"/>
        <v>2.8901E-3</v>
      </c>
      <c r="Z25">
        <f t="shared" si="13"/>
        <v>2.8867513459481291</v>
      </c>
      <c r="AA25">
        <v>1.1543000000000001</v>
      </c>
      <c r="AB25">
        <f t="shared" si="14"/>
        <v>3.26775E-5</v>
      </c>
      <c r="AD25" s="8">
        <f t="shared" si="5"/>
        <v>4.8150214861264418E-2</v>
      </c>
      <c r="AF25">
        <f t="shared" si="6"/>
        <v>2.3120317438693823E-3</v>
      </c>
      <c r="AG25">
        <f t="shared" si="7"/>
        <v>5.6467428172613277E-6</v>
      </c>
      <c r="AH25">
        <f t="shared" si="15"/>
        <v>4.8142273385109721E-2</v>
      </c>
    </row>
    <row r="26" spans="1:34" x14ac:dyDescent="0.25">
      <c r="A26">
        <v>2107</v>
      </c>
      <c r="B26">
        <v>220.64452403712315</v>
      </c>
      <c r="C26">
        <v>0.86906064601320965</v>
      </c>
      <c r="D26" s="45">
        <v>476.0367</v>
      </c>
      <c r="E26" s="45">
        <v>496.993999338386</v>
      </c>
      <c r="F26" s="4">
        <v>-4.2168113430514298E-2</v>
      </c>
      <c r="G26">
        <v>9</v>
      </c>
      <c r="H26">
        <v>5.8071999999999999</v>
      </c>
      <c r="I26">
        <v>2.2524646895599703</v>
      </c>
      <c r="J26">
        <f t="shared" si="8"/>
        <v>0.14433756729740646</v>
      </c>
      <c r="K26">
        <f t="shared" si="0"/>
        <v>31.8474782232271</v>
      </c>
      <c r="L26" s="8">
        <f t="shared" si="1"/>
        <v>6.4080206734132537</v>
      </c>
      <c r="N26">
        <f>(G30*0.001*H26+H26*2)/60/1000*1000</f>
        <v>0.19541228000000002</v>
      </c>
      <c r="O26">
        <f t="shared" si="2"/>
        <v>22.485459547207455</v>
      </c>
      <c r="Q26">
        <f t="shared" si="3"/>
        <v>31.847846992453778</v>
      </c>
      <c r="R26">
        <f t="shared" si="4"/>
        <v>6.4080948733486992E-2</v>
      </c>
      <c r="S26" s="41"/>
      <c r="T26" s="4">
        <v>0.77932002495321273</v>
      </c>
      <c r="U26" s="4">
        <f>'Overall w heat (final) 0709 (2)'!G73/'Overall w heat (final) 0709 (2)'!F73</f>
        <v>0.67768297412134249</v>
      </c>
      <c r="V26">
        <f t="shared" si="10"/>
        <v>1.9245008972987527E-5</v>
      </c>
      <c r="W26">
        <f t="shared" si="11"/>
        <v>1.1547005383792517</v>
      </c>
      <c r="X26">
        <v>5</v>
      </c>
      <c r="Y26">
        <f t="shared" si="12"/>
        <v>5.8072000000000002E-3</v>
      </c>
      <c r="Z26">
        <f t="shared" si="13"/>
        <v>2.8867513459481291</v>
      </c>
      <c r="AA26">
        <v>1.1499999999999999</v>
      </c>
      <c r="AB26">
        <f t="shared" si="14"/>
        <v>3.26775E-5</v>
      </c>
      <c r="AD26" s="8">
        <f t="shared" si="5"/>
        <v>8.4705656601805512E-2</v>
      </c>
      <c r="AF26">
        <f t="shared" si="6"/>
        <v>7.1721589326961439E-3</v>
      </c>
      <c r="AG26">
        <f t="shared" si="7"/>
        <v>2.4536189916884443E-6</v>
      </c>
      <c r="AH26">
        <f t="shared" si="15"/>
        <v>8.4703084664537645E-2</v>
      </c>
    </row>
    <row r="27" spans="1:34" x14ac:dyDescent="0.25">
      <c r="A27">
        <v>2112</v>
      </c>
      <c r="B27">
        <v>221.16812281272144</v>
      </c>
      <c r="C27">
        <v>0.94847363500753468</v>
      </c>
      <c r="D27" s="45">
        <v>439.1995</v>
      </c>
      <c r="E27" s="45">
        <v>455.1477762194761</v>
      </c>
      <c r="F27" s="4">
        <v>-3.5039776206191343E-2</v>
      </c>
      <c r="G27">
        <v>11.5</v>
      </c>
      <c r="H27">
        <v>4.9595000000000002</v>
      </c>
      <c r="I27">
        <v>2.0579266597333361</v>
      </c>
      <c r="J27">
        <f t="shared" si="8"/>
        <v>0.14433756729740646</v>
      </c>
      <c r="K27">
        <f t="shared" si="0"/>
        <v>31.923022358141303</v>
      </c>
      <c r="L27" s="8">
        <f t="shared" si="1"/>
        <v>7.0137709170631544</v>
      </c>
      <c r="N27">
        <f t="shared" ref="N27:N31" si="19">(G31*0.001*H27+H27*2)/60/1000*1000</f>
        <v>0.16746578333333334</v>
      </c>
      <c r="O27">
        <f t="shared" si="2"/>
        <v>17.656345643387649</v>
      </c>
      <c r="Q27">
        <f t="shared" si="3"/>
        <v>31.923329451163792</v>
      </c>
      <c r="R27">
        <f t="shared" si="4"/>
        <v>7.0138383881216834E-2</v>
      </c>
      <c r="S27" s="41"/>
      <c r="T27" s="4">
        <v>0.79063617981023482</v>
      </c>
      <c r="U27" s="4">
        <f>'Overall w heat (final) 0709 (2)'!G74/'Overall w heat (final) 0709 (2)'!F74</f>
        <v>0.73765253928101937</v>
      </c>
      <c r="V27">
        <f t="shared" si="10"/>
        <v>1.9245008972987527E-5</v>
      </c>
      <c r="W27">
        <f t="shared" si="11"/>
        <v>1.1547005383792517</v>
      </c>
      <c r="X27">
        <v>5</v>
      </c>
      <c r="Y27">
        <f t="shared" si="12"/>
        <v>4.9595000000000004E-3</v>
      </c>
      <c r="Z27">
        <f t="shared" si="13"/>
        <v>2.8867513459481291</v>
      </c>
      <c r="AA27">
        <v>1.1488</v>
      </c>
      <c r="AB27">
        <f t="shared" si="14"/>
        <v>3.26775E-5</v>
      </c>
      <c r="AD27" s="8">
        <f t="shared" si="5"/>
        <v>7.2254068444237401E-2</v>
      </c>
      <c r="AF27">
        <f t="shared" si="6"/>
        <v>5.2172325797467545E-3</v>
      </c>
      <c r="AG27">
        <f t="shared" si="7"/>
        <v>2.900342741286887E-6</v>
      </c>
      <c r="AH27">
        <f t="shared" si="15"/>
        <v>7.225048735121474E-2</v>
      </c>
    </row>
    <row r="28" spans="1:34" x14ac:dyDescent="0.25">
      <c r="A28">
        <v>2114</v>
      </c>
      <c r="B28">
        <v>221.37756232296076</v>
      </c>
      <c r="C28">
        <v>0.94549204078864424</v>
      </c>
      <c r="D28" s="45">
        <v>413.53059999999999</v>
      </c>
      <c r="E28" s="45">
        <v>433.13431702395167</v>
      </c>
      <c r="F28" s="4">
        <v>2.3044042258500888E-2</v>
      </c>
      <c r="G28">
        <v>14</v>
      </c>
      <c r="H28">
        <v>4.7378999999999998</v>
      </c>
      <c r="I28">
        <v>1.9565411800499712</v>
      </c>
      <c r="J28">
        <f t="shared" si="8"/>
        <v>0.14433756729740646</v>
      </c>
      <c r="K28">
        <f t="shared" si="0"/>
        <v>31.953237459646225</v>
      </c>
      <c r="L28" s="8">
        <f t="shared" si="1"/>
        <v>7.3772121496157634</v>
      </c>
      <c r="N28">
        <f t="shared" si="19"/>
        <v>0.15792999999999999</v>
      </c>
      <c r="O28">
        <f t="shared" si="2"/>
        <v>16.703472180291335</v>
      </c>
      <c r="Q28">
        <f t="shared" si="3"/>
        <v>31.953514777281281</v>
      </c>
      <c r="R28">
        <f t="shared" si="4"/>
        <v>7.3772761753981037E-2</v>
      </c>
      <c r="S28" s="41"/>
      <c r="T28" s="4">
        <v>0.7983708301008533</v>
      </c>
      <c r="U28" s="4">
        <f>'Overall w heat (final) 0709 (2)'!G75/'Overall w heat (final) 0709 (2)'!F75</f>
        <v>0.80902194552027318</v>
      </c>
      <c r="V28">
        <f t="shared" si="10"/>
        <v>1.9245008972987527E-5</v>
      </c>
      <c r="W28">
        <f t="shared" si="11"/>
        <v>1.1547005383792517</v>
      </c>
      <c r="X28">
        <v>5</v>
      </c>
      <c r="Y28">
        <f t="shared" si="12"/>
        <v>4.7378999999999998E-3</v>
      </c>
      <c r="Z28">
        <f t="shared" si="13"/>
        <v>2.8867513459481291</v>
      </c>
      <c r="AA28">
        <v>1.1496</v>
      </c>
      <c r="AB28">
        <f t="shared" si="14"/>
        <v>3.26775E-5</v>
      </c>
      <c r="AD28" s="8">
        <f t="shared" si="5"/>
        <v>6.8923144452261026E-2</v>
      </c>
      <c r="AF28">
        <f t="shared" si="6"/>
        <v>4.7457995841055055E-3</v>
      </c>
      <c r="AG28">
        <f t="shared" si="7"/>
        <v>3.9026245428699723E-6</v>
      </c>
      <c r="AH28">
        <f t="shared" si="15"/>
        <v>6.8918083321058601E-2</v>
      </c>
    </row>
    <row r="29" spans="1:34" x14ac:dyDescent="0.25">
      <c r="A29">
        <v>2111</v>
      </c>
      <c r="B29">
        <v>221.06340305760176</v>
      </c>
      <c r="C29">
        <v>1.042829287775632</v>
      </c>
      <c r="D29" s="45">
        <v>389.93310000000002</v>
      </c>
      <c r="E29" s="45">
        <v>404.21583325687345</v>
      </c>
      <c r="F29" s="4">
        <v>7.7068348992627198E-2</v>
      </c>
      <c r="G29">
        <v>17</v>
      </c>
      <c r="H29">
        <v>4.4790000000000001</v>
      </c>
      <c r="I29">
        <v>1.8259114836000212</v>
      </c>
      <c r="J29">
        <f t="shared" si="8"/>
        <v>0.14433756729740646</v>
      </c>
      <c r="K29">
        <f t="shared" si="0"/>
        <v>31.907874749882701</v>
      </c>
      <c r="L29" s="8">
        <f t="shared" si="1"/>
        <v>7.8937716251222891</v>
      </c>
      <c r="N29">
        <f t="shared" si="19"/>
        <v>0.14930000000000002</v>
      </c>
      <c r="O29">
        <f t="shared" si="2"/>
        <v>14.316820763488414</v>
      </c>
      <c r="Q29">
        <f t="shared" si="3"/>
        <v>31.908116616632491</v>
      </c>
      <c r="R29">
        <f t="shared" si="4"/>
        <v>7.8938314611628119E-2</v>
      </c>
      <c r="S29" s="41"/>
      <c r="T29" s="4">
        <v>0.80386826161255232</v>
      </c>
      <c r="U29" s="4">
        <f>'Overall w heat (final) 0709 (2)'!G76/'Overall w heat (final) 0709 (2)'!F76</f>
        <v>0.90352471942571178</v>
      </c>
      <c r="V29">
        <f t="shared" si="10"/>
        <v>1.9245008972987527E-5</v>
      </c>
      <c r="W29">
        <f t="shared" si="11"/>
        <v>1.1547005383792517</v>
      </c>
      <c r="X29">
        <v>5</v>
      </c>
      <c r="Y29">
        <f t="shared" si="12"/>
        <v>4.4790000000000003E-3</v>
      </c>
      <c r="Z29">
        <f t="shared" si="13"/>
        <v>2.8867513459481291</v>
      </c>
      <c r="AA29">
        <v>1.149</v>
      </c>
      <c r="AB29">
        <f t="shared" si="14"/>
        <v>3.26775E-5</v>
      </c>
      <c r="AD29" s="8">
        <f t="shared" si="5"/>
        <v>6.5298654687711219E-2</v>
      </c>
      <c r="AF29">
        <f t="shared" si="6"/>
        <v>4.2578140512059921E-3</v>
      </c>
      <c r="AG29">
        <f t="shared" si="7"/>
        <v>5.1773716233575807E-6</v>
      </c>
      <c r="AH29">
        <f t="shared" si="15"/>
        <v>6.529158768807318E-2</v>
      </c>
    </row>
    <row r="30" spans="1:34" x14ac:dyDescent="0.25">
      <c r="A30">
        <v>2112</v>
      </c>
      <c r="B30">
        <v>221.16812281272144</v>
      </c>
      <c r="C30">
        <v>1.1484048601961037</v>
      </c>
      <c r="D30" s="45">
        <v>365.04919999999998</v>
      </c>
      <c r="E30" s="45">
        <v>411.38884927145062</v>
      </c>
      <c r="F30" s="4">
        <v>6.3693142931256302E-2</v>
      </c>
      <c r="G30">
        <v>19</v>
      </c>
      <c r="H30">
        <v>4.3156999999999996</v>
      </c>
      <c r="I30">
        <v>1.8600729799556259</v>
      </c>
      <c r="J30">
        <f t="shared" si="8"/>
        <v>0.14433756729740646</v>
      </c>
      <c r="K30">
        <f t="shared" si="0"/>
        <v>31.922994252663671</v>
      </c>
      <c r="L30" s="8">
        <f t="shared" si="1"/>
        <v>7.7598102887809715</v>
      </c>
      <c r="N30">
        <f t="shared" si="19"/>
        <v>0.14385666666666666</v>
      </c>
      <c r="O30">
        <f t="shared" si="2"/>
        <v>12.526650805196127</v>
      </c>
      <c r="Q30">
        <f t="shared" si="3"/>
        <v>31.923245135467759</v>
      </c>
      <c r="R30">
        <f t="shared" si="4"/>
        <v>7.7598712731281494E-2</v>
      </c>
      <c r="S30" s="41"/>
      <c r="T30" s="4">
        <v>0.81095529557604396</v>
      </c>
      <c r="U30" s="4">
        <f>'Overall w heat (final) 0709 (2)'!G77/'Overall w heat (final) 0709 (2)'!F77</f>
        <v>0.90316813212010527</v>
      </c>
      <c r="V30">
        <f t="shared" si="10"/>
        <v>1.9245008972987527E-5</v>
      </c>
      <c r="W30">
        <f t="shared" si="11"/>
        <v>1.1547005383792517</v>
      </c>
      <c r="X30">
        <v>5</v>
      </c>
      <c r="Y30">
        <f t="shared" si="12"/>
        <v>4.3156999999999996E-3</v>
      </c>
      <c r="Z30">
        <f t="shared" si="13"/>
        <v>2.8867513459481291</v>
      </c>
      <c r="AA30">
        <v>1.1506000000000001</v>
      </c>
      <c r="AB30">
        <f t="shared" si="14"/>
        <v>3.26775E-5</v>
      </c>
      <c r="AD30" s="8">
        <f t="shared" si="5"/>
        <v>6.2811833349913151E-2</v>
      </c>
      <c r="AF30">
        <f t="shared" si="6"/>
        <v>3.9382838834462561E-3</v>
      </c>
      <c r="AG30">
        <f t="shared" si="7"/>
        <v>5.9762349695635452E-6</v>
      </c>
      <c r="AH30">
        <f t="shared" si="15"/>
        <v>6.280334480277161E-2</v>
      </c>
    </row>
    <row r="31" spans="1:34" x14ac:dyDescent="0.25">
      <c r="A31">
        <v>2113</v>
      </c>
      <c r="B31">
        <v>221.27284256784108</v>
      </c>
      <c r="C31">
        <v>1.1631977237886615</v>
      </c>
      <c r="D31" s="45">
        <v>303.41419999999999</v>
      </c>
      <c r="E31" s="45">
        <v>362.03189924269998</v>
      </c>
      <c r="F31" s="4">
        <v>4.0686302468179655E-2</v>
      </c>
      <c r="G31">
        <v>26</v>
      </c>
      <c r="H31">
        <v>4.1142000000000003</v>
      </c>
      <c r="I31">
        <v>1.6376835524800391</v>
      </c>
      <c r="J31">
        <f t="shared" si="8"/>
        <v>0.14433756729740646</v>
      </c>
      <c r="K31">
        <f t="shared" si="0"/>
        <v>31.938080998915186</v>
      </c>
      <c r="L31" s="8">
        <f t="shared" si="1"/>
        <v>8.8218969283434454</v>
      </c>
      <c r="N31">
        <f t="shared" si="19"/>
        <v>0.13714000000000001</v>
      </c>
      <c r="O31">
        <f t="shared" si="2"/>
        <v>11.789913029860488</v>
      </c>
      <c r="Q31">
        <f t="shared" si="3"/>
        <v>31.938275385409852</v>
      </c>
      <c r="R31">
        <f t="shared" si="4"/>
        <v>8.8219506215387336E-2</v>
      </c>
      <c r="S31" s="41"/>
      <c r="T31" s="4">
        <v>0.83143807534617464</v>
      </c>
      <c r="U31" s="4">
        <f>'Overall w heat (final) 0709 (2)'!G78/'Overall w heat (final) 0709 (2)'!F78</f>
        <v>0.92325387748664844</v>
      </c>
      <c r="V31">
        <f t="shared" si="10"/>
        <v>1.9245008972987527E-5</v>
      </c>
      <c r="W31">
        <f t="shared" si="11"/>
        <v>1.1547005383792517</v>
      </c>
      <c r="X31">
        <v>5</v>
      </c>
      <c r="Y31">
        <f t="shared" si="12"/>
        <v>4.1142000000000001E-3</v>
      </c>
      <c r="Z31">
        <f t="shared" si="13"/>
        <v>2.8867513459481291</v>
      </c>
      <c r="AA31">
        <v>1.1494</v>
      </c>
      <c r="AB31">
        <f t="shared" si="14"/>
        <v>3.26775E-5</v>
      </c>
      <c r="AD31" s="8">
        <f t="shared" si="5"/>
        <v>5.9959857710357944E-2</v>
      </c>
      <c r="AF31">
        <f t="shared" si="6"/>
        <v>3.5831955489139264E-3</v>
      </c>
      <c r="AG31">
        <f t="shared" si="7"/>
        <v>1.0172307589146047E-5</v>
      </c>
      <c r="AH31">
        <f t="shared" si="15"/>
        <v>5.9944706659579815E-2</v>
      </c>
    </row>
    <row r="32" spans="1:34" x14ac:dyDescent="0.25">
      <c r="L32" s="8">
        <f>AVERAGE(L3:L31)</f>
        <v>8.6208228824773343</v>
      </c>
    </row>
    <row r="33" spans="12:34" x14ac:dyDescent="0.25">
      <c r="AD33" s="8">
        <f>AVERAGE(AD3:AD31)</f>
        <v>8.2252551292449877E-2</v>
      </c>
      <c r="AH33" s="8">
        <f>AVERAGE(AH3:AH31)</f>
        <v>8.2248659072930622E-2</v>
      </c>
    </row>
    <row r="44" spans="12:34" x14ac:dyDescent="0.25">
      <c r="L44" s="46">
        <v>8.3643150802565724</v>
      </c>
      <c r="Q44" s="45">
        <v>0.12239457424872555</v>
      </c>
      <c r="R44" s="45">
        <f>Q44*100</f>
        <v>12.239457424872555</v>
      </c>
    </row>
    <row r="45" spans="12:34" x14ac:dyDescent="0.25">
      <c r="L45" s="46">
        <v>9.1263526989877199</v>
      </c>
      <c r="Q45" s="45">
        <v>0.10783980235603015</v>
      </c>
      <c r="R45" s="45">
        <f t="shared" ref="R45:R72" si="20">Q45*100</f>
        <v>10.783980235603014</v>
      </c>
    </row>
    <row r="46" spans="12:34" x14ac:dyDescent="0.25">
      <c r="L46" s="46">
        <v>9.5001132323170197</v>
      </c>
      <c r="Q46" s="45">
        <v>9.7552881061911109E-2</v>
      </c>
      <c r="R46" s="45">
        <f t="shared" si="20"/>
        <v>9.7552881061911112</v>
      </c>
    </row>
    <row r="47" spans="12:34" x14ac:dyDescent="0.25">
      <c r="L47" s="46">
        <v>10.381667121639977</v>
      </c>
      <c r="Q47" s="45">
        <v>8.6006141635375385E-2</v>
      </c>
      <c r="R47" s="45">
        <f t="shared" si="20"/>
        <v>8.6006141635375393</v>
      </c>
    </row>
    <row r="48" spans="12:34" x14ac:dyDescent="0.25">
      <c r="L48" s="46">
        <v>12.262285271655953</v>
      </c>
      <c r="Q48" s="45">
        <v>6.8407066120205556E-2</v>
      </c>
      <c r="R48" s="45">
        <f t="shared" si="20"/>
        <v>6.840706612020556</v>
      </c>
    </row>
    <row r="49" spans="12:18" x14ac:dyDescent="0.25">
      <c r="L49" s="46">
        <v>6.904118468485156</v>
      </c>
      <c r="Q49" s="45">
        <v>0.12848009310281794</v>
      </c>
      <c r="R49" s="45">
        <f t="shared" si="20"/>
        <v>12.848009310281794</v>
      </c>
    </row>
    <row r="50" spans="12:18" x14ac:dyDescent="0.25">
      <c r="L50" s="46">
        <v>7.6927954020855411</v>
      </c>
      <c r="Q50" s="45">
        <v>0.12171902167099627</v>
      </c>
      <c r="R50" s="45">
        <f t="shared" si="20"/>
        <v>12.171902167099628</v>
      </c>
    </row>
    <row r="51" spans="12:18" x14ac:dyDescent="0.25">
      <c r="L51" s="46">
        <v>8.4496910026212149</v>
      </c>
      <c r="Q51" s="45">
        <v>0.10453174701598968</v>
      </c>
      <c r="R51" s="45">
        <f t="shared" si="20"/>
        <v>10.453174701598968</v>
      </c>
    </row>
    <row r="52" spans="12:18" x14ac:dyDescent="0.25">
      <c r="L52" s="46">
        <v>9.1459333217944874</v>
      </c>
      <c r="Q52" s="45">
        <v>8.9848790849233556E-2</v>
      </c>
      <c r="R52" s="45">
        <f t="shared" si="20"/>
        <v>8.9848790849233549</v>
      </c>
    </row>
    <row r="53" spans="12:18" x14ac:dyDescent="0.25">
      <c r="L53" s="46">
        <v>10.465850172904622</v>
      </c>
      <c r="Q53" s="45">
        <v>7.1654482235058103E-2</v>
      </c>
      <c r="R53" s="45">
        <f t="shared" si="20"/>
        <v>7.1654482235058108</v>
      </c>
    </row>
    <row r="54" spans="12:18" x14ac:dyDescent="0.25">
      <c r="L54" s="46">
        <v>10.804176945289978</v>
      </c>
      <c r="Q54" s="45">
        <v>6.4580269894047734E-2</v>
      </c>
      <c r="R54" s="45">
        <f t="shared" si="20"/>
        <v>6.4580269894047735</v>
      </c>
    </row>
    <row r="55" spans="12:18" x14ac:dyDescent="0.25">
      <c r="L55" s="46">
        <v>7.0665807035326225</v>
      </c>
      <c r="Q55" s="45">
        <v>0.11234392683466493</v>
      </c>
      <c r="R55" s="45">
        <f t="shared" si="20"/>
        <v>11.234392683466494</v>
      </c>
    </row>
    <row r="56" spans="12:18" x14ac:dyDescent="0.25">
      <c r="L56" s="46">
        <v>7.7766243001495514</v>
      </c>
      <c r="Q56" s="45">
        <v>9.6618287459045174E-2</v>
      </c>
      <c r="R56" s="45">
        <f t="shared" si="20"/>
        <v>9.6618287459045167</v>
      </c>
    </row>
    <row r="57" spans="12:18" x14ac:dyDescent="0.25">
      <c r="L57" s="46">
        <v>8.5632425796306784</v>
      </c>
      <c r="Q57" s="45">
        <v>7.8024664991852247E-2</v>
      </c>
      <c r="R57" s="45">
        <f t="shared" si="20"/>
        <v>7.8024664991852246</v>
      </c>
    </row>
    <row r="58" spans="12:18" x14ac:dyDescent="0.25">
      <c r="L58" s="46">
        <v>9.1131135106411527</v>
      </c>
      <c r="Q58" s="45">
        <v>6.8711946393239146E-2</v>
      </c>
      <c r="R58" s="45">
        <f t="shared" si="20"/>
        <v>6.8711946393239147</v>
      </c>
    </row>
    <row r="59" spans="12:18" x14ac:dyDescent="0.25">
      <c r="L59" s="46">
        <v>9.6255703298553019</v>
      </c>
      <c r="Q59" s="45">
        <v>6.4288040543024685E-2</v>
      </c>
      <c r="R59" s="45">
        <f t="shared" si="20"/>
        <v>6.4288040543024687</v>
      </c>
    </row>
    <row r="60" spans="12:18" x14ac:dyDescent="0.25">
      <c r="L60" s="46">
        <v>10.220384062378887</v>
      </c>
      <c r="Q60" s="45">
        <v>5.9058414538388428E-2</v>
      </c>
      <c r="R60" s="45">
        <f t="shared" si="20"/>
        <v>5.9058414538388426</v>
      </c>
    </row>
    <row r="61" spans="12:18" x14ac:dyDescent="0.25">
      <c r="L61" s="46">
        <v>6.6910132465432257</v>
      </c>
      <c r="Q61" s="45">
        <v>9.4920032754632747E-2</v>
      </c>
      <c r="R61" s="45">
        <f t="shared" si="20"/>
        <v>9.4920032754632739</v>
      </c>
    </row>
    <row r="62" spans="12:18" x14ac:dyDescent="0.25">
      <c r="L62" s="46">
        <v>7.3533721216798575</v>
      </c>
      <c r="Q62" s="45">
        <v>8.598553607595856E-2</v>
      </c>
      <c r="R62" s="45">
        <f t="shared" si="20"/>
        <v>8.5985536075958553</v>
      </c>
    </row>
    <row r="63" spans="12:18" x14ac:dyDescent="0.25">
      <c r="L63" s="46">
        <v>7.9797764670605202</v>
      </c>
      <c r="Q63" s="45">
        <v>7.5459300013738115E-2</v>
      </c>
      <c r="R63" s="45">
        <f t="shared" si="20"/>
        <v>7.5459300013738115</v>
      </c>
    </row>
    <row r="64" spans="12:18" x14ac:dyDescent="0.25">
      <c r="L64" s="46">
        <v>8.0776407667874714</v>
      </c>
      <c r="Q64" s="45">
        <v>6.8059385109767209E-2</v>
      </c>
      <c r="R64" s="45">
        <f t="shared" si="20"/>
        <v>6.8059385109767208</v>
      </c>
    </row>
    <row r="65" spans="4:18" x14ac:dyDescent="0.25">
      <c r="L65" s="46">
        <v>8.9519084943458562</v>
      </c>
      <c r="Q65" s="45">
        <v>5.6736152468794238E-2</v>
      </c>
      <c r="R65" s="45">
        <f t="shared" si="20"/>
        <v>5.6736152468794234</v>
      </c>
    </row>
    <row r="66" spans="4:18" x14ac:dyDescent="0.25">
      <c r="L66" s="46">
        <v>10.212855708860394</v>
      </c>
      <c r="Q66" s="45">
        <v>4.8150214861264418E-2</v>
      </c>
      <c r="R66" s="45">
        <f t="shared" si="20"/>
        <v>4.815021486126442</v>
      </c>
    </row>
    <row r="67" spans="4:18" x14ac:dyDescent="0.25">
      <c r="L67" s="46">
        <v>6.4080206734132537</v>
      </c>
      <c r="Q67" s="45">
        <v>8.4705656601805512E-2</v>
      </c>
      <c r="R67" s="45">
        <f t="shared" si="20"/>
        <v>8.4705656601805508</v>
      </c>
    </row>
    <row r="68" spans="4:18" x14ac:dyDescent="0.25">
      <c r="L68" s="46">
        <v>7.0137709170631544</v>
      </c>
      <c r="Q68" s="45">
        <v>7.2254068444237401E-2</v>
      </c>
      <c r="R68" s="45">
        <f t="shared" si="20"/>
        <v>7.2254068444237403</v>
      </c>
    </row>
    <row r="69" spans="4:18" x14ac:dyDescent="0.25">
      <c r="L69" s="46">
        <v>7.3772121496157634</v>
      </c>
      <c r="Q69" s="45">
        <v>6.8923144452261026E-2</v>
      </c>
      <c r="R69" s="45">
        <f t="shared" si="20"/>
        <v>6.8923144452261029</v>
      </c>
    </row>
    <row r="70" spans="4:18" x14ac:dyDescent="0.25">
      <c r="L70" s="46">
        <v>7.8937716251222891</v>
      </c>
      <c r="Q70" s="45">
        <v>6.5298654687711219E-2</v>
      </c>
      <c r="R70" s="45">
        <f t="shared" si="20"/>
        <v>6.5298654687711215</v>
      </c>
    </row>
    <row r="71" spans="4:18" x14ac:dyDescent="0.25">
      <c r="L71" s="46">
        <v>7.7598102887809715</v>
      </c>
      <c r="Q71" s="45">
        <v>6.2811833349913151E-2</v>
      </c>
      <c r="R71" s="45">
        <f t="shared" si="20"/>
        <v>6.2811833349913151</v>
      </c>
    </row>
    <row r="72" spans="4:18" x14ac:dyDescent="0.25">
      <c r="L72" s="46">
        <v>8.8218969283434454</v>
      </c>
      <c r="Q72" s="45">
        <v>5.9959857710357944E-2</v>
      </c>
      <c r="R72" s="45">
        <f t="shared" si="20"/>
        <v>5.9959857710357944</v>
      </c>
    </row>
    <row r="75" spans="4:18" x14ac:dyDescent="0.25">
      <c r="D75" s="46">
        <v>0.74839999999999995</v>
      </c>
      <c r="E75" s="46">
        <v>0.3247321478042306</v>
      </c>
    </row>
    <row r="76" spans="4:18" x14ac:dyDescent="0.25">
      <c r="D76" s="46">
        <v>0.74750000000000005</v>
      </c>
      <c r="E76" s="46">
        <v>0.35673312429200765</v>
      </c>
    </row>
    <row r="77" spans="4:18" x14ac:dyDescent="0.25">
      <c r="D77" s="46">
        <v>0.75039999999999996</v>
      </c>
      <c r="E77" s="46">
        <v>0.45316198723503576</v>
      </c>
    </row>
    <row r="78" spans="4:18" x14ac:dyDescent="0.25">
      <c r="D78" s="46">
        <v>0.74929999999999997</v>
      </c>
      <c r="E78" s="46">
        <v>0.45543527309811571</v>
      </c>
    </row>
    <row r="79" spans="4:18" x14ac:dyDescent="0.25">
      <c r="D79" s="46">
        <v>0.75209999999999999</v>
      </c>
      <c r="E79" s="46">
        <v>0.45359213147780497</v>
      </c>
    </row>
    <row r="80" spans="4:18" x14ac:dyDescent="0.25">
      <c r="D80" s="46">
        <v>0.87549999999999994</v>
      </c>
      <c r="E80" s="46">
        <v>0.49942621079699617</v>
      </c>
    </row>
    <row r="81" spans="4:5" x14ac:dyDescent="0.25">
      <c r="D81" s="46">
        <v>0.86650000000000005</v>
      </c>
      <c r="E81" s="46">
        <v>0.51458234662294589</v>
      </c>
    </row>
    <row r="82" spans="4:5" x14ac:dyDescent="0.25">
      <c r="D82" s="46">
        <v>0.86750000000000005</v>
      </c>
      <c r="E82" s="46">
        <v>0.48213212885652895</v>
      </c>
    </row>
    <row r="83" spans="4:5" x14ac:dyDescent="0.25">
      <c r="D83" s="46">
        <v>0.86899999999999999</v>
      </c>
      <c r="E83" s="46">
        <v>0.55282985811386409</v>
      </c>
    </row>
    <row r="84" spans="4:5" x14ac:dyDescent="0.25">
      <c r="D84" s="46">
        <v>0.86970000000000003</v>
      </c>
      <c r="E84" s="46">
        <v>0.55064360312853888</v>
      </c>
    </row>
    <row r="85" spans="4:5" x14ac:dyDescent="0.25">
      <c r="D85" s="46">
        <v>0.87819999999999998</v>
      </c>
      <c r="E85" s="46">
        <v>0.60090268980389583</v>
      </c>
    </row>
    <row r="86" spans="4:5" x14ac:dyDescent="0.25">
      <c r="D86" s="46">
        <v>1.004</v>
      </c>
      <c r="E86" s="46">
        <v>0.55078811420555995</v>
      </c>
    </row>
    <row r="87" spans="4:5" x14ac:dyDescent="0.25">
      <c r="D87" s="46">
        <v>1.0038</v>
      </c>
      <c r="E87" s="46">
        <v>0.60263466997840687</v>
      </c>
    </row>
    <row r="88" spans="4:5" x14ac:dyDescent="0.25">
      <c r="D88" s="46">
        <v>1.0079</v>
      </c>
      <c r="E88" s="46">
        <v>0.69666610752823155</v>
      </c>
    </row>
    <row r="89" spans="4:5" x14ac:dyDescent="0.25">
      <c r="D89" s="46">
        <v>1.0081</v>
      </c>
      <c r="E89" s="46">
        <v>0.73556884310464887</v>
      </c>
    </row>
    <row r="90" spans="4:5" x14ac:dyDescent="0.25">
      <c r="D90" s="46">
        <v>1.0089999999999999</v>
      </c>
      <c r="E90" s="46">
        <v>0.80311495788323939</v>
      </c>
    </row>
    <row r="91" spans="4:5" x14ac:dyDescent="0.25">
      <c r="D91" s="46">
        <v>1.01</v>
      </c>
      <c r="E91" s="46">
        <v>0.84332212411016105</v>
      </c>
    </row>
    <row r="92" spans="4:5" x14ac:dyDescent="0.25">
      <c r="D92" s="46">
        <v>1.1208</v>
      </c>
      <c r="E92" s="46">
        <v>0.80530956514993424</v>
      </c>
    </row>
    <row r="93" spans="4:5" x14ac:dyDescent="0.25">
      <c r="D93" s="46">
        <v>1.1220000000000001</v>
      </c>
      <c r="E93" s="46">
        <v>0.85827402956532706</v>
      </c>
    </row>
    <row r="94" spans="4:5" x14ac:dyDescent="0.25">
      <c r="D94" s="46">
        <v>1.1254</v>
      </c>
      <c r="E94" s="46">
        <v>0.90545505322499509</v>
      </c>
    </row>
    <row r="95" spans="4:5" x14ac:dyDescent="0.25">
      <c r="D95" s="46">
        <v>1.1255999999999999</v>
      </c>
      <c r="E95" s="46">
        <v>1.0204336023056251</v>
      </c>
    </row>
    <row r="96" spans="4:5" x14ac:dyDescent="0.25">
      <c r="D96" s="46">
        <v>1.127</v>
      </c>
      <c r="E96" s="46">
        <v>1.0201251626579322</v>
      </c>
    </row>
    <row r="97" spans="4:5" x14ac:dyDescent="0.25">
      <c r="D97" s="46">
        <v>1.1279999999999999</v>
      </c>
      <c r="E97" s="46">
        <v>1.0094910734070963</v>
      </c>
    </row>
    <row r="98" spans="4:5" x14ac:dyDescent="0.25">
      <c r="D98" s="46">
        <v>1.2824</v>
      </c>
      <c r="E98" s="46">
        <v>0.86906064601320965</v>
      </c>
    </row>
    <row r="99" spans="4:5" x14ac:dyDescent="0.25">
      <c r="D99" s="46">
        <v>1.2858000000000001</v>
      </c>
      <c r="E99" s="46">
        <v>0.94847363500753468</v>
      </c>
    </row>
    <row r="100" spans="4:5" x14ac:dyDescent="0.25">
      <c r="D100" s="46">
        <v>1.2889999999999999</v>
      </c>
      <c r="E100" s="46">
        <v>1.042829287775632</v>
      </c>
    </row>
    <row r="101" spans="4:5" x14ac:dyDescent="0.25">
      <c r="D101" s="46">
        <v>1.2874000000000001</v>
      </c>
      <c r="E101" s="46">
        <v>1.1631977237886615</v>
      </c>
    </row>
    <row r="102" spans="4:5" x14ac:dyDescent="0.25">
      <c r="D102" s="46">
        <v>1.2907</v>
      </c>
      <c r="E102" s="46">
        <v>1.1657191081274199</v>
      </c>
    </row>
    <row r="103" spans="4:5" x14ac:dyDescent="0.25">
      <c r="D103" s="46">
        <v>1.2927</v>
      </c>
      <c r="E103" s="46">
        <v>1.1934902874269904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2EA3-8C44-42ED-BB07-25DF09340A57}">
  <dimension ref="A1:AK127"/>
  <sheetViews>
    <sheetView topLeftCell="A40" zoomScale="70" zoomScaleNormal="70" workbookViewId="0">
      <selection activeCell="H65" sqref="H65"/>
    </sheetView>
  </sheetViews>
  <sheetFormatPr defaultRowHeight="15" x14ac:dyDescent="0.25"/>
  <cols>
    <col min="1" max="1" width="14.85546875" bestFit="1" customWidth="1"/>
    <col min="3" max="3" width="17.140625" customWidth="1"/>
    <col min="4" max="4" width="14.140625" bestFit="1" customWidth="1"/>
    <col min="5" max="5" width="22.85546875" bestFit="1" customWidth="1"/>
    <col min="6" max="6" width="17.140625" customWidth="1"/>
    <col min="7" max="7" width="12.7109375" customWidth="1"/>
    <col min="8" max="8" width="11.42578125" customWidth="1"/>
    <col min="9" max="9" width="11" customWidth="1"/>
    <col min="10" max="10" width="14.28515625" customWidth="1"/>
    <col min="11" max="11" width="12.85546875" customWidth="1"/>
    <col min="19" max="19" width="13" bestFit="1" customWidth="1"/>
    <col min="21" max="21" width="13.85546875" bestFit="1" customWidth="1"/>
    <col min="22" max="22" width="11.42578125" bestFit="1" customWidth="1"/>
    <col min="23" max="23" width="12.28515625" bestFit="1" customWidth="1"/>
    <col min="24" max="25" width="10.42578125" bestFit="1" customWidth="1"/>
    <col min="30" max="30" width="15.5703125" customWidth="1"/>
    <col min="31" max="31" width="3.5703125" bestFit="1" customWidth="1"/>
    <col min="32" max="32" width="24.7109375" bestFit="1" customWidth="1"/>
  </cols>
  <sheetData>
    <row r="1" spans="1:24" x14ac:dyDescent="0.25">
      <c r="B1" s="2"/>
      <c r="C1" s="2" t="s">
        <v>31</v>
      </c>
      <c r="D1" s="2" t="s">
        <v>30</v>
      </c>
      <c r="E1" s="11" t="s">
        <v>16</v>
      </c>
      <c r="F1" s="11" t="s">
        <v>32</v>
      </c>
      <c r="G1" s="2"/>
      <c r="H1" s="2"/>
      <c r="I1" s="2"/>
      <c r="J1" s="10" t="s">
        <v>33</v>
      </c>
      <c r="K1" s="10" t="s">
        <v>15</v>
      </c>
    </row>
    <row r="2" spans="1:24" x14ac:dyDescent="0.25">
      <c r="B2" t="s">
        <v>17</v>
      </c>
      <c r="D2" t="s">
        <v>26</v>
      </c>
      <c r="E2" t="s">
        <v>29</v>
      </c>
      <c r="F2" t="s">
        <v>14</v>
      </c>
      <c r="G2" t="s">
        <v>13</v>
      </c>
      <c r="H2" t="s">
        <v>27</v>
      </c>
      <c r="I2" t="s">
        <v>12</v>
      </c>
      <c r="J2" t="s">
        <v>28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Q2" s="59" t="s">
        <v>34</v>
      </c>
      <c r="R2" s="59"/>
      <c r="S2" s="59"/>
      <c r="T2" s="13"/>
      <c r="U2" t="s">
        <v>38</v>
      </c>
      <c r="V2" s="13" t="s">
        <v>39</v>
      </c>
      <c r="W2" t="s">
        <v>37</v>
      </c>
      <c r="X2" s="13" t="s">
        <v>36</v>
      </c>
    </row>
    <row r="3" spans="1:24" x14ac:dyDescent="0.25">
      <c r="A3" s="3">
        <f>AVERAGE(B3:B10)</f>
        <v>1274</v>
      </c>
      <c r="B3" s="2">
        <v>1217</v>
      </c>
      <c r="C3">
        <f>B3*2*PI()/60</f>
        <v>127.44394198062595</v>
      </c>
      <c r="D3" s="5">
        <v>1.0093232680562929</v>
      </c>
      <c r="E3" s="8">
        <v>30.513166981308061</v>
      </c>
      <c r="F3" s="5">
        <v>4.2632226981025712</v>
      </c>
      <c r="G3" s="8">
        <v>38.469673882555718</v>
      </c>
      <c r="H3">
        <f t="shared" ref="H3:H28" si="0">G3+273.15</f>
        <v>311.61967388255567</v>
      </c>
      <c r="I3">
        <v>4</v>
      </c>
      <c r="J3" s="1">
        <f t="shared" ref="J3:J28" si="1">I3/60/1000</f>
        <v>6.666666666666667E-5</v>
      </c>
      <c r="K3">
        <v>30.592198151939574</v>
      </c>
      <c r="L3">
        <v>4.251841012112453</v>
      </c>
      <c r="M3">
        <f t="shared" ref="M3:M28" si="2">K3+273.15</f>
        <v>303.74219815193953</v>
      </c>
      <c r="N3">
        <f t="shared" ref="N3:N28" si="3">L3/10</f>
        <v>0.42518410121124528</v>
      </c>
      <c r="O3">
        <v>4.8821000000000003</v>
      </c>
      <c r="Q3">
        <f>SQRT(1.2/O3)*SQRT(N3/0.101325)*SQRT(293.15/M3)</f>
        <v>0.99772274575765718</v>
      </c>
      <c r="R3">
        <f>I3*Q3</f>
        <v>3.9908909830306287</v>
      </c>
      <c r="S3" s="7">
        <f>R3/60/1000</f>
        <v>6.6514849717177148E-5</v>
      </c>
      <c r="U3">
        <v>38</v>
      </c>
      <c r="V3">
        <v>48</v>
      </c>
      <c r="W3" s="8">
        <v>4.3603999999999997E-2</v>
      </c>
      <c r="X3" s="10">
        <v>265</v>
      </c>
    </row>
    <row r="4" spans="1:24" x14ac:dyDescent="0.25">
      <c r="B4" s="2">
        <v>1214</v>
      </c>
      <c r="C4">
        <f t="shared" ref="C4:C28" si="4">B4*2*PI()/60</f>
        <v>127.12978271526696</v>
      </c>
      <c r="D4" s="5">
        <v>1.0093740377162599</v>
      </c>
      <c r="E4" s="8">
        <v>30.53840403258803</v>
      </c>
      <c r="F4" s="5">
        <v>3.7487816777695127</v>
      </c>
      <c r="G4" s="8">
        <v>39.847418794837303</v>
      </c>
      <c r="H4">
        <f t="shared" si="0"/>
        <v>312.9974187948373</v>
      </c>
      <c r="I4">
        <v>5</v>
      </c>
      <c r="J4" s="1">
        <f t="shared" si="1"/>
        <v>8.3333333333333331E-5</v>
      </c>
      <c r="K4">
        <v>30.719766991646303</v>
      </c>
      <c r="L4">
        <v>3.738476596754658</v>
      </c>
      <c r="M4">
        <f t="shared" si="2"/>
        <v>303.86976699164626</v>
      </c>
      <c r="N4">
        <f t="shared" si="3"/>
        <v>0.37384765967546579</v>
      </c>
      <c r="O4">
        <v>4.2903000000000002</v>
      </c>
      <c r="Q4">
        <f>SQRT(1.2/O4)*SQRT(N4/0.101325)*SQRT(293.15/M4)</f>
        <v>0.9977851179414241</v>
      </c>
      <c r="R4">
        <f>I4*Q4</f>
        <v>4.9889255897071205</v>
      </c>
      <c r="S4" s="7">
        <f t="shared" ref="S4:S28" si="5">R4/60/1000</f>
        <v>8.3148759828451999E-5</v>
      </c>
      <c r="U4">
        <v>38</v>
      </c>
      <c r="V4">
        <v>48</v>
      </c>
      <c r="W4" s="8">
        <v>4.3603999999999997E-2</v>
      </c>
      <c r="X4" s="10">
        <v>240</v>
      </c>
    </row>
    <row r="5" spans="1:24" x14ac:dyDescent="0.25">
      <c r="A5" s="3">
        <f>AVERAGE(G3:G7)</f>
        <v>39.638566942886222</v>
      </c>
      <c r="B5" s="2">
        <v>1217</v>
      </c>
      <c r="C5">
        <f t="shared" si="4"/>
        <v>127.44394198062595</v>
      </c>
      <c r="D5" s="5">
        <v>1.0100027712944899</v>
      </c>
      <c r="E5" s="8">
        <v>30.5232550594659</v>
      </c>
      <c r="F5" s="5">
        <v>3.41149288331663</v>
      </c>
      <c r="G5" s="8">
        <v>39.278800793004301</v>
      </c>
      <c r="H5">
        <f t="shared" si="0"/>
        <v>312.42880079300426</v>
      </c>
      <c r="I5">
        <v>7</v>
      </c>
      <c r="J5" s="1">
        <f t="shared" si="1"/>
        <v>1.1666666666666667E-4</v>
      </c>
      <c r="K5">
        <v>30.600218314658488</v>
      </c>
      <c r="L5">
        <v>3.3909742936903697</v>
      </c>
      <c r="M5">
        <f t="shared" si="2"/>
        <v>303.75021831465847</v>
      </c>
      <c r="N5">
        <f t="shared" si="3"/>
        <v>0.33909742936903697</v>
      </c>
      <c r="O5">
        <v>3.8927</v>
      </c>
      <c r="Q5">
        <f>SQRT(1.2/O5)*SQRT(N5/0.101325)*SQRT(293.15/M5)</f>
        <v>0.99782814110302231</v>
      </c>
      <c r="R5">
        <f>I5*Q5</f>
        <v>6.9847969877211558</v>
      </c>
      <c r="S5" s="7">
        <f t="shared" si="5"/>
        <v>1.1641328312868593E-4</v>
      </c>
      <c r="U5">
        <v>38</v>
      </c>
      <c r="V5">
        <v>48</v>
      </c>
      <c r="W5" s="8">
        <v>4.3603999999999997E-2</v>
      </c>
      <c r="X5" s="10">
        <v>225</v>
      </c>
    </row>
    <row r="6" spans="1:24" x14ac:dyDescent="0.25">
      <c r="B6" s="2">
        <v>1215</v>
      </c>
      <c r="C6">
        <f t="shared" si="4"/>
        <v>127.23450247038662</v>
      </c>
      <c r="D6" s="5">
        <v>1.00926410736023</v>
      </c>
      <c r="E6" s="8">
        <v>30.568783382737202</v>
      </c>
      <c r="F6" s="5">
        <v>3.0036465230416098</v>
      </c>
      <c r="G6" s="8">
        <v>40.450708190043798</v>
      </c>
      <c r="H6">
        <f t="shared" si="0"/>
        <v>313.60070819004375</v>
      </c>
      <c r="I6">
        <v>8</v>
      </c>
      <c r="J6" s="1">
        <f t="shared" si="1"/>
        <v>1.3333333333333334E-4</v>
      </c>
      <c r="K6">
        <v>30.73182189831352</v>
      </c>
      <c r="L6">
        <v>2.9834526094031792</v>
      </c>
      <c r="M6">
        <f t="shared" si="2"/>
        <v>303.88182189831349</v>
      </c>
      <c r="N6">
        <f t="shared" si="3"/>
        <v>0.29834526094031794</v>
      </c>
      <c r="O6">
        <v>3.423</v>
      </c>
      <c r="Q6">
        <f>SQRT(1.2/O6)*SQRT(N6/0.101325)*SQRT(293.15/M6)</f>
        <v>0.99788622501778201</v>
      </c>
      <c r="R6">
        <f>I6*Q6</f>
        <v>7.9830898001422561</v>
      </c>
      <c r="S6" s="7">
        <f t="shared" si="5"/>
        <v>1.330514966690376E-4</v>
      </c>
      <c r="U6">
        <v>38</v>
      </c>
      <c r="V6">
        <v>48</v>
      </c>
      <c r="W6" s="8">
        <v>4.3603999999999997E-2</v>
      </c>
      <c r="X6" s="10">
        <v>210</v>
      </c>
    </row>
    <row r="7" spans="1:24" x14ac:dyDescent="0.25">
      <c r="B7" s="2">
        <v>1217</v>
      </c>
      <c r="C7">
        <f t="shared" si="4"/>
        <v>127.44394198062595</v>
      </c>
      <c r="D7" s="5">
        <v>1.0094537558613399</v>
      </c>
      <c r="E7" s="8">
        <v>30.5281956689855</v>
      </c>
      <c r="F7" s="5">
        <v>2.3975521098447898</v>
      </c>
      <c r="G7" s="8">
        <v>40.146233053990002</v>
      </c>
      <c r="H7">
        <f t="shared" si="0"/>
        <v>313.29623305398997</v>
      </c>
      <c r="I7">
        <v>10</v>
      </c>
      <c r="J7" s="1">
        <f t="shared" si="1"/>
        <v>1.6666666666666666E-4</v>
      </c>
      <c r="K7">
        <v>30.665642312499696</v>
      </c>
      <c r="L7">
        <v>2.3767749407555829</v>
      </c>
      <c r="M7">
        <f t="shared" si="2"/>
        <v>303.81564231249968</v>
      </c>
      <c r="N7">
        <f t="shared" si="3"/>
        <v>0.2376774940755583</v>
      </c>
      <c r="O7">
        <v>2.7271000000000001</v>
      </c>
      <c r="Q7">
        <f>SQRT(1.2/O7)*SQRT(N7/0.101325)*SQRT(293.15/M7)</f>
        <v>0.99796589375777567</v>
      </c>
      <c r="R7">
        <f>I7*Q7</f>
        <v>9.9796589375777565</v>
      </c>
      <c r="S7" s="7">
        <f t="shared" si="5"/>
        <v>1.6632764895962928E-4</v>
      </c>
      <c r="U7">
        <v>38</v>
      </c>
      <c r="V7">
        <v>48</v>
      </c>
      <c r="W7" s="8">
        <v>4.3603999999999997E-2</v>
      </c>
      <c r="X7" s="10">
        <v>195</v>
      </c>
    </row>
    <row r="8" spans="1:24" x14ac:dyDescent="0.25">
      <c r="B8" s="12"/>
      <c r="D8" s="5"/>
      <c r="E8" s="8"/>
      <c r="F8" s="5"/>
      <c r="G8" s="8"/>
      <c r="J8" s="1"/>
    </row>
    <row r="9" spans="1:24" x14ac:dyDescent="0.25">
      <c r="A9" s="3">
        <f>AVERAGE(B9:B14)</f>
        <v>1416.6666666666667</v>
      </c>
      <c r="B9" s="2">
        <v>1427</v>
      </c>
      <c r="C9">
        <f t="shared" si="4"/>
        <v>149.4350905557545</v>
      </c>
      <c r="D9" s="5">
        <v>1.0094287437153799</v>
      </c>
      <c r="E9" s="8">
        <v>30.612974840972779</v>
      </c>
      <c r="F9" s="5">
        <v>5.253362586763715</v>
      </c>
      <c r="G9" s="8">
        <v>42.253028073273747</v>
      </c>
      <c r="H9">
        <f t="shared" si="0"/>
        <v>315.40302807327373</v>
      </c>
      <c r="I9">
        <v>5</v>
      </c>
      <c r="J9" s="1">
        <f t="shared" si="1"/>
        <v>8.3333333333333331E-5</v>
      </c>
      <c r="K9">
        <v>31.33666967138069</v>
      </c>
      <c r="L9">
        <v>5.2435465390490155</v>
      </c>
      <c r="M9">
        <f t="shared" ref="M9:M13" si="6">K9+273.15</f>
        <v>304.4866696713807</v>
      </c>
      <c r="N9">
        <f t="shared" ref="N9:N13" si="7">L9/10</f>
        <v>0.52435465390490155</v>
      </c>
      <c r="O9">
        <v>6.0075000000000003</v>
      </c>
      <c r="Q9">
        <f t="shared" ref="Q9:Q14" si="8">SQRT(1.2/O9)*SQRT(N9/0.101325)*SQRT(293.15/M9)</f>
        <v>0.9976054148254605</v>
      </c>
      <c r="R9">
        <f t="shared" ref="R9:R14" si="9">I9*Q9</f>
        <v>4.9880270741273023</v>
      </c>
      <c r="S9" s="7">
        <f t="shared" ref="S9" si="10">R9/60/1000</f>
        <v>8.313378456878836E-5</v>
      </c>
      <c r="U9">
        <v>43</v>
      </c>
      <c r="V9">
        <v>55</v>
      </c>
      <c r="W9" s="3">
        <v>3.1711999999999997E-2</v>
      </c>
      <c r="X9" s="10">
        <v>285</v>
      </c>
    </row>
    <row r="10" spans="1:24" x14ac:dyDescent="0.25">
      <c r="B10" s="2">
        <v>1411</v>
      </c>
      <c r="C10">
        <f t="shared" si="4"/>
        <v>147.75957447383993</v>
      </c>
      <c r="D10" s="5">
        <v>1.0092810759105539</v>
      </c>
      <c r="E10" s="8">
        <v>30.581004375999676</v>
      </c>
      <c r="F10" s="5">
        <v>4.8223075689095696</v>
      </c>
      <c r="G10" s="8">
        <v>42.953073171144517</v>
      </c>
      <c r="H10">
        <f t="shared" si="0"/>
        <v>316.1030731711445</v>
      </c>
      <c r="I10">
        <v>5.5</v>
      </c>
      <c r="J10" s="1">
        <f t="shared" si="1"/>
        <v>9.1666666666666654E-5</v>
      </c>
      <c r="K10">
        <v>30.989035136974806</v>
      </c>
      <c r="L10">
        <v>4.9060878739013036</v>
      </c>
      <c r="M10">
        <f t="shared" si="6"/>
        <v>304.13903513697477</v>
      </c>
      <c r="N10">
        <f t="shared" si="7"/>
        <v>0.49060878739013036</v>
      </c>
      <c r="O10">
        <v>5.6269</v>
      </c>
      <c r="Q10">
        <f t="shared" si="8"/>
        <v>0.99764090343227119</v>
      </c>
      <c r="R10">
        <f t="shared" si="9"/>
        <v>5.4870249688774919</v>
      </c>
      <c r="S10" s="7">
        <f t="shared" si="5"/>
        <v>9.1450416147958189E-5</v>
      </c>
      <c r="U10">
        <v>43</v>
      </c>
      <c r="V10">
        <v>55</v>
      </c>
      <c r="W10" s="3">
        <v>3.1711999999999997E-2</v>
      </c>
      <c r="X10" s="10">
        <v>275</v>
      </c>
    </row>
    <row r="11" spans="1:24" x14ac:dyDescent="0.25">
      <c r="A11" s="3">
        <f>AVERAGE(G10:G14)</f>
        <v>44.384191269147756</v>
      </c>
      <c r="B11" s="2">
        <v>1412</v>
      </c>
      <c r="C11">
        <f t="shared" si="4"/>
        <v>147.86429422895961</v>
      </c>
      <c r="D11" s="5">
        <v>1.0086912644002075</v>
      </c>
      <c r="E11" s="8">
        <v>30.622728786584258</v>
      </c>
      <c r="F11" s="5">
        <v>4.236297847863618</v>
      </c>
      <c r="G11" s="8">
        <v>43.47355288963702</v>
      </c>
      <c r="H11">
        <f>G11+273.15</f>
        <v>316.62355288963698</v>
      </c>
      <c r="I11">
        <v>6</v>
      </c>
      <c r="J11" s="1">
        <f t="shared" si="1"/>
        <v>1E-4</v>
      </c>
      <c r="K11">
        <v>30.951028526128912</v>
      </c>
      <c r="L11">
        <v>4.2134865828839576</v>
      </c>
      <c r="M11">
        <f t="shared" si="6"/>
        <v>304.10102852612891</v>
      </c>
      <c r="N11">
        <f t="shared" si="7"/>
        <v>0.42134865828839574</v>
      </c>
      <c r="O11">
        <v>4.8323</v>
      </c>
      <c r="Q11">
        <f t="shared" si="8"/>
        <v>0.99772805673598286</v>
      </c>
      <c r="R11">
        <f t="shared" si="9"/>
        <v>5.9863683404158969</v>
      </c>
      <c r="S11" s="7">
        <f t="shared" si="5"/>
        <v>9.9772805673598277E-5</v>
      </c>
      <c r="U11">
        <v>43</v>
      </c>
      <c r="V11">
        <v>55</v>
      </c>
      <c r="W11" s="3">
        <v>3.1711999999999997E-2</v>
      </c>
      <c r="X11" s="10">
        <v>265</v>
      </c>
    </row>
    <row r="12" spans="1:24" x14ac:dyDescent="0.25">
      <c r="B12" s="2">
        <v>1415</v>
      </c>
      <c r="C12">
        <f t="shared" si="4"/>
        <v>148.17845349431857</v>
      </c>
      <c r="D12" s="5">
        <v>1.0077573177644099</v>
      </c>
      <c r="E12" s="8">
        <v>30.816080276902401</v>
      </c>
      <c r="F12" s="5">
        <v>3.6616022441401399</v>
      </c>
      <c r="G12" s="8">
        <v>46.069186852835898</v>
      </c>
      <c r="H12">
        <f t="shared" si="0"/>
        <v>319.21918685283589</v>
      </c>
      <c r="I12">
        <v>8</v>
      </c>
      <c r="J12" s="1">
        <f t="shared" si="1"/>
        <v>1.3333333333333334E-4</v>
      </c>
      <c r="K12">
        <v>32.010036636946957</v>
      </c>
      <c r="L12">
        <v>3.6364385336571221</v>
      </c>
      <c r="M12">
        <f t="shared" si="6"/>
        <v>305.16003663694693</v>
      </c>
      <c r="N12">
        <f t="shared" si="7"/>
        <v>0.3636438533657122</v>
      </c>
      <c r="O12">
        <v>4.1553000000000004</v>
      </c>
      <c r="Q12">
        <f t="shared" si="8"/>
        <v>0.99781578606935251</v>
      </c>
      <c r="R12">
        <f t="shared" si="9"/>
        <v>7.98252628855482</v>
      </c>
      <c r="S12" s="7">
        <f t="shared" si="5"/>
        <v>1.3304210480924699E-4</v>
      </c>
      <c r="U12">
        <v>43</v>
      </c>
      <c r="V12">
        <v>55</v>
      </c>
      <c r="W12" s="3">
        <v>3.1711999999999997E-2</v>
      </c>
      <c r="X12" s="10">
        <v>235</v>
      </c>
    </row>
    <row r="13" spans="1:24" x14ac:dyDescent="0.25">
      <c r="B13" s="2">
        <v>1412</v>
      </c>
      <c r="C13">
        <f t="shared" si="4"/>
        <v>147.86429422895961</v>
      </c>
      <c r="D13" s="5">
        <v>1.0085733794744123</v>
      </c>
      <c r="E13" s="8">
        <v>30.635044840682401</v>
      </c>
      <c r="F13" s="5">
        <v>2.9220510847489072</v>
      </c>
      <c r="G13" s="8">
        <v>45.018485236153708</v>
      </c>
      <c r="H13">
        <f t="shared" si="0"/>
        <v>318.16848523615369</v>
      </c>
      <c r="I13">
        <v>10</v>
      </c>
      <c r="J13" s="1">
        <f t="shared" si="1"/>
        <v>1.6666666666666666E-4</v>
      </c>
      <c r="K13">
        <v>31.160775028463252</v>
      </c>
      <c r="L13">
        <v>2.8898383418525038</v>
      </c>
      <c r="M13">
        <f t="shared" si="6"/>
        <v>304.31077502846324</v>
      </c>
      <c r="N13">
        <f t="shared" si="7"/>
        <v>0.28898383418525037</v>
      </c>
      <c r="O13">
        <v>3.3108</v>
      </c>
      <c r="Q13">
        <f t="shared" si="8"/>
        <v>0.99790431882663788</v>
      </c>
      <c r="R13">
        <f t="shared" si="9"/>
        <v>9.9790431882663793</v>
      </c>
      <c r="S13" s="7">
        <f t="shared" si="5"/>
        <v>1.6631738647110634E-4</v>
      </c>
      <c r="U13">
        <v>43</v>
      </c>
      <c r="V13">
        <v>55</v>
      </c>
      <c r="W13" s="3">
        <v>3.1711999999999997E-2</v>
      </c>
      <c r="X13" s="10">
        <v>210</v>
      </c>
    </row>
    <row r="14" spans="1:24" x14ac:dyDescent="0.25">
      <c r="B14" s="2">
        <v>1423</v>
      </c>
      <c r="C14">
        <f t="shared" si="4"/>
        <v>149.01621153527586</v>
      </c>
      <c r="D14" s="5">
        <v>1.0101998654115738</v>
      </c>
      <c r="E14" s="8">
        <v>30.714603931016253</v>
      </c>
      <c r="F14" s="5">
        <v>2.6698755104625538</v>
      </c>
      <c r="G14" s="8">
        <v>44.406658195967637</v>
      </c>
      <c r="H14">
        <f t="shared" si="0"/>
        <v>317.5566581959676</v>
      </c>
      <c r="I14">
        <v>12</v>
      </c>
      <c r="J14" s="1">
        <f t="shared" si="1"/>
        <v>2.0000000000000001E-4</v>
      </c>
      <c r="K14">
        <v>31.669526232810156</v>
      </c>
      <c r="L14">
        <v>2.6325042061728703</v>
      </c>
      <c r="M14">
        <f t="shared" si="2"/>
        <v>304.81952623281012</v>
      </c>
      <c r="N14">
        <f t="shared" si="3"/>
        <v>0.26325042061728704</v>
      </c>
      <c r="O14">
        <v>3.0106999999999999</v>
      </c>
      <c r="Q14">
        <f t="shared" si="8"/>
        <v>0.99794514532151302</v>
      </c>
      <c r="R14">
        <f t="shared" si="9"/>
        <v>11.975341743858156</v>
      </c>
      <c r="S14" s="7">
        <f t="shared" si="5"/>
        <v>1.995890290643026E-4</v>
      </c>
      <c r="U14">
        <v>43</v>
      </c>
      <c r="V14">
        <v>55</v>
      </c>
      <c r="W14" s="3">
        <v>3.1711999999999997E-2</v>
      </c>
      <c r="X14" s="10">
        <v>205</v>
      </c>
    </row>
    <row r="15" spans="1:24" x14ac:dyDescent="0.25">
      <c r="B15" s="14"/>
      <c r="D15" s="5"/>
      <c r="E15" s="8"/>
      <c r="F15" s="5"/>
      <c r="G15" s="8"/>
      <c r="J15" s="1"/>
      <c r="S15" s="15"/>
    </row>
    <row r="16" spans="1:24" x14ac:dyDescent="0.25">
      <c r="A16" s="3">
        <f>AVERAGE(B16:B21)</f>
        <v>1638.8333333333333</v>
      </c>
      <c r="B16" s="2">
        <v>1638</v>
      </c>
      <c r="C16">
        <f t="shared" si="4"/>
        <v>171.53095888600271</v>
      </c>
      <c r="D16" s="5">
        <v>1.0083333009861699</v>
      </c>
      <c r="E16" s="8">
        <v>30.610294022691601</v>
      </c>
      <c r="F16" s="5">
        <v>5.2676677023988496</v>
      </c>
      <c r="G16" s="8">
        <v>43.470274717189298</v>
      </c>
      <c r="H16">
        <f t="shared" si="0"/>
        <v>316.62027471718926</v>
      </c>
      <c r="I16">
        <v>5.5</v>
      </c>
      <c r="J16" s="1">
        <f t="shared" si="1"/>
        <v>9.1666666666666654E-5</v>
      </c>
      <c r="K16">
        <v>31.301886563534723</v>
      </c>
      <c r="L16">
        <v>5.2565102493546449</v>
      </c>
      <c r="M16">
        <f t="shared" si="2"/>
        <v>304.45188656353469</v>
      </c>
      <c r="N16">
        <f t="shared" si="3"/>
        <v>0.52565102493546445</v>
      </c>
      <c r="O16">
        <v>6.0229999999999997</v>
      </c>
      <c r="Q16">
        <f t="shared" ref="Q16:Q21" si="11">SQRT(1.2/O16)*SQRT(N16/0.101325)*SQRT(293.15/M16)</f>
        <v>0.99760876797529452</v>
      </c>
      <c r="R16">
        <f t="shared" ref="R16:R21" si="12">I16*Q16</f>
        <v>5.4868482238641203</v>
      </c>
      <c r="S16" s="7">
        <f>R16/60/1000</f>
        <v>9.1447470397735338E-5</v>
      </c>
      <c r="U16">
        <v>45</v>
      </c>
      <c r="V16">
        <v>60</v>
      </c>
      <c r="W16" s="8">
        <v>2.7747999999999998E-2</v>
      </c>
      <c r="X16" s="10">
        <v>285</v>
      </c>
    </row>
    <row r="17" spans="1:25" x14ac:dyDescent="0.25">
      <c r="B17" s="2">
        <v>1638</v>
      </c>
      <c r="C17">
        <f t="shared" si="4"/>
        <v>171.53095888600271</v>
      </c>
      <c r="D17" s="5">
        <v>1.00767939569434</v>
      </c>
      <c r="E17" s="8">
        <v>30.5476633337823</v>
      </c>
      <c r="F17" s="5">
        <v>4.5488778229227904</v>
      </c>
      <c r="G17" s="8">
        <v>43.944694642553202</v>
      </c>
      <c r="H17">
        <f t="shared" si="0"/>
        <v>317.09469464255318</v>
      </c>
      <c r="I17">
        <v>7</v>
      </c>
      <c r="J17" s="1">
        <f t="shared" si="1"/>
        <v>1.1666666666666667E-4</v>
      </c>
      <c r="K17">
        <v>31.797719866523888</v>
      </c>
      <c r="L17">
        <v>4.5267048087912301</v>
      </c>
      <c r="M17">
        <f t="shared" si="2"/>
        <v>304.94771986652387</v>
      </c>
      <c r="N17">
        <f t="shared" si="3"/>
        <v>0.45267048087912298</v>
      </c>
      <c r="O17">
        <v>5.1772999999999998</v>
      </c>
      <c r="Q17">
        <f t="shared" si="11"/>
        <v>0.99770923616293128</v>
      </c>
      <c r="R17">
        <f t="shared" si="12"/>
        <v>6.9839646531405188</v>
      </c>
      <c r="S17" s="7">
        <f t="shared" ref="S17" si="13">R17/60/1000</f>
        <v>1.1639941088567532E-4</v>
      </c>
      <c r="U17">
        <v>45</v>
      </c>
      <c r="V17">
        <v>60</v>
      </c>
      <c r="W17" s="8">
        <v>2.7747999999999998E-2</v>
      </c>
      <c r="X17" s="10">
        <v>270</v>
      </c>
    </row>
    <row r="18" spans="1:25" x14ac:dyDescent="0.25">
      <c r="A18" s="3">
        <f>AVERAGE(G16:G21)</f>
        <v>45.823425249720117</v>
      </c>
      <c r="B18" s="2">
        <v>1639</v>
      </c>
      <c r="C18">
        <f t="shared" si="4"/>
        <v>171.63567864112238</v>
      </c>
      <c r="D18" s="5">
        <v>1.0095081019886201</v>
      </c>
      <c r="E18" s="8">
        <v>30.628921865606099</v>
      </c>
      <c r="F18" s="5">
        <v>3.6851917499746301</v>
      </c>
      <c r="G18" s="8">
        <v>45.134798680102598</v>
      </c>
      <c r="H18">
        <f t="shared" si="0"/>
        <v>318.2847986801026</v>
      </c>
      <c r="I18">
        <v>10</v>
      </c>
      <c r="J18" s="1">
        <f t="shared" si="1"/>
        <v>1.6666666666666666E-4</v>
      </c>
      <c r="K18">
        <v>31.277800274442672</v>
      </c>
      <c r="L18">
        <v>3.6572154769655882</v>
      </c>
      <c r="M18">
        <f t="shared" si="2"/>
        <v>304.42780027444263</v>
      </c>
      <c r="N18">
        <f t="shared" si="3"/>
        <v>0.36572154769655885</v>
      </c>
      <c r="O18">
        <v>4.1891999999999996</v>
      </c>
      <c r="Q18">
        <f t="shared" si="11"/>
        <v>0.99780307580669092</v>
      </c>
      <c r="R18">
        <f t="shared" si="12"/>
        <v>9.9780307580669092</v>
      </c>
      <c r="S18" s="7">
        <f>R18/60/1000</f>
        <v>1.6630051263444848E-4</v>
      </c>
      <c r="U18">
        <v>45</v>
      </c>
      <c r="V18">
        <v>60</v>
      </c>
      <c r="W18" s="8">
        <v>2.7747999999999998E-2</v>
      </c>
      <c r="X18" s="10">
        <v>235</v>
      </c>
    </row>
    <row r="19" spans="1:25" x14ac:dyDescent="0.25">
      <c r="B19" s="2">
        <v>1639</v>
      </c>
      <c r="C19">
        <f t="shared" si="4"/>
        <v>171.63567864112238</v>
      </c>
      <c r="D19" s="5">
        <v>1.0086524685865665</v>
      </c>
      <c r="E19" s="8">
        <v>30.622924679670273</v>
      </c>
      <c r="F19" s="5">
        <v>3.2641584944265172</v>
      </c>
      <c r="G19" s="8">
        <v>46.943107203221921</v>
      </c>
      <c r="H19">
        <f t="shared" si="0"/>
        <v>320.0931072032219</v>
      </c>
      <c r="I19">
        <v>12</v>
      </c>
      <c r="J19" s="1">
        <f t="shared" si="1"/>
        <v>2.0000000000000001E-4</v>
      </c>
      <c r="K19">
        <v>31.527697292262655</v>
      </c>
      <c r="L19">
        <v>3.2207188055021936</v>
      </c>
      <c r="M19">
        <f t="shared" si="2"/>
        <v>304.67769729226262</v>
      </c>
      <c r="N19">
        <f t="shared" si="3"/>
        <v>0.32207188055021935</v>
      </c>
      <c r="O19">
        <v>3.6857000000000002</v>
      </c>
      <c r="Q19">
        <f t="shared" si="11"/>
        <v>0.99786857734575374</v>
      </c>
      <c r="R19">
        <f t="shared" si="12"/>
        <v>11.974422928149044</v>
      </c>
      <c r="S19" s="7">
        <f t="shared" si="5"/>
        <v>1.9957371546915073E-4</v>
      </c>
      <c r="U19">
        <v>45</v>
      </c>
      <c r="V19">
        <v>60</v>
      </c>
      <c r="W19" s="8">
        <v>2.7747999999999998E-2</v>
      </c>
      <c r="X19" s="10">
        <v>220</v>
      </c>
    </row>
    <row r="20" spans="1:25" x14ac:dyDescent="0.25">
      <c r="B20" s="2">
        <v>1639</v>
      </c>
      <c r="C20">
        <f t="shared" si="4"/>
        <v>171.63567864112238</v>
      </c>
      <c r="D20" s="5">
        <v>1.00910839779551</v>
      </c>
      <c r="E20" s="8">
        <v>30.616946893747699</v>
      </c>
      <c r="F20" s="5">
        <v>3.0682354873155302</v>
      </c>
      <c r="G20" s="8">
        <v>48.030195935012003</v>
      </c>
      <c r="H20">
        <f t="shared" si="0"/>
        <v>321.18019593501197</v>
      </c>
      <c r="I20">
        <v>14</v>
      </c>
      <c r="J20" s="1">
        <f t="shared" si="1"/>
        <v>2.3333333333333333E-4</v>
      </c>
      <c r="K20">
        <v>32.045226913609845</v>
      </c>
      <c r="L20">
        <v>3.0193029151950816</v>
      </c>
      <c r="M20">
        <f t="shared" si="2"/>
        <v>305.19522691360982</v>
      </c>
      <c r="N20">
        <f t="shared" si="3"/>
        <v>0.30193029151950818</v>
      </c>
      <c r="O20">
        <v>3.4491999999999998</v>
      </c>
      <c r="Q20">
        <f t="shared" si="11"/>
        <v>0.99788972749362914</v>
      </c>
      <c r="R20">
        <f t="shared" si="12"/>
        <v>13.970456184910809</v>
      </c>
      <c r="S20" s="7">
        <f>R20/60/1000</f>
        <v>2.3284093641518015E-4</v>
      </c>
      <c r="U20">
        <v>45</v>
      </c>
      <c r="V20">
        <v>60</v>
      </c>
      <c r="W20" s="8">
        <v>2.7747999999999998E-2</v>
      </c>
      <c r="X20" s="10">
        <v>215</v>
      </c>
    </row>
    <row r="21" spans="1:25" x14ac:dyDescent="0.25">
      <c r="B21" s="2">
        <v>1640</v>
      </c>
      <c r="C21">
        <f t="shared" si="4"/>
        <v>171.74039839624203</v>
      </c>
      <c r="D21" s="5">
        <v>1.0089421600028099</v>
      </c>
      <c r="E21" s="8">
        <v>30.660577754608099</v>
      </c>
      <c r="F21" s="5">
        <v>2.8293806275398499</v>
      </c>
      <c r="G21" s="8">
        <v>47.417480320241701</v>
      </c>
      <c r="H21">
        <f t="shared" si="0"/>
        <v>320.56748032024166</v>
      </c>
      <c r="I21">
        <v>16</v>
      </c>
      <c r="J21" s="1">
        <f t="shared" si="1"/>
        <v>2.6666666666666668E-4</v>
      </c>
      <c r="K21">
        <v>32.766813003210004</v>
      </c>
      <c r="L21">
        <v>2.7808406177182068</v>
      </c>
      <c r="M21">
        <f t="shared" si="2"/>
        <v>305.91681300321</v>
      </c>
      <c r="N21">
        <f t="shared" si="3"/>
        <v>0.27808406177182066</v>
      </c>
      <c r="O21">
        <v>3.169</v>
      </c>
      <c r="Q21">
        <f t="shared" si="11"/>
        <v>0.99793561546642606</v>
      </c>
      <c r="R21">
        <f t="shared" si="12"/>
        <v>15.966969847462817</v>
      </c>
      <c r="S21" s="7">
        <f>R21/60/1000</f>
        <v>2.6611616412438026E-4</v>
      </c>
      <c r="U21">
        <v>45</v>
      </c>
      <c r="V21">
        <v>60</v>
      </c>
      <c r="W21" s="8">
        <v>2.7747999999999998E-2</v>
      </c>
      <c r="X21" s="10">
        <v>205</v>
      </c>
    </row>
    <row r="22" spans="1:25" x14ac:dyDescent="0.25">
      <c r="B22" s="14"/>
      <c r="D22" s="5"/>
      <c r="E22" s="8"/>
      <c r="F22" s="5"/>
      <c r="G22" s="8"/>
      <c r="J22" s="1"/>
      <c r="S22" s="15"/>
    </row>
    <row r="23" spans="1:25" x14ac:dyDescent="0.25">
      <c r="A23" s="3">
        <f>AVERAGE(B23:B28)</f>
        <v>1838.5</v>
      </c>
      <c r="B23" s="2">
        <v>1837</v>
      </c>
      <c r="C23">
        <f t="shared" si="4"/>
        <v>192.37019015481502</v>
      </c>
      <c r="D23" s="5">
        <v>1.0074809569159</v>
      </c>
      <c r="E23" s="8">
        <v>30.849170721143601</v>
      </c>
      <c r="F23" s="5">
        <v>5.0653949430406602</v>
      </c>
      <c r="G23" s="8">
        <v>49.552490253392499</v>
      </c>
      <c r="H23">
        <f t="shared" si="0"/>
        <v>322.70249025339245</v>
      </c>
      <c r="I23">
        <v>8.5</v>
      </c>
      <c r="J23" s="1">
        <f t="shared" ref="J23" si="14">I23/60/1000</f>
        <v>1.4166666666666665E-4</v>
      </c>
      <c r="K23">
        <v>34.911742272595383</v>
      </c>
      <c r="L23">
        <v>5.0324751973883091</v>
      </c>
      <c r="M23">
        <f t="shared" ref="M23" si="15">K23+273.15</f>
        <v>308.06174227259538</v>
      </c>
      <c r="N23">
        <f t="shared" ref="N23" si="16">L23/10</f>
        <v>0.50324751973883086</v>
      </c>
      <c r="O23">
        <v>5.6976000000000004</v>
      </c>
      <c r="Q23">
        <f t="shared" ref="Q23:Q28" si="17">SQRT(1.2/O23)*SQRT(N23/0.101325)*SQRT(293.15/M23)</f>
        <v>0.99770747454028219</v>
      </c>
      <c r="R23">
        <f t="shared" ref="R23:R28" si="18">I23*Q23</f>
        <v>8.4805135335923989</v>
      </c>
      <c r="S23" s="7">
        <f t="shared" ref="S23" si="19">R23/60/1000</f>
        <v>1.4134189222653998E-4</v>
      </c>
      <c r="U23">
        <v>48</v>
      </c>
      <c r="V23">
        <v>64</v>
      </c>
      <c r="W23" s="8">
        <v>2.1801999999999998E-2</v>
      </c>
      <c r="X23" s="10">
        <v>280</v>
      </c>
    </row>
    <row r="24" spans="1:25" x14ac:dyDescent="0.25">
      <c r="A24" s="3">
        <f>AVERAGE(G23:G28)</f>
        <v>48.965822310674071</v>
      </c>
      <c r="B24" s="2">
        <v>1837</v>
      </c>
      <c r="C24">
        <f t="shared" si="4"/>
        <v>192.37019015481502</v>
      </c>
      <c r="D24" s="5">
        <v>1.0076637581773951</v>
      </c>
      <c r="E24" s="8">
        <v>30.854876597503971</v>
      </c>
      <c r="F24" s="5">
        <v>4.5816778072219542</v>
      </c>
      <c r="G24" s="8">
        <v>49.648556094417991</v>
      </c>
      <c r="H24">
        <f t="shared" si="0"/>
        <v>322.79855609441796</v>
      </c>
      <c r="I24">
        <v>10</v>
      </c>
      <c r="J24" s="1">
        <f t="shared" si="1"/>
        <v>1.6666666666666666E-4</v>
      </c>
      <c r="K24">
        <v>33.965123681967277</v>
      </c>
      <c r="L24">
        <v>4.5450850240495768</v>
      </c>
      <c r="M24">
        <f t="shared" si="2"/>
        <v>307.11512368196725</v>
      </c>
      <c r="N24">
        <f t="shared" si="3"/>
        <v>0.45450850240495766</v>
      </c>
      <c r="O24">
        <v>5.1612999999999998</v>
      </c>
      <c r="Q24">
        <f t="shared" si="17"/>
        <v>0.99774168860402668</v>
      </c>
      <c r="R24">
        <f t="shared" si="18"/>
        <v>9.9774168860402668</v>
      </c>
      <c r="S24" s="7">
        <f t="shared" si="5"/>
        <v>1.6629028143400445E-4</v>
      </c>
      <c r="U24">
        <v>48</v>
      </c>
      <c r="V24">
        <v>64</v>
      </c>
      <c r="W24" s="8">
        <v>2.1801999999999998E-2</v>
      </c>
      <c r="X24" s="10">
        <v>270</v>
      </c>
    </row>
    <row r="25" spans="1:25" x14ac:dyDescent="0.25">
      <c r="B25" s="2">
        <v>1839</v>
      </c>
      <c r="C25">
        <f>B25*2*PI()/60</f>
        <v>192.57962966505431</v>
      </c>
      <c r="D25" s="5">
        <v>1.007937890712175</v>
      </c>
      <c r="E25" s="8">
        <v>30.707389246709546</v>
      </c>
      <c r="F25" s="5">
        <v>4.0282260804900449</v>
      </c>
      <c r="G25" s="8">
        <v>47.598924246369272</v>
      </c>
      <c r="H25">
        <f t="shared" si="0"/>
        <v>320.74892424636926</v>
      </c>
      <c r="I25">
        <v>12</v>
      </c>
      <c r="J25" s="1">
        <f t="shared" si="1"/>
        <v>2.0000000000000001E-4</v>
      </c>
      <c r="K25">
        <v>32.938857350692899</v>
      </c>
      <c r="L25">
        <v>3.9826238950298061</v>
      </c>
      <c r="M25">
        <f t="shared" si="2"/>
        <v>306.08885735069288</v>
      </c>
      <c r="N25">
        <f t="shared" si="3"/>
        <v>0.3982623895029806</v>
      </c>
      <c r="O25">
        <v>4.5373000000000001</v>
      </c>
      <c r="Q25">
        <f t="shared" si="17"/>
        <v>0.99779059487469979</v>
      </c>
      <c r="R25">
        <f t="shared" si="18"/>
        <v>11.973487138496397</v>
      </c>
      <c r="S25" s="7">
        <f t="shared" si="5"/>
        <v>1.9955811897493994E-4</v>
      </c>
      <c r="U25">
        <v>48</v>
      </c>
      <c r="V25">
        <v>64</v>
      </c>
      <c r="W25" s="8">
        <v>2.1801999999999998E-2</v>
      </c>
      <c r="X25" s="10">
        <v>260</v>
      </c>
    </row>
    <row r="26" spans="1:25" x14ac:dyDescent="0.25">
      <c r="B26" s="2">
        <v>1839</v>
      </c>
      <c r="C26">
        <f t="shared" si="4"/>
        <v>192.57962966505431</v>
      </c>
      <c r="D26" s="5">
        <v>1.0075465725805399</v>
      </c>
      <c r="E26" s="8">
        <v>30.6548261091082</v>
      </c>
      <c r="F26" s="5">
        <v>3.6533986868675399</v>
      </c>
      <c r="G26" s="8">
        <v>46.402179551899401</v>
      </c>
      <c r="H26">
        <f t="shared" si="0"/>
        <v>319.55217955189937</v>
      </c>
      <c r="I26">
        <v>15</v>
      </c>
      <c r="J26" s="1">
        <f t="shared" si="1"/>
        <v>2.5000000000000001E-4</v>
      </c>
      <c r="K26">
        <v>32.704388837077452</v>
      </c>
      <c r="L26">
        <v>3.5880844465849808</v>
      </c>
      <c r="M26">
        <f t="shared" si="2"/>
        <v>305.85438883707741</v>
      </c>
      <c r="N26">
        <f t="shared" si="3"/>
        <v>0.35880844465849809</v>
      </c>
      <c r="O26">
        <v>4.0906000000000002</v>
      </c>
      <c r="Q26">
        <f t="shared" si="17"/>
        <v>0.9978326918355499</v>
      </c>
      <c r="R26">
        <f t="shared" si="18"/>
        <v>14.967490377533249</v>
      </c>
      <c r="S26" s="7">
        <f t="shared" si="5"/>
        <v>2.4945817295888748E-4</v>
      </c>
      <c r="U26">
        <v>48</v>
      </c>
      <c r="V26">
        <v>64</v>
      </c>
      <c r="W26" s="8">
        <v>2.1801999999999998E-2</v>
      </c>
      <c r="X26" s="10">
        <v>235</v>
      </c>
    </row>
    <row r="27" spans="1:25" x14ac:dyDescent="0.25">
      <c r="B27" s="2">
        <v>1839</v>
      </c>
      <c r="C27">
        <f t="shared" si="4"/>
        <v>192.57962966505431</v>
      </c>
      <c r="D27" s="5">
        <v>1.007730407897355</v>
      </c>
      <c r="E27" s="8">
        <v>30.822986667073145</v>
      </c>
      <c r="F27" s="5">
        <v>3.0732756854133072</v>
      </c>
      <c r="G27" s="8">
        <v>50.602444253388761</v>
      </c>
      <c r="H27">
        <f t="shared" si="0"/>
        <v>323.75244425338872</v>
      </c>
      <c r="I27">
        <v>18</v>
      </c>
      <c r="J27" s="1">
        <f t="shared" si="1"/>
        <v>2.9999999999999997E-4</v>
      </c>
      <c r="K27">
        <v>34.160465950496068</v>
      </c>
      <c r="L27">
        <v>3.0036641094433802</v>
      </c>
      <c r="M27">
        <f t="shared" si="2"/>
        <v>307.31046595049605</v>
      </c>
      <c r="N27">
        <f t="shared" si="3"/>
        <v>0.30036641094433802</v>
      </c>
      <c r="O27">
        <v>3.4075000000000002</v>
      </c>
      <c r="Q27">
        <f t="shared" si="17"/>
        <v>0.99792141125745404</v>
      </c>
      <c r="R27">
        <f t="shared" si="18"/>
        <v>17.962585402634172</v>
      </c>
      <c r="S27" s="7">
        <f t="shared" si="5"/>
        <v>2.9937642337723617E-4</v>
      </c>
      <c r="U27">
        <v>48</v>
      </c>
      <c r="V27">
        <v>64</v>
      </c>
      <c r="W27" s="8">
        <v>2.1801999999999998E-2</v>
      </c>
      <c r="X27" s="10">
        <v>215</v>
      </c>
    </row>
    <row r="28" spans="1:25" x14ac:dyDescent="0.25">
      <c r="B28" s="2">
        <v>1840</v>
      </c>
      <c r="C28">
        <f t="shared" si="4"/>
        <v>192.68434942017399</v>
      </c>
      <c r="D28" s="5">
        <v>1.00690404718988</v>
      </c>
      <c r="E28" s="8">
        <v>30.8241608515143</v>
      </c>
      <c r="F28" s="5">
        <v>2.6401044471753301</v>
      </c>
      <c r="G28" s="8">
        <v>49.9903394645765</v>
      </c>
      <c r="H28">
        <f t="shared" si="0"/>
        <v>323.14033946457647</v>
      </c>
      <c r="I28">
        <v>21</v>
      </c>
      <c r="J28" s="1">
        <f t="shared" si="1"/>
        <v>3.5E-4</v>
      </c>
      <c r="K28">
        <v>35.299841353881696</v>
      </c>
      <c r="L28">
        <v>2.5573256010264003</v>
      </c>
      <c r="M28">
        <f t="shared" si="2"/>
        <v>308.44984135388165</v>
      </c>
      <c r="N28">
        <f t="shared" si="3"/>
        <v>0.25573256010264001</v>
      </c>
      <c r="O28">
        <v>2.8900999999999999</v>
      </c>
      <c r="Q28">
        <f t="shared" si="17"/>
        <v>0.99797938124444174</v>
      </c>
      <c r="R28">
        <f t="shared" si="18"/>
        <v>20.957567006133278</v>
      </c>
      <c r="S28" s="7">
        <f t="shared" si="5"/>
        <v>3.4929278343555462E-4</v>
      </c>
      <c r="U28">
        <v>48</v>
      </c>
      <c r="V28">
        <v>64</v>
      </c>
      <c r="W28" s="8">
        <v>2.1801999999999998E-2</v>
      </c>
      <c r="X28" s="10">
        <v>205</v>
      </c>
    </row>
    <row r="29" spans="1:25" x14ac:dyDescent="0.25">
      <c r="D29" s="5"/>
      <c r="E29" s="8"/>
      <c r="F29" s="5"/>
      <c r="G29" s="8"/>
    </row>
    <row r="30" spans="1:25" x14ac:dyDescent="0.25">
      <c r="A30" s="3">
        <f>AVERAGE(B30:B35)</f>
        <v>2111.5</v>
      </c>
      <c r="B30" s="2">
        <v>2107</v>
      </c>
      <c r="C30">
        <f t="shared" ref="C30" si="20">B30*2*PI()/60</f>
        <v>220.64452403712315</v>
      </c>
      <c r="D30" s="5">
        <v>1.00664348651146</v>
      </c>
      <c r="E30" s="8">
        <v>31.8755210636795</v>
      </c>
      <c r="F30" s="5">
        <v>5.1395527310525901</v>
      </c>
      <c r="G30" s="8">
        <v>53.790427815977402</v>
      </c>
      <c r="H30">
        <f t="shared" ref="H30:H35" si="21">G30+273.15</f>
        <v>326.94042781597739</v>
      </c>
      <c r="I30">
        <v>9</v>
      </c>
      <c r="J30" s="1">
        <f t="shared" ref="J30:J35" si="22">I30/60/1000</f>
        <v>1.4999999999999999E-4</v>
      </c>
      <c r="K30">
        <v>34.091203107820157</v>
      </c>
      <c r="L30">
        <v>5.1153551515503608</v>
      </c>
      <c r="M30">
        <f t="shared" ref="M30:M35" si="23">K30+273.15</f>
        <v>307.24120310782013</v>
      </c>
      <c r="N30">
        <f t="shared" ref="N30:N35" si="24">L30/10</f>
        <v>0.51153551515503604</v>
      </c>
      <c r="O30">
        <v>5.8071999999999999</v>
      </c>
      <c r="Q30">
        <f t="shared" ref="Q30:Q35" si="25">SQRT(1.2/O30)*SQRT(N30/0.101325)*SQRT(293.15/M30)</f>
        <v>0.9976817812522496</v>
      </c>
      <c r="R30">
        <f>I30*Q30</f>
        <v>8.9791360312702473</v>
      </c>
      <c r="S30" s="7">
        <f>R30/60/1000</f>
        <v>1.4965226718783746E-4</v>
      </c>
      <c r="U30">
        <v>50</v>
      </c>
      <c r="V30">
        <v>70</v>
      </c>
      <c r="W30" s="8">
        <v>1.8828999999999999E-2</v>
      </c>
      <c r="X30" s="10">
        <v>280</v>
      </c>
      <c r="Y30">
        <v>1.7838E-2</v>
      </c>
    </row>
    <row r="31" spans="1:25" x14ac:dyDescent="0.25">
      <c r="A31" s="3">
        <f>AVERAGE(G30:G35)</f>
        <v>52.695002582312505</v>
      </c>
      <c r="B31" s="2">
        <v>2112</v>
      </c>
      <c r="C31">
        <f>B31*2*PI()/60</f>
        <v>221.16812281272144</v>
      </c>
      <c r="D31" s="5">
        <v>1.00610594912139</v>
      </c>
      <c r="E31" s="8">
        <v>32.0262582611306</v>
      </c>
      <c r="F31" s="5">
        <v>4.4350470643170903</v>
      </c>
      <c r="G31" s="8">
        <v>49.9908134224425</v>
      </c>
      <c r="H31">
        <f t="shared" si="21"/>
        <v>323.14081342244248</v>
      </c>
      <c r="I31">
        <v>11.5</v>
      </c>
      <c r="J31" s="1">
        <f t="shared" si="22"/>
        <v>1.9166666666666667E-4</v>
      </c>
      <c r="K31">
        <v>36.091330242567508</v>
      </c>
      <c r="L31">
        <v>4.398073191126322</v>
      </c>
      <c r="M31">
        <f t="shared" si="23"/>
        <v>309.24133024256747</v>
      </c>
      <c r="N31">
        <f t="shared" si="24"/>
        <v>0.43980731911263221</v>
      </c>
      <c r="O31">
        <v>4.9595000000000002</v>
      </c>
      <c r="Q31">
        <f t="shared" si="25"/>
        <v>0.99779374850115632</v>
      </c>
      <c r="R31">
        <f t="shared" ref="R31:R35" si="26">I31*Q31</f>
        <v>11.474628107763298</v>
      </c>
      <c r="S31" s="7">
        <f t="shared" ref="S31:S35" si="27">R31/60/1000</f>
        <v>1.9124380179605496E-4</v>
      </c>
      <c r="U31">
        <v>50</v>
      </c>
      <c r="V31">
        <v>70</v>
      </c>
      <c r="W31" s="8">
        <v>1.8828999999999999E-2</v>
      </c>
      <c r="X31" s="10">
        <v>270</v>
      </c>
      <c r="Y31">
        <v>1.7838E-2</v>
      </c>
    </row>
    <row r="32" spans="1:25" x14ac:dyDescent="0.25">
      <c r="A32" s="6"/>
      <c r="B32" s="2">
        <v>2114</v>
      </c>
      <c r="C32">
        <f t="shared" ref="C32:C34" si="28">B32*2*PI()/60</f>
        <v>221.37756232296076</v>
      </c>
      <c r="D32" s="5">
        <v>1.0066982516283101</v>
      </c>
      <c r="E32" s="8">
        <v>32.005684453369298</v>
      </c>
      <c r="F32" s="5">
        <v>4.0038566309211898</v>
      </c>
      <c r="G32" s="8">
        <v>49.199552467406399</v>
      </c>
      <c r="H32">
        <f t="shared" si="21"/>
        <v>322.3495524674064</v>
      </c>
      <c r="I32">
        <v>14</v>
      </c>
      <c r="J32" s="1">
        <f t="shared" si="22"/>
        <v>2.3333333333333333E-4</v>
      </c>
      <c r="K32">
        <v>35.22898377743342</v>
      </c>
      <c r="L32">
        <v>3.9611569214138527</v>
      </c>
      <c r="M32">
        <f t="shared" si="23"/>
        <v>308.3789837774334</v>
      </c>
      <c r="N32">
        <f t="shared" si="24"/>
        <v>0.39611569214138526</v>
      </c>
      <c r="O32">
        <v>4.4790000000000001</v>
      </c>
      <c r="Q32">
        <f t="shared" si="25"/>
        <v>0.99782727755777623</v>
      </c>
      <c r="R32">
        <f t="shared" si="26"/>
        <v>13.969581885808868</v>
      </c>
      <c r="S32" s="7">
        <f t="shared" si="27"/>
        <v>2.3282636476348111E-4</v>
      </c>
      <c r="U32">
        <v>50</v>
      </c>
      <c r="V32">
        <v>70</v>
      </c>
      <c r="W32" s="8">
        <v>1.8828999999999999E-2</v>
      </c>
      <c r="X32" s="10">
        <v>260</v>
      </c>
      <c r="Y32">
        <v>1.7838E-2</v>
      </c>
    </row>
    <row r="33" spans="1:37" x14ac:dyDescent="0.25">
      <c r="B33" s="2">
        <v>2111</v>
      </c>
      <c r="C33">
        <f t="shared" si="28"/>
        <v>221.06340305760176</v>
      </c>
      <c r="D33" s="5">
        <v>1.00622035047064</v>
      </c>
      <c r="E33" s="8">
        <v>32.022331469804698</v>
      </c>
      <c r="F33" s="5">
        <v>3.69061358519046</v>
      </c>
      <c r="G33" s="8">
        <v>55.823943947719599</v>
      </c>
      <c r="H33">
        <f t="shared" si="21"/>
        <v>328.97394394771959</v>
      </c>
      <c r="I33">
        <v>17</v>
      </c>
      <c r="J33" s="1">
        <f t="shared" si="22"/>
        <v>2.833333333333333E-4</v>
      </c>
      <c r="K33">
        <v>35.183946946549369</v>
      </c>
      <c r="L33">
        <v>3.6382551740685782</v>
      </c>
      <c r="M33">
        <f t="shared" si="23"/>
        <v>308.33394694654936</v>
      </c>
      <c r="N33">
        <f t="shared" si="24"/>
        <v>0.36382551740685781</v>
      </c>
      <c r="O33">
        <v>4.1142000000000003</v>
      </c>
      <c r="Q33">
        <f t="shared" si="25"/>
        <v>0.99786197341373895</v>
      </c>
      <c r="R33">
        <f t="shared" si="26"/>
        <v>16.963653548033562</v>
      </c>
      <c r="S33" s="7">
        <f t="shared" si="27"/>
        <v>2.827275591338927E-4</v>
      </c>
      <c r="U33">
        <v>50</v>
      </c>
      <c r="V33">
        <v>70</v>
      </c>
      <c r="W33" s="8">
        <v>1.8828999999999999E-2</v>
      </c>
      <c r="X33" s="10">
        <v>240</v>
      </c>
      <c r="Y33">
        <v>1.7838E-2</v>
      </c>
    </row>
    <row r="34" spans="1:37" x14ac:dyDescent="0.25">
      <c r="B34" s="2">
        <v>2112</v>
      </c>
      <c r="C34">
        <f t="shared" si="28"/>
        <v>221.16812281272144</v>
      </c>
      <c r="D34" s="5">
        <v>1.0075471234151601</v>
      </c>
      <c r="E34" s="8">
        <v>31.981519437650199</v>
      </c>
      <c r="F34" s="5">
        <v>3.3424664174525498</v>
      </c>
      <c r="G34" s="8">
        <v>54.463514185662603</v>
      </c>
      <c r="H34">
        <f t="shared" si="21"/>
        <v>327.61351418566255</v>
      </c>
      <c r="I34">
        <v>19</v>
      </c>
      <c r="J34" s="1">
        <f t="shared" si="22"/>
        <v>3.1666666666666665E-4</v>
      </c>
      <c r="K34">
        <v>36.165910744740373</v>
      </c>
      <c r="L34">
        <v>3.2729093370781328</v>
      </c>
      <c r="M34">
        <f t="shared" si="23"/>
        <v>309.31591074474034</v>
      </c>
      <c r="N34">
        <f t="shared" si="24"/>
        <v>0.32729093370781326</v>
      </c>
      <c r="O34">
        <v>3.6888999999999998</v>
      </c>
      <c r="Q34">
        <f t="shared" si="25"/>
        <v>0.99791760042068167</v>
      </c>
      <c r="R34">
        <f t="shared" si="26"/>
        <v>18.960434407992953</v>
      </c>
      <c r="S34" s="7">
        <f t="shared" si="27"/>
        <v>3.1600724013321587E-4</v>
      </c>
      <c r="U34">
        <v>50</v>
      </c>
      <c r="V34">
        <v>70</v>
      </c>
      <c r="W34" s="8">
        <v>1.8828999999999999E-2</v>
      </c>
      <c r="X34" s="10">
        <v>225</v>
      </c>
      <c r="Y34">
        <v>1.7838E-2</v>
      </c>
    </row>
    <row r="35" spans="1:37" x14ac:dyDescent="0.25">
      <c r="B35" s="2">
        <v>2113</v>
      </c>
      <c r="C35">
        <f>B35*2*PI()/60</f>
        <v>221.27284256784108</v>
      </c>
      <c r="D35" s="5">
        <v>1.00657455969937</v>
      </c>
      <c r="E35" s="8">
        <v>32.002248517148502</v>
      </c>
      <c r="F35" s="5">
        <v>2.5472304393617602</v>
      </c>
      <c r="G35" s="8">
        <v>52.901763654666603</v>
      </c>
      <c r="H35">
        <f t="shared" si="21"/>
        <v>326.05176365466656</v>
      </c>
      <c r="I35">
        <v>26</v>
      </c>
      <c r="J35" s="1">
        <f t="shared" si="22"/>
        <v>4.3333333333333337E-4</v>
      </c>
      <c r="K35">
        <v>37.109925562862749</v>
      </c>
      <c r="L35">
        <v>2.4564213377189379</v>
      </c>
      <c r="M35">
        <f t="shared" si="23"/>
        <v>310.25992556286275</v>
      </c>
      <c r="N35">
        <f t="shared" si="24"/>
        <v>0.24564213377189378</v>
      </c>
      <c r="O35">
        <v>2.7597</v>
      </c>
      <c r="Q35">
        <f t="shared" si="25"/>
        <v>0.99801005747028537</v>
      </c>
      <c r="R35">
        <f t="shared" si="26"/>
        <v>25.94826149422742</v>
      </c>
      <c r="S35" s="7">
        <f t="shared" si="27"/>
        <v>4.3247102490379037E-4</v>
      </c>
      <c r="U35">
        <v>50</v>
      </c>
      <c r="V35">
        <v>70</v>
      </c>
      <c r="W35" s="8">
        <v>1.8828999999999999E-2</v>
      </c>
      <c r="X35" s="10">
        <v>200</v>
      </c>
      <c r="Y35">
        <v>1.7838E-2</v>
      </c>
    </row>
    <row r="40" spans="1:37" ht="21" x14ac:dyDescent="0.35">
      <c r="D40" s="28"/>
      <c r="E40" s="60" t="s">
        <v>6</v>
      </c>
      <c r="F40" s="60"/>
      <c r="G40" s="60"/>
      <c r="H40" s="34"/>
      <c r="I40" s="34"/>
      <c r="J40" s="28"/>
      <c r="K40" s="61" t="s">
        <v>5</v>
      </c>
      <c r="L40" s="61"/>
      <c r="M40" s="61"/>
      <c r="N40" s="29"/>
      <c r="O40" s="60" t="s">
        <v>4</v>
      </c>
      <c r="P40" s="60"/>
      <c r="Q40" s="60"/>
      <c r="S40" s="13"/>
      <c r="T40" s="62" t="s">
        <v>19</v>
      </c>
      <c r="U40" s="62"/>
      <c r="V40" s="62"/>
      <c r="W40" s="62"/>
      <c r="X40" s="62"/>
      <c r="Y40" s="62"/>
    </row>
    <row r="41" spans="1:37" ht="18.75" x14ac:dyDescent="0.3">
      <c r="D41" s="30" t="s">
        <v>35</v>
      </c>
      <c r="E41" s="31" t="s">
        <v>23</v>
      </c>
      <c r="F41" s="31" t="s">
        <v>1</v>
      </c>
      <c r="G41" s="31" t="s">
        <v>0</v>
      </c>
      <c r="H41" s="35"/>
      <c r="I41" s="35"/>
      <c r="J41" s="30" t="s">
        <v>3</v>
      </c>
      <c r="K41" s="31" t="s">
        <v>23</v>
      </c>
      <c r="L41" s="31" t="s">
        <v>1</v>
      </c>
      <c r="M41" s="31" t="s">
        <v>2</v>
      </c>
      <c r="N41" s="31"/>
      <c r="O41" s="31" t="s">
        <v>23</v>
      </c>
      <c r="P41" s="31" t="s">
        <v>1</v>
      </c>
      <c r="Q41" s="31" t="s">
        <v>0</v>
      </c>
      <c r="T41" s="32" t="s">
        <v>21</v>
      </c>
      <c r="U41" s="33" t="s">
        <v>20</v>
      </c>
      <c r="V41" s="32" t="s">
        <v>24</v>
      </c>
      <c r="W41" s="33" t="s">
        <v>18</v>
      </c>
      <c r="X41" s="32" t="s">
        <v>25</v>
      </c>
      <c r="Y41" s="33" t="s">
        <v>22</v>
      </c>
      <c r="AA41" t="s">
        <v>50</v>
      </c>
      <c r="AC41" t="s">
        <v>56</v>
      </c>
      <c r="AH41" t="s">
        <v>55</v>
      </c>
    </row>
    <row r="42" spans="1:37" x14ac:dyDescent="0.25">
      <c r="B42" s="2">
        <f>B3</f>
        <v>1217</v>
      </c>
      <c r="C42" s="10">
        <f>B42*2*PI()/60</f>
        <v>127.44394198062595</v>
      </c>
      <c r="D42" s="25">
        <f>F3</f>
        <v>4.2632226981025712</v>
      </c>
      <c r="E42">
        <v>0.49030000000000001</v>
      </c>
      <c r="F42">
        <v>0.74839999999999995</v>
      </c>
      <c r="G42" s="5">
        <f>S3*O3*1000</f>
        <v>0.3247321478042306</v>
      </c>
      <c r="H42" s="36"/>
      <c r="I42" s="36"/>
      <c r="J42" s="25">
        <v>4.2444180924655104</v>
      </c>
      <c r="K42">
        <v>237.3811</v>
      </c>
      <c r="L42">
        <v>251.22190000000001</v>
      </c>
      <c r="M42" s="5">
        <f>C42*Q42</f>
        <v>219.923995478764</v>
      </c>
      <c r="O42">
        <v>1.8626</v>
      </c>
      <c r="P42">
        <v>1.9712000000000001</v>
      </c>
      <c r="Q42" s="5">
        <v>1.7256528012308101</v>
      </c>
      <c r="T42" s="9">
        <f>(E42-G42)/G42</f>
        <v>0.50985975153770224</v>
      </c>
      <c r="U42" s="4">
        <f>(F42-G42)/G42</f>
        <v>1.3046686478703167</v>
      </c>
      <c r="V42" s="38">
        <f>(K42-M42)/M42</f>
        <v>7.9377898183564388E-2</v>
      </c>
      <c r="W42" s="38">
        <f>(L42-M42)/M42</f>
        <v>0.14231236774823941</v>
      </c>
      <c r="X42" s="4">
        <f>(O42-Q42)/Q42</f>
        <v>7.9359647938167674E-2</v>
      </c>
      <c r="Y42" s="4">
        <f>(P42-Q42)/Q42</f>
        <v>0.14229235370756799</v>
      </c>
      <c r="AA42">
        <v>8.8492944187253499</v>
      </c>
      <c r="AC42">
        <v>0.50214350843484812</v>
      </c>
      <c r="AD42" s="4">
        <f>V42-AA42/100</f>
        <v>-9.1150460036891062E-3</v>
      </c>
      <c r="AF42" s="4">
        <f>ABS(T42)-AC42</f>
        <v>7.7162431028541256E-3</v>
      </c>
      <c r="AG42" s="4">
        <f>E42/F42</f>
        <v>0.65513094601817212</v>
      </c>
      <c r="AH42" s="4">
        <f>G42/F42</f>
        <v>0.43390185436161227</v>
      </c>
      <c r="AK42">
        <f>T42^2</f>
        <v>0.25995696623808745</v>
      </c>
    </row>
    <row r="43" spans="1:37" x14ac:dyDescent="0.25">
      <c r="A43" s="22">
        <f>AVERAGE(B42:B46)</f>
        <v>1216</v>
      </c>
      <c r="B43" s="2">
        <f>B4</f>
        <v>1214</v>
      </c>
      <c r="C43" s="10">
        <f t="shared" ref="C43:C46" si="29">B43*2*PI()/60</f>
        <v>127.12978271526696</v>
      </c>
      <c r="D43" s="25">
        <f>F4</f>
        <v>3.7487816777695127</v>
      </c>
      <c r="E43">
        <v>0.49919999999999998</v>
      </c>
      <c r="F43">
        <v>0.74750000000000005</v>
      </c>
      <c r="G43" s="5">
        <f>S4*O4*1000</f>
        <v>0.35673312429200765</v>
      </c>
      <c r="H43" s="36"/>
      <c r="I43" s="36"/>
      <c r="J43" s="25">
        <v>3.7878232240313827</v>
      </c>
      <c r="K43">
        <v>217.6027</v>
      </c>
      <c r="L43">
        <v>227.9221</v>
      </c>
      <c r="M43" s="5">
        <f>C43*Q43</f>
        <v>201.06346911209982</v>
      </c>
      <c r="O43">
        <v>1.7117</v>
      </c>
      <c r="P43">
        <v>1.7927999999999999</v>
      </c>
      <c r="Q43" s="5">
        <v>1.5815607076307401</v>
      </c>
      <c r="T43" s="9">
        <f t="shared" ref="T43:T46" si="30">(E43-G43)/G43</f>
        <v>0.39936542475762515</v>
      </c>
      <c r="U43" s="4">
        <f t="shared" ref="U43:U46" si="31">(F43-G43)/G43</f>
        <v>1.0954039563427984</v>
      </c>
      <c r="V43" s="38">
        <f t="shared" ref="V43:V62" si="32">(K43-M43)/M43</f>
        <v>8.2258756207369443E-2</v>
      </c>
      <c r="W43" s="38">
        <f t="shared" ref="W43:W62" si="33">(L43-M43)/M43</f>
        <v>0.13358284827427086</v>
      </c>
      <c r="X43" s="4">
        <f t="shared" ref="X43:X62" si="34">(O43-Q43)/Q43</f>
        <v>8.2285360113817776E-2</v>
      </c>
      <c r="Y43" s="4">
        <f t="shared" ref="Y43:Y62" si="35">(P43-Q43)/Q43</f>
        <v>0.13356382170476863</v>
      </c>
      <c r="AA43">
        <v>9.6416219387958275</v>
      </c>
      <c r="AC43">
        <v>0.40189013925896322</v>
      </c>
      <c r="AD43" s="4">
        <f t="shared" ref="AD43:AD78" si="36">V43-AA43/100</f>
        <v>-1.4157463180588831E-2</v>
      </c>
      <c r="AF43" s="4">
        <f t="shared" ref="AF43:AF78" si="37">ABS(T43)-AC43</f>
        <v>-2.5247145013380656E-3</v>
      </c>
      <c r="AG43" s="4">
        <f t="shared" ref="AG43:AG78" si="38">E43/F43</f>
        <v>0.66782608695652168</v>
      </c>
      <c r="AH43" s="4">
        <f t="shared" ref="AH43:AH78" si="39">G43/F43</f>
        <v>0.47723494888562895</v>
      </c>
      <c r="AK43">
        <f t="shared" ref="AK43:AK78" si="40">T43^2</f>
        <v>0.15949274249183837</v>
      </c>
    </row>
    <row r="44" spans="1:37" x14ac:dyDescent="0.25">
      <c r="A44" s="23"/>
      <c r="B44" s="2">
        <f>B5</f>
        <v>1217</v>
      </c>
      <c r="C44" s="10">
        <f t="shared" si="29"/>
        <v>127.44394198062595</v>
      </c>
      <c r="D44" s="25">
        <f>F5</f>
        <v>3.41149288331663</v>
      </c>
      <c r="E44">
        <v>0.50919999999999999</v>
      </c>
      <c r="F44">
        <v>0.75039999999999996</v>
      </c>
      <c r="G44" s="5">
        <f>S5*O5*1000</f>
        <v>0.45316198723503576</v>
      </c>
      <c r="H44" s="36"/>
      <c r="I44" s="36"/>
      <c r="J44" s="25">
        <v>3.4480098649583537</v>
      </c>
      <c r="K44">
        <v>205.1644</v>
      </c>
      <c r="L44">
        <v>213.35659999999999</v>
      </c>
      <c r="M44" s="5">
        <f>C44*Q44</f>
        <v>193.63025834579085</v>
      </c>
      <c r="O44">
        <v>1.6097999999999999</v>
      </c>
      <c r="P44">
        <v>1.6740999999999999</v>
      </c>
      <c r="Q44" s="5">
        <v>1.5193367008000001</v>
      </c>
      <c r="T44" s="9">
        <f t="shared" si="30"/>
        <v>0.12366000314121604</v>
      </c>
      <c r="U44" s="4">
        <f t="shared" si="31"/>
        <v>0.65592000462916045</v>
      </c>
      <c r="V44" s="38">
        <f t="shared" si="32"/>
        <v>5.9567867918717161E-2</v>
      </c>
      <c r="W44" s="38">
        <f t="shared" si="33"/>
        <v>0.10187633804103711</v>
      </c>
      <c r="X44" s="4">
        <f t="shared" si="34"/>
        <v>5.9541311121074608E-2</v>
      </c>
      <c r="Y44" s="4">
        <f t="shared" si="35"/>
        <v>0.10186241082605978</v>
      </c>
      <c r="AA44">
        <v>10.029661068040429</v>
      </c>
      <c r="AC44">
        <v>0.28733834405326064</v>
      </c>
      <c r="AD44" s="4">
        <f t="shared" si="36"/>
        <v>-4.0728742761687135E-2</v>
      </c>
      <c r="AF44" s="4">
        <f t="shared" si="37"/>
        <v>-0.16367834091204458</v>
      </c>
      <c r="AG44" s="4">
        <f t="shared" si="38"/>
        <v>0.6785714285714286</v>
      </c>
      <c r="AH44" s="4">
        <f t="shared" si="39"/>
        <v>0.60389390623005834</v>
      </c>
      <c r="AK44">
        <f t="shared" si="40"/>
        <v>1.5291796376885563E-2</v>
      </c>
    </row>
    <row r="45" spans="1:37" x14ac:dyDescent="0.25">
      <c r="A45" s="23"/>
      <c r="B45" s="2">
        <f>B6</f>
        <v>1215</v>
      </c>
      <c r="C45" s="10">
        <f t="shared" si="29"/>
        <v>127.23450247038662</v>
      </c>
      <c r="D45" s="25">
        <f>F6</f>
        <v>3.0036465230416098</v>
      </c>
      <c r="E45">
        <v>0.52070000000000005</v>
      </c>
      <c r="F45">
        <v>0.74929999999999997</v>
      </c>
      <c r="G45" s="5">
        <f>S6*O6*1000</f>
        <v>0.45543527309811571</v>
      </c>
      <c r="H45" s="36"/>
      <c r="I45" s="36"/>
      <c r="J45" s="25">
        <v>3.0515120209205819</v>
      </c>
      <c r="K45">
        <v>186.5256</v>
      </c>
      <c r="L45">
        <v>193.81049999999999</v>
      </c>
      <c r="M45" s="5">
        <f>C45*Q45</f>
        <v>176.89683334223687</v>
      </c>
      <c r="O45">
        <v>1.466</v>
      </c>
      <c r="P45">
        <v>1.5233000000000001</v>
      </c>
      <c r="Q45" s="5">
        <v>1.39032125648001</v>
      </c>
      <c r="T45" s="9">
        <f t="shared" si="30"/>
        <v>0.14330187132392835</v>
      </c>
      <c r="U45" s="4">
        <f t="shared" si="31"/>
        <v>0.6452392782466283</v>
      </c>
      <c r="V45" s="38">
        <f t="shared" si="32"/>
        <v>5.4431537726481759E-2</v>
      </c>
      <c r="W45" s="38">
        <f t="shared" si="33"/>
        <v>9.5613168072040969E-2</v>
      </c>
      <c r="X45" s="4">
        <f t="shared" si="34"/>
        <v>5.4432558782559357E-2</v>
      </c>
      <c r="Y45" s="4">
        <f t="shared" si="35"/>
        <v>9.564605511150942E-2</v>
      </c>
      <c r="AA45">
        <v>10.94606345179313</v>
      </c>
      <c r="AC45">
        <v>0.25153168137532639</v>
      </c>
      <c r="AD45" s="4">
        <f t="shared" si="36"/>
        <v>-5.5029096791449537E-2</v>
      </c>
      <c r="AF45" s="4">
        <f t="shared" si="37"/>
        <v>-0.10822981005139803</v>
      </c>
      <c r="AG45" s="4">
        <f t="shared" si="38"/>
        <v>0.69491525423728828</v>
      </c>
      <c r="AH45" s="4">
        <f t="shared" si="39"/>
        <v>0.60781432416670989</v>
      </c>
      <c r="AK45">
        <f t="shared" si="40"/>
        <v>2.053542632493972E-2</v>
      </c>
    </row>
    <row r="46" spans="1:37" x14ac:dyDescent="0.25">
      <c r="A46" s="23"/>
      <c r="B46" s="2">
        <f>B7</f>
        <v>1217</v>
      </c>
      <c r="C46" s="10">
        <f t="shared" si="29"/>
        <v>127.44394198062595</v>
      </c>
      <c r="D46" s="25">
        <f>F7</f>
        <v>2.3975521098447898</v>
      </c>
      <c r="E46">
        <v>0.54530000000000001</v>
      </c>
      <c r="F46">
        <v>0.75209999999999999</v>
      </c>
      <c r="G46" s="5">
        <f>S7*O7*1000</f>
        <v>0.45359213147780497</v>
      </c>
      <c r="H46" s="36"/>
      <c r="I46" s="36"/>
      <c r="J46" s="25">
        <v>2.2725055761034807</v>
      </c>
      <c r="K46">
        <v>159.3312</v>
      </c>
      <c r="L46">
        <v>163.9101</v>
      </c>
      <c r="M46" s="5">
        <f>C46*Q46</f>
        <v>150.01311193399283</v>
      </c>
      <c r="O46">
        <v>1.2502</v>
      </c>
      <c r="P46">
        <v>1.2861</v>
      </c>
      <c r="Q46" s="5">
        <v>1.1770909593866601</v>
      </c>
      <c r="T46" s="9">
        <f t="shared" si="30"/>
        <v>0.20218134786291472</v>
      </c>
      <c r="U46" s="4">
        <f t="shared" si="31"/>
        <v>0.65809754580542479</v>
      </c>
      <c r="V46" s="38">
        <f t="shared" si="32"/>
        <v>6.211515744108561E-2</v>
      </c>
      <c r="W46" s="38">
        <f t="shared" si="33"/>
        <v>9.2638489308334404E-2</v>
      </c>
      <c r="X46" s="4">
        <f t="shared" si="34"/>
        <v>6.2109932992293469E-2</v>
      </c>
      <c r="Y46" s="4">
        <f t="shared" si="35"/>
        <v>9.2608850441040377E-2</v>
      </c>
      <c r="AA46">
        <v>12.900212014457967</v>
      </c>
      <c r="AC46">
        <v>0.20140968870503939</v>
      </c>
      <c r="AD46" s="4">
        <f t="shared" si="36"/>
        <v>-6.6886962703494063E-2</v>
      </c>
      <c r="AF46" s="4">
        <f t="shared" si="37"/>
        <v>7.7165915787533179E-4</v>
      </c>
      <c r="AG46" s="4">
        <f t="shared" si="38"/>
        <v>0.72503656428666408</v>
      </c>
      <c r="AH46" s="4">
        <f t="shared" si="39"/>
        <v>0.60310082632336792</v>
      </c>
      <c r="AK46">
        <f t="shared" si="40"/>
        <v>4.0877297423664929E-2</v>
      </c>
    </row>
    <row r="47" spans="1:37" x14ac:dyDescent="0.25">
      <c r="A47" s="24"/>
      <c r="B47" s="19"/>
      <c r="C47" s="16"/>
      <c r="D47" s="20"/>
      <c r="E47" s="16"/>
      <c r="F47" s="16"/>
      <c r="G47" s="16"/>
      <c r="H47" s="36"/>
      <c r="I47" s="36"/>
      <c r="J47" s="20"/>
      <c r="K47" s="16"/>
      <c r="L47" s="16"/>
      <c r="M47" s="16"/>
      <c r="N47" s="16"/>
      <c r="O47" s="16"/>
      <c r="P47" s="16"/>
      <c r="Q47" s="16"/>
      <c r="R47" s="16"/>
      <c r="S47" s="16"/>
      <c r="T47" s="17"/>
      <c r="U47" s="18"/>
      <c r="V47" s="18"/>
      <c r="W47" s="18"/>
      <c r="X47" s="18"/>
      <c r="Y47" s="18"/>
      <c r="AD47" s="4"/>
      <c r="AF47" s="4"/>
      <c r="AG47" s="4"/>
      <c r="AH47" s="4"/>
    </row>
    <row r="48" spans="1:37" x14ac:dyDescent="0.25">
      <c r="A48" s="24"/>
      <c r="B48" s="16"/>
      <c r="C48" s="16"/>
      <c r="D48" s="20"/>
      <c r="E48" s="16"/>
      <c r="F48" s="16"/>
      <c r="G48" s="16"/>
      <c r="H48" s="36"/>
      <c r="I48" s="36"/>
      <c r="J48" s="20"/>
      <c r="K48" s="16"/>
      <c r="L48" s="16"/>
      <c r="M48" s="16"/>
      <c r="N48" s="16"/>
      <c r="O48" s="16"/>
      <c r="P48" s="16"/>
      <c r="Q48" s="16"/>
      <c r="R48" s="16"/>
      <c r="S48" s="16"/>
      <c r="T48" s="17"/>
      <c r="U48" s="18"/>
      <c r="V48" s="18"/>
      <c r="W48" s="18"/>
      <c r="X48" s="18"/>
      <c r="Y48" s="18"/>
      <c r="AD48" s="4"/>
      <c r="AF48" s="4"/>
      <c r="AG48" s="4"/>
      <c r="AH48" s="4"/>
    </row>
    <row r="49" spans="1:37" x14ac:dyDescent="0.25">
      <c r="B49" s="2">
        <v>1427</v>
      </c>
      <c r="C49" s="10">
        <f>B49*2*PI()/60</f>
        <v>149.4350905557545</v>
      </c>
      <c r="D49" s="25">
        <f t="shared" ref="D49:D54" si="41">F9</f>
        <v>5.253362586763715</v>
      </c>
      <c r="E49">
        <v>0.59950000000000003</v>
      </c>
      <c r="F49">
        <v>0.87549999999999994</v>
      </c>
      <c r="G49" s="5">
        <f>S9*O9*1000</f>
        <v>0.49942621079699617</v>
      </c>
      <c r="H49" s="36"/>
      <c r="I49" s="36"/>
      <c r="J49" s="25">
        <v>5.2406701587576698</v>
      </c>
      <c r="K49">
        <v>315.46120000000002</v>
      </c>
      <c r="L49">
        <v>333.73149999999998</v>
      </c>
      <c r="M49" s="5">
        <f>C49*Q49</f>
        <v>312.41254145595809</v>
      </c>
      <c r="O49">
        <v>2.1110000000000002</v>
      </c>
      <c r="P49">
        <v>2.2332999999999998</v>
      </c>
      <c r="Q49" s="5">
        <v>2.0906236968444598</v>
      </c>
      <c r="T49" s="9">
        <f>(E49-G49)/G49</f>
        <v>0.20037752732942016</v>
      </c>
      <c r="U49" s="4">
        <f>(F49-G49)/G49</f>
        <v>0.75301171839350667</v>
      </c>
      <c r="V49" s="38">
        <f t="shared" ref="V49:V53" si="42">(K49-M49)/M49</f>
        <v>9.7584384091434044E-3</v>
      </c>
      <c r="W49" s="38">
        <f t="shared" ref="W49:W53" si="43">(L49-M49)/M49</f>
        <v>6.8239765422628842E-2</v>
      </c>
      <c r="X49" s="4">
        <f t="shared" ref="X49:X53" si="44">(O49-Q49)/Q49</f>
        <v>9.7465187954656456E-3</v>
      </c>
      <c r="Y49" s="4">
        <f>(P49-Q49)/Q49</f>
        <v>6.8245807875847012E-2</v>
      </c>
      <c r="AA49">
        <v>7.3087297380316496</v>
      </c>
      <c r="AC49">
        <v>0.4019625335234957</v>
      </c>
      <c r="AD49" s="4">
        <f t="shared" si="36"/>
        <v>-6.3328858971173088E-2</v>
      </c>
      <c r="AF49" s="4">
        <f t="shared" si="37"/>
        <v>-0.20158500619407554</v>
      </c>
      <c r="AG49" s="4">
        <f t="shared" si="38"/>
        <v>0.68475157053112512</v>
      </c>
      <c r="AH49" s="4">
        <f t="shared" si="39"/>
        <v>0.57044684271501567</v>
      </c>
      <c r="AK49">
        <f t="shared" si="40"/>
        <v>4.0151153458652521E-2</v>
      </c>
    </row>
    <row r="50" spans="1:37" x14ac:dyDescent="0.25">
      <c r="A50" s="22">
        <f>AVERAGE(B49:B54)</f>
        <v>1416.6666666666667</v>
      </c>
      <c r="B50" s="2">
        <f>B10</f>
        <v>1411</v>
      </c>
      <c r="C50" s="10">
        <f>B50*2*PI()/60</f>
        <v>147.75957447383993</v>
      </c>
      <c r="D50" s="25">
        <f t="shared" si="41"/>
        <v>4.8223075689095696</v>
      </c>
      <c r="E50">
        <v>0.59489999999999998</v>
      </c>
      <c r="F50">
        <v>0.86650000000000005</v>
      </c>
      <c r="G50" s="5">
        <f t="shared" ref="G50:G54" si="45">S10*O10*1000</f>
        <v>0.51458234662294589</v>
      </c>
      <c r="H50" s="36"/>
      <c r="I50" s="36"/>
      <c r="J50" s="25">
        <v>4.8223075689095696</v>
      </c>
      <c r="K50">
        <v>295.88740000000001</v>
      </c>
      <c r="L50">
        <v>311.86959999999999</v>
      </c>
      <c r="M50" s="5">
        <f>Q50*C50</f>
        <v>277.23925387205941</v>
      </c>
      <c r="O50">
        <v>2.0024999999999999</v>
      </c>
      <c r="P50">
        <v>2.1107</v>
      </c>
      <c r="Q50" s="5">
        <v>1.8762862228000201</v>
      </c>
      <c r="T50" s="9">
        <f t="shared" ref="T50:T54" si="46">(E50-G50)/G50</f>
        <v>0.15608318844234645</v>
      </c>
      <c r="U50" s="4">
        <f t="shared" ref="U50:U54" si="47">(F50-G50)/G50</f>
        <v>0.68388986852461464</v>
      </c>
      <c r="V50" s="38">
        <f t="shared" si="42"/>
        <v>6.7263729314992193E-2</v>
      </c>
      <c r="W50" s="38">
        <f t="shared" si="43"/>
        <v>0.12491141007009715</v>
      </c>
      <c r="X50" s="4">
        <f t="shared" si="44"/>
        <v>6.726786972385719E-2</v>
      </c>
      <c r="Y50" s="4">
        <f t="shared" ref="Y50:Y53" si="48">(P50-Q50)/Q50</f>
        <v>0.12493497759108387</v>
      </c>
      <c r="AA50">
        <v>8.129870897011358</v>
      </c>
      <c r="AC50">
        <v>0.36549861015308549</v>
      </c>
      <c r="AD50" s="4">
        <f t="shared" si="36"/>
        <v>-1.4034979655121391E-2</v>
      </c>
      <c r="AF50" s="4">
        <f t="shared" si="37"/>
        <v>-0.20941542171073904</v>
      </c>
      <c r="AG50" s="4">
        <f t="shared" si="38"/>
        <v>0.68655510675129827</v>
      </c>
      <c r="AH50" s="4">
        <f t="shared" si="39"/>
        <v>0.59386306592376903</v>
      </c>
      <c r="AK50">
        <f t="shared" si="40"/>
        <v>2.4361961714329031E-2</v>
      </c>
    </row>
    <row r="51" spans="1:37" x14ac:dyDescent="0.25">
      <c r="A51" s="23"/>
      <c r="B51" s="2">
        <f>B11</f>
        <v>1412</v>
      </c>
      <c r="C51" s="10">
        <f t="shared" ref="C51:C54" si="49">B51*2*PI()/60</f>
        <v>147.86429422895961</v>
      </c>
      <c r="D51" s="25">
        <f t="shared" si="41"/>
        <v>4.236297847863618</v>
      </c>
      <c r="E51">
        <v>0.60740000000000005</v>
      </c>
      <c r="F51">
        <v>0.86750000000000005</v>
      </c>
      <c r="G51" s="5">
        <f t="shared" si="45"/>
        <v>0.48213212885652895</v>
      </c>
      <c r="H51" s="36"/>
      <c r="I51" s="36"/>
      <c r="J51" s="25">
        <v>4.2133657686475736</v>
      </c>
      <c r="K51">
        <v>274.14609999999999</v>
      </c>
      <c r="L51">
        <v>287.29450000000003</v>
      </c>
      <c r="M51" s="5">
        <f>C51*Q51</f>
        <v>252.5835649599077</v>
      </c>
      <c r="O51">
        <v>1.8540000000000001</v>
      </c>
      <c r="P51">
        <v>1.9430000000000001</v>
      </c>
      <c r="Q51" s="5">
        <v>1.7082120215499501</v>
      </c>
      <c r="T51" s="9">
        <f t="shared" si="46"/>
        <v>0.25982062518954807</v>
      </c>
      <c r="U51" s="4">
        <f t="shared" si="47"/>
        <v>0.79929929593666926</v>
      </c>
      <c r="V51" s="38">
        <f>(K51-M51)/M51</f>
        <v>8.5367925832842223E-2</v>
      </c>
      <c r="W51" s="38">
        <f t="shared" si="43"/>
        <v>0.13742356928726518</v>
      </c>
      <c r="X51" s="4">
        <f t="shared" si="44"/>
        <v>8.5345364984475952E-2</v>
      </c>
      <c r="Y51" s="4">
        <f t="shared" si="48"/>
        <v>0.13744662576312661</v>
      </c>
      <c r="AA51">
        <v>8.9163705256233552</v>
      </c>
      <c r="AC51">
        <v>0.33509464936476585</v>
      </c>
      <c r="AD51" s="4">
        <f t="shared" si="36"/>
        <v>-3.795779423391335E-3</v>
      </c>
      <c r="AF51" s="4">
        <f t="shared" si="37"/>
        <v>-7.527402417521778E-2</v>
      </c>
      <c r="AG51" s="4">
        <f t="shared" si="38"/>
        <v>0.70017291066282428</v>
      </c>
      <c r="AH51" s="4">
        <f t="shared" si="39"/>
        <v>0.55577190646285757</v>
      </c>
      <c r="AK51">
        <f t="shared" si="40"/>
        <v>6.7506757273887621E-2</v>
      </c>
    </row>
    <row r="52" spans="1:37" x14ac:dyDescent="0.25">
      <c r="A52" s="23"/>
      <c r="B52" s="2">
        <f>B12</f>
        <v>1415</v>
      </c>
      <c r="C52" s="10">
        <f t="shared" si="49"/>
        <v>148.17845349431857</v>
      </c>
      <c r="D52" s="25">
        <f t="shared" si="41"/>
        <v>3.6616022441401399</v>
      </c>
      <c r="E52">
        <v>0.62160000000000004</v>
      </c>
      <c r="F52">
        <v>0.86899999999999999</v>
      </c>
      <c r="G52" s="5">
        <f t="shared" si="45"/>
        <v>0.55282985811386409</v>
      </c>
      <c r="H52" s="36"/>
      <c r="I52" s="36"/>
      <c r="J52" s="25">
        <v>3.6648343363992262</v>
      </c>
      <c r="K52">
        <v>248.19139999999999</v>
      </c>
      <c r="L52">
        <v>259.06330000000003</v>
      </c>
      <c r="M52" s="5">
        <f>C52*Q52</f>
        <v>233.85095355199863</v>
      </c>
      <c r="O52">
        <v>1.6749000000000001</v>
      </c>
      <c r="P52">
        <v>1.7483</v>
      </c>
      <c r="Q52" s="5">
        <v>1.5781711040800199</v>
      </c>
      <c r="T52" s="9">
        <f>(E52-G52)/G52</f>
        <v>0.12439657677095228</v>
      </c>
      <c r="U52" s="4">
        <f t="shared" si="47"/>
        <v>0.57191220272515675</v>
      </c>
      <c r="V52" s="38">
        <f t="shared" si="42"/>
        <v>6.1323018915176865E-2</v>
      </c>
      <c r="W52" s="38">
        <f t="shared" si="43"/>
        <v>0.10781374232196676</v>
      </c>
      <c r="X52" s="4">
        <f t="shared" si="44"/>
        <v>6.1291767204397864E-2</v>
      </c>
      <c r="Y52" s="4">
        <f t="shared" si="48"/>
        <v>0.1078012995423301</v>
      </c>
      <c r="AA52">
        <v>9.6396452110045843</v>
      </c>
      <c r="AC52">
        <v>0.25154943778625932</v>
      </c>
      <c r="AD52" s="4">
        <f t="shared" si="36"/>
        <v>-3.5073433194868976E-2</v>
      </c>
      <c r="AF52" s="4">
        <f t="shared" si="37"/>
        <v>-0.12715286101530704</v>
      </c>
      <c r="AG52" s="4">
        <f t="shared" si="38"/>
        <v>0.71530494821634072</v>
      </c>
      <c r="AH52" s="4">
        <f>G52/F52</f>
        <v>0.63616784593079878</v>
      </c>
      <c r="AK52">
        <f t="shared" si="40"/>
        <v>1.5474508312331424E-2</v>
      </c>
    </row>
    <row r="53" spans="1:37" x14ac:dyDescent="0.25">
      <c r="A53" s="23"/>
      <c r="B53" s="2">
        <f>B13</f>
        <v>1412</v>
      </c>
      <c r="C53" s="10">
        <f t="shared" si="49"/>
        <v>147.86429422895961</v>
      </c>
      <c r="D53" s="25">
        <f t="shared" si="41"/>
        <v>2.9220510847489072</v>
      </c>
      <c r="E53">
        <v>0.64170000000000005</v>
      </c>
      <c r="F53">
        <v>0.86970000000000003</v>
      </c>
      <c r="G53" s="5">
        <f t="shared" si="45"/>
        <v>0.55064360312853888</v>
      </c>
      <c r="H53" s="36"/>
      <c r="I53" s="36"/>
      <c r="J53" s="25">
        <v>2.9593285147529595</v>
      </c>
      <c r="K53">
        <v>211.5847</v>
      </c>
      <c r="L53">
        <v>220.36109999999999</v>
      </c>
      <c r="M53" s="5">
        <f>C53*Q53</f>
        <v>203.92491114934344</v>
      </c>
      <c r="O53">
        <v>1.4309000000000001</v>
      </c>
      <c r="P53">
        <v>1.4903</v>
      </c>
      <c r="Q53" s="5">
        <v>1.37913559330001</v>
      </c>
      <c r="T53" s="9">
        <f t="shared" si="46"/>
        <v>0.165363578826876</v>
      </c>
      <c r="U53" s="4">
        <f t="shared" si="47"/>
        <v>0.57942450445026339</v>
      </c>
      <c r="V53" s="38">
        <f t="shared" si="42"/>
        <v>3.7561810410925933E-2</v>
      </c>
      <c r="W53" s="38">
        <f t="shared" si="43"/>
        <v>8.0599220360182397E-2</v>
      </c>
      <c r="X53" s="4">
        <f t="shared" si="44"/>
        <v>3.753395021596654E-2</v>
      </c>
      <c r="Y53" s="4">
        <f t="shared" si="48"/>
        <v>8.0604407021353575E-2</v>
      </c>
      <c r="AA53">
        <v>11.011637139593399</v>
      </c>
      <c r="AC53">
        <v>0.20142211653752642</v>
      </c>
      <c r="AD53" s="4">
        <f t="shared" si="36"/>
        <v>-7.2554560985008051E-2</v>
      </c>
      <c r="AF53" s="4">
        <f t="shared" si="37"/>
        <v>-3.6058537710650429E-2</v>
      </c>
      <c r="AG53" s="4">
        <f t="shared" si="38"/>
        <v>0.73784063470162131</v>
      </c>
      <c r="AH53" s="4">
        <f t="shared" si="39"/>
        <v>0.63314200658679876</v>
      </c>
      <c r="AK53">
        <f t="shared" si="40"/>
        <v>2.7345113202432433E-2</v>
      </c>
    </row>
    <row r="54" spans="1:37" x14ac:dyDescent="0.25">
      <c r="A54" s="23"/>
      <c r="B54" s="2">
        <f>B14</f>
        <v>1423</v>
      </c>
      <c r="C54" s="10">
        <f t="shared" si="49"/>
        <v>149.01621153527586</v>
      </c>
      <c r="D54" s="25">
        <f t="shared" si="41"/>
        <v>2.6698755104625538</v>
      </c>
      <c r="E54">
        <v>0.65810000000000002</v>
      </c>
      <c r="F54">
        <v>0.87819999999999998</v>
      </c>
      <c r="G54" s="5">
        <f t="shared" si="45"/>
        <v>0.60090268980389583</v>
      </c>
      <c r="H54" s="36"/>
      <c r="I54" s="36"/>
      <c r="J54" s="25">
        <v>2.6546208338669319</v>
      </c>
      <c r="K54">
        <v>200.6003</v>
      </c>
      <c r="L54">
        <v>208.6319</v>
      </c>
      <c r="M54" s="5">
        <f>C54*Q54</f>
        <v>199.07794559162474</v>
      </c>
      <c r="O54">
        <v>1.3462000000000001</v>
      </c>
      <c r="P54">
        <v>1.4000999999999999</v>
      </c>
      <c r="Q54" s="5">
        <v>1.3359482403999918</v>
      </c>
      <c r="T54" s="9">
        <f t="shared" si="46"/>
        <v>9.5185645141263209E-2</v>
      </c>
      <c r="U54" s="4">
        <f t="shared" si="47"/>
        <v>0.4614679130269827</v>
      </c>
      <c r="V54" s="38">
        <f t="shared" si="32"/>
        <v>7.6470269162718851E-3</v>
      </c>
      <c r="W54" s="38">
        <f t="shared" si="33"/>
        <v>4.7991023716778797E-2</v>
      </c>
      <c r="X54" s="4">
        <f>(O54-Q54)/Q54</f>
        <v>7.6737700533508627E-3</v>
      </c>
      <c r="Y54" s="4">
        <f t="shared" si="35"/>
        <v>4.8019644519162366E-2</v>
      </c>
      <c r="AA54">
        <v>11.362193492177061</v>
      </c>
      <c r="AC54">
        <v>0.16801190671923019</v>
      </c>
      <c r="AD54" s="4">
        <f t="shared" si="36"/>
        <v>-0.10597490800549873</v>
      </c>
      <c r="AF54" s="4">
        <f t="shared" si="37"/>
        <v>-7.2826261577966983E-2</v>
      </c>
      <c r="AG54" s="4">
        <f t="shared" si="38"/>
        <v>0.74937371897062177</v>
      </c>
      <c r="AH54" s="4">
        <f t="shared" si="39"/>
        <v>0.68424355477555887</v>
      </c>
      <c r="AK54">
        <f t="shared" si="40"/>
        <v>9.060307040958485E-3</v>
      </c>
    </row>
    <row r="55" spans="1:37" x14ac:dyDescent="0.25">
      <c r="A55" s="24"/>
      <c r="B55" s="16"/>
      <c r="C55" s="16"/>
      <c r="D55" s="20"/>
      <c r="E55" s="16"/>
      <c r="F55" s="16"/>
      <c r="G55" s="16"/>
      <c r="H55" s="36"/>
      <c r="I55" s="36"/>
      <c r="J55" s="20"/>
      <c r="K55" s="16"/>
      <c r="L55" s="16"/>
      <c r="M55" s="16"/>
      <c r="N55" s="16"/>
      <c r="O55" s="16"/>
      <c r="P55" s="16"/>
      <c r="Q55" s="16"/>
      <c r="R55" s="16"/>
      <c r="S55" s="16"/>
      <c r="T55" s="17"/>
      <c r="U55" s="18"/>
      <c r="V55" s="18"/>
      <c r="W55" s="18"/>
      <c r="X55" s="18"/>
      <c r="Y55" s="18"/>
      <c r="AD55" s="4"/>
      <c r="AF55" s="4"/>
      <c r="AG55" s="4"/>
      <c r="AH55" s="4"/>
    </row>
    <row r="56" spans="1:37" x14ac:dyDescent="0.25">
      <c r="A56" s="24"/>
      <c r="B56" s="16"/>
      <c r="C56" s="16"/>
      <c r="D56" s="20"/>
      <c r="E56" s="16"/>
      <c r="F56" s="16"/>
      <c r="G56" s="16"/>
      <c r="H56" s="36"/>
      <c r="I56" s="36"/>
      <c r="J56" s="20"/>
      <c r="K56" s="16"/>
      <c r="L56" s="16"/>
      <c r="M56" s="16"/>
      <c r="N56" s="16"/>
      <c r="O56" s="16"/>
      <c r="P56" s="16"/>
      <c r="Q56" s="16"/>
      <c r="R56" s="16"/>
      <c r="S56" s="16"/>
      <c r="T56" s="17"/>
      <c r="U56" s="18"/>
      <c r="V56" s="18"/>
      <c r="W56" s="18"/>
      <c r="X56" s="18"/>
      <c r="Y56" s="18"/>
      <c r="AD56" s="4"/>
      <c r="AF56" s="4"/>
      <c r="AG56" s="4"/>
      <c r="AH56" s="4"/>
    </row>
    <row r="57" spans="1:37" x14ac:dyDescent="0.25">
      <c r="B57" s="2">
        <f t="shared" ref="B57:B62" si="50">B16</f>
        <v>1638</v>
      </c>
      <c r="C57" s="10">
        <f t="shared" ref="C57:C62" si="51">B57*2*PI()/60</f>
        <v>171.53095888600271</v>
      </c>
      <c r="D57" s="25">
        <f t="shared" ref="D57:D62" si="52">F16</f>
        <v>5.2676677023988496</v>
      </c>
      <c r="E57">
        <v>0.72150000000000003</v>
      </c>
      <c r="F57">
        <v>1.004</v>
      </c>
      <c r="G57" s="5">
        <f t="shared" ref="G57:G62" si="53">S16*O16*1000</f>
        <v>0.55078811420555995</v>
      </c>
      <c r="H57" s="36"/>
      <c r="I57" s="36"/>
      <c r="J57" s="25">
        <v>5.2676677023988514</v>
      </c>
      <c r="K57">
        <v>369.75490000000002</v>
      </c>
      <c r="L57">
        <v>387.78339999999997</v>
      </c>
      <c r="M57" s="5">
        <f t="shared" ref="M57:M62" si="54">C57*Q57</f>
        <v>350.36119156039933</v>
      </c>
      <c r="O57">
        <v>2.1556000000000002</v>
      </c>
      <c r="P57">
        <v>2.2606999999999999</v>
      </c>
      <c r="Q57" s="5">
        <v>2.0425536814799998</v>
      </c>
      <c r="T57" s="9">
        <f>(E57-G57)/G57</f>
        <v>0.30994112144317004</v>
      </c>
      <c r="U57" s="4">
        <f>(F57-G57)/G57</f>
        <v>0.82284253074004532</v>
      </c>
      <c r="V57" s="38">
        <f t="shared" si="32"/>
        <v>5.5353472093262288E-2</v>
      </c>
      <c r="W57" s="38">
        <f t="shared" si="33"/>
        <v>0.10681036981560031</v>
      </c>
      <c r="X57" s="4">
        <f t="shared" si="34"/>
        <v>5.5345580165163104E-2</v>
      </c>
      <c r="Y57" s="4">
        <f t="shared" si="35"/>
        <v>0.10680077615484504</v>
      </c>
      <c r="AA57">
        <v>7.4603452662052065</v>
      </c>
      <c r="AC57">
        <v>0.40196118245216816</v>
      </c>
      <c r="AD57" s="4">
        <f t="shared" si="36"/>
        <v>-1.9249980568789779E-2</v>
      </c>
      <c r="AF57" s="4">
        <f t="shared" si="37"/>
        <v>-9.2020061008998122E-2</v>
      </c>
      <c r="AG57" s="4">
        <f t="shared" si="38"/>
        <v>0.71862549800796816</v>
      </c>
      <c r="AH57" s="4">
        <f>G57/F57</f>
        <v>0.54859373924856569</v>
      </c>
      <c r="AK57">
        <f t="shared" si="40"/>
        <v>9.6063498761449886E-2</v>
      </c>
    </row>
    <row r="58" spans="1:37" x14ac:dyDescent="0.25">
      <c r="A58" s="22">
        <f>AVERAGE(B57:B62)</f>
        <v>1638.8333333333333</v>
      </c>
      <c r="B58" s="2">
        <f t="shared" si="50"/>
        <v>1638</v>
      </c>
      <c r="C58" s="10">
        <f t="shared" si="51"/>
        <v>171.53095888600271</v>
      </c>
      <c r="D58" s="25">
        <f t="shared" si="52"/>
        <v>4.5488778229227904</v>
      </c>
      <c r="E58">
        <v>0.73440000000000005</v>
      </c>
      <c r="F58">
        <v>1.0038</v>
      </c>
      <c r="G58" s="5">
        <f t="shared" si="53"/>
        <v>0.60263466997840687</v>
      </c>
      <c r="H58" s="36"/>
      <c r="I58" s="36"/>
      <c r="J58" s="25">
        <v>4.5360871409008512</v>
      </c>
      <c r="K58">
        <v>339.37029999999999</v>
      </c>
      <c r="L58">
        <v>354.00470000000001</v>
      </c>
      <c r="M58" s="5">
        <f t="shared" si="54"/>
        <v>318.37107478027991</v>
      </c>
      <c r="O58">
        <v>1.9784999999999999</v>
      </c>
      <c r="P58">
        <v>2.0638000000000001</v>
      </c>
      <c r="Q58" s="5">
        <v>1.85605605453337</v>
      </c>
      <c r="T58" s="9">
        <f t="shared" ref="T58:T62" si="55">(E58-G58)/G58</f>
        <v>0.21864877111420505</v>
      </c>
      <c r="U58" s="4">
        <f t="shared" ref="U58:U62" si="56">(F58-G58)/G58</f>
        <v>0.66568577947227525</v>
      </c>
      <c r="V58" s="38">
        <f t="shared" si="32"/>
        <v>6.5958332534488087E-2</v>
      </c>
      <c r="W58" s="38">
        <f t="shared" si="33"/>
        <v>0.11192481994261644</v>
      </c>
      <c r="X58" s="4">
        <f t="shared" si="34"/>
        <v>6.5969960965114025E-2</v>
      </c>
      <c r="Y58" s="4">
        <f t="shared" si="35"/>
        <v>0.11192762468526787</v>
      </c>
      <c r="AA58">
        <v>8.1982494992110322</v>
      </c>
      <c r="AC58">
        <v>0.28737258844766644</v>
      </c>
      <c r="AD58" s="4">
        <f t="shared" si="36"/>
        <v>-1.602416245762224E-2</v>
      </c>
      <c r="AF58" s="4">
        <f t="shared" si="37"/>
        <v>-6.872381733346139E-2</v>
      </c>
      <c r="AG58" s="4">
        <f t="shared" si="38"/>
        <v>0.73161984459055596</v>
      </c>
      <c r="AH58" s="4">
        <f t="shared" si="39"/>
        <v>0.60035332733453561</v>
      </c>
      <c r="AK58">
        <f t="shared" si="40"/>
        <v>4.7807285109752032E-2</v>
      </c>
    </row>
    <row r="59" spans="1:37" x14ac:dyDescent="0.25">
      <c r="A59" s="22"/>
      <c r="B59" s="2">
        <f t="shared" si="50"/>
        <v>1639</v>
      </c>
      <c r="C59" s="10">
        <f t="shared" si="51"/>
        <v>171.63567864112238</v>
      </c>
      <c r="D59" s="25">
        <f t="shared" si="52"/>
        <v>3.6851917499746301</v>
      </c>
      <c r="E59">
        <v>0.75649999999999995</v>
      </c>
      <c r="F59">
        <v>1.0079</v>
      </c>
      <c r="G59" s="5">
        <f t="shared" si="53"/>
        <v>0.69666610752823155</v>
      </c>
      <c r="H59" s="36"/>
      <c r="I59" s="36"/>
      <c r="J59" s="25">
        <v>3.6590501925338441</v>
      </c>
      <c r="K59">
        <v>295.21390000000002</v>
      </c>
      <c r="L59">
        <v>305.76870000000002</v>
      </c>
      <c r="M59" s="5">
        <f t="shared" si="54"/>
        <v>289.30173145285579</v>
      </c>
      <c r="O59">
        <v>1.72</v>
      </c>
      <c r="P59">
        <v>1.7815000000000001</v>
      </c>
      <c r="Q59" s="5">
        <v>1.6855570691555599</v>
      </c>
      <c r="T59" s="9">
        <f>(E59-G59)/G59</f>
        <v>8.5886038986536614E-2</v>
      </c>
      <c r="U59" s="4">
        <f t="shared" si="56"/>
        <v>0.44674757262991455</v>
      </c>
      <c r="V59" s="38">
        <f t="shared" si="32"/>
        <v>2.043599434214818E-2</v>
      </c>
      <c r="W59" s="38">
        <f t="shared" si="33"/>
        <v>5.6919702707785791E-2</v>
      </c>
      <c r="X59" s="4">
        <f t="shared" si="34"/>
        <v>2.0434152883174388E-2</v>
      </c>
      <c r="Y59" s="4">
        <f t="shared" si="35"/>
        <v>5.6920606605450751E-2</v>
      </c>
      <c r="AA59">
        <v>9.015660942993641</v>
      </c>
      <c r="AC59">
        <v>0.20144255402048961</v>
      </c>
      <c r="AD59" s="4">
        <f t="shared" si="36"/>
        <v>-6.9720615087788221E-2</v>
      </c>
      <c r="AF59" s="4">
        <f t="shared" si="37"/>
        <v>-0.11555651503395299</v>
      </c>
      <c r="AG59" s="4">
        <f t="shared" si="38"/>
        <v>0.75057049310447455</v>
      </c>
      <c r="AH59" s="4">
        <f t="shared" si="39"/>
        <v>0.69120558341921967</v>
      </c>
      <c r="AK59">
        <f t="shared" si="40"/>
        <v>7.376411692796887E-3</v>
      </c>
    </row>
    <row r="60" spans="1:37" x14ac:dyDescent="0.25">
      <c r="A60" s="23"/>
      <c r="B60" s="2">
        <f t="shared" si="50"/>
        <v>1639</v>
      </c>
      <c r="C60" s="10">
        <f t="shared" si="51"/>
        <v>171.63567864112238</v>
      </c>
      <c r="D60" s="25">
        <f t="shared" si="52"/>
        <v>3.2641584944265172</v>
      </c>
      <c r="E60">
        <v>0.76780000000000004</v>
      </c>
      <c r="F60">
        <v>1.0081</v>
      </c>
      <c r="G60" s="5">
        <f t="shared" si="53"/>
        <v>0.73556884310464887</v>
      </c>
      <c r="H60" s="36"/>
      <c r="I60" s="36"/>
      <c r="J60" s="25">
        <v>3.2748617732348366</v>
      </c>
      <c r="K60">
        <v>271.54809999999998</v>
      </c>
      <c r="L60">
        <v>280.15960000000001</v>
      </c>
      <c r="M60" s="5">
        <f t="shared" si="54"/>
        <v>271.84554968579704</v>
      </c>
      <c r="O60">
        <v>1.5821000000000001</v>
      </c>
      <c r="P60">
        <v>1.6323000000000001</v>
      </c>
      <c r="Q60" s="5">
        <v>1.58385221440005</v>
      </c>
      <c r="T60" s="9">
        <f t="shared" si="55"/>
        <v>4.3818001805666015E-2</v>
      </c>
      <c r="U60" s="4">
        <f t="shared" si="56"/>
        <v>0.37050394324080732</v>
      </c>
      <c r="V60" s="38">
        <f t="shared" si="32"/>
        <v>-1.0941863353689575E-3</v>
      </c>
      <c r="W60" s="38">
        <f>(L60-M60)/M60</f>
        <v>3.0583727869786616E-2</v>
      </c>
      <c r="X60" s="4">
        <f t="shared" si="34"/>
        <v>-1.1062991762231023E-3</v>
      </c>
      <c r="Y60" s="4">
        <f t="shared" si="35"/>
        <v>3.0588577115638109E-2</v>
      </c>
      <c r="AA60">
        <v>9.5871064540770803</v>
      </c>
      <c r="AC60">
        <v>0.16802479852872595</v>
      </c>
      <c r="AD60" s="4">
        <f t="shared" si="36"/>
        <v>-9.6965250876139761E-2</v>
      </c>
      <c r="AF60" s="4">
        <f t="shared" si="37"/>
        <v>-0.12420679672305994</v>
      </c>
      <c r="AG60" s="4">
        <f t="shared" si="38"/>
        <v>0.761630790596171</v>
      </c>
      <c r="AH60" s="4">
        <f t="shared" si="39"/>
        <v>0.72965860837679686</v>
      </c>
      <c r="AK60">
        <f t="shared" si="40"/>
        <v>1.9200172822413501E-3</v>
      </c>
    </row>
    <row r="61" spans="1:37" x14ac:dyDescent="0.25">
      <c r="A61" s="23"/>
      <c r="B61" s="2">
        <f t="shared" si="50"/>
        <v>1639</v>
      </c>
      <c r="C61" s="10">
        <f t="shared" si="51"/>
        <v>171.63567864112238</v>
      </c>
      <c r="D61" s="25">
        <f t="shared" si="52"/>
        <v>3.0682354873155302</v>
      </c>
      <c r="E61">
        <v>0.77439999999999998</v>
      </c>
      <c r="F61">
        <v>1.0089999999999999</v>
      </c>
      <c r="G61" s="5">
        <f t="shared" si="53"/>
        <v>0.80311495788323939</v>
      </c>
      <c r="H61" s="36"/>
      <c r="I61" s="36"/>
      <c r="J61" s="25">
        <v>3.0456727654803633</v>
      </c>
      <c r="K61">
        <v>260.2448</v>
      </c>
      <c r="L61">
        <v>267.96559999999999</v>
      </c>
      <c r="M61" s="5">
        <f t="shared" si="54"/>
        <v>257.37260775625094</v>
      </c>
      <c r="O61">
        <v>1.5163</v>
      </c>
      <c r="P61">
        <v>1.5611999999999999</v>
      </c>
      <c r="Q61" s="5">
        <v>1.49952859332003</v>
      </c>
      <c r="T61" s="9">
        <f t="shared" si="55"/>
        <v>-3.5754480228986252E-2</v>
      </c>
      <c r="U61" s="4">
        <f t="shared" si="56"/>
        <v>0.25635812170577582</v>
      </c>
      <c r="V61" s="38">
        <f t="shared" si="32"/>
        <v>1.115966562560229E-2</v>
      </c>
      <c r="W61" s="38">
        <f>(L61-M61)/M61</f>
        <v>4.1158196033749338E-2</v>
      </c>
      <c r="X61" s="4">
        <f t="shared" si="34"/>
        <v>1.1184452737134738E-2</v>
      </c>
      <c r="Y61" s="4">
        <f t="shared" si="35"/>
        <v>4.112719620999452E-2</v>
      </c>
      <c r="AA61">
        <v>10.119669587953572</v>
      </c>
      <c r="AC61">
        <v>0.14416136261715479</v>
      </c>
      <c r="AD61" s="4">
        <f t="shared" si="36"/>
        <v>-9.0037030253933434E-2</v>
      </c>
      <c r="AF61" s="4">
        <f t="shared" si="37"/>
        <v>-0.10840688238816854</v>
      </c>
      <c r="AG61" s="4">
        <f t="shared" si="38"/>
        <v>0.76749256689791878</v>
      </c>
      <c r="AH61" s="4">
        <f t="shared" si="39"/>
        <v>0.79595139532531167</v>
      </c>
      <c r="AK61">
        <f t="shared" si="40"/>
        <v>1.2783828564449688E-3</v>
      </c>
    </row>
    <row r="62" spans="1:37" x14ac:dyDescent="0.25">
      <c r="A62" s="23"/>
      <c r="B62" s="2">
        <f t="shared" si="50"/>
        <v>1640</v>
      </c>
      <c r="C62" s="10">
        <f t="shared" si="51"/>
        <v>171.74039839624203</v>
      </c>
      <c r="D62" s="25">
        <f t="shared" si="52"/>
        <v>2.8293806275398499</v>
      </c>
      <c r="E62">
        <v>0.78300000000000003</v>
      </c>
      <c r="F62">
        <v>1.01</v>
      </c>
      <c r="G62" s="5">
        <f t="shared" si="53"/>
        <v>0.84332212411016105</v>
      </c>
      <c r="H62" s="36"/>
      <c r="I62" s="36"/>
      <c r="J62" s="25">
        <v>2.8706691758127212</v>
      </c>
      <c r="K62">
        <v>245.3673</v>
      </c>
      <c r="L62">
        <v>252.03149999999999</v>
      </c>
      <c r="M62" s="5">
        <f t="shared" si="54"/>
        <v>242.54161373792925</v>
      </c>
      <c r="O62">
        <v>1.4287000000000001</v>
      </c>
      <c r="P62">
        <v>1.4675</v>
      </c>
      <c r="Q62" s="5">
        <v>1.4122571975076801</v>
      </c>
      <c r="T62" s="9">
        <f t="shared" si="55"/>
        <v>-7.1529161142084893E-2</v>
      </c>
      <c r="U62" s="4">
        <f t="shared" si="56"/>
        <v>0.19764437707087387</v>
      </c>
      <c r="V62" s="38">
        <f t="shared" si="32"/>
        <v>1.165031525321652E-2</v>
      </c>
      <c r="W62" s="38">
        <f t="shared" si="33"/>
        <v>3.9126837311822045E-2</v>
      </c>
      <c r="X62" s="4">
        <f t="shared" si="34"/>
        <v>1.1642923485423113E-2</v>
      </c>
      <c r="Y62" s="4">
        <f t="shared" si="35"/>
        <v>3.9116672649862363E-2</v>
      </c>
      <c r="AA62">
        <v>10.737749616475439</v>
      </c>
      <c r="AC62">
        <v>0.12626065053416172</v>
      </c>
      <c r="AD62" s="4">
        <f t="shared" si="36"/>
        <v>-9.5727180911537868E-2</v>
      </c>
      <c r="AF62" s="4">
        <f t="shared" si="37"/>
        <v>-5.4731489392076824E-2</v>
      </c>
      <c r="AG62" s="4">
        <f t="shared" si="38"/>
        <v>0.77524752475247527</v>
      </c>
      <c r="AH62" s="4">
        <f t="shared" si="39"/>
        <v>0.83497240010907037</v>
      </c>
      <c r="AK62">
        <f t="shared" si="40"/>
        <v>5.1164208936903474E-3</v>
      </c>
    </row>
    <row r="63" spans="1:37" x14ac:dyDescent="0.25">
      <c r="A63" s="24"/>
      <c r="B63" s="16"/>
      <c r="C63" s="16"/>
      <c r="D63" s="20"/>
      <c r="E63" s="16"/>
      <c r="F63" s="16"/>
      <c r="G63" s="16"/>
      <c r="H63" s="36"/>
      <c r="I63" s="36"/>
      <c r="J63" s="20"/>
      <c r="K63" s="16"/>
      <c r="L63" s="16"/>
      <c r="M63" s="16"/>
      <c r="N63" s="16"/>
      <c r="O63" s="16"/>
      <c r="P63" s="16"/>
      <c r="Q63" s="16"/>
      <c r="R63" s="16"/>
      <c r="S63" s="16"/>
      <c r="T63" s="17"/>
      <c r="U63" s="18"/>
      <c r="V63" s="18"/>
      <c r="W63" s="18"/>
      <c r="X63" s="18"/>
      <c r="Y63" s="18"/>
      <c r="AD63" s="4"/>
      <c r="AF63" s="4"/>
      <c r="AG63" s="4"/>
      <c r="AH63" s="4"/>
    </row>
    <row r="64" spans="1:37" x14ac:dyDescent="0.25">
      <c r="A64" s="24"/>
      <c r="B64" s="16"/>
      <c r="C64" s="16"/>
      <c r="D64" s="20"/>
      <c r="E64" s="16"/>
      <c r="F64" s="16"/>
      <c r="G64" s="16"/>
      <c r="H64" s="36"/>
      <c r="I64" s="36"/>
      <c r="J64" s="20"/>
      <c r="K64" s="16"/>
      <c r="L64" s="16"/>
      <c r="M64" s="16"/>
      <c r="N64" s="16"/>
      <c r="O64" s="16"/>
      <c r="P64" s="16"/>
      <c r="Q64" s="16"/>
      <c r="R64" s="26" t="s">
        <v>40</v>
      </c>
      <c r="S64" s="16"/>
      <c r="T64" s="16"/>
      <c r="U64" s="16"/>
      <c r="V64" s="16"/>
      <c r="W64" s="16"/>
      <c r="X64" s="16"/>
      <c r="Y64" s="16"/>
      <c r="AD64" s="4"/>
      <c r="AF64" s="4"/>
      <c r="AG64" s="4"/>
      <c r="AH64" s="4"/>
    </row>
    <row r="65" spans="1:37" x14ac:dyDescent="0.25">
      <c r="A65" s="22">
        <f>AVERAGE(B65:B70)</f>
        <v>1838.5</v>
      </c>
      <c r="B65" s="2">
        <f t="shared" ref="B65:B70" si="57">B23</f>
        <v>1837</v>
      </c>
      <c r="C65" s="10">
        <f t="shared" ref="C65:C70" si="58">B65*2*PI()/60</f>
        <v>192.37019015481502</v>
      </c>
      <c r="D65" s="25">
        <f t="shared" ref="D65:D70" si="59">F23</f>
        <v>5.0653949430406602</v>
      </c>
      <c r="E65">
        <v>0.84360000000000002</v>
      </c>
      <c r="F65">
        <v>1.1208</v>
      </c>
      <c r="G65" s="5">
        <f t="shared" ref="G65:G70" si="60">S23*O23*1000</f>
        <v>0.80530956514993424</v>
      </c>
      <c r="H65" s="36"/>
      <c r="I65" s="36"/>
      <c r="J65" s="25">
        <v>5.0955470072880154</v>
      </c>
      <c r="K65">
        <v>408.30419999999998</v>
      </c>
      <c r="L65">
        <v>434.6696</v>
      </c>
      <c r="M65" s="5">
        <f t="shared" ref="M65:M70" si="61">C65*Q65</f>
        <v>414.98108314334672</v>
      </c>
      <c r="O65">
        <v>2.1225000000000001</v>
      </c>
      <c r="P65">
        <v>2.2595000000000001</v>
      </c>
      <c r="Q65" s="5">
        <f>R65*-1</f>
        <v>2.15720056631113</v>
      </c>
      <c r="R65">
        <v>-2.15720056631113</v>
      </c>
      <c r="T65" s="9">
        <f>(E65-G65)/G65</f>
        <v>4.7547473055205527E-2</v>
      </c>
      <c r="U65" s="4">
        <f t="shared" ref="U65:U70" si="62">(F65-G65)/F65</f>
        <v>0.28148682624024429</v>
      </c>
      <c r="V65" s="38">
        <f t="shared" ref="V65:V70" si="63">(K65-M65)/M65</f>
        <v>-1.6089608453405936E-2</v>
      </c>
      <c r="W65" s="38">
        <f t="shared" ref="W65:W70" si="64">(L65-M65)/M65</f>
        <v>4.7444371939846436E-2</v>
      </c>
      <c r="X65" s="4">
        <f t="shared" ref="X65" si="65">(O65-Q65)/Q65</f>
        <v>-1.6085924903343055E-2</v>
      </c>
      <c r="Y65" s="4">
        <f>(P65-Q65)/Q65</f>
        <v>4.742230986143528E-2</v>
      </c>
      <c r="AA65">
        <v>7.0574225732520661</v>
      </c>
      <c r="AC65">
        <v>0.23683707266595058</v>
      </c>
      <c r="AD65" s="4">
        <f t="shared" si="36"/>
        <v>-8.6663834185926603E-2</v>
      </c>
      <c r="AF65" s="4">
        <f t="shared" si="37"/>
        <v>-0.18928959961074504</v>
      </c>
      <c r="AG65" s="4">
        <f t="shared" si="38"/>
        <v>0.75267665952890794</v>
      </c>
      <c r="AH65" s="4">
        <f t="shared" si="39"/>
        <v>0.71851317375975576</v>
      </c>
      <c r="AK65">
        <f t="shared" si="40"/>
        <v>2.2607621939354956E-3</v>
      </c>
    </row>
    <row r="66" spans="1:37" x14ac:dyDescent="0.25">
      <c r="A66" s="21">
        <v>1.1637999999999999</v>
      </c>
      <c r="B66" s="2">
        <f t="shared" si="57"/>
        <v>1837</v>
      </c>
      <c r="C66" s="10">
        <f t="shared" si="58"/>
        <v>192.37019015481502</v>
      </c>
      <c r="D66" s="25">
        <f t="shared" si="59"/>
        <v>4.5816778072219542</v>
      </c>
      <c r="E66">
        <v>0.85299999999999998</v>
      </c>
      <c r="F66">
        <v>1.1220000000000001</v>
      </c>
      <c r="G66" s="5">
        <f t="shared" si="60"/>
        <v>0.85827402956532706</v>
      </c>
      <c r="H66" s="36"/>
      <c r="I66" s="36"/>
      <c r="J66" s="25">
        <v>4.5563243588018114</v>
      </c>
      <c r="K66">
        <v>384.7869</v>
      </c>
      <c r="L66">
        <v>408.47840000000002</v>
      </c>
      <c r="M66" s="5">
        <f t="shared" si="61"/>
        <v>377.6009892173239</v>
      </c>
      <c r="O66">
        <v>2.0002</v>
      </c>
      <c r="P66">
        <v>2.1234000000000002</v>
      </c>
      <c r="Q66" s="5">
        <f t="shared" ref="Q66:Q70" si="66">R66*-1</f>
        <v>1.9628872275555764</v>
      </c>
      <c r="R66">
        <v>-1.9628872275555764</v>
      </c>
      <c r="T66" s="9">
        <f t="shared" ref="T66:T70" si="67">(E66-G66)/G66</f>
        <v>-6.1449250281965413E-3</v>
      </c>
      <c r="U66" s="4">
        <f t="shared" si="62"/>
        <v>0.23504988452288147</v>
      </c>
      <c r="V66" s="38">
        <f t="shared" si="63"/>
        <v>1.9030434209324421E-2</v>
      </c>
      <c r="W66" s="38">
        <f t="shared" si="64"/>
        <v>8.1772589755862601E-2</v>
      </c>
      <c r="X66" s="4">
        <f>(O66-Q66)/Q66</f>
        <v>1.900912692314469E-2</v>
      </c>
      <c r="Y66" s="4">
        <f t="shared" ref="Y66:Y70" si="68">(P66-Q66)/Q66</f>
        <v>8.1773812673035517E-2</v>
      </c>
      <c r="AA66">
        <v>7.7457704836413859</v>
      </c>
      <c r="AC66">
        <v>0.20145494800485458</v>
      </c>
      <c r="AD66" s="4">
        <f t="shared" si="36"/>
        <v>-5.8427270627089439E-2</v>
      </c>
      <c r="AF66" s="4">
        <f t="shared" si="37"/>
        <v>-0.19531002297665803</v>
      </c>
      <c r="AG66" s="4">
        <f t="shared" si="38"/>
        <v>0.76024955436720132</v>
      </c>
      <c r="AH66" s="4">
        <f t="shared" si="39"/>
        <v>0.76495011547711855</v>
      </c>
      <c r="AK66">
        <f t="shared" si="40"/>
        <v>3.7760103602156264E-5</v>
      </c>
    </row>
    <row r="67" spans="1:37" x14ac:dyDescent="0.25">
      <c r="A67" s="23"/>
      <c r="B67" s="2">
        <f t="shared" si="57"/>
        <v>1839</v>
      </c>
      <c r="C67" s="10">
        <f t="shared" si="58"/>
        <v>192.57962966505431</v>
      </c>
      <c r="D67" s="25">
        <f t="shared" si="59"/>
        <v>4.0282260804900449</v>
      </c>
      <c r="E67">
        <v>0.86799999999999999</v>
      </c>
      <c r="F67">
        <v>1.1254</v>
      </c>
      <c r="G67" s="5">
        <f t="shared" si="60"/>
        <v>0.90545505322499509</v>
      </c>
      <c r="H67" s="36"/>
      <c r="I67" s="36"/>
      <c r="J67" s="25">
        <v>3.9555644863642447</v>
      </c>
      <c r="K67">
        <v>356.0102</v>
      </c>
      <c r="L67">
        <v>379.15190000000001</v>
      </c>
      <c r="M67" s="5">
        <f t="shared" si="61"/>
        <v>348.33822229195874</v>
      </c>
      <c r="O67">
        <v>1.8486</v>
      </c>
      <c r="P67">
        <v>1.9688000000000001</v>
      </c>
      <c r="Q67" s="5">
        <f t="shared" si="66"/>
        <v>1.8088009770182278</v>
      </c>
      <c r="R67">
        <v>-1.8088009770182278</v>
      </c>
      <c r="T67" s="9">
        <f t="shared" si="67"/>
        <v>-4.1365999440380781E-2</v>
      </c>
      <c r="U67" s="4">
        <f t="shared" si="62"/>
        <v>0.19543713059801393</v>
      </c>
      <c r="V67" s="38">
        <f t="shared" si="63"/>
        <v>2.2024507266420527E-2</v>
      </c>
      <c r="W67" s="38">
        <f t="shared" si="64"/>
        <v>8.8459077230447797E-2</v>
      </c>
      <c r="X67" s="4">
        <f t="shared" ref="X67:X70" si="69">(O67-Q67)/Q67</f>
        <v>2.2002986225372386E-2</v>
      </c>
      <c r="Y67" s="4">
        <f t="shared" si="68"/>
        <v>8.8455847279299601E-2</v>
      </c>
      <c r="AA67">
        <v>8.3966394651480627</v>
      </c>
      <c r="AC67">
        <v>0.16803793053162808</v>
      </c>
      <c r="AD67" s="4">
        <f t="shared" si="36"/>
        <v>-6.194188738506011E-2</v>
      </c>
      <c r="AF67" s="4">
        <f t="shared" si="37"/>
        <v>-0.1266719310912473</v>
      </c>
      <c r="AG67" s="4">
        <f t="shared" si="38"/>
        <v>0.77128132219655232</v>
      </c>
      <c r="AH67" s="4">
        <f t="shared" si="39"/>
        <v>0.80456286940198607</v>
      </c>
      <c r="AK67">
        <f t="shared" si="40"/>
        <v>1.711145909701583E-3</v>
      </c>
    </row>
    <row r="68" spans="1:37" x14ac:dyDescent="0.25">
      <c r="A68" s="23"/>
      <c r="B68" s="2">
        <f t="shared" si="57"/>
        <v>1839</v>
      </c>
      <c r="C68" s="10">
        <f t="shared" si="58"/>
        <v>192.57962966505431</v>
      </c>
      <c r="D68" s="25">
        <f t="shared" si="59"/>
        <v>3.6533986868675399</v>
      </c>
      <c r="E68">
        <v>0.87719999999999998</v>
      </c>
      <c r="F68">
        <v>1.1255999999999999</v>
      </c>
      <c r="G68" s="5">
        <f t="shared" si="60"/>
        <v>1.0204336023056251</v>
      </c>
      <c r="H68" s="36"/>
      <c r="I68" s="36"/>
      <c r="J68" s="25">
        <v>3.5979343489934528</v>
      </c>
      <c r="K68">
        <v>331.26920000000001</v>
      </c>
      <c r="L68">
        <v>350.7996</v>
      </c>
      <c r="M68" s="5">
        <f t="shared" si="61"/>
        <v>344.11790533548407</v>
      </c>
      <c r="O68">
        <v>1.7202</v>
      </c>
      <c r="P68">
        <v>1.8216000000000001</v>
      </c>
      <c r="Q68" s="5">
        <f t="shared" si="66"/>
        <v>1.7868863178000391</v>
      </c>
      <c r="R68">
        <v>-1.7868863178000391</v>
      </c>
      <c r="T68" s="9">
        <f t="shared" si="67"/>
        <v>-0.14036543091289333</v>
      </c>
      <c r="U68" s="4">
        <f t="shared" si="62"/>
        <v>9.343141230843538E-2</v>
      </c>
      <c r="V68" s="38">
        <f t="shared" si="63"/>
        <v>-3.7338090044915624E-2</v>
      </c>
      <c r="W68" s="38">
        <f t="shared" si="64"/>
        <v>1.9416875904791638E-2</v>
      </c>
      <c r="X68" s="4">
        <f t="shared" si="69"/>
        <v>-3.7319843537747491E-2</v>
      </c>
      <c r="Y68" s="4">
        <f t="shared" si="68"/>
        <v>1.9426911412416769E-2</v>
      </c>
      <c r="AA68">
        <v>8.4983435211857312</v>
      </c>
      <c r="AC68">
        <v>0.12627367396453848</v>
      </c>
      <c r="AD68" s="4">
        <f t="shared" si="36"/>
        <v>-0.12232152525677292</v>
      </c>
      <c r="AF68" s="4">
        <f t="shared" si="37"/>
        <v>1.409175694835485E-2</v>
      </c>
      <c r="AG68" s="4">
        <f t="shared" si="38"/>
        <v>0.77931769722814503</v>
      </c>
      <c r="AH68" s="4">
        <f t="shared" si="39"/>
        <v>0.90656858769156456</v>
      </c>
      <c r="AK68">
        <f t="shared" si="40"/>
        <v>1.9702454195362231E-2</v>
      </c>
    </row>
    <row r="69" spans="1:37" x14ac:dyDescent="0.25">
      <c r="A69" s="23"/>
      <c r="B69" s="2">
        <f t="shared" si="57"/>
        <v>1839</v>
      </c>
      <c r="C69" s="10">
        <f t="shared" si="58"/>
        <v>192.57962966505431</v>
      </c>
      <c r="D69" s="25">
        <f t="shared" si="59"/>
        <v>3.0732756854133072</v>
      </c>
      <c r="E69">
        <v>0.89439999999999997</v>
      </c>
      <c r="F69">
        <v>1.127</v>
      </c>
      <c r="G69" s="5">
        <f t="shared" si="60"/>
        <v>1.0201251626579322</v>
      </c>
      <c r="H69" s="36"/>
      <c r="I69" s="36"/>
      <c r="J69" s="25">
        <v>3.1121112229606274</v>
      </c>
      <c r="K69">
        <v>293.71539999999999</v>
      </c>
      <c r="L69">
        <v>310.60730000000001</v>
      </c>
      <c r="M69" s="5">
        <f t="shared" si="61"/>
        <v>310.51013897327994</v>
      </c>
      <c r="O69">
        <v>1.5251999999999999</v>
      </c>
      <c r="P69">
        <v>1.6129</v>
      </c>
      <c r="Q69" s="5">
        <f t="shared" si="66"/>
        <v>1.612372707920029</v>
      </c>
      <c r="R69">
        <v>-1.612372707920029</v>
      </c>
      <c r="T69" s="9">
        <f t="shared" si="67"/>
        <v>-0.12324484020211381</v>
      </c>
      <c r="U69" s="4">
        <f t="shared" si="62"/>
        <v>9.4831266496954586E-2</v>
      </c>
      <c r="V69" s="38">
        <f t="shared" si="63"/>
        <v>-5.4087570308695043E-2</v>
      </c>
      <c r="W69" s="38">
        <f t="shared" si="64"/>
        <v>3.1290774285613269E-4</v>
      </c>
      <c r="X69" s="4">
        <f t="shared" si="69"/>
        <v>-5.4064861983729812E-2</v>
      </c>
      <c r="Y69" s="4">
        <f t="shared" si="68"/>
        <v>3.270286562039694E-4</v>
      </c>
      <c r="AA69">
        <v>9.4069131165651516</v>
      </c>
      <c r="AC69">
        <v>0.11234462939305302</v>
      </c>
      <c r="AD69" s="4">
        <f t="shared" si="36"/>
        <v>-0.14815670147434656</v>
      </c>
      <c r="AF69" s="4">
        <f t="shared" si="37"/>
        <v>1.0900210809060784E-2</v>
      </c>
      <c r="AG69" s="4">
        <f t="shared" si="38"/>
        <v>0.7936113575865128</v>
      </c>
      <c r="AH69" s="4">
        <f t="shared" si="39"/>
        <v>0.90516873350304539</v>
      </c>
      <c r="AK69">
        <f t="shared" si="40"/>
        <v>1.5189290636444568E-2</v>
      </c>
    </row>
    <row r="70" spans="1:37" x14ac:dyDescent="0.25">
      <c r="A70" s="23"/>
      <c r="B70" s="2">
        <f t="shared" si="57"/>
        <v>1840</v>
      </c>
      <c r="C70" s="10">
        <f t="shared" si="58"/>
        <v>192.68434942017399</v>
      </c>
      <c r="D70" s="25">
        <f t="shared" si="59"/>
        <v>2.6401044471753301</v>
      </c>
      <c r="E70">
        <v>0.91010000000000002</v>
      </c>
      <c r="F70">
        <v>1.1279999999999999</v>
      </c>
      <c r="G70" s="5">
        <f t="shared" si="60"/>
        <v>1.0094910734070963</v>
      </c>
      <c r="H70" s="36"/>
      <c r="I70" s="36"/>
      <c r="J70" s="25">
        <v>2.6186306105362576</v>
      </c>
      <c r="K70">
        <v>264.03829999999999</v>
      </c>
      <c r="L70">
        <v>279.0224</v>
      </c>
      <c r="M70" s="5">
        <f t="shared" si="61"/>
        <v>272.32024194294416</v>
      </c>
      <c r="O70">
        <v>1.3703000000000001</v>
      </c>
      <c r="P70">
        <v>1.4480999999999999</v>
      </c>
      <c r="Q70" s="5">
        <f t="shared" si="66"/>
        <v>1.4132971503000145</v>
      </c>
      <c r="R70">
        <v>-1.4132971503000145</v>
      </c>
      <c r="T70" s="9">
        <f t="shared" si="67"/>
        <v>-9.8456614451918958E-2</v>
      </c>
      <c r="U70" s="4">
        <f t="shared" si="62"/>
        <v>0.10506110513555282</v>
      </c>
      <c r="V70" s="38">
        <f t="shared" si="63"/>
        <v>-3.0412509491965653E-2</v>
      </c>
      <c r="W70" s="38">
        <f t="shared" si="64"/>
        <v>2.4611310599746233E-2</v>
      </c>
      <c r="X70" s="4">
        <f t="shared" si="69"/>
        <v>-3.0423290877567368E-2</v>
      </c>
      <c r="Y70" s="4">
        <f t="shared" si="68"/>
        <v>2.4625288243592326E-2</v>
      </c>
      <c r="AA70">
        <v>10.717275967021553</v>
      </c>
      <c r="AC70">
        <v>9.6432949464436882E-2</v>
      </c>
      <c r="AD70" s="4">
        <f t="shared" si="36"/>
        <v>-0.13758526916218117</v>
      </c>
      <c r="AF70" s="4">
        <f t="shared" si="37"/>
        <v>2.0236649874820767E-3</v>
      </c>
      <c r="AG70" s="4">
        <f t="shared" si="38"/>
        <v>0.80682624113475188</v>
      </c>
      <c r="AH70" s="4">
        <f t="shared" si="39"/>
        <v>0.89493889486444722</v>
      </c>
      <c r="AK70">
        <f t="shared" si="40"/>
        <v>9.6937049293338174E-3</v>
      </c>
    </row>
    <row r="71" spans="1:37" x14ac:dyDescent="0.25">
      <c r="A71" s="24"/>
      <c r="B71" s="16"/>
      <c r="C71" s="16"/>
      <c r="D71" s="20"/>
      <c r="E71" s="16"/>
      <c r="F71" s="16"/>
      <c r="G71" s="16"/>
      <c r="H71" s="36"/>
      <c r="I71" s="36"/>
      <c r="J71" s="20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AD71" s="4"/>
      <c r="AF71" s="4"/>
      <c r="AG71" s="4"/>
      <c r="AH71" s="4"/>
    </row>
    <row r="72" spans="1:37" x14ac:dyDescent="0.25">
      <c r="A72" s="24"/>
      <c r="B72" s="16"/>
      <c r="C72" s="16"/>
      <c r="D72" s="20"/>
      <c r="E72" s="16"/>
      <c r="F72" s="16"/>
      <c r="G72" s="16"/>
      <c r="H72" s="36"/>
      <c r="I72" s="36"/>
      <c r="J72" s="20"/>
      <c r="K72" s="16"/>
      <c r="L72" s="16"/>
      <c r="M72" s="16"/>
      <c r="N72" s="16"/>
      <c r="O72" s="16"/>
      <c r="P72" s="16"/>
      <c r="Q72" s="16"/>
      <c r="R72" s="26" t="s">
        <v>40</v>
      </c>
      <c r="S72" s="16"/>
      <c r="T72" s="16"/>
      <c r="U72" s="16"/>
      <c r="V72" s="16"/>
      <c r="W72" s="16"/>
      <c r="X72" s="16"/>
      <c r="Y72" s="16"/>
      <c r="AD72" s="4"/>
      <c r="AF72" s="4"/>
      <c r="AG72" s="4"/>
      <c r="AH72" s="4"/>
    </row>
    <row r="73" spans="1:37" x14ac:dyDescent="0.25">
      <c r="A73" s="22">
        <f>AVERAGE(B73:B78)</f>
        <v>2111.5</v>
      </c>
      <c r="B73" s="2">
        <v>2107</v>
      </c>
      <c r="C73" s="10">
        <f t="shared" ref="C73:C78" si="70">B73*2*PI()/60</f>
        <v>220.64452403712315</v>
      </c>
      <c r="D73" s="25">
        <f t="shared" ref="D73:D78" si="71">F30</f>
        <v>5.1395527310525901</v>
      </c>
      <c r="E73">
        <v>0.99939999999999996</v>
      </c>
      <c r="F73">
        <v>1.2824</v>
      </c>
      <c r="G73" s="5">
        <f t="shared" ref="G73:G78" si="72">S30*O30*1000</f>
        <v>0.86906064601320965</v>
      </c>
      <c r="H73" s="37">
        <v>2052</v>
      </c>
      <c r="I73" s="37">
        <f>H73/60*2*PI()</f>
        <v>214.88493750554187</v>
      </c>
      <c r="J73" s="25">
        <v>5.1081324714812002</v>
      </c>
      <c r="K73">
        <v>484.3202</v>
      </c>
      <c r="L73">
        <v>500.786</v>
      </c>
      <c r="M73" s="5">
        <f>C73*Q73</f>
        <v>496.993999338386</v>
      </c>
      <c r="O73">
        <v>2.1949999999999998</v>
      </c>
      <c r="P73">
        <v>2.2696999999999998</v>
      </c>
      <c r="Q73" s="5">
        <f t="shared" ref="Q73:Q78" si="73">R73*-1</f>
        <v>2.2524646895599703</v>
      </c>
      <c r="R73">
        <v>-2.2524646895599703</v>
      </c>
      <c r="T73" s="9">
        <f>(E73-G73)/G73</f>
        <v>0.14997728246551986</v>
      </c>
      <c r="U73" s="4">
        <f t="shared" ref="U73:U78" si="74">(F73-G73)/F73</f>
        <v>0.32231702587865746</v>
      </c>
      <c r="V73" s="38">
        <f>(K73-M73)/M73</f>
        <v>-2.5500910182532914E-2</v>
      </c>
      <c r="W73" s="38">
        <f>(L73-M73)/M73</f>
        <v>7.62987212453677E-3</v>
      </c>
      <c r="X73" s="4">
        <f>(O73-Q73)/Q73</f>
        <v>-2.5511915825502426E-2</v>
      </c>
      <c r="Y73" s="4">
        <f>(P73-Q73)/Q73</f>
        <v>7.6517561051740934E-3</v>
      </c>
      <c r="AA73">
        <v>6.7500154102744725</v>
      </c>
      <c r="AC73">
        <v>0.22374090257721529</v>
      </c>
      <c r="AD73" s="4">
        <f t="shared" si="36"/>
        <v>-9.3001064285277629E-2</v>
      </c>
      <c r="AF73" s="4">
        <f t="shared" si="37"/>
        <v>-7.3763620111695433E-2</v>
      </c>
      <c r="AG73" s="4">
        <f t="shared" si="38"/>
        <v>0.77932002495321273</v>
      </c>
      <c r="AH73" s="4">
        <f t="shared" si="39"/>
        <v>0.67768297412134249</v>
      </c>
      <c r="AK73">
        <f t="shared" si="40"/>
        <v>2.2493185255742332E-2</v>
      </c>
    </row>
    <row r="74" spans="1:37" x14ac:dyDescent="0.25">
      <c r="A74" s="21">
        <v>1.33</v>
      </c>
      <c r="B74" s="2">
        <f>B31</f>
        <v>2112</v>
      </c>
      <c r="C74" s="10">
        <f t="shared" si="70"/>
        <v>221.16812281272144</v>
      </c>
      <c r="D74" s="25">
        <f t="shared" si="71"/>
        <v>4.4350470643170903</v>
      </c>
      <c r="E74">
        <v>1.0165999999999999</v>
      </c>
      <c r="F74">
        <v>1.2858000000000001</v>
      </c>
      <c r="G74" s="5">
        <f t="shared" si="72"/>
        <v>0.94847363500753468</v>
      </c>
      <c r="H74" s="36"/>
      <c r="I74" s="36"/>
      <c r="J74" s="25">
        <v>4.430646488532715</v>
      </c>
      <c r="K74">
        <v>444.26560000000001</v>
      </c>
      <c r="L74">
        <v>459.31459999999998</v>
      </c>
      <c r="M74" s="5">
        <f t="shared" ref="M74:M78" si="75">C74*Q74</f>
        <v>455.1477762194761</v>
      </c>
      <c r="O74">
        <v>2.0087000000000002</v>
      </c>
      <c r="P74">
        <v>2.0768</v>
      </c>
      <c r="Q74" s="5">
        <f t="shared" si="73"/>
        <v>2.0579266597333361</v>
      </c>
      <c r="R74">
        <v>-2.0579266597333361</v>
      </c>
      <c r="T74" s="9">
        <f t="shared" ref="T74:T77" si="76">(E74-G74)/G74</f>
        <v>7.182736818185155E-2</v>
      </c>
      <c r="U74" s="4">
        <f t="shared" si="74"/>
        <v>0.26234746071898069</v>
      </c>
      <c r="V74" s="38">
        <f>(K74-M74)/M74</f>
        <v>-2.3909105543401834E-2</v>
      </c>
      <c r="W74" s="38">
        <f>(L74-M74)/M74</f>
        <v>9.1548811138530244E-3</v>
      </c>
      <c r="X74" s="4">
        <f t="shared" ref="X74:X76" si="77">(O74-Q74)/Q74</f>
        <v>-2.3920512181767786E-2</v>
      </c>
      <c r="Y74" s="4">
        <f>(P74-Q74)/Q74</f>
        <v>9.1710460999176041E-3</v>
      </c>
      <c r="AA74">
        <v>7.3793184342966098</v>
      </c>
      <c r="AC74">
        <v>0.17529979892238035</v>
      </c>
      <c r="AD74" s="4">
        <f t="shared" si="36"/>
        <v>-9.7702289886367935E-2</v>
      </c>
      <c r="AF74" s="4">
        <f t="shared" si="37"/>
        <v>-0.1034724307405288</v>
      </c>
      <c r="AG74" s="4">
        <f t="shared" si="38"/>
        <v>0.79063617981023482</v>
      </c>
      <c r="AH74" s="4">
        <f t="shared" si="39"/>
        <v>0.73765253928101937</v>
      </c>
      <c r="AK74">
        <f t="shared" si="40"/>
        <v>5.1591708199312603E-3</v>
      </c>
    </row>
    <row r="75" spans="1:37" x14ac:dyDescent="0.25">
      <c r="A75" s="23"/>
      <c r="B75" s="2">
        <f>B32</f>
        <v>2114</v>
      </c>
      <c r="C75" s="10">
        <f t="shared" si="70"/>
        <v>221.37756232296076</v>
      </c>
      <c r="D75" s="25">
        <f t="shared" si="71"/>
        <v>4.0038566309211898</v>
      </c>
      <c r="E75">
        <v>1.0290999999999999</v>
      </c>
      <c r="F75">
        <v>1.2889999999999999</v>
      </c>
      <c r="G75" s="5">
        <f t="shared" si="72"/>
        <v>1.042829287775632</v>
      </c>
      <c r="H75" s="36"/>
      <c r="I75" s="36"/>
      <c r="J75" s="25">
        <v>4.017045492351957</v>
      </c>
      <c r="K75">
        <v>417.70359999999999</v>
      </c>
      <c r="L75">
        <v>430.43549999999999</v>
      </c>
      <c r="M75" s="5">
        <f t="shared" si="75"/>
        <v>404.21583325687345</v>
      </c>
      <c r="O75">
        <v>1.8868</v>
      </c>
      <c r="P75">
        <v>1.9443999999999999</v>
      </c>
      <c r="Q75" s="5">
        <f t="shared" si="73"/>
        <v>1.8259114836000212</v>
      </c>
      <c r="R75">
        <v>-1.8259114836000212</v>
      </c>
      <c r="T75" s="9">
        <f t="shared" si="76"/>
        <v>-1.316542212284509E-2</v>
      </c>
      <c r="U75" s="4">
        <f t="shared" si="74"/>
        <v>0.19097805447972688</v>
      </c>
      <c r="V75" s="38">
        <f t="shared" ref="V75:V78" si="78">(K75-M75)/M75</f>
        <v>3.3367734842180856E-2</v>
      </c>
      <c r="W75" s="38">
        <f t="shared" ref="W75:W78" si="79">(L75-M75)/M75</f>
        <v>6.4865511407279072E-2</v>
      </c>
      <c r="X75" s="4">
        <f t="shared" si="77"/>
        <v>3.3346915744200935E-2</v>
      </c>
      <c r="Y75" s="4">
        <f t="shared" ref="Y75:Y78" si="80">(P75-Q75)/Q75</f>
        <v>6.4892804204485982E-2</v>
      </c>
      <c r="AA75">
        <v>8.3054185123494904</v>
      </c>
      <c r="AC75">
        <v>0.1441703850883283</v>
      </c>
      <c r="AD75" s="4">
        <f t="shared" si="36"/>
        <v>-4.9686450281314042E-2</v>
      </c>
      <c r="AF75" s="4">
        <f t="shared" si="37"/>
        <v>-0.13100496296548322</v>
      </c>
      <c r="AG75" s="4">
        <f t="shared" si="38"/>
        <v>0.7983708301008533</v>
      </c>
      <c r="AH75" s="4">
        <f t="shared" si="39"/>
        <v>0.80902194552027318</v>
      </c>
      <c r="AK75">
        <f t="shared" si="40"/>
        <v>1.7332833967269889E-4</v>
      </c>
    </row>
    <row r="76" spans="1:37" x14ac:dyDescent="0.25">
      <c r="A76" s="23"/>
      <c r="B76" s="2">
        <f>B33</f>
        <v>2111</v>
      </c>
      <c r="C76" s="10">
        <f t="shared" si="70"/>
        <v>221.06340305760176</v>
      </c>
      <c r="D76" s="25">
        <f t="shared" si="71"/>
        <v>3.69061358519046</v>
      </c>
      <c r="E76">
        <v>1.0348999999999999</v>
      </c>
      <c r="F76">
        <v>1.2874000000000001</v>
      </c>
      <c r="G76" s="5">
        <f t="shared" si="72"/>
        <v>1.1631977237886615</v>
      </c>
      <c r="H76" s="36"/>
      <c r="I76" s="36"/>
      <c r="J76" s="25">
        <v>3.6982373185992503</v>
      </c>
      <c r="K76">
        <v>393.55110000000002</v>
      </c>
      <c r="L76">
        <v>404.46960000000001</v>
      </c>
      <c r="M76" s="5">
        <f t="shared" si="75"/>
        <v>362.03189924269998</v>
      </c>
      <c r="O76">
        <v>1.7803</v>
      </c>
      <c r="P76">
        <v>1.8297000000000001</v>
      </c>
      <c r="Q76" s="5">
        <f t="shared" si="73"/>
        <v>1.6376835524800391</v>
      </c>
      <c r="R76">
        <v>-1.6376835524800391</v>
      </c>
      <c r="T76" s="9">
        <f t="shared" si="76"/>
        <v>-0.11029743367342734</v>
      </c>
      <c r="U76" s="4">
        <f t="shared" si="74"/>
        <v>9.6475280574288183E-2</v>
      </c>
      <c r="V76" s="38">
        <f t="shared" si="78"/>
        <v>8.7061943500647471E-2</v>
      </c>
      <c r="W76" s="38">
        <f t="shared" si="79"/>
        <v>0.11722088812082973</v>
      </c>
      <c r="X76" s="4">
        <f t="shared" si="77"/>
        <v>8.7084252207325769E-2</v>
      </c>
      <c r="Y76" s="4">
        <f t="shared" si="80"/>
        <v>0.1172488098993114</v>
      </c>
      <c r="AA76">
        <v>9.2497504333691669</v>
      </c>
      <c r="AC76">
        <v>0.11890127290614302</v>
      </c>
      <c r="AD76" s="4">
        <f t="shared" si="36"/>
        <v>-5.4355608330441951E-3</v>
      </c>
      <c r="AF76" s="4">
        <f t="shared" si="37"/>
        <v>-8.6038392327156821E-3</v>
      </c>
      <c r="AG76" s="4">
        <f t="shared" si="38"/>
        <v>0.80386826161255232</v>
      </c>
      <c r="AH76" s="4">
        <f t="shared" si="39"/>
        <v>0.90352471942571178</v>
      </c>
      <c r="AK76">
        <f t="shared" si="40"/>
        <v>1.2165523874944104E-2</v>
      </c>
    </row>
    <row r="77" spans="1:37" x14ac:dyDescent="0.25">
      <c r="A77" s="23"/>
      <c r="B77" s="2">
        <f>B34</f>
        <v>2112</v>
      </c>
      <c r="C77" s="10">
        <f t="shared" si="70"/>
        <v>221.16812281272144</v>
      </c>
      <c r="D77" s="25">
        <f t="shared" si="71"/>
        <v>3.3424664174525498</v>
      </c>
      <c r="E77">
        <v>1.0467</v>
      </c>
      <c r="F77">
        <v>1.2907</v>
      </c>
      <c r="G77" s="5">
        <f t="shared" si="72"/>
        <v>1.1657191081274199</v>
      </c>
      <c r="H77" s="36"/>
      <c r="I77" s="36"/>
      <c r="J77" s="25">
        <v>3.3621021478520641</v>
      </c>
      <c r="K77">
        <v>368.24669999999998</v>
      </c>
      <c r="L77">
        <v>377.05149999999998</v>
      </c>
      <c r="M77" s="5">
        <f t="shared" si="75"/>
        <v>343.19032930307435</v>
      </c>
      <c r="O77">
        <v>1.665</v>
      </c>
      <c r="P77">
        <v>1.7048000000000001</v>
      </c>
      <c r="Q77" s="5">
        <f t="shared" si="73"/>
        <v>1.5517169695999893</v>
      </c>
      <c r="R77">
        <v>-1.5517169695999893</v>
      </c>
      <c r="T77" s="9">
        <f t="shared" si="76"/>
        <v>-0.10209930273735413</v>
      </c>
      <c r="U77" s="4">
        <f t="shared" si="74"/>
        <v>9.6831867879894715E-2</v>
      </c>
      <c r="V77" s="38">
        <f>(K77-M77)/M77</f>
        <v>7.3010130407253196E-2</v>
      </c>
      <c r="W77" s="38">
        <f>(L77-M77)/M77</f>
        <v>9.8665864990101548E-2</v>
      </c>
      <c r="X77" s="4">
        <f>(O77-Q77)/Q77</f>
        <v>7.3004956844168245E-2</v>
      </c>
      <c r="Y77" s="4">
        <f>(P77-Q77)/Q77</f>
        <v>9.8653964220983839E-2</v>
      </c>
      <c r="AA77">
        <v>9.7571402678590111</v>
      </c>
      <c r="AC77">
        <v>0.106484902009886</v>
      </c>
      <c r="AD77" s="4">
        <f t="shared" si="36"/>
        <v>-2.456127227133692E-2</v>
      </c>
      <c r="AF77" s="4">
        <f t="shared" si="37"/>
        <v>-4.385599272531876E-3</v>
      </c>
      <c r="AG77" s="4">
        <f t="shared" si="38"/>
        <v>0.81095529557604396</v>
      </c>
      <c r="AH77" s="4">
        <f t="shared" si="39"/>
        <v>0.90316813212010527</v>
      </c>
      <c r="AK77">
        <f t="shared" si="40"/>
        <v>1.0424267619453887E-2</v>
      </c>
    </row>
    <row r="78" spans="1:37" x14ac:dyDescent="0.25">
      <c r="A78" s="23"/>
      <c r="B78" s="2">
        <f>B35</f>
        <v>2113</v>
      </c>
      <c r="C78" s="10">
        <f t="shared" si="70"/>
        <v>221.27284256784108</v>
      </c>
      <c r="D78" s="25">
        <f t="shared" si="71"/>
        <v>2.5472304393617602</v>
      </c>
      <c r="E78">
        <v>1.0748</v>
      </c>
      <c r="F78">
        <v>1.2927</v>
      </c>
      <c r="G78" s="5">
        <f t="shared" si="72"/>
        <v>1.1934902874269904</v>
      </c>
      <c r="H78" s="36"/>
      <c r="I78" s="36"/>
      <c r="J78" s="25">
        <v>2.5797622364794712</v>
      </c>
      <c r="K78">
        <v>304.6019</v>
      </c>
      <c r="L78">
        <v>310.22949999999997</v>
      </c>
      <c r="M78" s="5">
        <f t="shared" si="75"/>
        <v>291.55202608163211</v>
      </c>
      <c r="O78">
        <v>1.3766</v>
      </c>
      <c r="P78">
        <v>1.4019999999999999</v>
      </c>
      <c r="Q78" s="5">
        <f t="shared" si="73"/>
        <v>1.317613235760027</v>
      </c>
      <c r="R78">
        <v>-1.317613235760027</v>
      </c>
      <c r="T78" s="9">
        <f>(E78-G78)/G78</f>
        <v>-9.9448054732704363E-2</v>
      </c>
      <c r="U78" s="4">
        <f t="shared" si="74"/>
        <v>7.6746122513351583E-2</v>
      </c>
      <c r="V78" s="38">
        <f t="shared" si="78"/>
        <v>4.4760017941751634E-2</v>
      </c>
      <c r="W78" s="38">
        <f t="shared" si="79"/>
        <v>6.406223331522426E-2</v>
      </c>
      <c r="X78" s="4">
        <f>(O78-Q78)/Q78</f>
        <v>4.4767889877751765E-2</v>
      </c>
      <c r="Y78" s="4">
        <f t="shared" si="80"/>
        <v>6.404517042612802E-2</v>
      </c>
      <c r="AA78">
        <v>11.474606944752018</v>
      </c>
      <c r="AC78">
        <v>7.8078448548497686E-2</v>
      </c>
      <c r="AD78" s="4">
        <f t="shared" si="36"/>
        <v>-6.9986051505768546E-2</v>
      </c>
      <c r="AF78" s="4">
        <f t="shared" si="37"/>
        <v>2.1369606184206677E-2</v>
      </c>
      <c r="AG78" s="4">
        <f t="shared" si="38"/>
        <v>0.83143807534617464</v>
      </c>
      <c r="AH78" s="4">
        <f t="shared" si="39"/>
        <v>0.92325387748664844</v>
      </c>
      <c r="AK78">
        <f t="shared" si="40"/>
        <v>9.8899155901189632E-3</v>
      </c>
    </row>
    <row r="79" spans="1:37" x14ac:dyDescent="0.25">
      <c r="T79" s="4"/>
      <c r="AK79">
        <f>AVERAGE(AK42:AK78)</f>
        <v>3.2707467445607798E-2</v>
      </c>
    </row>
    <row r="80" spans="1:37" x14ac:dyDescent="0.25">
      <c r="G80" s="5"/>
      <c r="M80" s="5"/>
      <c r="T80" s="9"/>
      <c r="U80" s="9"/>
      <c r="V80" s="9"/>
      <c r="W80" s="9"/>
      <c r="X80" s="9"/>
      <c r="Y80" s="9"/>
      <c r="AK80">
        <f>SQRT(AK79)</f>
        <v>0.1808520595558917</v>
      </c>
    </row>
    <row r="81" spans="22:22" x14ac:dyDescent="0.25">
      <c r="V81" s="4"/>
    </row>
    <row r="122" spans="1:6" x14ac:dyDescent="0.25">
      <c r="A122">
        <v>0.3</v>
      </c>
      <c r="B122">
        <v>0.3</v>
      </c>
      <c r="C122">
        <v>0.2</v>
      </c>
      <c r="D122">
        <f>0.2*1.15</f>
        <v>0.22999999999999998</v>
      </c>
      <c r="E122">
        <v>0.2</v>
      </c>
      <c r="F122">
        <f>E122*0.85</f>
        <v>0.17</v>
      </c>
    </row>
    <row r="123" spans="1:6" x14ac:dyDescent="0.25">
      <c r="A123">
        <v>1.4</v>
      </c>
      <c r="B123">
        <v>1.4</v>
      </c>
      <c r="C123">
        <v>1.4</v>
      </c>
      <c r="D123">
        <f>B123*1.15</f>
        <v>1.6099999999999999</v>
      </c>
      <c r="E123">
        <v>1.4</v>
      </c>
      <c r="F123">
        <f>E123*0.85</f>
        <v>1.19</v>
      </c>
    </row>
    <row r="126" spans="1:6" x14ac:dyDescent="0.25">
      <c r="A126">
        <v>100</v>
      </c>
      <c r="B126">
        <v>100</v>
      </c>
      <c r="C126">
        <v>100</v>
      </c>
      <c r="D126">
        <v>109</v>
      </c>
      <c r="E126">
        <v>100</v>
      </c>
      <c r="F126">
        <v>91</v>
      </c>
    </row>
    <row r="127" spans="1:6" x14ac:dyDescent="0.25">
      <c r="A127">
        <v>600</v>
      </c>
      <c r="B127">
        <v>600</v>
      </c>
      <c r="C127">
        <v>600</v>
      </c>
      <c r="D127">
        <v>654</v>
      </c>
      <c r="E127">
        <v>600</v>
      </c>
      <c r="F127">
        <v>546</v>
      </c>
    </row>
  </sheetData>
  <mergeCells count="5">
    <mergeCell ref="Q2:S2"/>
    <mergeCell ref="E40:G40"/>
    <mergeCell ref="K40:M40"/>
    <mergeCell ref="O40:Q40"/>
    <mergeCell ref="T40:Y4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76B6-D074-4D94-AE99-E9FA1F6C6E00}">
  <dimension ref="C2:H34"/>
  <sheetViews>
    <sheetView workbookViewId="0">
      <selection activeCell="C2" sqref="C2"/>
    </sheetView>
  </sheetViews>
  <sheetFormatPr defaultRowHeight="15" x14ac:dyDescent="0.25"/>
  <sheetData>
    <row r="2" spans="3:8" x14ac:dyDescent="0.25">
      <c r="C2">
        <v>1.0093232680562929</v>
      </c>
      <c r="D2">
        <v>30.513166981308061</v>
      </c>
      <c r="F2">
        <f>D2+273.15</f>
        <v>303.66316698130805</v>
      </c>
      <c r="G2">
        <f t="shared" ref="G2:G34" si="0">C2/10</f>
        <v>0.10093232680562929</v>
      </c>
      <c r="H2">
        <v>1.1583000000000001</v>
      </c>
    </row>
    <row r="3" spans="3:8" x14ac:dyDescent="0.25">
      <c r="C3">
        <v>1.0093740377162599</v>
      </c>
      <c r="D3">
        <v>30.53840403258803</v>
      </c>
      <c r="F3">
        <f t="shared" ref="F3:F34" si="1">D3+273.15</f>
        <v>303.68840403258798</v>
      </c>
      <c r="G3">
        <f t="shared" si="0"/>
        <v>0.10093740377162599</v>
      </c>
      <c r="H3">
        <v>1.1581999999999999</v>
      </c>
    </row>
    <row r="4" spans="3:8" x14ac:dyDescent="0.25">
      <c r="C4">
        <v>1.0100027712944899</v>
      </c>
      <c r="D4">
        <v>30.5232550594659</v>
      </c>
      <c r="F4">
        <f t="shared" si="1"/>
        <v>303.67325505946587</v>
      </c>
      <c r="G4">
        <f t="shared" si="0"/>
        <v>0.10100027712944899</v>
      </c>
      <c r="H4">
        <v>1.159</v>
      </c>
    </row>
    <row r="5" spans="3:8" x14ac:dyDescent="0.25">
      <c r="C5">
        <v>1.00926410736023</v>
      </c>
      <c r="D5">
        <v>30.568783382737202</v>
      </c>
      <c r="F5">
        <f t="shared" si="1"/>
        <v>303.71878338273717</v>
      </c>
      <c r="G5">
        <f t="shared" si="0"/>
        <v>0.100926410736023</v>
      </c>
      <c r="H5">
        <v>1.1579999999999999</v>
      </c>
    </row>
    <row r="6" spans="3:8" x14ac:dyDescent="0.25">
      <c r="C6">
        <v>1.0094537558613426</v>
      </c>
      <c r="D6">
        <v>30.528195668985514</v>
      </c>
      <c r="F6">
        <f t="shared" si="1"/>
        <v>303.6781956689855</v>
      </c>
      <c r="G6">
        <f t="shared" si="0"/>
        <v>0.10094537558613426</v>
      </c>
      <c r="H6">
        <v>1.1583000000000001</v>
      </c>
    </row>
    <row r="7" spans="3:8" x14ac:dyDescent="0.25">
      <c r="F7">
        <f t="shared" si="1"/>
        <v>273.14999999999998</v>
      </c>
      <c r="G7">
        <f t="shared" si="0"/>
        <v>0</v>
      </c>
    </row>
    <row r="8" spans="3:8" x14ac:dyDescent="0.25">
      <c r="C8">
        <v>1.0094287437153799</v>
      </c>
      <c r="D8">
        <v>30.612974840972779</v>
      </c>
      <c r="F8">
        <f t="shared" si="1"/>
        <v>303.76297484097273</v>
      </c>
      <c r="G8">
        <f t="shared" si="0"/>
        <v>0.100942874371538</v>
      </c>
      <c r="H8">
        <v>1.1579999999999999</v>
      </c>
    </row>
    <row r="9" spans="3:8" x14ac:dyDescent="0.25">
      <c r="C9">
        <v>1.0092810759105539</v>
      </c>
      <c r="D9">
        <v>30.581004375999676</v>
      </c>
      <c r="F9">
        <f t="shared" si="1"/>
        <v>303.73100437599965</v>
      </c>
      <c r="G9">
        <f t="shared" si="0"/>
        <v>0.10092810759105539</v>
      </c>
      <c r="H9">
        <v>1.1578999999999999</v>
      </c>
    </row>
    <row r="10" spans="3:8" x14ac:dyDescent="0.25">
      <c r="C10">
        <v>1.0086912644002075</v>
      </c>
      <c r="D10">
        <v>30.622728786584258</v>
      </c>
      <c r="F10">
        <f t="shared" si="1"/>
        <v>303.77272878658425</v>
      </c>
      <c r="G10">
        <f t="shared" si="0"/>
        <v>0.10086912644002075</v>
      </c>
      <c r="H10">
        <v>1.1571</v>
      </c>
    </row>
    <row r="11" spans="3:8" x14ac:dyDescent="0.25">
      <c r="C11">
        <v>1.0077573177644057</v>
      </c>
      <c r="D11">
        <v>30.816080276902358</v>
      </c>
      <c r="F11">
        <f t="shared" si="1"/>
        <v>303.96608027690235</v>
      </c>
      <c r="G11">
        <f t="shared" si="0"/>
        <v>0.10077573177644057</v>
      </c>
      <c r="H11">
        <v>1.1553</v>
      </c>
    </row>
    <row r="12" spans="3:8" x14ac:dyDescent="0.25">
      <c r="C12">
        <v>1.0085733794744123</v>
      </c>
      <c r="D12">
        <v>30.635044840682401</v>
      </c>
      <c r="F12">
        <f t="shared" si="1"/>
        <v>303.78504484068236</v>
      </c>
      <c r="G12">
        <f t="shared" si="0"/>
        <v>0.10085733794744123</v>
      </c>
      <c r="H12">
        <v>1.1569</v>
      </c>
    </row>
    <row r="13" spans="3:8" x14ac:dyDescent="0.25">
      <c r="C13">
        <v>1.0101998654115738</v>
      </c>
      <c r="D13">
        <v>30.714603931016253</v>
      </c>
      <c r="F13">
        <f t="shared" si="1"/>
        <v>303.86460393101623</v>
      </c>
      <c r="G13">
        <f t="shared" si="0"/>
        <v>0.10101998654115737</v>
      </c>
      <c r="H13">
        <v>1.1585000000000001</v>
      </c>
    </row>
    <row r="14" spans="3:8" x14ac:dyDescent="0.25">
      <c r="F14">
        <f t="shared" si="1"/>
        <v>273.14999999999998</v>
      </c>
      <c r="G14">
        <f t="shared" si="0"/>
        <v>0</v>
      </c>
    </row>
    <row r="15" spans="3:8" x14ac:dyDescent="0.25">
      <c r="C15">
        <v>1.0083333009861652</v>
      </c>
      <c r="D15">
        <v>30.610294022691615</v>
      </c>
      <c r="F15">
        <f t="shared" si="1"/>
        <v>303.7602940226916</v>
      </c>
      <c r="G15">
        <f t="shared" si="0"/>
        <v>0.10083333009861653</v>
      </c>
      <c r="H15">
        <v>1.1567000000000001</v>
      </c>
    </row>
    <row r="16" spans="3:8" x14ac:dyDescent="0.25">
      <c r="C16">
        <v>1.00767939569434</v>
      </c>
      <c r="D16">
        <v>30.5476633337823</v>
      </c>
      <c r="F16">
        <f t="shared" si="1"/>
        <v>303.69766333378226</v>
      </c>
      <c r="G16">
        <f t="shared" si="0"/>
        <v>0.100767939569434</v>
      </c>
      <c r="H16">
        <v>1.1561999999999999</v>
      </c>
    </row>
    <row r="17" spans="3:8" x14ac:dyDescent="0.25">
      <c r="C17">
        <v>1.0095081019886201</v>
      </c>
      <c r="D17">
        <v>30.628921865606099</v>
      </c>
      <c r="F17">
        <f t="shared" si="1"/>
        <v>303.77892186560609</v>
      </c>
      <c r="G17">
        <f t="shared" si="0"/>
        <v>0.10095081019886201</v>
      </c>
      <c r="H17">
        <v>1.1579999999999999</v>
      </c>
    </row>
    <row r="18" spans="3:8" x14ac:dyDescent="0.25">
      <c r="C18">
        <v>1.0086524685865665</v>
      </c>
      <c r="D18">
        <v>30.622924679670273</v>
      </c>
      <c r="F18">
        <f t="shared" si="1"/>
        <v>303.77292467967027</v>
      </c>
      <c r="G18">
        <f t="shared" si="0"/>
        <v>0.10086524685865665</v>
      </c>
      <c r="H18">
        <v>1.1571</v>
      </c>
    </row>
    <row r="19" spans="3:8" x14ac:dyDescent="0.25">
      <c r="C19">
        <v>1.00910839779551</v>
      </c>
      <c r="D19">
        <v>30.616946893747699</v>
      </c>
      <c r="F19">
        <f t="shared" si="1"/>
        <v>303.76694689374767</v>
      </c>
      <c r="G19">
        <f t="shared" si="0"/>
        <v>0.100910839779551</v>
      </c>
      <c r="H19">
        <v>1.1576</v>
      </c>
    </row>
    <row r="20" spans="3:8" x14ac:dyDescent="0.25">
      <c r="C20">
        <v>1.0089421600028099</v>
      </c>
      <c r="D20">
        <v>30.660577754608099</v>
      </c>
      <c r="F20">
        <f t="shared" si="1"/>
        <v>303.81057775460806</v>
      </c>
      <c r="G20">
        <f t="shared" si="0"/>
        <v>0.10089421600028099</v>
      </c>
      <c r="H20">
        <v>1.1573</v>
      </c>
    </row>
    <row r="21" spans="3:8" x14ac:dyDescent="0.25">
      <c r="F21">
        <f t="shared" si="1"/>
        <v>273.14999999999998</v>
      </c>
      <c r="G21">
        <f t="shared" si="0"/>
        <v>0</v>
      </c>
    </row>
    <row r="22" spans="3:8" x14ac:dyDescent="0.25">
      <c r="C22">
        <v>1.0074809569159044</v>
      </c>
      <c r="D22">
        <v>30.849170721143583</v>
      </c>
      <c r="F22">
        <f t="shared" si="1"/>
        <v>303.99917072114357</v>
      </c>
      <c r="G22">
        <f t="shared" si="0"/>
        <v>0.10074809569159045</v>
      </c>
      <c r="H22">
        <v>1.1549</v>
      </c>
    </row>
    <row r="23" spans="3:8" x14ac:dyDescent="0.25">
      <c r="C23">
        <v>1.0076637581773951</v>
      </c>
      <c r="D23">
        <v>30.854876597503971</v>
      </c>
      <c r="F23">
        <f t="shared" si="1"/>
        <v>304.00487659750394</v>
      </c>
      <c r="G23">
        <f t="shared" si="0"/>
        <v>0.10076637581773951</v>
      </c>
      <c r="H23">
        <v>1.155</v>
      </c>
    </row>
    <row r="24" spans="3:8" x14ac:dyDescent="0.25">
      <c r="C24">
        <v>1.007937890712175</v>
      </c>
      <c r="D24">
        <v>30.707389246709546</v>
      </c>
      <c r="F24">
        <f t="shared" si="1"/>
        <v>303.85738924670954</v>
      </c>
      <c r="G24">
        <f t="shared" si="0"/>
        <v>0.1007937890712175</v>
      </c>
      <c r="H24">
        <v>1.1558999999999999</v>
      </c>
    </row>
    <row r="25" spans="3:8" x14ac:dyDescent="0.25">
      <c r="C25">
        <v>1.0075465725805357</v>
      </c>
      <c r="D25">
        <v>30.654826109108207</v>
      </c>
      <c r="F25">
        <f t="shared" si="1"/>
        <v>303.80482610910821</v>
      </c>
      <c r="G25">
        <f t="shared" si="0"/>
        <v>0.10075465725805358</v>
      </c>
      <c r="H25">
        <v>1.1556999999999999</v>
      </c>
    </row>
    <row r="26" spans="3:8" x14ac:dyDescent="0.25">
      <c r="C26">
        <v>1.007730407897355</v>
      </c>
      <c r="D26">
        <v>30.822986667073145</v>
      </c>
      <c r="F26">
        <f t="shared" si="1"/>
        <v>303.97298666707314</v>
      </c>
      <c r="G26">
        <f t="shared" si="0"/>
        <v>0.10077304078973551</v>
      </c>
      <c r="H26">
        <v>1.1552</v>
      </c>
    </row>
    <row r="27" spans="3:8" x14ac:dyDescent="0.25">
      <c r="C27">
        <v>1.0069040471898754</v>
      </c>
      <c r="D27">
        <v>30.824160851514335</v>
      </c>
      <c r="F27">
        <f t="shared" si="1"/>
        <v>303.97416085151428</v>
      </c>
      <c r="G27">
        <f t="shared" si="0"/>
        <v>0.10069040471898753</v>
      </c>
      <c r="H27">
        <v>1.1543000000000001</v>
      </c>
    </row>
    <row r="28" spans="3:8" x14ac:dyDescent="0.25">
      <c r="F28">
        <f t="shared" si="1"/>
        <v>273.14999999999998</v>
      </c>
      <c r="G28">
        <f t="shared" si="0"/>
        <v>0</v>
      </c>
    </row>
    <row r="29" spans="3:8" x14ac:dyDescent="0.25">
      <c r="C29">
        <v>1.00664348651146</v>
      </c>
      <c r="D29">
        <v>31.8755210636795</v>
      </c>
      <c r="F29">
        <f t="shared" si="1"/>
        <v>305.02552106367949</v>
      </c>
      <c r="G29">
        <f t="shared" si="0"/>
        <v>0.100664348651146</v>
      </c>
      <c r="H29">
        <v>1.1499999999999999</v>
      </c>
    </row>
    <row r="30" spans="3:8" x14ac:dyDescent="0.25">
      <c r="C30">
        <v>1.00610594912139</v>
      </c>
      <c r="D30">
        <v>32.0262582611306</v>
      </c>
      <c r="F30">
        <f t="shared" si="1"/>
        <v>305.17625826113056</v>
      </c>
      <c r="G30">
        <f t="shared" si="0"/>
        <v>0.100610594912139</v>
      </c>
      <c r="H30">
        <v>1.1488</v>
      </c>
    </row>
    <row r="31" spans="3:8" x14ac:dyDescent="0.25">
      <c r="C31">
        <v>1.0066982516283101</v>
      </c>
      <c r="D31">
        <v>32.005684453369298</v>
      </c>
      <c r="F31">
        <f t="shared" si="1"/>
        <v>305.1556844533693</v>
      </c>
      <c r="G31">
        <f t="shared" si="0"/>
        <v>0.100669825162831</v>
      </c>
      <c r="H31">
        <v>1.1496</v>
      </c>
    </row>
    <row r="32" spans="3:8" x14ac:dyDescent="0.25">
      <c r="C32">
        <v>1.00622035047064</v>
      </c>
      <c r="D32">
        <v>32.022331469804698</v>
      </c>
      <c r="F32">
        <f t="shared" si="1"/>
        <v>305.1723314698047</v>
      </c>
      <c r="G32">
        <f t="shared" si="0"/>
        <v>0.10062203504706399</v>
      </c>
      <c r="H32">
        <v>1.149</v>
      </c>
    </row>
    <row r="33" spans="3:8" x14ac:dyDescent="0.25">
      <c r="C33">
        <v>1.0075471234151601</v>
      </c>
      <c r="D33">
        <v>31.981519437650199</v>
      </c>
      <c r="F33">
        <f t="shared" si="1"/>
        <v>305.13151943765018</v>
      </c>
      <c r="G33">
        <f t="shared" si="0"/>
        <v>0.10075471234151601</v>
      </c>
      <c r="H33">
        <v>1.1506000000000001</v>
      </c>
    </row>
    <row r="34" spans="3:8" x14ac:dyDescent="0.25">
      <c r="C34">
        <v>1.00657455969937</v>
      </c>
      <c r="D34">
        <v>32.002248517148502</v>
      </c>
      <c r="F34">
        <f t="shared" si="1"/>
        <v>305.15224851714845</v>
      </c>
      <c r="G34">
        <f t="shared" si="0"/>
        <v>0.100657455969937</v>
      </c>
      <c r="H34">
        <v>1.1494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1 n n J T s p 4 w B m o A A A A + Q A A A B I A H A B D b 2 5 m a W c v U G F j a 2 F n Z S 5 4 b W w g o h g A K K A U A A A A A A A A A A A A A A A A A A A A A A A A A A A A h Y / N C o J A G E V f R W b v / E l R 8 j k u W r R J C I R o O 4 y T D u k Y z p i + W 4 s e q V d I K K t d y 3 s 5 F 8 5 9 3 O 6 Q j k 0 d X H X n T G s T x D B F g b a q L Y w t E 9 T 7 U 7 h C q Y C 9 V G d Z 6 m C C r Y t H Z x J U e X + J C R m G A Q 8 R b r u S c E o Z O W a 7 X F W 6 k a G x z k u r N P q s i v 8 r J O D w k h E c L x l e s D X H L K I M y N x D Z u y X 4 Z M y p k B + S t j 0 t e 8 7 L b Q N 8 y 2 Q O Q J 5 3 x B P U E s D B B Q A A g A I A N Z 5 y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e c l O K I p H u A 4 A A A A R A A A A E w A c A E Z v c m 1 1 b G F z L 1 N l Y 3 R p b 2 4 x L m 0 g o h g A K K A U A A A A A A A A A A A A A A A A A A A A A A A A A A A A K 0 5 N L s n M z 1 M I h t C G 1 g B Q S w E C L Q A U A A I A C A D W e c l O y n j A G a g A A A D 5 A A A A E g A A A A A A A A A A A A A A A A A A A A A A Q 2 9 u Z m l n L 1 B h Y 2 t h Z 2 U u e G 1 s U E s B A i 0 A F A A C A A g A 1 n n J T g / K 6 a u k A A A A 6 Q A A A B M A A A A A A A A A A A A A A A A A 9 A A A A F t D b 2 5 0 Z W 5 0 X 1 R 5 c G V z X S 5 4 b W x Q S w E C L Q A U A A I A C A D W e c l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q d G o + p g x 0 K g F g s 2 W J k m x w A A A A A C A A A A A A A Q Z g A A A A E A A C A A A A C T X C c 6 x y V A E o c / u x j m Y + z n r i j D 1 u D g k n G u 8 y u v P / N c 0 w A A A A A O g A A A A A I A A C A A A A B q P e B I V 0 j 4 x / v O H R P a u p N q 3 P r 1 w 2 R U W s 6 7 t g w r K R 6 3 Q F A A A A B a U S 9 b Z R j / y X b A l C s 2 + 0 t N L R J K f q l 1 / h l k r m t k t D U F 4 3 p Q X c 3 B u C r p y k 2 X r n 8 X G e h N R I 9 d f s e c q U u y s C 0 R e a H 1 1 8 i u 5 s M z J C T k E R c x T A / A 1 0 A A A A D 1 g / 1 3 D / x a V c n 8 O y K t u / L + E k v o U M N 5 l N f y v 1 F F 6 k z O l S g A 9 M g s W P v Y 7 o 8 9 Y C S j X P a t J u Y F D W v V 4 d C T y X i 0 Y o t h < / D a t a M a s h u p > 
</file>

<file path=customXml/itemProps1.xml><?xml version="1.0" encoding="utf-8"?>
<ds:datastoreItem xmlns:ds="http://schemas.openxmlformats.org/officeDocument/2006/customXml" ds:itemID="{B1412FCE-D8FF-4EC4-B955-3746384782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 (0.5-1.0)</vt:lpstr>
      <vt:lpstr>Overall (1.0)</vt:lpstr>
      <vt:lpstr>Overall (0.5)</vt:lpstr>
      <vt:lpstr>Overall (2)</vt:lpstr>
      <vt:lpstr>Overall w heat (final) 050505</vt:lpstr>
      <vt:lpstr>Overall wo heat (final)</vt:lpstr>
      <vt:lpstr>Uncertainty analysis</vt:lpstr>
      <vt:lpstr>Overall w heat (final) 0709 (2)</vt:lpstr>
      <vt:lpstr>Sheet1</vt:lpstr>
      <vt:lpstr>Overall w heat (leak) 0713 (3)</vt:lpstr>
      <vt:lpstr>Overall w heat (leak) 0716 (04)</vt:lpstr>
      <vt:lpstr>Overall w heat 0716 (0.45)</vt:lpstr>
      <vt:lpstr>Uncertainty analysis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yeude</dc:creator>
  <cp:lastModifiedBy>lim yeude</cp:lastModifiedBy>
  <dcterms:created xsi:type="dcterms:W3CDTF">2019-06-08T03:39:56Z</dcterms:created>
  <dcterms:modified xsi:type="dcterms:W3CDTF">2020-03-11T10:24:49Z</dcterms:modified>
</cp:coreProperties>
</file>