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8_{BE199D6E-142F-45D8-9D1B-BBBD1A223D62}" xr6:coauthVersionLast="47" xr6:coauthVersionMax="47" xr10:uidLastSave="{00000000-0000-0000-0000-000000000000}"/>
  <bookViews>
    <workbookView xWindow="-108" yWindow="-108" windowWidth="23256" windowHeight="12456" activeTab="2" xr2:uid="{4CFD01F5-00FD-40F7-B391-96A5A3864671}"/>
  </bookViews>
  <sheets>
    <sheet name="Learnable Params" sheetId="1" r:id="rId1"/>
    <sheet name="Flops" sheetId="2" r:id="rId2"/>
    <sheet name="Measured Metr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4" l="1"/>
  <c r="P8" i="4"/>
  <c r="P9" i="4"/>
  <c r="P10" i="4"/>
  <c r="P11" i="4"/>
  <c r="P12" i="4"/>
  <c r="P13" i="4"/>
  <c r="P14" i="4"/>
  <c r="P15" i="4"/>
  <c r="P16" i="4"/>
  <c r="P5" i="4"/>
  <c r="P6" i="4"/>
  <c r="L6" i="4"/>
  <c r="L7" i="4"/>
  <c r="L8" i="4"/>
  <c r="L9" i="4"/>
  <c r="L10" i="4"/>
  <c r="L11" i="4"/>
  <c r="L12" i="4"/>
  <c r="L13" i="4"/>
  <c r="L14" i="4"/>
  <c r="L15" i="4"/>
  <c r="L16" i="4"/>
  <c r="L5" i="4"/>
  <c r="K5" i="4"/>
  <c r="I16" i="4"/>
  <c r="J16" i="4"/>
  <c r="K16" i="4"/>
  <c r="M16" i="4"/>
  <c r="N16" i="4"/>
  <c r="O16" i="4"/>
  <c r="I15" i="4"/>
  <c r="J15" i="4"/>
  <c r="K15" i="4"/>
  <c r="M15" i="4"/>
  <c r="N15" i="4"/>
  <c r="O15" i="4"/>
  <c r="I14" i="4"/>
  <c r="J14" i="4"/>
  <c r="K14" i="4"/>
  <c r="M14" i="4"/>
  <c r="N14" i="4"/>
  <c r="O14" i="4"/>
  <c r="I13" i="4"/>
  <c r="J13" i="4"/>
  <c r="K13" i="4"/>
  <c r="M13" i="4"/>
  <c r="N13" i="4"/>
  <c r="O13" i="4"/>
  <c r="I12" i="4"/>
  <c r="J12" i="4"/>
  <c r="K12" i="4"/>
  <c r="M12" i="4"/>
  <c r="N12" i="4"/>
  <c r="O12" i="4"/>
  <c r="I11" i="4"/>
  <c r="J11" i="4"/>
  <c r="K11" i="4"/>
  <c r="M11" i="4"/>
  <c r="N11" i="4"/>
  <c r="O11" i="4"/>
  <c r="J10" i="4"/>
  <c r="N10" i="4"/>
  <c r="I10" i="4"/>
  <c r="K10" i="4"/>
  <c r="M10" i="4"/>
  <c r="O10" i="4"/>
  <c r="M7" i="4"/>
  <c r="N7" i="4"/>
  <c r="O7" i="4"/>
  <c r="M8" i="4"/>
  <c r="N8" i="4"/>
  <c r="O8" i="4"/>
  <c r="M9" i="4"/>
  <c r="N9" i="4"/>
  <c r="O9" i="4"/>
  <c r="M5" i="4"/>
  <c r="N5" i="4"/>
  <c r="O5" i="4"/>
  <c r="O6" i="4"/>
  <c r="N6" i="4"/>
  <c r="M6" i="4"/>
  <c r="I9" i="4"/>
  <c r="J9" i="4"/>
  <c r="K9" i="4"/>
  <c r="I8" i="4"/>
  <c r="J8" i="4"/>
  <c r="K8" i="4"/>
  <c r="I6" i="4"/>
  <c r="I7" i="4"/>
  <c r="K6" i="4"/>
  <c r="K7" i="4"/>
  <c r="J6" i="4"/>
  <c r="J7" i="4"/>
  <c r="J5" i="4"/>
  <c r="I5" i="4"/>
  <c r="J24" i="2"/>
  <c r="I15" i="2"/>
  <c r="I24" i="2"/>
  <c r="E7" i="1"/>
  <c r="M45" i="2"/>
  <c r="M44" i="2"/>
  <c r="L45" i="2"/>
  <c r="L44" i="2"/>
  <c r="K44" i="2"/>
  <c r="J45" i="2"/>
  <c r="J44" i="2"/>
  <c r="I45" i="2"/>
  <c r="I44" i="2"/>
  <c r="K45" i="2"/>
  <c r="E51" i="1"/>
  <c r="E50" i="1"/>
  <c r="E49" i="1"/>
  <c r="E48" i="1"/>
  <c r="E52" i="1" s="1"/>
  <c r="K33" i="2"/>
  <c r="J33" i="2"/>
  <c r="I33" i="2"/>
  <c r="K34" i="2"/>
  <c r="J34" i="2"/>
  <c r="I34" i="2"/>
  <c r="E40" i="1"/>
  <c r="E39" i="1"/>
  <c r="E38" i="1"/>
  <c r="E37" i="1"/>
  <c r="K25" i="2"/>
  <c r="K24" i="2"/>
  <c r="J25" i="2"/>
  <c r="I25" i="2"/>
  <c r="E27" i="1"/>
  <c r="E26" i="1"/>
  <c r="E25" i="1"/>
  <c r="E28" i="1"/>
  <c r="I16" i="2"/>
  <c r="I9" i="2"/>
  <c r="I8" i="2"/>
  <c r="E19" i="1"/>
  <c r="E18" i="1"/>
  <c r="E17" i="1"/>
  <c r="E16" i="1"/>
  <c r="E11" i="1"/>
  <c r="F52" i="1" s="1"/>
  <c r="E10" i="1"/>
  <c r="E9" i="1"/>
  <c r="E8" i="1"/>
  <c r="E20" i="1" l="1"/>
  <c r="E41" i="1"/>
  <c r="F41" i="1"/>
  <c r="L25" i="2"/>
  <c r="N44" i="2"/>
  <c r="M24" i="2"/>
  <c r="M34" i="2"/>
  <c r="O45" i="2"/>
  <c r="I10" i="2"/>
  <c r="L24" i="2"/>
  <c r="O44" i="2"/>
  <c r="N45" i="2"/>
  <c r="M25" i="2"/>
  <c r="L33" i="2"/>
  <c r="M33" i="2"/>
  <c r="L34" i="2"/>
  <c r="E29" i="1"/>
  <c r="F29" i="1" s="1"/>
  <c r="I17" i="2"/>
  <c r="G52" i="1" l="1"/>
  <c r="G29" i="1"/>
  <c r="G41" i="1"/>
  <c r="M35" i="2"/>
  <c r="M36" i="2" s="1"/>
  <c r="L26" i="2"/>
  <c r="L27" i="2" s="1"/>
  <c r="N46" i="2"/>
  <c r="N47" i="2" s="1"/>
  <c r="O46" i="2"/>
  <c r="O47" i="2" s="1"/>
  <c r="M26" i="2"/>
  <c r="M28" i="2" s="1"/>
  <c r="L35" i="2"/>
  <c r="L37" i="2" s="1"/>
  <c r="M37" i="2" l="1"/>
  <c r="M27" i="2"/>
  <c r="N48" i="2"/>
  <c r="O48" i="2"/>
  <c r="L28" i="2"/>
  <c r="L36" i="2"/>
</calcChain>
</file>

<file path=xl/sharedStrings.xml><?xml version="1.0" encoding="utf-8"?>
<sst xmlns="http://schemas.openxmlformats.org/spreadsheetml/2006/main" count="201" uniqueCount="83">
  <si>
    <t>MNIST Baseline Model</t>
  </si>
  <si>
    <t>LeNet 3x3</t>
  </si>
  <si>
    <t>Layer</t>
  </si>
  <si>
    <t>In_C</t>
  </si>
  <si>
    <t>Out_C</t>
  </si>
  <si>
    <t>Params</t>
  </si>
  <si>
    <t>Kernel</t>
  </si>
  <si>
    <t>Conv1</t>
  </si>
  <si>
    <t>Conv2</t>
  </si>
  <si>
    <t>FC1</t>
  </si>
  <si>
    <t>FC2</t>
  </si>
  <si>
    <t>LeNet 1x1</t>
  </si>
  <si>
    <t>Note: LeNet1x1 has more params due to the larger flattened input to fc1 after 1x1 convs.</t>
  </si>
  <si>
    <t>FLOPs</t>
  </si>
  <si>
    <t>H_in</t>
  </si>
  <si>
    <t>H_out</t>
  </si>
  <si>
    <t>W_in</t>
  </si>
  <si>
    <t>W_out</t>
  </si>
  <si>
    <t>C_in</t>
  </si>
  <si>
    <t>C_out</t>
  </si>
  <si>
    <t>* For a fairer comparison, we use a batch size of 1.</t>
  </si>
  <si>
    <t>** In FLOPs, we have multiplied by 2 to account for double the compute which is required for one additional addition per multiplication.</t>
  </si>
  <si>
    <t>LeNet1x1 has lower FLOPs due to smaller kernels but larger fc1 input.</t>
  </si>
  <si>
    <t>1c,1p</t>
  </si>
  <si>
    <t>(Compared to LeNet3x3’s 1.2M params, this saves ~16K params.)</t>
  </si>
  <si>
    <t>Inertial mechanism v1, 2 would have the flops in its 1x1 core filter equal to the standard 3x3 convulution due to 0 padding.</t>
  </si>
  <si>
    <t>Core 1x1 Conv</t>
  </si>
  <si>
    <t>Divergence</t>
  </si>
  <si>
    <t>Detailed Conv.</t>
  </si>
  <si>
    <t>Best case FLOPs</t>
  </si>
  <si>
    <t>Worst case FLOPs</t>
  </si>
  <si>
    <t>Standard Inertial Filter v1</t>
  </si>
  <si>
    <t>vs. 3x3 Lenet</t>
  </si>
  <si>
    <t>vs. 1x1 Lenet</t>
  </si>
  <si>
    <t> Inertial adds overhead</t>
  </si>
  <si>
    <t xml:space="preserve">Inertial Filters v1.1 </t>
  </si>
  <si>
    <t xml:space="preserve">*Changes: </t>
  </si>
  <si>
    <t>Padding=1: Output spatial dimensions remain 28x28 (vs. 26x26 in v1.0).</t>
  </si>
  <si>
    <t>FC1 Input: Now 64×14×14 = 12,544 (due to MaxPool2d on 28x28 input).</t>
  </si>
  <si>
    <t>**  Compared to v1.0’s 1.18M, this variant has more params due to larger fc1.</t>
  </si>
  <si>
    <t>Kernel**</t>
  </si>
  <si>
    <t>** Ambient dimension of the kernel remains the same as the 3x3 convulution filter due to the 0 padding over the 1x1 core filter</t>
  </si>
  <si>
    <t>Inertial Filters v1.1 with JSD Divergence and Softmax Thresholding</t>
  </si>
  <si>
    <t>Sigmoid Threshold: More flexible than hard threshold (but same parameter count).</t>
  </si>
  <si>
    <t>Einsum Detailed Computation: Replaces full conv with patch dot product.</t>
  </si>
  <si>
    <t>* Identical to v1.0, as only the forward pass logic changed.</t>
  </si>
  <si>
    <t>*** Core 1x1 convulution is computed as a patch dot product (9×C_in)</t>
  </si>
  <si>
    <t>Detailed Conv.***</t>
  </si>
  <si>
    <t>Unfolding</t>
  </si>
  <si>
    <t>Sigmoid Mask</t>
  </si>
  <si>
    <t>Accuracy: 95.74% on 15 epochs, P100 GPU</t>
  </si>
  <si>
    <t>Accuracy: 99.17% on 15 epochs, P100 GPU</t>
  </si>
  <si>
    <t>Accuracy: 96.58% on 15 epochs, P100 GPU, T=0.1</t>
  </si>
  <si>
    <t>Accuracy: 92.88% on 15 epochs, P100 GPU, T=1.0</t>
  </si>
  <si>
    <t>Accuracy: 96.30% on 15 epochs, P100 GPU, T=0.1</t>
  </si>
  <si>
    <t>vs. 3x3 LeNet</t>
  </si>
  <si>
    <t>vs. 1x1 LeNet</t>
  </si>
  <si>
    <t>Group 39</t>
  </si>
  <si>
    <t>* We also count biases as paramters.</t>
  </si>
  <si>
    <t>** All measurements are conducted live on P100 GPU.</t>
  </si>
  <si>
    <t>Model</t>
  </si>
  <si>
    <t>Runtime (ms)</t>
  </si>
  <si>
    <t>Accuracy</t>
  </si>
  <si>
    <t>F1 Score</t>
  </si>
  <si>
    <t>Precision</t>
  </si>
  <si>
    <t>Recall</t>
  </si>
  <si>
    <t>Original Inertial</t>
  </si>
  <si>
    <t>%Params</t>
  </si>
  <si>
    <t>%FLOPs</t>
  </si>
  <si>
    <t>%Acc</t>
  </si>
  <si>
    <t>** Run for 1 epoch on MNIST subset of 100 images.</t>
  </si>
  <si>
    <t>Optimized Modification 1</t>
  </si>
  <si>
    <t>Optimized Modification 2</t>
  </si>
  <si>
    <t>Baseline 3x3</t>
  </si>
  <si>
    <t>Baseline 1x1</t>
  </si>
  <si>
    <t>Optimized Modification 3</t>
  </si>
  <si>
    <t>Optimized Modification 4</t>
  </si>
  <si>
    <t>Optimized Modification 5</t>
  </si>
  <si>
    <t>Optimized Modification 6</t>
  </si>
  <si>
    <t>Optimized Modification 7</t>
  </si>
  <si>
    <t>Optimized Modification 8</t>
  </si>
  <si>
    <t>Optimized Modification 9</t>
  </si>
  <si>
    <t>%Runtime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</si>
</sst>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0"/>
      <color rgb="FFFF0000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9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6" fillId="0" borderId="0" xfId="0" applyFont="1"/>
    <xf numFmtId="0" fontId="1" fillId="0" borderId="8" xfId="0" applyFont="1" applyBorder="1"/>
    <xf numFmtId="0" fontId="5" fillId="0" borderId="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15" fillId="0" borderId="1" xfId="0" applyFont="1" applyBorder="1"/>
    <xf numFmtId="165" fontId="0" fillId="0" borderId="1" xfId="0" applyNumberFormat="1" applyBorder="1"/>
    <xf numFmtId="2" fontId="0" fillId="0" borderId="1" xfId="0" applyNumberFormat="1" applyBorder="1"/>
    <xf numFmtId="164" fontId="10" fillId="0" borderId="1" xfId="1" applyNumberFormat="1" applyFont="1" applyBorder="1"/>
    <xf numFmtId="164" fontId="16" fillId="0" borderId="1" xfId="1" applyNumberFormat="1" applyFont="1" applyBorder="1"/>
    <xf numFmtId="164" fontId="15" fillId="0" borderId="1" xfId="1" applyNumberFormat="1" applyFont="1" applyBorder="1"/>
  </cellXfs>
  <cellStyles count="2">
    <cellStyle name="Normal" xfId="0" builtinId="0"/>
    <cellStyle name="Percent" xfId="1" builtinId="5"/>
  </cellStyles>
  <dxfs count="1"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1A3E-45A6-410A-B818-AA092D2CE35C}">
  <dimension ref="A1:G53"/>
  <sheetViews>
    <sheetView topLeftCell="A13" zoomScale="130" zoomScaleNormal="130" workbookViewId="0">
      <selection activeCell="J30" sqref="J30"/>
    </sheetView>
  </sheetViews>
  <sheetFormatPr defaultRowHeight="14.4" x14ac:dyDescent="0.3"/>
  <cols>
    <col min="5" max="5" width="12.77734375" customWidth="1"/>
    <col min="6" max="7" width="13.88671875" style="24" customWidth="1"/>
  </cols>
  <sheetData>
    <row r="1" spans="1:7" x14ac:dyDescent="0.3">
      <c r="A1" s="1" t="s">
        <v>0</v>
      </c>
    </row>
    <row r="2" spans="1:7" x14ac:dyDescent="0.3">
      <c r="A2" t="s">
        <v>57</v>
      </c>
    </row>
    <row r="3" spans="1:7" s="22" customFormat="1" ht="12" x14ac:dyDescent="0.25">
      <c r="A3" s="22" t="s">
        <v>58</v>
      </c>
      <c r="F3" s="26"/>
      <c r="G3" s="26"/>
    </row>
    <row r="5" spans="1:7" x14ac:dyDescent="0.3">
      <c r="A5" s="1" t="s">
        <v>1</v>
      </c>
    </row>
    <row r="6" spans="1:7" x14ac:dyDescent="0.3">
      <c r="A6" s="4" t="s">
        <v>2</v>
      </c>
      <c r="B6" s="5" t="s">
        <v>3</v>
      </c>
      <c r="C6" s="5" t="s">
        <v>4</v>
      </c>
      <c r="D6" s="5" t="s">
        <v>6</v>
      </c>
      <c r="E6" s="6" t="s">
        <v>5</v>
      </c>
    </row>
    <row r="7" spans="1:7" x14ac:dyDescent="0.3">
      <c r="A7" s="7" t="s">
        <v>7</v>
      </c>
      <c r="B7" s="2">
        <v>1</v>
      </c>
      <c r="C7" s="2">
        <v>32</v>
      </c>
      <c r="D7" s="2">
        <v>3</v>
      </c>
      <c r="E7" s="8">
        <f>(B7*D7^2+1)*C7</f>
        <v>320</v>
      </c>
    </row>
    <row r="8" spans="1:7" x14ac:dyDescent="0.3">
      <c r="A8" s="7" t="s">
        <v>8</v>
      </c>
      <c r="B8" s="2">
        <v>32</v>
      </c>
      <c r="C8" s="2">
        <v>64</v>
      </c>
      <c r="D8" s="2">
        <v>3</v>
      </c>
      <c r="E8" s="8">
        <f>(B8*D8^2+1)*C8</f>
        <v>18496</v>
      </c>
    </row>
    <row r="9" spans="1:7" x14ac:dyDescent="0.3">
      <c r="A9" s="7" t="s">
        <v>9</v>
      </c>
      <c r="B9" s="2">
        <v>9216</v>
      </c>
      <c r="C9" s="2">
        <v>128</v>
      </c>
      <c r="D9" s="2"/>
      <c r="E9" s="8">
        <f>(B9+1)*C9</f>
        <v>1179776</v>
      </c>
    </row>
    <row r="10" spans="1:7" x14ac:dyDescent="0.3">
      <c r="A10" s="9" t="s">
        <v>10</v>
      </c>
      <c r="B10" s="10">
        <v>128</v>
      </c>
      <c r="C10" s="10">
        <v>10</v>
      </c>
      <c r="D10" s="10"/>
      <c r="E10" s="11">
        <f>(B10+1)*C10</f>
        <v>1290</v>
      </c>
    </row>
    <row r="11" spans="1:7" x14ac:dyDescent="0.3">
      <c r="B11" s="2"/>
      <c r="C11" s="2"/>
      <c r="D11" s="2"/>
      <c r="E11" s="3">
        <f>SUM(E7:E10)</f>
        <v>1199882</v>
      </c>
    </row>
    <row r="14" spans="1:7" x14ac:dyDescent="0.3">
      <c r="A14" s="1" t="s">
        <v>11</v>
      </c>
    </row>
    <row r="15" spans="1:7" x14ac:dyDescent="0.3">
      <c r="A15" s="4" t="s">
        <v>2</v>
      </c>
      <c r="B15" s="5" t="s">
        <v>3</v>
      </c>
      <c r="C15" s="5" t="s">
        <v>4</v>
      </c>
      <c r="D15" s="5" t="s">
        <v>6</v>
      </c>
      <c r="E15" s="6" t="s">
        <v>5</v>
      </c>
    </row>
    <row r="16" spans="1:7" x14ac:dyDescent="0.3">
      <c r="A16" s="7" t="s">
        <v>7</v>
      </c>
      <c r="B16" s="2">
        <v>1</v>
      </c>
      <c r="C16" s="2">
        <v>32</v>
      </c>
      <c r="D16" s="2">
        <v>1</v>
      </c>
      <c r="E16" s="8">
        <f>(B16*D16^2+1)*C16</f>
        <v>64</v>
      </c>
    </row>
    <row r="17" spans="1:7" x14ac:dyDescent="0.3">
      <c r="A17" s="7" t="s">
        <v>8</v>
      </c>
      <c r="B17" s="2">
        <v>32</v>
      </c>
      <c r="C17" s="2">
        <v>64</v>
      </c>
      <c r="D17" s="2">
        <v>1</v>
      </c>
      <c r="E17" s="8">
        <f>(B17*D17^2+1)*C17</f>
        <v>2112</v>
      </c>
    </row>
    <row r="18" spans="1:7" x14ac:dyDescent="0.3">
      <c r="A18" s="7" t="s">
        <v>9</v>
      </c>
      <c r="B18" s="2">
        <v>12544</v>
      </c>
      <c r="C18" s="2">
        <v>128</v>
      </c>
      <c r="D18" s="2"/>
      <c r="E18" s="8">
        <f>(B18+1)*C18</f>
        <v>1605760</v>
      </c>
    </row>
    <row r="19" spans="1:7" x14ac:dyDescent="0.3">
      <c r="A19" s="9" t="s">
        <v>10</v>
      </c>
      <c r="B19" s="10">
        <v>128</v>
      </c>
      <c r="C19" s="10">
        <v>10</v>
      </c>
      <c r="D19" s="10"/>
      <c r="E19" s="11">
        <f>(B19+1)*C19</f>
        <v>1290</v>
      </c>
    </row>
    <row r="20" spans="1:7" x14ac:dyDescent="0.3">
      <c r="B20" s="2"/>
      <c r="C20" s="2"/>
      <c r="D20" s="2"/>
      <c r="E20" s="3">
        <f>SUM(E16:E19)</f>
        <v>1609226</v>
      </c>
    </row>
    <row r="21" spans="1:7" x14ac:dyDescent="0.3">
      <c r="A21" s="12" t="s">
        <v>12</v>
      </c>
    </row>
    <row r="23" spans="1:7" x14ac:dyDescent="0.3">
      <c r="A23" s="1" t="s">
        <v>31</v>
      </c>
    </row>
    <row r="24" spans="1:7" x14ac:dyDescent="0.3">
      <c r="A24" s="4" t="s">
        <v>2</v>
      </c>
      <c r="B24" s="5" t="s">
        <v>3</v>
      </c>
      <c r="C24" s="5" t="s">
        <v>4</v>
      </c>
      <c r="D24" s="5" t="s">
        <v>6</v>
      </c>
      <c r="E24" s="6" t="s">
        <v>5</v>
      </c>
    </row>
    <row r="25" spans="1:7" x14ac:dyDescent="0.3">
      <c r="A25" s="7" t="s">
        <v>7</v>
      </c>
      <c r="B25" s="2">
        <v>1</v>
      </c>
      <c r="C25" s="2">
        <v>32</v>
      </c>
      <c r="D25" s="2" t="s">
        <v>23</v>
      </c>
      <c r="E25" s="8">
        <f>B25*C25+1</f>
        <v>33</v>
      </c>
    </row>
    <row r="26" spans="1:7" x14ac:dyDescent="0.3">
      <c r="A26" s="7" t="s">
        <v>8</v>
      </c>
      <c r="B26" s="2">
        <v>32</v>
      </c>
      <c r="C26" s="2">
        <v>64</v>
      </c>
      <c r="D26" s="2" t="s">
        <v>23</v>
      </c>
      <c r="E26" s="8">
        <f>B26*C26+1</f>
        <v>2049</v>
      </c>
    </row>
    <row r="27" spans="1:7" x14ac:dyDescent="0.3">
      <c r="A27" s="7" t="s">
        <v>9</v>
      </c>
      <c r="B27" s="2">
        <v>9216</v>
      </c>
      <c r="C27" s="2">
        <v>128</v>
      </c>
      <c r="D27" s="2"/>
      <c r="E27" s="8">
        <f>(B27+1)*C27</f>
        <v>1179776</v>
      </c>
    </row>
    <row r="28" spans="1:7" x14ac:dyDescent="0.3">
      <c r="A28" s="9" t="s">
        <v>10</v>
      </c>
      <c r="B28" s="10">
        <v>128</v>
      </c>
      <c r="C28" s="10">
        <v>10</v>
      </c>
      <c r="D28" s="10"/>
      <c r="E28" s="11">
        <f>(B28+1)*C28</f>
        <v>1290</v>
      </c>
      <c r="F28" s="24" t="s">
        <v>55</v>
      </c>
      <c r="G28" s="24" t="s">
        <v>56</v>
      </c>
    </row>
    <row r="29" spans="1:7" x14ac:dyDescent="0.3">
      <c r="B29" s="2"/>
      <c r="C29" s="2"/>
      <c r="D29" s="2"/>
      <c r="E29" s="3">
        <f>SUM(E25:E28)</f>
        <v>1183148</v>
      </c>
      <c r="F29" s="25">
        <f>E11-E29</f>
        <v>16734</v>
      </c>
      <c r="G29" s="25">
        <f>E20-E29</f>
        <v>426078</v>
      </c>
    </row>
    <row r="30" spans="1:7" x14ac:dyDescent="0.3">
      <c r="A30" s="13" t="s">
        <v>24</v>
      </c>
    </row>
    <row r="32" spans="1:7" x14ac:dyDescent="0.3">
      <c r="A32" s="1" t="s">
        <v>35</v>
      </c>
    </row>
    <row r="33" spans="1:7" ht="12.6" customHeight="1" x14ac:dyDescent="0.3">
      <c r="A33" s="18" t="s">
        <v>36</v>
      </c>
    </row>
    <row r="34" spans="1:7" x14ac:dyDescent="0.3">
      <c r="A34" s="18" t="s">
        <v>37</v>
      </c>
    </row>
    <row r="35" spans="1:7" x14ac:dyDescent="0.3">
      <c r="A35" s="18" t="s">
        <v>38</v>
      </c>
    </row>
    <row r="36" spans="1:7" x14ac:dyDescent="0.3">
      <c r="A36" s="4" t="s">
        <v>2</v>
      </c>
      <c r="B36" s="5" t="s">
        <v>3</v>
      </c>
      <c r="C36" s="5" t="s">
        <v>4</v>
      </c>
      <c r="D36" s="5" t="s">
        <v>6</v>
      </c>
      <c r="E36" s="6" t="s">
        <v>5</v>
      </c>
    </row>
    <row r="37" spans="1:7" x14ac:dyDescent="0.3">
      <c r="A37" s="7" t="s">
        <v>7</v>
      </c>
      <c r="B37" s="2">
        <v>1</v>
      </c>
      <c r="C37" s="2">
        <v>32</v>
      </c>
      <c r="D37" s="2" t="s">
        <v>23</v>
      </c>
      <c r="E37" s="8">
        <f>B37*C37+1</f>
        <v>33</v>
      </c>
    </row>
    <row r="38" spans="1:7" x14ac:dyDescent="0.3">
      <c r="A38" s="7" t="s">
        <v>8</v>
      </c>
      <c r="B38" s="2">
        <v>32</v>
      </c>
      <c r="C38" s="2">
        <v>64</v>
      </c>
      <c r="D38" s="2" t="s">
        <v>23</v>
      </c>
      <c r="E38" s="8">
        <f>B38*C38+1</f>
        <v>2049</v>
      </c>
    </row>
    <row r="39" spans="1:7" x14ac:dyDescent="0.3">
      <c r="A39" s="7" t="s">
        <v>9</v>
      </c>
      <c r="B39" s="2">
        <v>12544</v>
      </c>
      <c r="C39" s="2">
        <v>128</v>
      </c>
      <c r="D39" s="2"/>
      <c r="E39" s="8">
        <f>(B39+1)*C39</f>
        <v>1605760</v>
      </c>
    </row>
    <row r="40" spans="1:7" x14ac:dyDescent="0.3">
      <c r="A40" s="9" t="s">
        <v>10</v>
      </c>
      <c r="B40" s="10">
        <v>128</v>
      </c>
      <c r="C40" s="10">
        <v>10</v>
      </c>
      <c r="D40" s="10"/>
      <c r="E40" s="11">
        <f>(B40+1)*C40</f>
        <v>1290</v>
      </c>
      <c r="F40" s="24" t="s">
        <v>55</v>
      </c>
      <c r="G40" s="24" t="s">
        <v>56</v>
      </c>
    </row>
    <row r="41" spans="1:7" x14ac:dyDescent="0.3">
      <c r="B41" s="2"/>
      <c r="C41" s="2"/>
      <c r="D41" s="2"/>
      <c r="E41" s="3">
        <f>SUM(E37:E40)</f>
        <v>1609132</v>
      </c>
      <c r="F41" s="25">
        <f>E11-E41</f>
        <v>-409250</v>
      </c>
      <c r="G41" s="25">
        <f>E20-E41</f>
        <v>94</v>
      </c>
    </row>
    <row r="42" spans="1:7" x14ac:dyDescent="0.3">
      <c r="A42" s="20" t="s">
        <v>39</v>
      </c>
    </row>
    <row r="44" spans="1:7" x14ac:dyDescent="0.3">
      <c r="A44" s="1" t="s">
        <v>42</v>
      </c>
    </row>
    <row r="45" spans="1:7" ht="11.4" customHeight="1" x14ac:dyDescent="0.3">
      <c r="A45" s="14" t="s">
        <v>43</v>
      </c>
    </row>
    <row r="46" spans="1:7" ht="11.4" customHeight="1" x14ac:dyDescent="0.3">
      <c r="A46" s="14" t="s">
        <v>44</v>
      </c>
    </row>
    <row r="47" spans="1:7" x14ac:dyDescent="0.3">
      <c r="A47" s="4" t="s">
        <v>2</v>
      </c>
      <c r="B47" s="5" t="s">
        <v>3</v>
      </c>
      <c r="C47" s="5" t="s">
        <v>4</v>
      </c>
      <c r="D47" s="5" t="s">
        <v>6</v>
      </c>
      <c r="E47" s="6" t="s">
        <v>5</v>
      </c>
    </row>
    <row r="48" spans="1:7" x14ac:dyDescent="0.3">
      <c r="A48" s="7" t="s">
        <v>7</v>
      </c>
      <c r="B48" s="2">
        <v>1</v>
      </c>
      <c r="C48" s="2">
        <v>32</v>
      </c>
      <c r="D48" s="2" t="s">
        <v>23</v>
      </c>
      <c r="E48" s="8">
        <f>B48*C48+1</f>
        <v>33</v>
      </c>
    </row>
    <row r="49" spans="1:7" x14ac:dyDescent="0.3">
      <c r="A49" s="7" t="s">
        <v>8</v>
      </c>
      <c r="B49" s="2">
        <v>32</v>
      </c>
      <c r="C49" s="2">
        <v>64</v>
      </c>
      <c r="D49" s="2" t="s">
        <v>23</v>
      </c>
      <c r="E49" s="8">
        <f>B49*C49+1</f>
        <v>2049</v>
      </c>
    </row>
    <row r="50" spans="1:7" x14ac:dyDescent="0.3">
      <c r="A50" s="7" t="s">
        <v>9</v>
      </c>
      <c r="B50" s="2">
        <v>9216</v>
      </c>
      <c r="C50" s="2">
        <v>128</v>
      </c>
      <c r="D50" s="2"/>
      <c r="E50" s="8">
        <f>(B50+1)*C50</f>
        <v>1179776</v>
      </c>
    </row>
    <row r="51" spans="1:7" x14ac:dyDescent="0.3">
      <c r="A51" s="9" t="s">
        <v>10</v>
      </c>
      <c r="B51" s="10">
        <v>128</v>
      </c>
      <c r="C51" s="10">
        <v>10</v>
      </c>
      <c r="D51" s="10"/>
      <c r="E51" s="11">
        <f>(B51+1)*C51</f>
        <v>1290</v>
      </c>
      <c r="F51" s="24" t="s">
        <v>55</v>
      </c>
      <c r="G51" s="24" t="s">
        <v>56</v>
      </c>
    </row>
    <row r="52" spans="1:7" x14ac:dyDescent="0.3">
      <c r="B52" s="2"/>
      <c r="C52" s="2"/>
      <c r="D52" s="2"/>
      <c r="E52" s="3">
        <f>SUM(E48:E51)</f>
        <v>1183148</v>
      </c>
      <c r="F52" s="25">
        <f>E11-E52</f>
        <v>16734</v>
      </c>
      <c r="G52" s="25">
        <f>E20-E52</f>
        <v>426078</v>
      </c>
    </row>
    <row r="53" spans="1:7" x14ac:dyDescent="0.3">
      <c r="A53" s="1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2FB0-22B4-4B18-937B-1849BDEB1B27}">
  <dimension ref="A1:O48"/>
  <sheetViews>
    <sheetView topLeftCell="A16" zoomScale="130" zoomScaleNormal="130" workbookViewId="0">
      <selection activeCell="J25" sqref="J25"/>
    </sheetView>
  </sheetViews>
  <sheetFormatPr defaultRowHeight="14.4" outlineLevelRow="1" outlineLevelCol="1" x14ac:dyDescent="0.3"/>
  <cols>
    <col min="4" max="8" width="8.88671875" outlineLevel="1"/>
    <col min="9" max="9" width="18.77734375" customWidth="1"/>
    <col min="10" max="10" width="11.88671875" customWidth="1"/>
    <col min="11" max="11" width="17.109375" customWidth="1"/>
    <col min="12" max="13" width="16.6640625" customWidth="1"/>
    <col min="14" max="15" width="16.88671875" customWidth="1"/>
  </cols>
  <sheetData>
    <row r="1" spans="1:9" x14ac:dyDescent="0.3">
      <c r="A1" t="s">
        <v>0</v>
      </c>
    </row>
    <row r="2" spans="1:9" x14ac:dyDescent="0.3">
      <c r="A2" s="14" t="s">
        <v>20</v>
      </c>
    </row>
    <row r="3" spans="1:9" x14ac:dyDescent="0.3">
      <c r="A3" s="14" t="s">
        <v>21</v>
      </c>
    </row>
    <row r="5" spans="1:9" x14ac:dyDescent="0.3">
      <c r="A5" s="1" t="s">
        <v>1</v>
      </c>
    </row>
    <row r="6" spans="1:9" x14ac:dyDescent="0.3">
      <c r="A6" s="23" t="s">
        <v>51</v>
      </c>
    </row>
    <row r="7" spans="1:9" x14ac:dyDescent="0.3">
      <c r="A7" s="4" t="s">
        <v>2</v>
      </c>
      <c r="B7" s="5" t="s">
        <v>14</v>
      </c>
      <c r="C7" s="5" t="s">
        <v>16</v>
      </c>
      <c r="D7" s="5" t="s">
        <v>18</v>
      </c>
      <c r="E7" s="5" t="s">
        <v>15</v>
      </c>
      <c r="F7" s="5" t="s">
        <v>17</v>
      </c>
      <c r="G7" s="5" t="s">
        <v>19</v>
      </c>
      <c r="H7" s="5" t="s">
        <v>6</v>
      </c>
      <c r="I7" s="6" t="s">
        <v>13</v>
      </c>
    </row>
    <row r="8" spans="1:9" outlineLevel="1" x14ac:dyDescent="0.3">
      <c r="A8" s="7" t="s">
        <v>7</v>
      </c>
      <c r="B8" s="2">
        <v>28</v>
      </c>
      <c r="C8" s="2">
        <v>28</v>
      </c>
      <c r="D8" s="2">
        <v>1</v>
      </c>
      <c r="E8" s="2">
        <v>26</v>
      </c>
      <c r="F8" s="2">
        <v>26</v>
      </c>
      <c r="G8" s="2">
        <v>32</v>
      </c>
      <c r="H8" s="2">
        <v>3</v>
      </c>
      <c r="I8" s="15">
        <f>2*E8*F8*(H8*H8+1)*D8*G8</f>
        <v>432640</v>
      </c>
    </row>
    <row r="9" spans="1:9" outlineLevel="1" x14ac:dyDescent="0.3">
      <c r="A9" s="7" t="s">
        <v>8</v>
      </c>
      <c r="B9" s="2">
        <v>26</v>
      </c>
      <c r="C9" s="2">
        <v>26</v>
      </c>
      <c r="D9" s="2">
        <v>32</v>
      </c>
      <c r="E9" s="2">
        <v>24</v>
      </c>
      <c r="F9" s="2">
        <v>24</v>
      </c>
      <c r="G9" s="2">
        <v>64</v>
      </c>
      <c r="H9" s="2">
        <v>3</v>
      </c>
      <c r="I9" s="15">
        <f>2*E9*F9*(H9*H9+1)*D9*G9</f>
        <v>23592960</v>
      </c>
    </row>
    <row r="10" spans="1:9" x14ac:dyDescent="0.3">
      <c r="A10" s="9"/>
      <c r="B10" s="16"/>
      <c r="C10" s="16"/>
      <c r="D10" s="16"/>
      <c r="E10" s="16"/>
      <c r="F10" s="16"/>
      <c r="G10" s="16"/>
      <c r="H10" s="16"/>
      <c r="I10" s="17">
        <f>SUM(I8:I9)</f>
        <v>24025600</v>
      </c>
    </row>
    <row r="12" spans="1:9" x14ac:dyDescent="0.3">
      <c r="A12" s="1" t="s">
        <v>11</v>
      </c>
    </row>
    <row r="13" spans="1:9" x14ac:dyDescent="0.3">
      <c r="A13" s="23" t="s">
        <v>50</v>
      </c>
    </row>
    <row r="14" spans="1:9" x14ac:dyDescent="0.3">
      <c r="A14" s="4" t="s">
        <v>2</v>
      </c>
      <c r="B14" s="5" t="s">
        <v>14</v>
      </c>
      <c r="C14" s="5" t="s">
        <v>16</v>
      </c>
      <c r="D14" s="5" t="s">
        <v>18</v>
      </c>
      <c r="E14" s="5" t="s">
        <v>15</v>
      </c>
      <c r="F14" s="5" t="s">
        <v>17</v>
      </c>
      <c r="G14" s="5" t="s">
        <v>19</v>
      </c>
      <c r="H14" s="5" t="s">
        <v>6</v>
      </c>
      <c r="I14" s="6" t="s">
        <v>13</v>
      </c>
    </row>
    <row r="15" spans="1:9" outlineLevel="1" x14ac:dyDescent="0.3">
      <c r="A15" s="7" t="s">
        <v>7</v>
      </c>
      <c r="B15" s="2">
        <v>28</v>
      </c>
      <c r="C15" s="2">
        <v>28</v>
      </c>
      <c r="D15" s="2">
        <v>1</v>
      </c>
      <c r="E15" s="2">
        <v>28</v>
      </c>
      <c r="F15" s="2">
        <v>28</v>
      </c>
      <c r="G15" s="2">
        <v>32</v>
      </c>
      <c r="H15" s="2">
        <v>1</v>
      </c>
      <c r="I15" s="15">
        <f>2*E15*F15*(H15*H15+1)*D15*G15</f>
        <v>100352</v>
      </c>
    </row>
    <row r="16" spans="1:9" outlineLevel="1" x14ac:dyDescent="0.3">
      <c r="A16" s="7" t="s">
        <v>8</v>
      </c>
      <c r="B16" s="2">
        <v>28</v>
      </c>
      <c r="C16" s="2">
        <v>28</v>
      </c>
      <c r="D16" s="2">
        <v>32</v>
      </c>
      <c r="E16" s="2">
        <v>28</v>
      </c>
      <c r="F16" s="2">
        <v>28</v>
      </c>
      <c r="G16" s="2">
        <v>64</v>
      </c>
      <c r="H16" s="2">
        <v>1</v>
      </c>
      <c r="I16" s="15">
        <f>2*E16*F16*(H16*H16+1)*D16*G16</f>
        <v>6422528</v>
      </c>
    </row>
    <row r="17" spans="1:13" x14ac:dyDescent="0.3">
      <c r="A17" s="9"/>
      <c r="B17" s="16"/>
      <c r="C17" s="16"/>
      <c r="D17" s="16"/>
      <c r="E17" s="16"/>
      <c r="F17" s="16"/>
      <c r="G17" s="16"/>
      <c r="H17" s="16"/>
      <c r="I17" s="17">
        <f>SUM(I15:I16)</f>
        <v>6522880</v>
      </c>
    </row>
    <row r="18" spans="1:13" x14ac:dyDescent="0.3">
      <c r="A18" s="18" t="s">
        <v>22</v>
      </c>
    </row>
    <row r="20" spans="1:13" x14ac:dyDescent="0.3">
      <c r="A20" s="1" t="s">
        <v>31</v>
      </c>
    </row>
    <row r="21" spans="1:13" x14ac:dyDescent="0.3">
      <c r="A21" s="23" t="s">
        <v>52</v>
      </c>
    </row>
    <row r="22" spans="1:13" ht="10.8" customHeight="1" x14ac:dyDescent="0.3">
      <c r="A22" s="22" t="s">
        <v>41</v>
      </c>
    </row>
    <row r="23" spans="1:13" x14ac:dyDescent="0.3">
      <c r="A23" s="4" t="s">
        <v>2</v>
      </c>
      <c r="B23" s="5" t="s">
        <v>14</v>
      </c>
      <c r="C23" s="5" t="s">
        <v>16</v>
      </c>
      <c r="D23" s="5" t="s">
        <v>18</v>
      </c>
      <c r="E23" s="5" t="s">
        <v>15</v>
      </c>
      <c r="F23" s="5" t="s">
        <v>17</v>
      </c>
      <c r="G23" s="5" t="s">
        <v>19</v>
      </c>
      <c r="H23" s="5" t="s">
        <v>40</v>
      </c>
      <c r="I23" s="5" t="s">
        <v>26</v>
      </c>
      <c r="J23" s="5" t="s">
        <v>27</v>
      </c>
      <c r="K23" s="5" t="s">
        <v>28</v>
      </c>
      <c r="L23" s="5" t="s">
        <v>29</v>
      </c>
      <c r="M23" s="6" t="s">
        <v>30</v>
      </c>
    </row>
    <row r="24" spans="1:13" x14ac:dyDescent="0.3">
      <c r="A24" s="7" t="s">
        <v>7</v>
      </c>
      <c r="B24" s="2">
        <v>28</v>
      </c>
      <c r="C24" s="2">
        <v>28</v>
      </c>
      <c r="D24" s="2">
        <v>1</v>
      </c>
      <c r="E24" s="2">
        <v>26</v>
      </c>
      <c r="F24" s="2">
        <v>26</v>
      </c>
      <c r="G24" s="2">
        <v>32</v>
      </c>
      <c r="H24" s="2">
        <v>3</v>
      </c>
      <c r="I24">
        <f>2*E24*F24*(H24*H24+1)*D24*G24</f>
        <v>432640</v>
      </c>
      <c r="J24">
        <f>E24*F24*D24*8</f>
        <v>5408</v>
      </c>
      <c r="K24">
        <f>2*E24*F24*(H24*H24+1)*D24*G24</f>
        <v>432640</v>
      </c>
      <c r="L24">
        <f>I24+J24</f>
        <v>438048</v>
      </c>
      <c r="M24" s="15">
        <f>I24+J24+K24</f>
        <v>870688</v>
      </c>
    </row>
    <row r="25" spans="1:13" x14ac:dyDescent="0.3">
      <c r="A25" s="7" t="s">
        <v>8</v>
      </c>
      <c r="B25" s="2">
        <v>26</v>
      </c>
      <c r="C25" s="2">
        <v>26</v>
      </c>
      <c r="D25" s="2">
        <v>32</v>
      </c>
      <c r="E25" s="2">
        <v>24</v>
      </c>
      <c r="F25" s="2">
        <v>24</v>
      </c>
      <c r="G25" s="2">
        <v>64</v>
      </c>
      <c r="H25" s="2">
        <v>3</v>
      </c>
      <c r="I25">
        <f>2*E25*F25*(H25*H25+1)*D25*G25</f>
        <v>23592960</v>
      </c>
      <c r="J25">
        <f>E25*F25*D25*8</f>
        <v>147456</v>
      </c>
      <c r="K25">
        <f>2*E25*F25*(H25*H25+1)*D25*G25</f>
        <v>23592960</v>
      </c>
      <c r="L25">
        <f>I25+J25</f>
        <v>23740416</v>
      </c>
      <c r="M25" s="15">
        <f>I25+J25+K25</f>
        <v>47333376</v>
      </c>
    </row>
    <row r="26" spans="1:13" x14ac:dyDescent="0.3">
      <c r="A26" s="9"/>
      <c r="B26" s="16"/>
      <c r="C26" s="16"/>
      <c r="D26" s="16"/>
      <c r="E26" s="16"/>
      <c r="F26" s="16"/>
      <c r="G26" s="16"/>
      <c r="H26" s="16"/>
      <c r="I26" s="19"/>
      <c r="J26" s="16"/>
      <c r="K26" s="16"/>
      <c r="L26" s="19">
        <f>SUM(L24:L25)</f>
        <v>24178464</v>
      </c>
      <c r="M26" s="17">
        <f>SUM(M24:M25)</f>
        <v>48204064</v>
      </c>
    </row>
    <row r="27" spans="1:13" x14ac:dyDescent="0.3">
      <c r="A27" s="18" t="s">
        <v>25</v>
      </c>
      <c r="K27" t="s">
        <v>32</v>
      </c>
      <c r="L27">
        <f>I10-L26</f>
        <v>-152864</v>
      </c>
      <c r="M27">
        <f>I10-M26</f>
        <v>-24178464</v>
      </c>
    </row>
    <row r="28" spans="1:13" x14ac:dyDescent="0.3">
      <c r="A28" s="21" t="s">
        <v>34</v>
      </c>
      <c r="K28" t="s">
        <v>33</v>
      </c>
      <c r="L28">
        <f>I17-L26</f>
        <v>-17655584</v>
      </c>
      <c r="M28">
        <f>I17-M26</f>
        <v>-41681184</v>
      </c>
    </row>
    <row r="29" spans="1:13" x14ac:dyDescent="0.3">
      <c r="E29" s="23"/>
    </row>
    <row r="30" spans="1:13" x14ac:dyDescent="0.3">
      <c r="A30" s="1" t="s">
        <v>35</v>
      </c>
    </row>
    <row r="31" spans="1:13" x14ac:dyDescent="0.3">
      <c r="A31" s="23" t="s">
        <v>53</v>
      </c>
    </row>
    <row r="32" spans="1:13" x14ac:dyDescent="0.3">
      <c r="A32" s="4" t="s">
        <v>2</v>
      </c>
      <c r="B32" s="5" t="s">
        <v>14</v>
      </c>
      <c r="C32" s="5" t="s">
        <v>16</v>
      </c>
      <c r="D32" s="5" t="s">
        <v>18</v>
      </c>
      <c r="E32" s="5" t="s">
        <v>15</v>
      </c>
      <c r="F32" s="5" t="s">
        <v>17</v>
      </c>
      <c r="G32" s="5" t="s">
        <v>19</v>
      </c>
      <c r="H32" s="5" t="s">
        <v>40</v>
      </c>
      <c r="I32" s="5" t="s">
        <v>26</v>
      </c>
      <c r="J32" s="5" t="s">
        <v>27</v>
      </c>
      <c r="K32" s="5" t="s">
        <v>28</v>
      </c>
      <c r="L32" s="5" t="s">
        <v>29</v>
      </c>
      <c r="M32" s="6" t="s">
        <v>30</v>
      </c>
    </row>
    <row r="33" spans="1:15" x14ac:dyDescent="0.3">
      <c r="A33" s="7" t="s">
        <v>7</v>
      </c>
      <c r="B33" s="2">
        <v>28</v>
      </c>
      <c r="C33" s="2">
        <v>28</v>
      </c>
      <c r="D33" s="2">
        <v>1</v>
      </c>
      <c r="E33" s="2">
        <v>28</v>
      </c>
      <c r="F33" s="2">
        <v>28</v>
      </c>
      <c r="G33" s="2">
        <v>32</v>
      </c>
      <c r="H33" s="2">
        <v>3</v>
      </c>
      <c r="I33">
        <f>2*E33*F33*(H33*H33+1)*D33*G33</f>
        <v>501760</v>
      </c>
      <c r="J33">
        <f>E33*F33*D33*8</f>
        <v>6272</v>
      </c>
      <c r="K33">
        <f>2*E33*F33*(H33*H33+1)*D33*G33</f>
        <v>501760</v>
      </c>
      <c r="L33">
        <f>I33+J33</f>
        <v>508032</v>
      </c>
      <c r="M33" s="15">
        <f>I33+J33+K33</f>
        <v>1009792</v>
      </c>
    </row>
    <row r="34" spans="1:15" x14ac:dyDescent="0.3">
      <c r="A34" s="7" t="s">
        <v>8</v>
      </c>
      <c r="B34" s="2">
        <v>28</v>
      </c>
      <c r="C34" s="2">
        <v>28</v>
      </c>
      <c r="D34" s="2">
        <v>32</v>
      </c>
      <c r="E34" s="2">
        <v>28</v>
      </c>
      <c r="F34" s="2">
        <v>28</v>
      </c>
      <c r="G34" s="2">
        <v>64</v>
      </c>
      <c r="H34" s="2">
        <v>3</v>
      </c>
      <c r="I34">
        <f>2*E34*F34*(H34*H34+1)*D34*G34</f>
        <v>32112640</v>
      </c>
      <c r="J34">
        <f>E34*F34*D34*8</f>
        <v>200704</v>
      </c>
      <c r="K34">
        <f>2*E34*F34*(H34*H34+1)*D34*G34</f>
        <v>32112640</v>
      </c>
      <c r="L34">
        <f>I34+J34</f>
        <v>32313344</v>
      </c>
      <c r="M34" s="15">
        <f>I34+J34+K34</f>
        <v>64425984</v>
      </c>
    </row>
    <row r="35" spans="1:15" x14ac:dyDescent="0.3">
      <c r="A35" s="9"/>
      <c r="B35" s="16"/>
      <c r="C35" s="16"/>
      <c r="D35" s="16"/>
      <c r="E35" s="16"/>
      <c r="F35" s="16"/>
      <c r="G35" s="16"/>
      <c r="H35" s="16"/>
      <c r="I35" s="19"/>
      <c r="J35" s="16"/>
      <c r="K35" s="16"/>
      <c r="L35" s="19">
        <f>SUM(L33:L34)</f>
        <v>32821376</v>
      </c>
      <c r="M35" s="17">
        <f>SUM(M33:M34)</f>
        <v>65435776</v>
      </c>
    </row>
    <row r="36" spans="1:15" x14ac:dyDescent="0.3">
      <c r="K36" t="s">
        <v>32</v>
      </c>
      <c r="L36">
        <f>I10-L35</f>
        <v>-8795776</v>
      </c>
      <c r="M36">
        <f>I10-M35</f>
        <v>-41410176</v>
      </c>
    </row>
    <row r="37" spans="1:15" x14ac:dyDescent="0.3">
      <c r="K37" t="s">
        <v>33</v>
      </c>
      <c r="L37">
        <f>I17-L35</f>
        <v>-26298496</v>
      </c>
      <c r="M37">
        <f>I17-M35</f>
        <v>-58912896</v>
      </c>
    </row>
    <row r="38" spans="1:15" x14ac:dyDescent="0.3">
      <c r="A38" s="1" t="s">
        <v>42</v>
      </c>
    </row>
    <row r="39" spans="1:15" x14ac:dyDescent="0.3">
      <c r="A39" s="23" t="s">
        <v>54</v>
      </c>
    </row>
    <row r="40" spans="1:15" ht="10.8" customHeight="1" x14ac:dyDescent="0.3">
      <c r="A40" s="22" t="s">
        <v>46</v>
      </c>
    </row>
    <row r="41" spans="1:15" x14ac:dyDescent="0.3">
      <c r="A41" s="14" t="s">
        <v>43</v>
      </c>
    </row>
    <row r="42" spans="1:15" x14ac:dyDescent="0.3">
      <c r="A42" s="14" t="s">
        <v>44</v>
      </c>
    </row>
    <row r="43" spans="1:15" x14ac:dyDescent="0.3">
      <c r="A43" s="4" t="s">
        <v>2</v>
      </c>
      <c r="B43" s="5" t="s">
        <v>14</v>
      </c>
      <c r="C43" s="5" t="s">
        <v>16</v>
      </c>
      <c r="D43" s="5" t="s">
        <v>18</v>
      </c>
      <c r="E43" s="5" t="s">
        <v>15</v>
      </c>
      <c r="F43" s="5" t="s">
        <v>17</v>
      </c>
      <c r="G43" s="5" t="s">
        <v>19</v>
      </c>
      <c r="H43" s="5" t="s">
        <v>40</v>
      </c>
      <c r="I43" s="5" t="s">
        <v>26</v>
      </c>
      <c r="J43" s="5" t="s">
        <v>48</v>
      </c>
      <c r="K43" s="5" t="s">
        <v>27</v>
      </c>
      <c r="L43" s="5" t="s">
        <v>49</v>
      </c>
      <c r="M43" s="5" t="s">
        <v>47</v>
      </c>
      <c r="N43" s="5" t="s">
        <v>29</v>
      </c>
      <c r="O43" s="6" t="s">
        <v>30</v>
      </c>
    </row>
    <row r="44" spans="1:15" x14ac:dyDescent="0.3">
      <c r="A44" s="7" t="s">
        <v>7</v>
      </c>
      <c r="B44" s="2">
        <v>28</v>
      </c>
      <c r="C44" s="2">
        <v>28</v>
      </c>
      <c r="D44" s="2">
        <v>1</v>
      </c>
      <c r="E44" s="2">
        <v>26</v>
      </c>
      <c r="F44" s="2">
        <v>26</v>
      </c>
      <c r="G44" s="2">
        <v>32</v>
      </c>
      <c r="H44" s="2">
        <v>3</v>
      </c>
      <c r="I44">
        <f>2*E44*F44*(H44*H44+1)*D44*G44</f>
        <v>432640</v>
      </c>
      <c r="J44">
        <f>B44*C44*H44*H44*D44</f>
        <v>7056</v>
      </c>
      <c r="K44">
        <f>E44*F44*D44*8</f>
        <v>5408</v>
      </c>
      <c r="L44">
        <f>E44*F44*3</f>
        <v>2028</v>
      </c>
      <c r="M44">
        <f>2*E44*F44*(H44*H44+1)*D44*G44</f>
        <v>432640</v>
      </c>
      <c r="N44">
        <f>I44+K44</f>
        <v>438048</v>
      </c>
      <c r="O44" s="15">
        <f>I44+K44+M44</f>
        <v>870688</v>
      </c>
    </row>
    <row r="45" spans="1:15" x14ac:dyDescent="0.3">
      <c r="A45" s="7" t="s">
        <v>8</v>
      </c>
      <c r="B45" s="2">
        <v>26</v>
      </c>
      <c r="C45" s="2">
        <v>26</v>
      </c>
      <c r="D45" s="2">
        <v>32</v>
      </c>
      <c r="E45" s="2">
        <v>24</v>
      </c>
      <c r="F45" s="2">
        <v>24</v>
      </c>
      <c r="G45" s="2">
        <v>64</v>
      </c>
      <c r="H45" s="2">
        <v>3</v>
      </c>
      <c r="I45">
        <f>2*E45*F45*(H45*H45+1)*D45*G45</f>
        <v>23592960</v>
      </c>
      <c r="J45">
        <f>B45*C45*H45*H45*D45</f>
        <v>194688</v>
      </c>
      <c r="K45">
        <f>E45*F45*D45*8</f>
        <v>147456</v>
      </c>
      <c r="L45">
        <f>E45*F45*3</f>
        <v>1728</v>
      </c>
      <c r="M45">
        <f>2*E45*F45*(H45*H45+1)*D45*G45</f>
        <v>23592960</v>
      </c>
      <c r="N45">
        <f>I45+K45</f>
        <v>23740416</v>
      </c>
      <c r="O45" s="15">
        <f>I45+K45+M45</f>
        <v>47333376</v>
      </c>
    </row>
    <row r="46" spans="1:15" x14ac:dyDescent="0.3">
      <c r="A46" s="9"/>
      <c r="B46" s="16"/>
      <c r="C46" s="16"/>
      <c r="D46" s="16"/>
      <c r="E46" s="16"/>
      <c r="F46" s="16"/>
      <c r="G46" s="16"/>
      <c r="H46" s="16"/>
      <c r="I46" s="19"/>
      <c r="J46" s="16"/>
      <c r="K46" s="16"/>
      <c r="L46" s="19"/>
      <c r="M46" s="19"/>
      <c r="N46" s="19">
        <f>SUM(N44:N45)</f>
        <v>24178464</v>
      </c>
      <c r="O46" s="17">
        <f>SUM(O44:O45)</f>
        <v>48204064</v>
      </c>
    </row>
    <row r="47" spans="1:15" x14ac:dyDescent="0.3">
      <c r="M47" t="s">
        <v>32</v>
      </c>
      <c r="N47">
        <f>I10-N46</f>
        <v>-152864</v>
      </c>
      <c r="O47">
        <f>I10-O46</f>
        <v>-24178464</v>
      </c>
    </row>
    <row r="48" spans="1:15" x14ac:dyDescent="0.3">
      <c r="M48" t="s">
        <v>33</v>
      </c>
      <c r="N48">
        <f>I17-N46</f>
        <v>-17655584</v>
      </c>
      <c r="O48">
        <f>I17-O46</f>
        <v>-41681184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8F98-AFF5-46D3-9792-C32B2DF18CC9}">
  <dimension ref="A1:P16"/>
  <sheetViews>
    <sheetView tabSelected="1" zoomScaleNormal="100" workbookViewId="0">
      <selection activeCell="D20" sqref="D20"/>
    </sheetView>
  </sheetViews>
  <sheetFormatPr defaultRowHeight="14.4" x14ac:dyDescent="0.3"/>
  <cols>
    <col min="1" max="1" width="36.5546875" customWidth="1"/>
    <col min="2" max="2" width="11.77734375" customWidth="1"/>
    <col min="3" max="3" width="13.88671875" customWidth="1"/>
    <col min="4" max="4" width="15" customWidth="1"/>
    <col min="5" max="5" width="10.6640625" customWidth="1"/>
    <col min="6" max="7" width="10.5546875" customWidth="1"/>
    <col min="8" max="8" width="10.88671875" customWidth="1"/>
    <col min="9" max="12" width="11.88671875" customWidth="1"/>
    <col min="13" max="16" width="11.5546875" customWidth="1"/>
  </cols>
  <sheetData>
    <row r="1" spans="1:16" ht="15.6" x14ac:dyDescent="0.3">
      <c r="A1" s="27" t="s">
        <v>59</v>
      </c>
    </row>
    <row r="3" spans="1:16" ht="12.6" customHeight="1" x14ac:dyDescent="0.3">
      <c r="A3" s="14" t="s">
        <v>70</v>
      </c>
      <c r="I3" s="31" t="s">
        <v>73</v>
      </c>
      <c r="J3" s="31"/>
      <c r="K3" s="31"/>
      <c r="L3" s="31"/>
      <c r="M3" s="32" t="s">
        <v>74</v>
      </c>
      <c r="N3" s="32"/>
      <c r="O3" s="32"/>
      <c r="P3" s="32"/>
    </row>
    <row r="4" spans="1:16" x14ac:dyDescent="0.3">
      <c r="A4" s="28" t="s">
        <v>60</v>
      </c>
      <c r="B4" s="3" t="s">
        <v>5</v>
      </c>
      <c r="C4" s="3" t="s">
        <v>13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65</v>
      </c>
      <c r="I4" s="3" t="s">
        <v>67</v>
      </c>
      <c r="J4" s="3" t="s">
        <v>68</v>
      </c>
      <c r="K4" s="3" t="s">
        <v>69</v>
      </c>
      <c r="L4" s="3" t="s">
        <v>82</v>
      </c>
      <c r="M4" s="3" t="s">
        <v>67</v>
      </c>
      <c r="N4" s="3" t="s">
        <v>68</v>
      </c>
      <c r="O4" s="3" t="s">
        <v>69</v>
      </c>
      <c r="P4" s="3" t="s">
        <v>82</v>
      </c>
    </row>
    <row r="5" spans="1:16" x14ac:dyDescent="0.3">
      <c r="A5" s="28" t="s">
        <v>1</v>
      </c>
      <c r="B5" s="29">
        <v>1199882</v>
      </c>
      <c r="C5" s="29">
        <v>767516672</v>
      </c>
      <c r="D5" s="35">
        <v>0.77</v>
      </c>
      <c r="E5" s="34">
        <v>0.06</v>
      </c>
      <c r="F5" s="34">
        <v>1.2E-2</v>
      </c>
      <c r="G5" s="34">
        <v>6.4999999999999997E-3</v>
      </c>
      <c r="H5" s="34">
        <v>7.4999999999999997E-2</v>
      </c>
      <c r="I5" s="30">
        <f>(B5-$B$5)/$B$5</f>
        <v>0</v>
      </c>
      <c r="J5" s="30">
        <f>(C5-$C$5)/$C$5</f>
        <v>0</v>
      </c>
      <c r="K5" s="30">
        <f>(E5-$E$5)/$E$5</f>
        <v>0</v>
      </c>
      <c r="L5" s="30">
        <f>(D5-$D$5)/$D$5</f>
        <v>0</v>
      </c>
      <c r="M5" s="30">
        <f>(B5-$B$6)/$B$6</f>
        <v>-0.25437322041776605</v>
      </c>
      <c r="N5" s="30">
        <f>(C5-$C$6)/$C$6</f>
        <v>2.7040800189768324</v>
      </c>
      <c r="O5" s="30">
        <f t="shared" ref="O5:O16" si="0">(E5-$E$6)/$E$6</f>
        <v>-0.6</v>
      </c>
      <c r="P5" s="30">
        <f>(D5-$D$6)/$D$6</f>
        <v>0.1846153846153846</v>
      </c>
    </row>
    <row r="6" spans="1:16" x14ac:dyDescent="0.3">
      <c r="A6" s="28" t="s">
        <v>11</v>
      </c>
      <c r="B6" s="29">
        <v>1609226</v>
      </c>
      <c r="C6" s="29">
        <v>207208448</v>
      </c>
      <c r="D6" s="35">
        <v>0.65</v>
      </c>
      <c r="E6" s="34">
        <v>0.15</v>
      </c>
      <c r="F6" s="34">
        <v>5.8400000000000001E-2</v>
      </c>
      <c r="G6" s="34">
        <v>4.7100000000000003E-2</v>
      </c>
      <c r="H6" s="34">
        <v>0.13</v>
      </c>
      <c r="I6" s="30">
        <f t="shared" ref="I6:I7" si="1">(B6-$B$5)/$B$5</f>
        <v>0.34115354676543191</v>
      </c>
      <c r="J6" s="30">
        <f t="shared" ref="J6:J7" si="2">(C6-$C$5)/$C$5</f>
        <v>-0.73002743059632191</v>
      </c>
      <c r="K6" s="30">
        <f t="shared" ref="K6:K7" si="3">(E6-$E$5)/$E$5</f>
        <v>1.5</v>
      </c>
      <c r="L6" s="30">
        <f t="shared" ref="L6:L16" si="4">(D6-$D$5)/$D$5</f>
        <v>-0.15584415584415584</v>
      </c>
      <c r="M6" s="30">
        <f>(B6-$B$6)/$B$6</f>
        <v>0</v>
      </c>
      <c r="N6" s="30">
        <f>(C6-$C$6)/$C$6</f>
        <v>0</v>
      </c>
      <c r="O6" s="30">
        <f t="shared" si="0"/>
        <v>0</v>
      </c>
      <c r="P6" s="30">
        <f>(D6-$D$6)/$D$6</f>
        <v>0</v>
      </c>
    </row>
    <row r="7" spans="1:16" x14ac:dyDescent="0.3">
      <c r="A7" s="28" t="s">
        <v>66</v>
      </c>
      <c r="B7" s="29">
        <v>1183148</v>
      </c>
      <c r="C7" s="29">
        <v>1459453952</v>
      </c>
      <c r="D7" s="35">
        <v>4.1100000000000003</v>
      </c>
      <c r="E7" s="34">
        <v>0.15</v>
      </c>
      <c r="F7" s="34">
        <v>8.0600000000000005E-2</v>
      </c>
      <c r="G7" s="34">
        <v>0.14599999999999999</v>
      </c>
      <c r="H7" s="34">
        <v>0.14810000000000001</v>
      </c>
      <c r="I7" s="30">
        <f t="shared" si="1"/>
        <v>-1.3946371393186996E-2</v>
      </c>
      <c r="J7" s="30">
        <f t="shared" si="2"/>
        <v>0.90152736121932742</v>
      </c>
      <c r="K7" s="30">
        <f t="shared" si="3"/>
        <v>1.5</v>
      </c>
      <c r="L7" s="30">
        <f t="shared" si="4"/>
        <v>4.337662337662338</v>
      </c>
      <c r="M7" s="30">
        <f t="shared" ref="M7:M9" si="5">(B7-$B$6)/$B$6</f>
        <v>-0.26477200840652587</v>
      </c>
      <c r="N7" s="30">
        <f t="shared" ref="N7:N9" si="6">(C7-$C$6)/$C$6</f>
        <v>6.0434095042302518</v>
      </c>
      <c r="O7" s="30">
        <f t="shared" si="0"/>
        <v>0</v>
      </c>
      <c r="P7" s="30">
        <f t="shared" ref="P7:P16" si="7">(D7-$D$6)/$D$6</f>
        <v>5.3230769230769237</v>
      </c>
    </row>
    <row r="8" spans="1:16" x14ac:dyDescent="0.3">
      <c r="A8" s="28" t="s">
        <v>71</v>
      </c>
      <c r="B8" s="29">
        <v>1183148</v>
      </c>
      <c r="C8" s="29">
        <v>844401172</v>
      </c>
      <c r="D8" s="35">
        <v>3.5</v>
      </c>
      <c r="E8" s="34">
        <v>0.15</v>
      </c>
      <c r="F8" s="34">
        <v>8.0600000000000005E-2</v>
      </c>
      <c r="G8" s="34">
        <v>0.14599999999999999</v>
      </c>
      <c r="H8" s="34">
        <v>0.14810000000000001</v>
      </c>
      <c r="I8" s="30">
        <f t="shared" ref="I8" si="8">(B8-$B$5)/$B$5</f>
        <v>-1.3946371393186996E-2</v>
      </c>
      <c r="J8" s="30">
        <f t="shared" ref="J8" si="9">(C8-$C$5)/$C$5</f>
        <v>0.10017306829264551</v>
      </c>
      <c r="K8" s="30">
        <f t="shared" ref="K8" si="10">(E8-$E$5)/$E$5</f>
        <v>1.5</v>
      </c>
      <c r="L8" s="30">
        <f t="shared" si="4"/>
        <v>3.5454545454545454</v>
      </c>
      <c r="M8" s="30">
        <f t="shared" si="5"/>
        <v>-0.26477200840652587</v>
      </c>
      <c r="N8" s="30">
        <f t="shared" si="6"/>
        <v>3.0751290796792223</v>
      </c>
      <c r="O8" s="30">
        <f t="shared" si="0"/>
        <v>0</v>
      </c>
      <c r="P8" s="30">
        <f t="shared" si="7"/>
        <v>4.384615384615385</v>
      </c>
    </row>
    <row r="9" spans="1:16" x14ac:dyDescent="0.3">
      <c r="A9" s="28" t="s">
        <v>72</v>
      </c>
      <c r="B9" s="29">
        <v>1183148</v>
      </c>
      <c r="C9" s="29">
        <v>194523124</v>
      </c>
      <c r="D9" s="35">
        <v>4.32</v>
      </c>
      <c r="E9" s="34">
        <v>7.0000000000000007E-2</v>
      </c>
      <c r="F9" s="34">
        <v>4.4400000000000002E-2</v>
      </c>
      <c r="G9" s="34">
        <v>3.6299999999999999E-2</v>
      </c>
      <c r="H9" s="34">
        <v>0.12870000000000001</v>
      </c>
      <c r="I9" s="30">
        <f t="shared" ref="I9" si="11">(B9-$B$5)/$B$5</f>
        <v>-1.3946371393186996E-2</v>
      </c>
      <c r="J9" s="36">
        <f t="shared" ref="J9" si="12">(C9-$C$5)/$C$5</f>
        <v>-0.74655518101892127</v>
      </c>
      <c r="K9" s="30">
        <f t="shared" ref="K9" si="13">(E9-$E$5)/$E$5</f>
        <v>0.16666666666666682</v>
      </c>
      <c r="L9" s="30">
        <f t="shared" si="4"/>
        <v>4.6103896103896105</v>
      </c>
      <c r="M9" s="30">
        <f t="shared" si="5"/>
        <v>-0.26477200840652587</v>
      </c>
      <c r="N9" s="36">
        <f t="shared" si="6"/>
        <v>-6.1220110098985925E-2</v>
      </c>
      <c r="O9" s="30">
        <f t="shared" si="0"/>
        <v>-0.53333333333333333</v>
      </c>
      <c r="P9" s="30">
        <f t="shared" si="7"/>
        <v>5.6461538461538465</v>
      </c>
    </row>
    <row r="10" spans="1:16" x14ac:dyDescent="0.3">
      <c r="A10" s="28" t="s">
        <v>75</v>
      </c>
      <c r="B10" s="33">
        <v>1201870</v>
      </c>
      <c r="C10" s="29">
        <v>488935168</v>
      </c>
      <c r="D10" s="35">
        <v>4.03</v>
      </c>
      <c r="E10" s="34">
        <v>0.14000000000000001</v>
      </c>
      <c r="F10" s="34">
        <v>4.4699999999999997E-2</v>
      </c>
      <c r="G10" s="34">
        <v>4.3799999999999999E-2</v>
      </c>
      <c r="H10" s="34">
        <v>0.1019</v>
      </c>
      <c r="I10" s="30">
        <f t="shared" ref="I10" si="14">(B10-$B$5)/$B$5</f>
        <v>1.6568295882428438E-3</v>
      </c>
      <c r="J10" s="30">
        <f t="shared" ref="J10:J16" si="15">(C10-$C$5)/$C$5</f>
        <v>-0.36296475915509496</v>
      </c>
      <c r="K10" s="30">
        <f t="shared" ref="K10" si="16">(E10-$E$5)/$E$5</f>
        <v>1.3333333333333337</v>
      </c>
      <c r="L10" s="30">
        <f t="shared" si="4"/>
        <v>4.2337662337662341</v>
      </c>
      <c r="M10" s="30">
        <f t="shared" ref="M10" si="17">(B10-$B$6)/$B$6</f>
        <v>-0.25313784390756799</v>
      </c>
      <c r="N10" s="30">
        <f t="shared" ref="N10" si="18">(C10-$C$6)/$C$6</f>
        <v>1.3596295069977069</v>
      </c>
      <c r="O10" s="30">
        <f t="shared" si="0"/>
        <v>-6.6666666666666541E-2</v>
      </c>
      <c r="P10" s="30">
        <f t="shared" si="7"/>
        <v>5.2</v>
      </c>
    </row>
    <row r="11" spans="1:16" x14ac:dyDescent="0.3">
      <c r="A11" s="28" t="s">
        <v>76</v>
      </c>
      <c r="B11" s="33">
        <v>1183166</v>
      </c>
      <c r="C11" s="29">
        <v>152461312</v>
      </c>
      <c r="D11" s="35">
        <v>4.46</v>
      </c>
      <c r="E11" s="34">
        <v>0.11</v>
      </c>
      <c r="F11" s="34">
        <v>5.0599999999999999E-2</v>
      </c>
      <c r="G11" s="34">
        <v>3.8800000000000001E-2</v>
      </c>
      <c r="H11" s="34">
        <v>0.1</v>
      </c>
      <c r="I11" s="30">
        <f t="shared" ref="I11" si="19">(B11-$B$5)/$B$5</f>
        <v>-1.393136991804194E-2</v>
      </c>
      <c r="J11" s="36">
        <f t="shared" si="15"/>
        <v>-0.80135765441717988</v>
      </c>
      <c r="K11" s="30">
        <f t="shared" ref="K11" si="20">(E11-$E$5)/$E$5</f>
        <v>0.83333333333333337</v>
      </c>
      <c r="L11" s="30">
        <f t="shared" si="4"/>
        <v>4.7922077922077921</v>
      </c>
      <c r="M11" s="30">
        <f t="shared" ref="M11" si="21">(B11-$B$6)/$B$6</f>
        <v>-0.26476082290492448</v>
      </c>
      <c r="N11" s="30">
        <f t="shared" ref="N11" si="22">(C11-$C$6)/$C$6</f>
        <v>-0.26421285680398515</v>
      </c>
      <c r="O11" s="30">
        <f t="shared" si="0"/>
        <v>-0.26666666666666666</v>
      </c>
      <c r="P11" s="30">
        <f t="shared" si="7"/>
        <v>5.8615384615384611</v>
      </c>
    </row>
    <row r="12" spans="1:16" x14ac:dyDescent="0.3">
      <c r="A12" s="28" t="s">
        <v>77</v>
      </c>
      <c r="B12" s="33">
        <v>1183166</v>
      </c>
      <c r="C12" s="29">
        <v>1459453952</v>
      </c>
      <c r="D12" s="35">
        <v>3.83</v>
      </c>
      <c r="E12" s="34">
        <v>0.11</v>
      </c>
      <c r="F12" s="34">
        <v>5.0599999999999999E-2</v>
      </c>
      <c r="G12" s="34">
        <v>3.8800000000000001E-2</v>
      </c>
      <c r="H12" s="34">
        <v>0.1</v>
      </c>
      <c r="I12" s="30">
        <f t="shared" ref="I12" si="23">(B12-$B$5)/$B$5</f>
        <v>-1.393136991804194E-2</v>
      </c>
      <c r="J12" s="37">
        <f t="shared" si="15"/>
        <v>0.90152736121932742</v>
      </c>
      <c r="K12" s="30">
        <f t="shared" ref="K12" si="24">(E12-$E$5)/$E$5</f>
        <v>0.83333333333333337</v>
      </c>
      <c r="L12" s="30">
        <f t="shared" si="4"/>
        <v>3.9740259740259738</v>
      </c>
      <c r="M12" s="30">
        <f t="shared" ref="M12" si="25">(B12-$B$6)/$B$6</f>
        <v>-0.26476082290492448</v>
      </c>
      <c r="N12" s="30">
        <f t="shared" ref="N12" si="26">(C12-$C$6)/$C$6</f>
        <v>6.0434095042302518</v>
      </c>
      <c r="O12" s="30">
        <f t="shared" si="0"/>
        <v>-0.26666666666666666</v>
      </c>
      <c r="P12" s="30">
        <f t="shared" si="7"/>
        <v>4.8923076923076927</v>
      </c>
    </row>
    <row r="13" spans="1:16" x14ac:dyDescent="0.3">
      <c r="A13" s="28" t="s">
        <v>78</v>
      </c>
      <c r="B13" s="33">
        <v>1183166</v>
      </c>
      <c r="C13" s="29">
        <v>152461312</v>
      </c>
      <c r="D13" s="35">
        <v>5.0999999999999996</v>
      </c>
      <c r="E13" s="34">
        <v>0.11</v>
      </c>
      <c r="F13" s="34">
        <v>5.0599999999999999E-2</v>
      </c>
      <c r="G13" s="34">
        <v>3.8800000000000001E-2</v>
      </c>
      <c r="H13" s="34">
        <v>0.1</v>
      </c>
      <c r="I13" s="30">
        <f t="shared" ref="I13" si="27">(B13-$B$5)/$B$5</f>
        <v>-1.393136991804194E-2</v>
      </c>
      <c r="J13" s="38">
        <f t="shared" si="15"/>
        <v>-0.80135765441717988</v>
      </c>
      <c r="K13" s="30">
        <f t="shared" ref="K13" si="28">(E13-$E$5)/$E$5</f>
        <v>0.83333333333333337</v>
      </c>
      <c r="L13" s="30">
        <f t="shared" si="4"/>
        <v>5.6233766233766236</v>
      </c>
      <c r="M13" s="30">
        <f t="shared" ref="M13" si="29">(B13-$B$6)/$B$6</f>
        <v>-0.26476082290492448</v>
      </c>
      <c r="N13" s="30">
        <f t="shared" ref="N13" si="30">(C13-$C$6)/$C$6</f>
        <v>-0.26421285680398515</v>
      </c>
      <c r="O13" s="30">
        <f t="shared" si="0"/>
        <v>-0.26666666666666666</v>
      </c>
      <c r="P13" s="30">
        <f t="shared" si="7"/>
        <v>6.8461538461538449</v>
      </c>
    </row>
    <row r="14" spans="1:16" x14ac:dyDescent="0.3">
      <c r="A14" s="28" t="s">
        <v>79</v>
      </c>
      <c r="B14" s="33">
        <v>1183260</v>
      </c>
      <c r="C14" s="29">
        <v>75579392</v>
      </c>
      <c r="D14" s="35">
        <v>63.68</v>
      </c>
      <c r="E14" s="34">
        <v>0.11</v>
      </c>
      <c r="F14" s="34">
        <v>5.0599999999999999E-2</v>
      </c>
      <c r="G14" s="34">
        <v>3.8800000000000001E-2</v>
      </c>
      <c r="H14" s="34">
        <v>0.1</v>
      </c>
      <c r="I14" s="30">
        <f t="shared" ref="I14" si="31">(B14-$B$5)/$B$5</f>
        <v>-1.3853028881173315E-2</v>
      </c>
      <c r="J14" s="38">
        <f t="shared" si="15"/>
        <v>-0.90152736121932742</v>
      </c>
      <c r="K14" s="30">
        <f t="shared" ref="K14" si="32">(E14-$E$5)/$E$5</f>
        <v>0.83333333333333337</v>
      </c>
      <c r="L14" s="30">
        <f t="shared" si="4"/>
        <v>81.701298701298697</v>
      </c>
      <c r="M14" s="30">
        <f t="shared" ref="M14" si="33">(B14-$B$6)/$B$6</f>
        <v>-0.26470240972989501</v>
      </c>
      <c r="N14" s="30">
        <f t="shared" ref="N14" si="34">(C14-$C$6)/$C$6</f>
        <v>-0.63524946627658729</v>
      </c>
      <c r="O14" s="30">
        <f t="shared" si="0"/>
        <v>-0.26666666666666666</v>
      </c>
      <c r="P14" s="30">
        <f t="shared" si="7"/>
        <v>96.969230769230762</v>
      </c>
    </row>
    <row r="15" spans="1:16" x14ac:dyDescent="0.3">
      <c r="A15" s="28" t="s">
        <v>80</v>
      </c>
      <c r="B15" s="33">
        <v>1183260</v>
      </c>
      <c r="C15" s="29">
        <v>75579392</v>
      </c>
      <c r="D15" s="35">
        <v>2.61</v>
      </c>
      <c r="E15" s="34">
        <v>0.11</v>
      </c>
      <c r="F15" s="34">
        <v>5.0599999999999999E-2</v>
      </c>
      <c r="G15" s="34">
        <v>3.8800000000000001E-2</v>
      </c>
      <c r="H15" s="34">
        <v>0.1</v>
      </c>
      <c r="I15" s="30">
        <f t="shared" ref="I15" si="35">(B15-$B$5)/$B$5</f>
        <v>-1.3853028881173315E-2</v>
      </c>
      <c r="J15" s="38">
        <f t="shared" si="15"/>
        <v>-0.90152736121932742</v>
      </c>
      <c r="K15" s="30">
        <f t="shared" ref="K15" si="36">(E15-$E$5)/$E$5</f>
        <v>0.83333333333333337</v>
      </c>
      <c r="L15" s="30">
        <f t="shared" si="4"/>
        <v>2.3896103896103895</v>
      </c>
      <c r="M15" s="30">
        <f t="shared" ref="M15" si="37">(B15-$B$6)/$B$6</f>
        <v>-0.26470240972989501</v>
      </c>
      <c r="N15" s="30">
        <f t="shared" ref="N15" si="38">(C15-$C$6)/$C$6</f>
        <v>-0.63524946627658729</v>
      </c>
      <c r="O15" s="30">
        <f t="shared" si="0"/>
        <v>-0.26666666666666666</v>
      </c>
      <c r="P15" s="30">
        <f t="shared" si="7"/>
        <v>3.0153846153846153</v>
      </c>
    </row>
    <row r="16" spans="1:16" x14ac:dyDescent="0.3">
      <c r="A16" s="28" t="s">
        <v>81</v>
      </c>
      <c r="B16" s="33">
        <v>1183260</v>
      </c>
      <c r="C16" s="29">
        <v>75579392</v>
      </c>
      <c r="D16" s="35">
        <v>5.64</v>
      </c>
      <c r="E16" s="34">
        <v>0.11</v>
      </c>
      <c r="F16" s="34">
        <v>5.0599999999999999E-2</v>
      </c>
      <c r="G16" s="34">
        <v>3.8800000000000001E-2</v>
      </c>
      <c r="H16" s="34">
        <v>0.1</v>
      </c>
      <c r="I16" s="30">
        <f t="shared" ref="I16" si="39">(B16-$B$5)/$B$5</f>
        <v>-1.3853028881173315E-2</v>
      </c>
      <c r="J16" s="38">
        <f t="shared" si="15"/>
        <v>-0.90152736121932742</v>
      </c>
      <c r="K16" s="30">
        <f t="shared" ref="K16" si="40">(E16-$E$5)/$E$5</f>
        <v>0.83333333333333337</v>
      </c>
      <c r="L16" s="30">
        <f t="shared" si="4"/>
        <v>6.3246753246753231</v>
      </c>
      <c r="M16" s="30">
        <f t="shared" ref="M16" si="41">(B16-$B$6)/$B$6</f>
        <v>-0.26470240972989501</v>
      </c>
      <c r="N16" s="30">
        <f t="shared" ref="N16" si="42">(C16-$C$6)/$C$6</f>
        <v>-0.63524946627658729</v>
      </c>
      <c r="O16" s="30">
        <f t="shared" si="0"/>
        <v>-0.26666666666666666</v>
      </c>
      <c r="P16" s="30">
        <f t="shared" si="7"/>
        <v>7.6769230769230754</v>
      </c>
    </row>
  </sheetData>
  <phoneticPr fontId="14" type="noConversion"/>
  <conditionalFormatting sqref="I5:I10 J10 I11:J16">
    <cfRule type="expression" dxfId="0" priority="1">
      <formula>$I$5&gt;0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Learnable Params</vt:lpstr>
      <vt:lpstr>Flops</vt:lpstr>
      <vt:lpstr>Measured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Wali</dc:creator>
  <cp:lastModifiedBy>Ahmed  Wali</cp:lastModifiedBy>
  <dcterms:created xsi:type="dcterms:W3CDTF">2025-04-22T03:21:08Z</dcterms:created>
  <dcterms:modified xsi:type="dcterms:W3CDTF">2025-05-06T20:11:23Z</dcterms:modified>
</cp:coreProperties>
</file>